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חוברת_עבודה_זו" defaultThemeVersion="124226"/>
  <mc:AlternateContent xmlns:mc="http://schemas.openxmlformats.org/markup-compatibility/2006">
    <mc:Choice Requires="x15">
      <x15ac:absPath xmlns:x15ac="http://schemas.microsoft.com/office/spreadsheetml/2010/11/ac" url="\\netapp\workgrps\Sh_Insurance\current\1_New Worker\שימור ידע\קודקס הדיווחים\תבניות דיווח\קבצים באתר\"/>
    </mc:Choice>
  </mc:AlternateContent>
  <workbookProtection workbookPassword="DFE9" lockStructure="1"/>
  <bookViews>
    <workbookView xWindow="0" yWindow="0" windowWidth="28800" windowHeight="11780" firstSheet="42" activeTab="56"/>
  </bookViews>
  <sheets>
    <sheet name="Kupot_Updated" sheetId="55" r:id="rId1"/>
    <sheet name="SmBal" sheetId="50" r:id="rId2"/>
    <sheet name="T101" sheetId="3" r:id="rId3"/>
    <sheet name="T101_N" sheetId="5" r:id="rId4"/>
    <sheet name="106N" sheetId="9" r:id="rId5"/>
    <sheet name="106" sheetId="1" r:id="rId6"/>
    <sheet name="107" sheetId="54" r:id="rId7"/>
    <sheet name="הנחיות למילוי הקובץ T18" sheetId="64" r:id="rId8"/>
    <sheet name="T18" sheetId="66" r:id="rId9"/>
    <sheet name="T16 הנחיות" sheetId="67" r:id="rId10"/>
    <sheet name="T16" sheetId="69" r:id="rId11"/>
    <sheet name="Gen_Int" sheetId="49" r:id="rId12"/>
    <sheet name="Dir2" sheetId="59" r:id="rId13"/>
    <sheet name="Dir1C" sheetId="61" r:id="rId14"/>
    <sheet name="Dir1B" sheetId="60" r:id="rId15"/>
    <sheet name="Dir1A" sheetId="58" r:id="rId16"/>
    <sheet name="SB3.1A" sheetId="53" r:id="rId17"/>
    <sheet name="S3" sheetId="44" r:id="rId18"/>
    <sheet name="S2" sheetId="45" r:id="rId19"/>
    <sheet name="S1" sheetId="46" r:id="rId20"/>
    <sheet name="B28" sheetId="52" r:id="rId21"/>
    <sheet name="B27D" sheetId="43" r:id="rId22"/>
    <sheet name="B27C4" sheetId="42" r:id="rId23"/>
    <sheet name="B27C3" sheetId="41" r:id="rId24"/>
    <sheet name="B27C2" sheetId="40" r:id="rId25"/>
    <sheet name="B27C1" sheetId="39" r:id="rId26"/>
    <sheet name="B27B" sheetId="38" r:id="rId27"/>
    <sheet name="B27A" sheetId="37" r:id="rId28"/>
    <sheet name="B26" sheetId="36" r:id="rId29"/>
    <sheet name="B22" sheetId="35" r:id="rId30"/>
    <sheet name="B20" sheetId="34" r:id="rId31"/>
    <sheet name="B18" sheetId="33" r:id="rId32"/>
    <sheet name="B17" sheetId="32" r:id="rId33"/>
    <sheet name="B16" sheetId="31" r:id="rId34"/>
    <sheet name="B15" sheetId="30" r:id="rId35"/>
    <sheet name="B14" sheetId="29" r:id="rId36"/>
    <sheet name="B13" sheetId="28" r:id="rId37"/>
    <sheet name="B11R" sheetId="51" r:id="rId38"/>
    <sheet name="B11C" sheetId="27" r:id="rId39"/>
    <sheet name="B11B" sheetId="26" r:id="rId40"/>
    <sheet name="B11A" sheetId="25" r:id="rId41"/>
    <sheet name="B10" sheetId="24" r:id="rId42"/>
    <sheet name="B9" sheetId="23" r:id="rId43"/>
    <sheet name="B8" sheetId="22" r:id="rId44"/>
    <sheet name="B7" sheetId="21" r:id="rId45"/>
    <sheet name="B6" sheetId="20" r:id="rId46"/>
    <sheet name="B5" sheetId="19" r:id="rId47"/>
    <sheet name="B3.1C" sheetId="18" r:id="rId48"/>
    <sheet name="B3.1B" sheetId="17" r:id="rId49"/>
    <sheet name="B3.1A" sheetId="16" r:id="rId50"/>
    <sheet name="3" sheetId="15" r:id="rId51"/>
    <sheet name="2" sheetId="14" r:id="rId52"/>
    <sheet name="1" sheetId="10" r:id="rId53"/>
    <sheet name="CHECKS" sheetId="11" r:id="rId54"/>
    <sheet name="Corrections" sheetId="63" r:id="rId55"/>
    <sheet name="Updates" sheetId="48" r:id="rId56"/>
    <sheet name="Information" sheetId="4" r:id="rId57"/>
  </sheets>
  <externalReferences>
    <externalReference r:id="rId58"/>
  </externalReferences>
  <definedNames>
    <definedName name="_xlnm._FilterDatabase" localSheetId="5" hidden="1">'106'!$M$8:$N$540</definedName>
    <definedName name="_xlnm._FilterDatabase" localSheetId="53" hidden="1">CHECKS!$U$5:$V$158</definedName>
    <definedName name="_xlnm._FilterDatabase" localSheetId="56" hidden="1">Information!$I$29:$K$105</definedName>
    <definedName name="_xlnm._FilterDatabase" localSheetId="0" hidden="1">Kupot_Updated!$A$2:$W$2311</definedName>
    <definedName name="_xlnm._FilterDatabase" localSheetId="10" hidden="1">'T16'!$A$13:$G$13</definedName>
    <definedName name="_xlnm._FilterDatabase" localSheetId="8" hidden="1">'T18'!$A$11:$B$661</definedName>
    <definedName name="_ftn1" localSheetId="43">'B8'!$B$27</definedName>
    <definedName name="_ftn3" localSheetId="30">'B20'!$I$32</definedName>
    <definedName name="_ftn4" localSheetId="30">'B20'!$I$33</definedName>
    <definedName name="_ftn5" localSheetId="30">'B20'!$I$34</definedName>
    <definedName name="_ftn6" localSheetId="30">'B20'!$I$35</definedName>
    <definedName name="_ftn7" localSheetId="30">'B20'!$I$36</definedName>
    <definedName name="_ftnref1" localSheetId="44">'B7'!$B$57</definedName>
    <definedName name="_ftnref1" localSheetId="11">Gen_Int!$C$9</definedName>
    <definedName name="_ftnref3" localSheetId="30">'B20'!$I$11</definedName>
    <definedName name="_ftnref3" localSheetId="29">'B22'!$I$11</definedName>
    <definedName name="_ftnref4" localSheetId="30">'B20'!$I$13</definedName>
    <definedName name="_ftnref4" localSheetId="29">'B22'!$I$12</definedName>
    <definedName name="_ftnref5" localSheetId="30">'B20'!$I$19</definedName>
    <definedName name="_ftnref6" localSheetId="30">'B20'!$I$21</definedName>
    <definedName name="_ftnref7" localSheetId="30">'B20'!$I$26</definedName>
    <definedName name="answer" localSheetId="11">Gen_Int!$L$5:$L$7</definedName>
    <definedName name="answer">'1'!$P$5:$P$6</definedName>
    <definedName name="answer1">'[1]19B1'!$P$8:$P$10</definedName>
    <definedName name="B_List" localSheetId="10">'T16'!$AR$13:$AR$18</definedName>
    <definedName name="bb">'[1]14A'!$C$119</definedName>
    <definedName name="Category" localSheetId="10">'T16'!$AU$13:$AU$15</definedName>
    <definedName name="CH_List" localSheetId="10">'T16'!$AS$13:$AS$17</definedName>
    <definedName name="Change" localSheetId="10">'T16'!$AT$13:$AT$14</definedName>
    <definedName name="Choice">'[1]15A'!$Z$2:$Z$4</definedName>
    <definedName name="CHOICE2">'[1]15A'!$Z$3:$Z$4</definedName>
    <definedName name="Claims">'[1]20'!$AD$55</definedName>
    <definedName name="ClaimsLTC">'[1]20'!$AD$51</definedName>
    <definedName name="company" localSheetId="49">Information!$M$24</definedName>
    <definedName name="company" localSheetId="48">Information!$M$24</definedName>
    <definedName name="company" localSheetId="47">Information!$M$24</definedName>
    <definedName name="company" localSheetId="46">Information!$M$43</definedName>
    <definedName name="company" localSheetId="43">Information!$M$43</definedName>
    <definedName name="company" localSheetId="16">Information!$M$24</definedName>
    <definedName name="company">Information!$J$24</definedName>
    <definedName name="companyB" localSheetId="46">Information!$M$43</definedName>
    <definedName name="companyB">Information!$M$43</definedName>
    <definedName name="contents">Information!$B$1</definedName>
    <definedName name="CurrentDate">'[1]1.1'!$J$25</definedName>
    <definedName name="CurrentMon">'[1]1.1'!$J$23</definedName>
    <definedName name="date" localSheetId="43">Information!$M$44</definedName>
    <definedName name="date">Information!$M$25</definedName>
    <definedName name="Date1">Information!$P$4</definedName>
    <definedName name="date2" localSheetId="46">Information!$R$3</definedName>
    <definedName name="Date2">Information!$P$5</definedName>
    <definedName name="Date3">Information!$P$6</definedName>
    <definedName name="Date4">Information!$P$12</definedName>
    <definedName name="DATES">[1]Information!$R$6:$R$21</definedName>
    <definedName name="Discuss">'T16'!$AY$13:$AY$18</definedName>
    <definedName name="fund_type">CHECKS!$Y$2:$Y$5</definedName>
    <definedName name="Groups">'T18'!$Q$12:$Q$185</definedName>
    <definedName name="Line_Business">'[1]38'!$AG$4:$AG$37</definedName>
    <definedName name="line3" localSheetId="49">Information!$M$21</definedName>
    <definedName name="line3" localSheetId="48">Information!$M$21</definedName>
    <definedName name="line3" localSheetId="47">Information!$M$21</definedName>
    <definedName name="line3" localSheetId="46">Information!$M$35</definedName>
    <definedName name="line3" localSheetId="43">Information!$M$35</definedName>
    <definedName name="line3" localSheetId="16">Information!$M$21</definedName>
    <definedName name="line3">Information!$M$21</definedName>
    <definedName name="Link" localSheetId="10">'T16'!$AP$13:$AP$16</definedName>
    <definedName name="Link">#REF!</definedName>
    <definedName name="List">Kupot_Updated!$B$2:$W$2501</definedName>
    <definedName name="List_Company">[1]Information!$J$29:$J$58</definedName>
    <definedName name="list_dates">Information!$M$28:$M$47</definedName>
    <definedName name="List_Health">'[1]15C'!$AN$4:$AN$6</definedName>
    <definedName name="List_Liab" localSheetId="49">Information!$S$6:$S$18</definedName>
    <definedName name="List_Liab" localSheetId="47">Information!$S$6:$S$18</definedName>
    <definedName name="List_Liab" localSheetId="16">Information!$S$6:$S$18</definedName>
    <definedName name="List_Liab">Information!$S$6:$S$18</definedName>
    <definedName name="list_managers">Information!$J$28:$J$150</definedName>
    <definedName name="List_Q">Information!$U$28:$U$31</definedName>
    <definedName name="List_Type">T101_N!$K$122:$K$127</definedName>
    <definedName name="listA">'[1]טופס א'!$J$4:$J$7</definedName>
    <definedName name="Location">'T16'!$AX$13:$AX$15</definedName>
    <definedName name="mess_cap1">'B13'!$I$34</definedName>
    <definedName name="mess_cap2">[1]B15C!$I$47</definedName>
    <definedName name="mess1" localSheetId="11">Gen_Int!$O$1</definedName>
    <definedName name="mess1" localSheetId="56">Information!$P$13</definedName>
    <definedName name="mess1" localSheetId="1">SmBal!$S$14</definedName>
    <definedName name="mess1">'1'!$P$3</definedName>
    <definedName name="Mess10">'[1]16.1'!$AA$5</definedName>
    <definedName name="mESS18">'T18'!$Q$5</definedName>
    <definedName name="mess2" localSheetId="52">'1'!$P$4</definedName>
    <definedName name="mess2" localSheetId="56">Information!$P$14</definedName>
    <definedName name="mess2" localSheetId="1">SmBal!$S$16</definedName>
    <definedName name="mess2">Gen_Int!$O$2</definedName>
    <definedName name="mess3" localSheetId="11">Gen_Int!$O$4</definedName>
    <definedName name="mess3">'1'!$P$9</definedName>
    <definedName name="mess4">'1'!$P$10</definedName>
    <definedName name="mess5">'1'!$P$11</definedName>
    <definedName name="mess6">'1'!$P$12</definedName>
    <definedName name="Names" localSheetId="10">'T16'!$AW$13:$AW$76</definedName>
    <definedName name="Names">'T18'!$Q$11:$Q$75</definedName>
    <definedName name="orig_name">'1'!$P$8</definedName>
    <definedName name="Participation" localSheetId="10">'T16'!$AT$13:$AT$14</definedName>
    <definedName name="percent">'B13'!$K$32:$K$36</definedName>
    <definedName name="Period">#REF!</definedName>
    <definedName name="Period1">Information!$P$7</definedName>
    <definedName name="Period2">Information!$P$8</definedName>
    <definedName name="Period3">Information!$P$9</definedName>
    <definedName name="Period4">Information!$P$10</definedName>
    <definedName name="Period5">Information!$P$11</definedName>
    <definedName name="Period6">Information!$P$11</definedName>
    <definedName name="pick_a_name">Information!$M$1</definedName>
    <definedName name="Prem_LTC">'[1]20'!$AD$50</definedName>
    <definedName name="quarter">Information!$P$3</definedName>
    <definedName name="Rate" localSheetId="10">'T16'!$AV$13:$AV$15</definedName>
    <definedName name="rater">#REF!</definedName>
    <definedName name="Rating" localSheetId="10">'T16'!$AQ$13:$AQ$35</definedName>
    <definedName name="rating">#REF!</definedName>
    <definedName name="reference" localSheetId="11">Gen_Int!$C$5</definedName>
    <definedName name="source">#REF!</definedName>
    <definedName name="table_co" localSheetId="46">Information!$J$45:$L$155</definedName>
    <definedName name="table_co" localSheetId="43">Information!$J$45:$L$155</definedName>
    <definedName name="table_co">Information!$J$28:$L$75</definedName>
    <definedName name="table_dates">Information!$M$28:$M$35</definedName>
    <definedName name="Type_Debt">'T16'!$AO$13:$AO$16</definedName>
    <definedName name="type_fund">T101_N!$L$3:$L$5</definedName>
    <definedName name="Type_H">'[1]15D1'!$AD$9:$AD$17</definedName>
    <definedName name="Type_Industry" localSheetId="10">'T16'!$AN$13:$AN$74</definedName>
    <definedName name="Type_Industry">#REF!</definedName>
    <definedName name="Type_Loan" localSheetId="10">'T16'!$AO$13:$AO$16</definedName>
    <definedName name="Type_Loan">#REF!</definedName>
    <definedName name="Where" localSheetId="10">'T16'!$AX$13:$AX$14</definedName>
    <definedName name="_xlnm.Print_Area" localSheetId="52">'1'!$B$1:$E$43</definedName>
    <definedName name="_xlnm.Print_Area" localSheetId="5">'106'!$A$8:$L$541</definedName>
    <definedName name="_xlnm.Print_Area" localSheetId="4">'106N'!$B$1:$H$25</definedName>
    <definedName name="_xlnm.Print_Area" localSheetId="6">'107'!$B$1:$D$48</definedName>
    <definedName name="_xlnm.Print_Area" localSheetId="51">'2'!$B$1:$G$40</definedName>
    <definedName name="_xlnm.Print_Area" localSheetId="50">'3'!$B$1:$I$127</definedName>
    <definedName name="_xlnm.Print_Area" localSheetId="40">B11A!$B$1:$H$55</definedName>
    <definedName name="_xlnm.Print_Area" localSheetId="39">B11B!$B$1:$G$75</definedName>
    <definedName name="_xlnm.Print_Area" localSheetId="38">B11C!$B$1:$G$28</definedName>
    <definedName name="_xlnm.Print_Area" localSheetId="37">B11R!$B$1:$H$26</definedName>
    <definedName name="_xlnm.Print_Area" localSheetId="36">'B13'!$B$1:$F$4</definedName>
    <definedName name="_xlnm.Print_Area" localSheetId="35">'B14'!$B$1:$J$77</definedName>
    <definedName name="_xlnm.Print_Area" localSheetId="34">'B15'!$B$1:$F$4</definedName>
    <definedName name="_xlnm.Print_Area" localSheetId="33">'B16'!$B$1:$G$4</definedName>
    <definedName name="_xlnm.Print_Area" localSheetId="32">'B17'!$B$5:$K$123</definedName>
    <definedName name="_xlnm.Print_Area" localSheetId="31">'B18'!$B$1:$K$57</definedName>
    <definedName name="_xlnm.Print_Area" localSheetId="30">'B20'!$B$1:$K$23</definedName>
    <definedName name="_xlnm.Print_Area" localSheetId="29">'B22'!$B$1:$F$58</definedName>
    <definedName name="_xlnm.Print_Area" localSheetId="28">'B26'!$B$3:$H$69</definedName>
    <definedName name="_xlnm.Print_Area" localSheetId="27">B27A!$B$1:$H$84</definedName>
    <definedName name="_xlnm.Print_Area" localSheetId="26">B27B!$B$1:$H$41</definedName>
    <definedName name="_xlnm.Print_Area" localSheetId="25">B27C1!$B$1:$H$5</definedName>
    <definedName name="_xlnm.Print_Area" localSheetId="24">B27C2!$B$1:$H$5</definedName>
    <definedName name="_xlnm.Print_Area" localSheetId="23">B27C3!$B$1:$H$5</definedName>
    <definedName name="_xlnm.Print_Area" localSheetId="22">B27C4!$B$1:$H$5</definedName>
    <definedName name="_xlnm.Print_Area" localSheetId="21">B27D!$B$1:$H$4</definedName>
    <definedName name="_xlnm.Print_Area" localSheetId="49">'B3.1A'!$B$5:$F$57</definedName>
    <definedName name="_xlnm.Print_Area" localSheetId="48">'B3.1B'!$B$5:$E$54</definedName>
    <definedName name="_xlnm.Print_Area" localSheetId="47">'B3.1C'!$B$5:$F$54</definedName>
    <definedName name="_xlnm.Print_Area" localSheetId="46">'B5'!$B$1:$H$60</definedName>
    <definedName name="_xlnm.Print_Area" localSheetId="44">'B7'!$B$1:$I$58</definedName>
    <definedName name="_xlnm.Print_Area" localSheetId="43">'B8'!$B$4:$D$44</definedName>
    <definedName name="_xlnm.Print_Area" localSheetId="42">'B9'!$B$1:$F$29</definedName>
    <definedName name="_xlnm.Print_Area" localSheetId="15">Dir1A!$B$1:$K$93</definedName>
    <definedName name="_xlnm.Print_Area" localSheetId="14">Dir1B!$B$1:$K$83</definedName>
    <definedName name="_xlnm.Print_Area" localSheetId="13">Dir1C!$B$1:$K$83</definedName>
    <definedName name="_xlnm.Print_Area" localSheetId="12">'Dir2'!$B$3:$J$44</definedName>
    <definedName name="_xlnm.Print_Area" localSheetId="11">Gen_Int!$B$7:$F$23</definedName>
    <definedName name="_xlnm.Print_Area" localSheetId="56">Information!$B$1:$G$44</definedName>
    <definedName name="_xlnm.Print_Area" localSheetId="19">'S1'!$B$1:$E$41</definedName>
    <definedName name="_xlnm.Print_Area" localSheetId="18">'S2'!$B$1:$G$40</definedName>
    <definedName name="_xlnm.Print_Area" localSheetId="17">'S3'!$B$1:$I$127</definedName>
    <definedName name="_xlnm.Print_Area" localSheetId="16">'SB3.1A'!$B$5:$F$57</definedName>
    <definedName name="_xlnm.Print_Area" localSheetId="1">SmBal!$A$1:$G$14</definedName>
    <definedName name="_xlnm.Print_Area" localSheetId="2">'T101'!$A$1:$M$45</definedName>
    <definedName name="_xlnm.Print_Area" localSheetId="10">'T16'!$B$14:$AG$201</definedName>
    <definedName name="_xlnm.Print_Titles" localSheetId="5">'106'!$1:$7</definedName>
    <definedName name="_xlnm.Print_Titles" localSheetId="32">'B17'!$1:$4</definedName>
    <definedName name="_xlnm.Print_Titles" localSheetId="49">'B3.1A'!$1:$4</definedName>
    <definedName name="_xlnm.Print_Titles" localSheetId="48">'B3.1B'!$1:$4</definedName>
    <definedName name="_xlnm.Print_Titles" localSheetId="47">'B3.1C'!$1:$4</definedName>
    <definedName name="_xlnm.Print_Titles" localSheetId="11">Gen_Int!$1:$5</definedName>
    <definedName name="_xlnm.Print_Titles" localSheetId="16">'SB3.1A'!$1:$4</definedName>
    <definedName name="_xlnm.Print_Titles" localSheetId="3">T101_N!$1:$2</definedName>
    <definedName name="_xlnm.Print_Titles" localSheetId="10">'T16'!$B:$E,'T16'!$1:$13</definedName>
    <definedName name="year">Information!$P$2</definedName>
    <definedName name="year1">'[1]1.1'!$J$4</definedName>
    <definedName name="year2">'[1]1.1'!$J$3</definedName>
    <definedName name="year3">'[1]1.1'!$J$2</definedName>
    <definedName name="yearA" localSheetId="46">Information!$S$4</definedName>
    <definedName name="yearA" localSheetId="43">Information!$S$4</definedName>
    <definedName name="yearA">Information!$S$4</definedName>
    <definedName name="yearB" localSheetId="46">Information!$S$3</definedName>
    <definedName name="yearB" localSheetId="43">Information!$S$3</definedName>
    <definedName name="yearB">Information!$S$3</definedName>
    <definedName name="yearC" localSheetId="46">Information!$S$2</definedName>
    <definedName name="yearC">Information!$S$2</definedName>
    <definedName name="Years">[1]Information!$T$29:$T$37</definedName>
    <definedName name="Yes_No">'[1]טופס א'!$Q$124:$Q$125</definedName>
    <definedName name="Yesno">#REF!</definedName>
    <definedName name="בחר_בטוחה" localSheetId="10">'T16'!$AR$13:$AR$17</definedName>
    <definedName name="ט101">'T101'!$B$2</definedName>
    <definedName name="ט101נ">T101_N!$B$2</definedName>
    <definedName name="ט106">'106'!$B$2</definedName>
    <definedName name="ט106נ">'106N'!$B$2</definedName>
    <definedName name="נספח2">T101_N!$B$70</definedName>
    <definedName name="נספח3">T101_N!$B$80</definedName>
    <definedName name="נספח5">T101_N!$B$97</definedName>
    <definedName name="נספח6">T101_N!$B$108</definedName>
  </definedNames>
  <calcPr calcId="162913"/>
</workbook>
</file>

<file path=xl/calcChain.xml><?xml version="1.0" encoding="utf-8"?>
<calcChain xmlns="http://schemas.openxmlformats.org/spreadsheetml/2006/main">
  <c r="C10" i="11" l="1"/>
  <c r="H11" i="11"/>
  <c r="H13" i="11"/>
  <c r="H15" i="11"/>
  <c r="C20" i="5" l="1"/>
  <c r="D10" i="11" l="1"/>
  <c r="C41" i="11" l="1"/>
  <c r="D41" i="11"/>
  <c r="G41" i="11"/>
  <c r="C42" i="11"/>
  <c r="D42" i="11"/>
  <c r="G42" i="11"/>
  <c r="C43" i="11"/>
  <c r="D43" i="11"/>
  <c r="G43" i="11"/>
  <c r="C44" i="11"/>
  <c r="D44" i="11"/>
  <c r="G44" i="11"/>
  <c r="C45" i="11"/>
  <c r="D45" i="11"/>
  <c r="G45" i="11"/>
  <c r="C46" i="11"/>
  <c r="D46" i="11"/>
  <c r="G46" i="11"/>
  <c r="C47" i="11"/>
  <c r="D47" i="11"/>
  <c r="G47" i="11"/>
  <c r="C48" i="11"/>
  <c r="D48" i="11"/>
  <c r="G48" i="11"/>
  <c r="C49" i="11"/>
  <c r="D49" i="11"/>
  <c r="G49" i="11"/>
  <c r="C50" i="11"/>
  <c r="D50" i="11"/>
  <c r="G50" i="11"/>
  <c r="C51" i="11"/>
  <c r="D51" i="11"/>
  <c r="G51" i="11"/>
  <c r="C52" i="11"/>
  <c r="D52" i="11"/>
  <c r="G52" i="11"/>
  <c r="C53" i="11"/>
  <c r="D53" i="11"/>
  <c r="G53" i="11"/>
  <c r="G40" i="11"/>
  <c r="D40" i="11"/>
  <c r="C40" i="11"/>
  <c r="G26" i="11"/>
  <c r="G27" i="11"/>
  <c r="G28" i="11"/>
  <c r="G29" i="11"/>
  <c r="G30" i="11"/>
  <c r="G31" i="11"/>
  <c r="G32" i="11"/>
  <c r="G33" i="11"/>
  <c r="G34" i="11"/>
  <c r="G35" i="11"/>
  <c r="G36" i="11"/>
  <c r="G37" i="11"/>
  <c r="G38" i="11"/>
  <c r="G25" i="11"/>
  <c r="C26" i="11"/>
  <c r="D26" i="11"/>
  <c r="C27" i="11"/>
  <c r="D27" i="11"/>
  <c r="C28" i="11"/>
  <c r="D28" i="11"/>
  <c r="C29" i="11"/>
  <c r="D29" i="11"/>
  <c r="C30" i="11"/>
  <c r="D30" i="11"/>
  <c r="C31" i="11"/>
  <c r="D31" i="11"/>
  <c r="C32" i="11"/>
  <c r="D32" i="11"/>
  <c r="C33" i="11"/>
  <c r="D33" i="11"/>
  <c r="C34" i="11"/>
  <c r="D34" i="11"/>
  <c r="C35" i="11"/>
  <c r="D35" i="11"/>
  <c r="C36" i="11"/>
  <c r="D36" i="11"/>
  <c r="C37" i="11"/>
  <c r="D37" i="11"/>
  <c r="C38" i="11"/>
  <c r="D38" i="11"/>
  <c r="D25" i="11"/>
  <c r="E20" i="28" l="1"/>
  <c r="D20" i="28"/>
  <c r="R65" i="66" l="1"/>
  <c r="O21" i="66"/>
  <c r="O58" i="66"/>
  <c r="O37" i="66"/>
  <c r="O49" i="66"/>
  <c r="O55" i="66"/>
  <c r="O14" i="66"/>
  <c r="O40" i="66"/>
  <c r="O51" i="66"/>
  <c r="O12" i="66"/>
  <c r="O22" i="66"/>
  <c r="O61" i="66"/>
  <c r="O52" i="66"/>
  <c r="O62" i="66"/>
  <c r="O64" i="66"/>
  <c r="O41" i="66"/>
  <c r="O20" i="66"/>
  <c r="O54" i="66"/>
  <c r="O15" i="66"/>
  <c r="O56" i="66"/>
  <c r="O30" i="66"/>
  <c r="O17" i="66"/>
  <c r="O60" i="66"/>
  <c r="O13" i="66"/>
  <c r="O26" i="66"/>
  <c r="O27" i="66"/>
  <c r="O46" i="66"/>
  <c r="O42" i="66"/>
  <c r="O44" i="66"/>
  <c r="O29" i="66"/>
  <c r="O19" i="66"/>
  <c r="O63" i="66"/>
  <c r="O43" i="66"/>
  <c r="O36" i="66"/>
  <c r="O38" i="66"/>
  <c r="O39" i="66"/>
  <c r="O16" i="66"/>
  <c r="O50" i="66"/>
  <c r="O31" i="66"/>
  <c r="O53" i="66"/>
  <c r="O33" i="66"/>
  <c r="O57" i="66"/>
  <c r="O59" i="66"/>
  <c r="O48" i="66"/>
  <c r="O45" i="66"/>
  <c r="O32" i="66"/>
  <c r="O25" i="66"/>
  <c r="O34" i="66"/>
  <c r="O47" i="66"/>
  <c r="O24" i="66"/>
  <c r="O35" i="66"/>
  <c r="O23" i="66"/>
  <c r="O18" i="66"/>
  <c r="O28" i="66"/>
  <c r="P64" i="66" l="1"/>
  <c r="E1389" i="66"/>
  <c r="L1389" i="66" s="1"/>
  <c r="A1389" i="66"/>
  <c r="E1388" i="66"/>
  <c r="L1388" i="66" s="1"/>
  <c r="A1388" i="66"/>
  <c r="E1387" i="66"/>
  <c r="L1387" i="66" s="1"/>
  <c r="A1387" i="66"/>
  <c r="E1386" i="66"/>
  <c r="L1386" i="66" s="1"/>
  <c r="A1386" i="66"/>
  <c r="E1385" i="66"/>
  <c r="L1385" i="66" s="1"/>
  <c r="A1385" i="66"/>
  <c r="E1384" i="66"/>
  <c r="L1384" i="66" s="1"/>
  <c r="A1384" i="66"/>
  <c r="E1383" i="66"/>
  <c r="L1383" i="66" s="1"/>
  <c r="A1383" i="66"/>
  <c r="E1382" i="66"/>
  <c r="L1382" i="66" s="1"/>
  <c r="A1382" i="66"/>
  <c r="E1381" i="66"/>
  <c r="L1381" i="66" s="1"/>
  <c r="A1381" i="66"/>
  <c r="E1380" i="66"/>
  <c r="L1380" i="66" s="1"/>
  <c r="A1380" i="66"/>
  <c r="E1379" i="66"/>
  <c r="L1379" i="66" s="1"/>
  <c r="A1379" i="66"/>
  <c r="E1378" i="66"/>
  <c r="L1378" i="66" s="1"/>
  <c r="A1378" i="66"/>
  <c r="E1377" i="66"/>
  <c r="L1377" i="66" s="1"/>
  <c r="A1377" i="66"/>
  <c r="E1376" i="66"/>
  <c r="L1376" i="66" s="1"/>
  <c r="A1376" i="66"/>
  <c r="E1375" i="66"/>
  <c r="L1375" i="66" s="1"/>
  <c r="A1375" i="66"/>
  <c r="E1374" i="66"/>
  <c r="L1374" i="66" s="1"/>
  <c r="A1374" i="66"/>
  <c r="E1373" i="66"/>
  <c r="L1373" i="66" s="1"/>
  <c r="A1373" i="66"/>
  <c r="E1372" i="66"/>
  <c r="L1372" i="66" s="1"/>
  <c r="A1372" i="66"/>
  <c r="E1371" i="66"/>
  <c r="L1371" i="66" s="1"/>
  <c r="A1371" i="66"/>
  <c r="E1370" i="66"/>
  <c r="L1370" i="66" s="1"/>
  <c r="A1370" i="66"/>
  <c r="E1369" i="66"/>
  <c r="L1369" i="66" s="1"/>
  <c r="A1369" i="66"/>
  <c r="E1368" i="66"/>
  <c r="L1368" i="66" s="1"/>
  <c r="A1368" i="66"/>
  <c r="E1367" i="66"/>
  <c r="L1367" i="66" s="1"/>
  <c r="A1367" i="66"/>
  <c r="E1366" i="66"/>
  <c r="L1366" i="66" s="1"/>
  <c r="A1366" i="66"/>
  <c r="E1365" i="66"/>
  <c r="L1365" i="66" s="1"/>
  <c r="A1365" i="66"/>
  <c r="M1364" i="66"/>
  <c r="J1364" i="66"/>
  <c r="I1364" i="66"/>
  <c r="H1364" i="66"/>
  <c r="G1364" i="66"/>
  <c r="F1364" i="66"/>
  <c r="A1364" i="66"/>
  <c r="K1363" i="66"/>
  <c r="E1363" i="66"/>
  <c r="L1363" i="66" s="1"/>
  <c r="A1363" i="66"/>
  <c r="L1362" i="66"/>
  <c r="E1362" i="66"/>
  <c r="K1362" i="66" s="1"/>
  <c r="A1362" i="66"/>
  <c r="K1361" i="66"/>
  <c r="E1361" i="66"/>
  <c r="L1361" i="66" s="1"/>
  <c r="A1361" i="66"/>
  <c r="L1360" i="66"/>
  <c r="E1360" i="66"/>
  <c r="K1360" i="66" s="1"/>
  <c r="A1360" i="66"/>
  <c r="K1359" i="66"/>
  <c r="E1359" i="66"/>
  <c r="L1359" i="66" s="1"/>
  <c r="A1359" i="66"/>
  <c r="L1358" i="66"/>
  <c r="E1358" i="66"/>
  <c r="K1358" i="66" s="1"/>
  <c r="A1358" i="66"/>
  <c r="K1357" i="66"/>
  <c r="E1357" i="66"/>
  <c r="L1357" i="66" s="1"/>
  <c r="A1357" i="66"/>
  <c r="L1356" i="66"/>
  <c r="E1356" i="66"/>
  <c r="K1356" i="66" s="1"/>
  <c r="A1356" i="66"/>
  <c r="K1355" i="66"/>
  <c r="E1355" i="66"/>
  <c r="L1355" i="66" s="1"/>
  <c r="A1355" i="66"/>
  <c r="L1354" i="66"/>
  <c r="E1354" i="66"/>
  <c r="K1354" i="66" s="1"/>
  <c r="A1354" i="66"/>
  <c r="K1353" i="66"/>
  <c r="E1353" i="66"/>
  <c r="L1353" i="66" s="1"/>
  <c r="A1353" i="66"/>
  <c r="L1352" i="66"/>
  <c r="E1352" i="66"/>
  <c r="K1352" i="66" s="1"/>
  <c r="A1352" i="66"/>
  <c r="K1351" i="66"/>
  <c r="E1351" i="66"/>
  <c r="L1351" i="66" s="1"/>
  <c r="A1351" i="66"/>
  <c r="L1350" i="66"/>
  <c r="E1350" i="66"/>
  <c r="K1350" i="66" s="1"/>
  <c r="A1350" i="66"/>
  <c r="K1349" i="66"/>
  <c r="E1349" i="66"/>
  <c r="L1349" i="66" s="1"/>
  <c r="A1349" i="66"/>
  <c r="L1348" i="66"/>
  <c r="E1348" i="66"/>
  <c r="K1348" i="66" s="1"/>
  <c r="A1348" i="66"/>
  <c r="K1347" i="66"/>
  <c r="E1347" i="66"/>
  <c r="L1347" i="66" s="1"/>
  <c r="A1347" i="66"/>
  <c r="L1346" i="66"/>
  <c r="E1346" i="66"/>
  <c r="K1346" i="66" s="1"/>
  <c r="A1346" i="66"/>
  <c r="K1345" i="66"/>
  <c r="E1345" i="66"/>
  <c r="L1345" i="66" s="1"/>
  <c r="A1345" i="66"/>
  <c r="L1344" i="66"/>
  <c r="E1344" i="66"/>
  <c r="K1344" i="66" s="1"/>
  <c r="A1344" i="66"/>
  <c r="K1343" i="66"/>
  <c r="E1343" i="66"/>
  <c r="L1343" i="66" s="1"/>
  <c r="A1343" i="66"/>
  <c r="L1342" i="66"/>
  <c r="E1342" i="66"/>
  <c r="K1342" i="66" s="1"/>
  <c r="A1342" i="66"/>
  <c r="K1341" i="66"/>
  <c r="E1341" i="66"/>
  <c r="L1341" i="66" s="1"/>
  <c r="A1341" i="66"/>
  <c r="L1340" i="66"/>
  <c r="E1340" i="66"/>
  <c r="K1340" i="66" s="1"/>
  <c r="A1340" i="66"/>
  <c r="K1339" i="66"/>
  <c r="E1339" i="66"/>
  <c r="L1339" i="66" s="1"/>
  <c r="A1339" i="66"/>
  <c r="M1338" i="66"/>
  <c r="J1338" i="66"/>
  <c r="I1338" i="66"/>
  <c r="H1338" i="66"/>
  <c r="G1338" i="66"/>
  <c r="F1338" i="66"/>
  <c r="E1338" i="66"/>
  <c r="L1338" i="66" s="1"/>
  <c r="A1338" i="66"/>
  <c r="E1337" i="66"/>
  <c r="L1337" i="66" s="1"/>
  <c r="A1337" i="66"/>
  <c r="L1336" i="66"/>
  <c r="K1336" i="66"/>
  <c r="E1336" i="66"/>
  <c r="A1336" i="66"/>
  <c r="E1335" i="66"/>
  <c r="L1335" i="66" s="1"/>
  <c r="A1335" i="66"/>
  <c r="L1334" i="66"/>
  <c r="K1334" i="66"/>
  <c r="E1334" i="66"/>
  <c r="A1334" i="66"/>
  <c r="E1333" i="66"/>
  <c r="L1333" i="66" s="1"/>
  <c r="A1333" i="66"/>
  <c r="L1332" i="66"/>
  <c r="K1332" i="66"/>
  <c r="E1332" i="66"/>
  <c r="A1332" i="66"/>
  <c r="E1331" i="66"/>
  <c r="L1331" i="66" s="1"/>
  <c r="A1331" i="66"/>
  <c r="L1330" i="66"/>
  <c r="K1330" i="66"/>
  <c r="E1330" i="66"/>
  <c r="A1330" i="66"/>
  <c r="E1329" i="66"/>
  <c r="L1329" i="66" s="1"/>
  <c r="A1329" i="66"/>
  <c r="L1328" i="66"/>
  <c r="K1328" i="66"/>
  <c r="E1328" i="66"/>
  <c r="A1328" i="66"/>
  <c r="E1327" i="66"/>
  <c r="L1327" i="66" s="1"/>
  <c r="A1327" i="66"/>
  <c r="L1326" i="66"/>
  <c r="K1326" i="66"/>
  <c r="E1326" i="66"/>
  <c r="A1326" i="66"/>
  <c r="E1325" i="66"/>
  <c r="L1325" i="66" s="1"/>
  <c r="A1325" i="66"/>
  <c r="L1324" i="66"/>
  <c r="K1324" i="66"/>
  <c r="E1324" i="66"/>
  <c r="A1324" i="66"/>
  <c r="E1323" i="66"/>
  <c r="L1323" i="66" s="1"/>
  <c r="A1323" i="66"/>
  <c r="L1322" i="66"/>
  <c r="K1322" i="66"/>
  <c r="E1322" i="66"/>
  <c r="A1322" i="66"/>
  <c r="E1321" i="66"/>
  <c r="L1321" i="66" s="1"/>
  <c r="A1321" i="66"/>
  <c r="L1320" i="66"/>
  <c r="K1320" i="66"/>
  <c r="E1320" i="66"/>
  <c r="A1320" i="66"/>
  <c r="E1319" i="66"/>
  <c r="L1319" i="66" s="1"/>
  <c r="A1319" i="66"/>
  <c r="L1318" i="66"/>
  <c r="K1318" i="66"/>
  <c r="E1318" i="66"/>
  <c r="A1318" i="66"/>
  <c r="E1317" i="66"/>
  <c r="L1317" i="66" s="1"/>
  <c r="A1317" i="66"/>
  <c r="L1316" i="66"/>
  <c r="K1316" i="66"/>
  <c r="E1316" i="66"/>
  <c r="A1316" i="66"/>
  <c r="E1315" i="66"/>
  <c r="L1315" i="66" s="1"/>
  <c r="A1315" i="66"/>
  <c r="L1314" i="66"/>
  <c r="K1314" i="66"/>
  <c r="E1314" i="66"/>
  <c r="A1314" i="66"/>
  <c r="E1313" i="66"/>
  <c r="L1313" i="66" s="1"/>
  <c r="A1313" i="66"/>
  <c r="M1312" i="66"/>
  <c r="L1312" i="66"/>
  <c r="J1312" i="66"/>
  <c r="I1312" i="66"/>
  <c r="H1312" i="66"/>
  <c r="G1312" i="66"/>
  <c r="F1312" i="66"/>
  <c r="E1312" i="66"/>
  <c r="K1312" i="66" s="1"/>
  <c r="A1312" i="66"/>
  <c r="K1366" i="66" l="1"/>
  <c r="K1368" i="66"/>
  <c r="K1370" i="66"/>
  <c r="K1372" i="66"/>
  <c r="K1374" i="66"/>
  <c r="K1376" i="66"/>
  <c r="K1378" i="66"/>
  <c r="K1380" i="66"/>
  <c r="K1382" i="66"/>
  <c r="K1384" i="66"/>
  <c r="K1386" i="66"/>
  <c r="K1388" i="66"/>
  <c r="E1364" i="66"/>
  <c r="K1365" i="66"/>
  <c r="K1367" i="66"/>
  <c r="K1369" i="66"/>
  <c r="K1371" i="66"/>
  <c r="K1373" i="66"/>
  <c r="K1375" i="66"/>
  <c r="K1377" i="66"/>
  <c r="K1379" i="66"/>
  <c r="K1381" i="66"/>
  <c r="K1383" i="66"/>
  <c r="K1385" i="66"/>
  <c r="K1387" i="66"/>
  <c r="K1389" i="66"/>
  <c r="K1338" i="66"/>
  <c r="K1313" i="66"/>
  <c r="K1315" i="66"/>
  <c r="K1317" i="66"/>
  <c r="K1319" i="66"/>
  <c r="K1321" i="66"/>
  <c r="K1323" i="66"/>
  <c r="K1325" i="66"/>
  <c r="K1327" i="66"/>
  <c r="K1329" i="66"/>
  <c r="K1331" i="66"/>
  <c r="K1333" i="66"/>
  <c r="K1335" i="66"/>
  <c r="K1337" i="66"/>
  <c r="W2288" i="55"/>
  <c r="V2288" i="55"/>
  <c r="U2288" i="55"/>
  <c r="T2288" i="55"/>
  <c r="S2288" i="55"/>
  <c r="J2288" i="55"/>
  <c r="I2288" i="55"/>
  <c r="H2288" i="55"/>
  <c r="D2288" i="55"/>
  <c r="B2288" i="55"/>
  <c r="A2288" i="55"/>
  <c r="W2287" i="55"/>
  <c r="V2287" i="55"/>
  <c r="U2287" i="55"/>
  <c r="T2287" i="55"/>
  <c r="S2287" i="55"/>
  <c r="J2287" i="55"/>
  <c r="I2287" i="55"/>
  <c r="H2287" i="55"/>
  <c r="D2287" i="55"/>
  <c r="B2287" i="55"/>
  <c r="A2287" i="55"/>
  <c r="W2286" i="55"/>
  <c r="V2286" i="55"/>
  <c r="U2286" i="55"/>
  <c r="T2286" i="55"/>
  <c r="S2286" i="55"/>
  <c r="J2286" i="55"/>
  <c r="I2286" i="55"/>
  <c r="H2286" i="55"/>
  <c r="D2286" i="55"/>
  <c r="B2286" i="55"/>
  <c r="A2286" i="55"/>
  <c r="W2285" i="55"/>
  <c r="V2285" i="55"/>
  <c r="U2285" i="55"/>
  <c r="T2285" i="55"/>
  <c r="S2285" i="55"/>
  <c r="J2285" i="55"/>
  <c r="I2285" i="55"/>
  <c r="H2285" i="55"/>
  <c r="D2285" i="55"/>
  <c r="B2285" i="55"/>
  <c r="A2285" i="55"/>
  <c r="W2284" i="55"/>
  <c r="V2284" i="55"/>
  <c r="U2284" i="55"/>
  <c r="T2284" i="55"/>
  <c r="S2284" i="55"/>
  <c r="J2284" i="55"/>
  <c r="I2284" i="55"/>
  <c r="H2284" i="55"/>
  <c r="D2284" i="55"/>
  <c r="B2284" i="55"/>
  <c r="A2284" i="55"/>
  <c r="W2283" i="55"/>
  <c r="V2283" i="55"/>
  <c r="U2283" i="55"/>
  <c r="T2283" i="55"/>
  <c r="S2283" i="55"/>
  <c r="J2283" i="55"/>
  <c r="I2283" i="55"/>
  <c r="H2283" i="55"/>
  <c r="D2283" i="55"/>
  <c r="B2283" i="55"/>
  <c r="A2283" i="55"/>
  <c r="W2282" i="55"/>
  <c r="V2282" i="55"/>
  <c r="U2282" i="55"/>
  <c r="T2282" i="55"/>
  <c r="S2282" i="55"/>
  <c r="J2282" i="55"/>
  <c r="I2282" i="55"/>
  <c r="H2282" i="55"/>
  <c r="D2282" i="55"/>
  <c r="B2282" i="55"/>
  <c r="A2282" i="55"/>
  <c r="W2281" i="55"/>
  <c r="V2281" i="55"/>
  <c r="U2281" i="55"/>
  <c r="T2281" i="55"/>
  <c r="S2281" i="55"/>
  <c r="J2281" i="55"/>
  <c r="I2281" i="55"/>
  <c r="H2281" i="55"/>
  <c r="D2281" i="55"/>
  <c r="B2281" i="55"/>
  <c r="A2281" i="55"/>
  <c r="W2280" i="55"/>
  <c r="V2280" i="55"/>
  <c r="U2280" i="55"/>
  <c r="T2280" i="55"/>
  <c r="S2280" i="55"/>
  <c r="J2280" i="55"/>
  <c r="I2280" i="55"/>
  <c r="H2280" i="55"/>
  <c r="D2280" i="55"/>
  <c r="B2280" i="55"/>
  <c r="A2280" i="55"/>
  <c r="W2279" i="55"/>
  <c r="V2279" i="55"/>
  <c r="U2279" i="55"/>
  <c r="T2279" i="55"/>
  <c r="S2279" i="55"/>
  <c r="J2279" i="55"/>
  <c r="I2279" i="55"/>
  <c r="H2279" i="55"/>
  <c r="D2279" i="55"/>
  <c r="B2279" i="55"/>
  <c r="A2279" i="55"/>
  <c r="W2278" i="55"/>
  <c r="V2278" i="55"/>
  <c r="U2278" i="55"/>
  <c r="T2278" i="55"/>
  <c r="S2278" i="55"/>
  <c r="J2278" i="55"/>
  <c r="I2278" i="55"/>
  <c r="H2278" i="55"/>
  <c r="D2278" i="55"/>
  <c r="B2278" i="55"/>
  <c r="A2278" i="55"/>
  <c r="W2277" i="55"/>
  <c r="V2277" i="55"/>
  <c r="U2277" i="55"/>
  <c r="T2277" i="55"/>
  <c r="S2277" i="55"/>
  <c r="J2277" i="55"/>
  <c r="I2277" i="55"/>
  <c r="H2277" i="55"/>
  <c r="D2277" i="55"/>
  <c r="B2277" i="55"/>
  <c r="A2277" i="55"/>
  <c r="W2276" i="55"/>
  <c r="V2276" i="55"/>
  <c r="U2276" i="55"/>
  <c r="T2276" i="55"/>
  <c r="S2276" i="55"/>
  <c r="J2276" i="55"/>
  <c r="I2276" i="55"/>
  <c r="H2276" i="55"/>
  <c r="D2276" i="55"/>
  <c r="B2276" i="55"/>
  <c r="A2276" i="55"/>
  <c r="W2275" i="55"/>
  <c r="V2275" i="55"/>
  <c r="U2275" i="55"/>
  <c r="T2275" i="55"/>
  <c r="S2275" i="55"/>
  <c r="J2275" i="55"/>
  <c r="I2275" i="55"/>
  <c r="H2275" i="55"/>
  <c r="D2275" i="55"/>
  <c r="B2275" i="55"/>
  <c r="A2275" i="55"/>
  <c r="W2274" i="55"/>
  <c r="V2274" i="55"/>
  <c r="U2274" i="55"/>
  <c r="T2274" i="55"/>
  <c r="S2274" i="55"/>
  <c r="J2274" i="55"/>
  <c r="I2274" i="55"/>
  <c r="H2274" i="55"/>
  <c r="D2274" i="55"/>
  <c r="B2274" i="55"/>
  <c r="A2274" i="55"/>
  <c r="W2273" i="55"/>
  <c r="V2273" i="55"/>
  <c r="U2273" i="55"/>
  <c r="T2273" i="55"/>
  <c r="S2273" i="55"/>
  <c r="J2273" i="55"/>
  <c r="I2273" i="55"/>
  <c r="H2273" i="55"/>
  <c r="D2273" i="55"/>
  <c r="B2273" i="55"/>
  <c r="A2273" i="55"/>
  <c r="W2272" i="55"/>
  <c r="V2272" i="55"/>
  <c r="U2272" i="55"/>
  <c r="T2272" i="55"/>
  <c r="S2272" i="55"/>
  <c r="J2272" i="55"/>
  <c r="I2272" i="55"/>
  <c r="H2272" i="55"/>
  <c r="D2272" i="55"/>
  <c r="B2272" i="55"/>
  <c r="A2272" i="55"/>
  <c r="W2271" i="55"/>
  <c r="V2271" i="55"/>
  <c r="U2271" i="55"/>
  <c r="T2271" i="55"/>
  <c r="S2271" i="55"/>
  <c r="J2271" i="55"/>
  <c r="I2271" i="55"/>
  <c r="H2271" i="55"/>
  <c r="D2271" i="55"/>
  <c r="B2271" i="55"/>
  <c r="A2271" i="55"/>
  <c r="W2270" i="55"/>
  <c r="V2270" i="55"/>
  <c r="U2270" i="55"/>
  <c r="T2270" i="55"/>
  <c r="S2270" i="55"/>
  <c r="J2270" i="55"/>
  <c r="I2270" i="55"/>
  <c r="H2270" i="55"/>
  <c r="D2270" i="55"/>
  <c r="B2270" i="55"/>
  <c r="A2270" i="55"/>
  <c r="W2269" i="55"/>
  <c r="V2269" i="55"/>
  <c r="U2269" i="55"/>
  <c r="T2269" i="55"/>
  <c r="S2269" i="55"/>
  <c r="J2269" i="55"/>
  <c r="I2269" i="55"/>
  <c r="H2269" i="55"/>
  <c r="D2269" i="55"/>
  <c r="B2269" i="55"/>
  <c r="A2269" i="55"/>
  <c r="W2268" i="55"/>
  <c r="V2268" i="55"/>
  <c r="U2268" i="55"/>
  <c r="T2268" i="55"/>
  <c r="S2268" i="55"/>
  <c r="J2268" i="55"/>
  <c r="I2268" i="55"/>
  <c r="H2268" i="55"/>
  <c r="D2268" i="55"/>
  <c r="B2268" i="55"/>
  <c r="A2268" i="55"/>
  <c r="W2267" i="55"/>
  <c r="V2267" i="55"/>
  <c r="U2267" i="55"/>
  <c r="T2267" i="55"/>
  <c r="S2267" i="55"/>
  <c r="J2267" i="55"/>
  <c r="I2267" i="55"/>
  <c r="H2267" i="55"/>
  <c r="D2267" i="55"/>
  <c r="B2267" i="55"/>
  <c r="A2267" i="55"/>
  <c r="W2266" i="55"/>
  <c r="V2266" i="55"/>
  <c r="U2266" i="55"/>
  <c r="T2266" i="55"/>
  <c r="S2266" i="55"/>
  <c r="J2266" i="55"/>
  <c r="I2266" i="55"/>
  <c r="H2266" i="55"/>
  <c r="D2266" i="55"/>
  <c r="B2266" i="55"/>
  <c r="A2266" i="55"/>
  <c r="W2265" i="55"/>
  <c r="V2265" i="55"/>
  <c r="U2265" i="55"/>
  <c r="T2265" i="55"/>
  <c r="S2265" i="55"/>
  <c r="J2265" i="55"/>
  <c r="I2265" i="55"/>
  <c r="H2265" i="55"/>
  <c r="D2265" i="55"/>
  <c r="B2265" i="55"/>
  <c r="A2265" i="55"/>
  <c r="W2264" i="55"/>
  <c r="V2264" i="55"/>
  <c r="U2264" i="55"/>
  <c r="T2264" i="55"/>
  <c r="S2264" i="55"/>
  <c r="J2264" i="55"/>
  <c r="I2264" i="55"/>
  <c r="H2264" i="55"/>
  <c r="D2264" i="55"/>
  <c r="B2264" i="55"/>
  <c r="A2264" i="55"/>
  <c r="W2263" i="55"/>
  <c r="V2263" i="55"/>
  <c r="U2263" i="55"/>
  <c r="T2263" i="55"/>
  <c r="S2263" i="55"/>
  <c r="J2263" i="55"/>
  <c r="I2263" i="55"/>
  <c r="H2263" i="55"/>
  <c r="D2263" i="55"/>
  <c r="B2263" i="55"/>
  <c r="A2263" i="55"/>
  <c r="W2262" i="55"/>
  <c r="V2262" i="55"/>
  <c r="U2262" i="55"/>
  <c r="T2262" i="55"/>
  <c r="S2262" i="55"/>
  <c r="J2262" i="55"/>
  <c r="I2262" i="55"/>
  <c r="H2262" i="55"/>
  <c r="D2262" i="55"/>
  <c r="B2262" i="55"/>
  <c r="A2262" i="55"/>
  <c r="W2261" i="55"/>
  <c r="V2261" i="55"/>
  <c r="U2261" i="55"/>
  <c r="T2261" i="55"/>
  <c r="S2261" i="55"/>
  <c r="J2261" i="55"/>
  <c r="I2261" i="55"/>
  <c r="H2261" i="55"/>
  <c r="D2261" i="55"/>
  <c r="B2261" i="55"/>
  <c r="A2261" i="55"/>
  <c r="W2260" i="55"/>
  <c r="V2260" i="55"/>
  <c r="U2260" i="55"/>
  <c r="T2260" i="55"/>
  <c r="S2260" i="55"/>
  <c r="J2260" i="55"/>
  <c r="I2260" i="55"/>
  <c r="H2260" i="55"/>
  <c r="D2260" i="55"/>
  <c r="B2260" i="55"/>
  <c r="A2260" i="55"/>
  <c r="W2259" i="55"/>
  <c r="V2259" i="55"/>
  <c r="U2259" i="55"/>
  <c r="T2259" i="55"/>
  <c r="S2259" i="55"/>
  <c r="J2259" i="55"/>
  <c r="I2259" i="55"/>
  <c r="H2259" i="55"/>
  <c r="D2259" i="55"/>
  <c r="B2259" i="55"/>
  <c r="A2259" i="55"/>
  <c r="W2258" i="55"/>
  <c r="V2258" i="55"/>
  <c r="U2258" i="55"/>
  <c r="T2258" i="55"/>
  <c r="S2258" i="55"/>
  <c r="J2258" i="55"/>
  <c r="I2258" i="55"/>
  <c r="H2258" i="55"/>
  <c r="D2258" i="55"/>
  <c r="B2258" i="55"/>
  <c r="A2258" i="55"/>
  <c r="W2257" i="55"/>
  <c r="V2257" i="55"/>
  <c r="U2257" i="55"/>
  <c r="T2257" i="55"/>
  <c r="S2257" i="55"/>
  <c r="J2257" i="55"/>
  <c r="I2257" i="55"/>
  <c r="H2257" i="55"/>
  <c r="D2257" i="55"/>
  <c r="B2257" i="55"/>
  <c r="A2257" i="55"/>
  <c r="W2256" i="55"/>
  <c r="V2256" i="55"/>
  <c r="U2256" i="55"/>
  <c r="T2256" i="55"/>
  <c r="S2256" i="55"/>
  <c r="J2256" i="55"/>
  <c r="I2256" i="55"/>
  <c r="H2256" i="55"/>
  <c r="D2256" i="55"/>
  <c r="B2256" i="55"/>
  <c r="A2256" i="55"/>
  <c r="W2255" i="55"/>
  <c r="V2255" i="55"/>
  <c r="U2255" i="55"/>
  <c r="T2255" i="55"/>
  <c r="S2255" i="55"/>
  <c r="J2255" i="55"/>
  <c r="I2255" i="55"/>
  <c r="H2255" i="55"/>
  <c r="D2255" i="55"/>
  <c r="B2255" i="55"/>
  <c r="A2255" i="55"/>
  <c r="W2254" i="55"/>
  <c r="V2254" i="55"/>
  <c r="U2254" i="55"/>
  <c r="T2254" i="55"/>
  <c r="S2254" i="55"/>
  <c r="J2254" i="55"/>
  <c r="I2254" i="55"/>
  <c r="H2254" i="55"/>
  <c r="D2254" i="55"/>
  <c r="B2254" i="55"/>
  <c r="A2254" i="55"/>
  <c r="W2253" i="55"/>
  <c r="V2253" i="55"/>
  <c r="U2253" i="55"/>
  <c r="T2253" i="55"/>
  <c r="S2253" i="55"/>
  <c r="J2253" i="55"/>
  <c r="I2253" i="55"/>
  <c r="H2253" i="55"/>
  <c r="D2253" i="55"/>
  <c r="B2253" i="55"/>
  <c r="A2253" i="55"/>
  <c r="W2252" i="55"/>
  <c r="V2252" i="55"/>
  <c r="U2252" i="55"/>
  <c r="T2252" i="55"/>
  <c r="S2252" i="55"/>
  <c r="J2252" i="55"/>
  <c r="I2252" i="55"/>
  <c r="H2252" i="55"/>
  <c r="D2252" i="55"/>
  <c r="B2252" i="55"/>
  <c r="A2252" i="55"/>
  <c r="W2251" i="55"/>
  <c r="V2251" i="55"/>
  <c r="U2251" i="55"/>
  <c r="T2251" i="55"/>
  <c r="S2251" i="55"/>
  <c r="J2251" i="55"/>
  <c r="I2251" i="55"/>
  <c r="H2251" i="55"/>
  <c r="D2251" i="55"/>
  <c r="B2251" i="55"/>
  <c r="A2251" i="55"/>
  <c r="W2250" i="55"/>
  <c r="V2250" i="55"/>
  <c r="U2250" i="55"/>
  <c r="T2250" i="55"/>
  <c r="S2250" i="55"/>
  <c r="J2250" i="55"/>
  <c r="I2250" i="55"/>
  <c r="H2250" i="55"/>
  <c r="D2250" i="55"/>
  <c r="B2250" i="55"/>
  <c r="A2250" i="55"/>
  <c r="W2249" i="55"/>
  <c r="V2249" i="55"/>
  <c r="U2249" i="55"/>
  <c r="T2249" i="55"/>
  <c r="S2249" i="55"/>
  <c r="J2249" i="55"/>
  <c r="I2249" i="55"/>
  <c r="H2249" i="55"/>
  <c r="D2249" i="55"/>
  <c r="B2249" i="55"/>
  <c r="A2249" i="55"/>
  <c r="W2248" i="55"/>
  <c r="V2248" i="55"/>
  <c r="U2248" i="55"/>
  <c r="T2248" i="55"/>
  <c r="S2248" i="55"/>
  <c r="J2248" i="55"/>
  <c r="I2248" i="55"/>
  <c r="H2248" i="55"/>
  <c r="D2248" i="55"/>
  <c r="B2248" i="55"/>
  <c r="A2248" i="55"/>
  <c r="W2247" i="55"/>
  <c r="V2247" i="55"/>
  <c r="U2247" i="55"/>
  <c r="T2247" i="55"/>
  <c r="S2247" i="55"/>
  <c r="J2247" i="55"/>
  <c r="I2247" i="55"/>
  <c r="H2247" i="55"/>
  <c r="D2247" i="55"/>
  <c r="B2247" i="55"/>
  <c r="A2247" i="55"/>
  <c r="W2246" i="55"/>
  <c r="V2246" i="55"/>
  <c r="U2246" i="55"/>
  <c r="T2246" i="55"/>
  <c r="S2246" i="55"/>
  <c r="J2246" i="55"/>
  <c r="I2246" i="55"/>
  <c r="H2246" i="55"/>
  <c r="D2246" i="55"/>
  <c r="B2246" i="55"/>
  <c r="A2246" i="55"/>
  <c r="W2245" i="55"/>
  <c r="V2245" i="55"/>
  <c r="U2245" i="55"/>
  <c r="T2245" i="55"/>
  <c r="S2245" i="55"/>
  <c r="J2245" i="55"/>
  <c r="I2245" i="55"/>
  <c r="H2245" i="55"/>
  <c r="D2245" i="55"/>
  <c r="B2245" i="55"/>
  <c r="A2245" i="55"/>
  <c r="W2244" i="55"/>
  <c r="V2244" i="55"/>
  <c r="U2244" i="55"/>
  <c r="T2244" i="55"/>
  <c r="S2244" i="55"/>
  <c r="J2244" i="55"/>
  <c r="I2244" i="55"/>
  <c r="H2244" i="55"/>
  <c r="D2244" i="55"/>
  <c r="B2244" i="55"/>
  <c r="A2244" i="55"/>
  <c r="W2243" i="55"/>
  <c r="V2243" i="55"/>
  <c r="U2243" i="55"/>
  <c r="T2243" i="55"/>
  <c r="S2243" i="55"/>
  <c r="J2243" i="55"/>
  <c r="I2243" i="55"/>
  <c r="H2243" i="55"/>
  <c r="D2243" i="55"/>
  <c r="B2243" i="55"/>
  <c r="A2243" i="55"/>
  <c r="W2242" i="55"/>
  <c r="V2242" i="55"/>
  <c r="U2242" i="55"/>
  <c r="T2242" i="55"/>
  <c r="S2242" i="55"/>
  <c r="J2242" i="55"/>
  <c r="I2242" i="55"/>
  <c r="H2242" i="55"/>
  <c r="D2242" i="55"/>
  <c r="B2242" i="55"/>
  <c r="A2242" i="55"/>
  <c r="W2241" i="55"/>
  <c r="V2241" i="55"/>
  <c r="U2241" i="55"/>
  <c r="T2241" i="55"/>
  <c r="S2241" i="55"/>
  <c r="J2241" i="55"/>
  <c r="I2241" i="55"/>
  <c r="H2241" i="55"/>
  <c r="D2241" i="55"/>
  <c r="B2241" i="55"/>
  <c r="A2241" i="55"/>
  <c r="W2240" i="55"/>
  <c r="V2240" i="55"/>
  <c r="U2240" i="55"/>
  <c r="T2240" i="55"/>
  <c r="S2240" i="55"/>
  <c r="J2240" i="55"/>
  <c r="I2240" i="55"/>
  <c r="H2240" i="55"/>
  <c r="D2240" i="55"/>
  <c r="B2240" i="55"/>
  <c r="A2240" i="55"/>
  <c r="W2239" i="55"/>
  <c r="V2239" i="55"/>
  <c r="U2239" i="55"/>
  <c r="T2239" i="55"/>
  <c r="S2239" i="55"/>
  <c r="J2239" i="55"/>
  <c r="I2239" i="55"/>
  <c r="H2239" i="55"/>
  <c r="D2239" i="55"/>
  <c r="B2239" i="55"/>
  <c r="A2239" i="55"/>
  <c r="W2238" i="55"/>
  <c r="V2238" i="55"/>
  <c r="U2238" i="55"/>
  <c r="T2238" i="55"/>
  <c r="S2238" i="55"/>
  <c r="J2238" i="55"/>
  <c r="I2238" i="55"/>
  <c r="H2238" i="55"/>
  <c r="D2238" i="55"/>
  <c r="B2238" i="55"/>
  <c r="A2238" i="55"/>
  <c r="W2237" i="55"/>
  <c r="V2237" i="55"/>
  <c r="U2237" i="55"/>
  <c r="T2237" i="55"/>
  <c r="S2237" i="55"/>
  <c r="J2237" i="55"/>
  <c r="I2237" i="55"/>
  <c r="H2237" i="55"/>
  <c r="D2237" i="55"/>
  <c r="B2237" i="55"/>
  <c r="A2237" i="55"/>
  <c r="W2236" i="55"/>
  <c r="V2236" i="55"/>
  <c r="U2236" i="55"/>
  <c r="T2236" i="55"/>
  <c r="S2236" i="55"/>
  <c r="J2236" i="55"/>
  <c r="I2236" i="55"/>
  <c r="H2236" i="55"/>
  <c r="D2236" i="55"/>
  <c r="B2236" i="55"/>
  <c r="A2236" i="55"/>
  <c r="W2235" i="55"/>
  <c r="V2235" i="55"/>
  <c r="U2235" i="55"/>
  <c r="T2235" i="55"/>
  <c r="S2235" i="55"/>
  <c r="J2235" i="55"/>
  <c r="I2235" i="55"/>
  <c r="H2235" i="55"/>
  <c r="D2235" i="55"/>
  <c r="B2235" i="55"/>
  <c r="A2235" i="55"/>
  <c r="W2234" i="55"/>
  <c r="V2234" i="55"/>
  <c r="U2234" i="55"/>
  <c r="T2234" i="55"/>
  <c r="S2234" i="55"/>
  <c r="J2234" i="55"/>
  <c r="I2234" i="55"/>
  <c r="H2234" i="55"/>
  <c r="D2234" i="55"/>
  <c r="B2234" i="55"/>
  <c r="A2234" i="55"/>
  <c r="W2233" i="55"/>
  <c r="V2233" i="55"/>
  <c r="U2233" i="55"/>
  <c r="T2233" i="55"/>
  <c r="S2233" i="55"/>
  <c r="J2233" i="55"/>
  <c r="I2233" i="55"/>
  <c r="H2233" i="55"/>
  <c r="D2233" i="55"/>
  <c r="B2233" i="55"/>
  <c r="A2233" i="55"/>
  <c r="W2232" i="55"/>
  <c r="V2232" i="55"/>
  <c r="U2232" i="55"/>
  <c r="T2232" i="55"/>
  <c r="S2232" i="55"/>
  <c r="J2232" i="55"/>
  <c r="I2232" i="55"/>
  <c r="H2232" i="55"/>
  <c r="D2232" i="55"/>
  <c r="B2232" i="55"/>
  <c r="A2232" i="55"/>
  <c r="W2231" i="55"/>
  <c r="V2231" i="55"/>
  <c r="U2231" i="55"/>
  <c r="T2231" i="55"/>
  <c r="S2231" i="55"/>
  <c r="J2231" i="55"/>
  <c r="I2231" i="55"/>
  <c r="H2231" i="55"/>
  <c r="D2231" i="55"/>
  <c r="B2231" i="55"/>
  <c r="A2231" i="55"/>
  <c r="W2230" i="55"/>
  <c r="V2230" i="55"/>
  <c r="U2230" i="55"/>
  <c r="T2230" i="55"/>
  <c r="S2230" i="55"/>
  <c r="J2230" i="55"/>
  <c r="I2230" i="55"/>
  <c r="H2230" i="55"/>
  <c r="D2230" i="55"/>
  <c r="B2230" i="55"/>
  <c r="A2230" i="55"/>
  <c r="W2229" i="55"/>
  <c r="V2229" i="55"/>
  <c r="U2229" i="55"/>
  <c r="T2229" i="55"/>
  <c r="S2229" i="55"/>
  <c r="J2229" i="55"/>
  <c r="I2229" i="55"/>
  <c r="H2229" i="55"/>
  <c r="D2229" i="55"/>
  <c r="B2229" i="55"/>
  <c r="A2229" i="55"/>
  <c r="W2228" i="55"/>
  <c r="V2228" i="55"/>
  <c r="U2228" i="55"/>
  <c r="T2228" i="55"/>
  <c r="S2228" i="55"/>
  <c r="J2228" i="55"/>
  <c r="I2228" i="55"/>
  <c r="H2228" i="55"/>
  <c r="D2228" i="55"/>
  <c r="B2228" i="55"/>
  <c r="A2228" i="55"/>
  <c r="W2227" i="55"/>
  <c r="V2227" i="55"/>
  <c r="U2227" i="55"/>
  <c r="T2227" i="55"/>
  <c r="S2227" i="55"/>
  <c r="J2227" i="55"/>
  <c r="I2227" i="55"/>
  <c r="H2227" i="55"/>
  <c r="D2227" i="55"/>
  <c r="B2227" i="55"/>
  <c r="A2227" i="55"/>
  <c r="W2226" i="55"/>
  <c r="V2226" i="55"/>
  <c r="U2226" i="55"/>
  <c r="T2226" i="55"/>
  <c r="S2226" i="55"/>
  <c r="J2226" i="55"/>
  <c r="I2226" i="55"/>
  <c r="H2226" i="55"/>
  <c r="D2226" i="55"/>
  <c r="B2226" i="55"/>
  <c r="A2226" i="55"/>
  <c r="W2225" i="55"/>
  <c r="V2225" i="55"/>
  <c r="U2225" i="55"/>
  <c r="T2225" i="55"/>
  <c r="S2225" i="55"/>
  <c r="J2225" i="55"/>
  <c r="I2225" i="55"/>
  <c r="H2225" i="55"/>
  <c r="D2225" i="55"/>
  <c r="B2225" i="55"/>
  <c r="A2225" i="55"/>
  <c r="W2224" i="55"/>
  <c r="V2224" i="55"/>
  <c r="U2224" i="55"/>
  <c r="T2224" i="55"/>
  <c r="S2224" i="55"/>
  <c r="J2224" i="55"/>
  <c r="I2224" i="55"/>
  <c r="H2224" i="55"/>
  <c r="D2224" i="55"/>
  <c r="B2224" i="55"/>
  <c r="A2224" i="55"/>
  <c r="W2223" i="55"/>
  <c r="V2223" i="55"/>
  <c r="U2223" i="55"/>
  <c r="T2223" i="55"/>
  <c r="S2223" i="55"/>
  <c r="J2223" i="55"/>
  <c r="I2223" i="55"/>
  <c r="H2223" i="55"/>
  <c r="D2223" i="55"/>
  <c r="B2223" i="55"/>
  <c r="A2223" i="55"/>
  <c r="W2222" i="55"/>
  <c r="V2222" i="55"/>
  <c r="U2222" i="55"/>
  <c r="T2222" i="55"/>
  <c r="S2222" i="55"/>
  <c r="J2222" i="55"/>
  <c r="I2222" i="55"/>
  <c r="H2222" i="55"/>
  <c r="D2222" i="55"/>
  <c r="B2222" i="55"/>
  <c r="A2222" i="55"/>
  <c r="W2221" i="55"/>
  <c r="V2221" i="55"/>
  <c r="U2221" i="55"/>
  <c r="T2221" i="55"/>
  <c r="S2221" i="55"/>
  <c r="J2221" i="55"/>
  <c r="I2221" i="55"/>
  <c r="H2221" i="55"/>
  <c r="D2221" i="55"/>
  <c r="B2221" i="55"/>
  <c r="A2221" i="55"/>
  <c r="W2220" i="55"/>
  <c r="V2220" i="55"/>
  <c r="U2220" i="55"/>
  <c r="T2220" i="55"/>
  <c r="S2220" i="55"/>
  <c r="J2220" i="55"/>
  <c r="I2220" i="55"/>
  <c r="H2220" i="55"/>
  <c r="D2220" i="55"/>
  <c r="B2220" i="55"/>
  <c r="A2220" i="55"/>
  <c r="W2219" i="55"/>
  <c r="V2219" i="55"/>
  <c r="U2219" i="55"/>
  <c r="T2219" i="55"/>
  <c r="S2219" i="55"/>
  <c r="J2219" i="55"/>
  <c r="I2219" i="55"/>
  <c r="H2219" i="55"/>
  <c r="D2219" i="55"/>
  <c r="B2219" i="55"/>
  <c r="A2219" i="55"/>
  <c r="W2218" i="55"/>
  <c r="V2218" i="55"/>
  <c r="U2218" i="55"/>
  <c r="T2218" i="55"/>
  <c r="S2218" i="55"/>
  <c r="J2218" i="55"/>
  <c r="I2218" i="55"/>
  <c r="H2218" i="55"/>
  <c r="D2218" i="55"/>
  <c r="B2218" i="55"/>
  <c r="A2218" i="55"/>
  <c r="W2217" i="55"/>
  <c r="V2217" i="55"/>
  <c r="U2217" i="55"/>
  <c r="T2217" i="55"/>
  <c r="S2217" i="55"/>
  <c r="J2217" i="55"/>
  <c r="I2217" i="55"/>
  <c r="H2217" i="55"/>
  <c r="D2217" i="55"/>
  <c r="B2217" i="55"/>
  <c r="A2217" i="55"/>
  <c r="W2216" i="55"/>
  <c r="V2216" i="55"/>
  <c r="U2216" i="55"/>
  <c r="T2216" i="55"/>
  <c r="S2216" i="55"/>
  <c r="J2216" i="55"/>
  <c r="I2216" i="55"/>
  <c r="H2216" i="55"/>
  <c r="D2216" i="55"/>
  <c r="B2216" i="55"/>
  <c r="A2216" i="55"/>
  <c r="W2215" i="55"/>
  <c r="V2215" i="55"/>
  <c r="U2215" i="55"/>
  <c r="T2215" i="55"/>
  <c r="S2215" i="55"/>
  <c r="J2215" i="55"/>
  <c r="I2215" i="55"/>
  <c r="H2215" i="55"/>
  <c r="D2215" i="55"/>
  <c r="B2215" i="55"/>
  <c r="A2215" i="55"/>
  <c r="W2214" i="55"/>
  <c r="V2214" i="55"/>
  <c r="U2214" i="55"/>
  <c r="T2214" i="55"/>
  <c r="S2214" i="55"/>
  <c r="J2214" i="55"/>
  <c r="I2214" i="55"/>
  <c r="H2214" i="55"/>
  <c r="D2214" i="55"/>
  <c r="B2214" i="55"/>
  <c r="A2214" i="55"/>
  <c r="W2213" i="55"/>
  <c r="V2213" i="55"/>
  <c r="U2213" i="55"/>
  <c r="T2213" i="55"/>
  <c r="S2213" i="55"/>
  <c r="J2213" i="55"/>
  <c r="I2213" i="55"/>
  <c r="H2213" i="55"/>
  <c r="D2213" i="55"/>
  <c r="B2213" i="55"/>
  <c r="A2213" i="55"/>
  <c r="W2212" i="55"/>
  <c r="V2212" i="55"/>
  <c r="U2212" i="55"/>
  <c r="T2212" i="55"/>
  <c r="S2212" i="55"/>
  <c r="J2212" i="55"/>
  <c r="I2212" i="55"/>
  <c r="H2212" i="55"/>
  <c r="D2212" i="55"/>
  <c r="B2212" i="55"/>
  <c r="A2212" i="55"/>
  <c r="W2211" i="55"/>
  <c r="V2211" i="55"/>
  <c r="U2211" i="55"/>
  <c r="T2211" i="55"/>
  <c r="S2211" i="55"/>
  <c r="J2211" i="55"/>
  <c r="I2211" i="55"/>
  <c r="H2211" i="55"/>
  <c r="D2211" i="55"/>
  <c r="B2211" i="55"/>
  <c r="A2211" i="55"/>
  <c r="W2210" i="55"/>
  <c r="V2210" i="55"/>
  <c r="U2210" i="55"/>
  <c r="T2210" i="55"/>
  <c r="S2210" i="55"/>
  <c r="J2210" i="55"/>
  <c r="I2210" i="55"/>
  <c r="H2210" i="55"/>
  <c r="D2210" i="55"/>
  <c r="B2210" i="55"/>
  <c r="A2210" i="55"/>
  <c r="W2209" i="55"/>
  <c r="V2209" i="55"/>
  <c r="U2209" i="55"/>
  <c r="T2209" i="55"/>
  <c r="S2209" i="55"/>
  <c r="J2209" i="55"/>
  <c r="I2209" i="55"/>
  <c r="H2209" i="55"/>
  <c r="D2209" i="55"/>
  <c r="B2209" i="55"/>
  <c r="A2209" i="55"/>
  <c r="W2208" i="55"/>
  <c r="V2208" i="55"/>
  <c r="U2208" i="55"/>
  <c r="T2208" i="55"/>
  <c r="S2208" i="55"/>
  <c r="J2208" i="55"/>
  <c r="I2208" i="55"/>
  <c r="H2208" i="55"/>
  <c r="D2208" i="55"/>
  <c r="B2208" i="55"/>
  <c r="A2208" i="55"/>
  <c r="W2207" i="55"/>
  <c r="V2207" i="55"/>
  <c r="U2207" i="55"/>
  <c r="T2207" i="55"/>
  <c r="S2207" i="55"/>
  <c r="J2207" i="55"/>
  <c r="I2207" i="55"/>
  <c r="H2207" i="55"/>
  <c r="D2207" i="55"/>
  <c r="B2207" i="55"/>
  <c r="A2207" i="55"/>
  <c r="W2206" i="55"/>
  <c r="V2206" i="55"/>
  <c r="U2206" i="55"/>
  <c r="T2206" i="55"/>
  <c r="S2206" i="55"/>
  <c r="J2206" i="55"/>
  <c r="I2206" i="55"/>
  <c r="H2206" i="55"/>
  <c r="D2206" i="55"/>
  <c r="B2206" i="55"/>
  <c r="A2206" i="55"/>
  <c r="W2205" i="55"/>
  <c r="V2205" i="55"/>
  <c r="U2205" i="55"/>
  <c r="T2205" i="55"/>
  <c r="S2205" i="55"/>
  <c r="J2205" i="55"/>
  <c r="I2205" i="55"/>
  <c r="H2205" i="55"/>
  <c r="D2205" i="55"/>
  <c r="B2205" i="55"/>
  <c r="A2205" i="55"/>
  <c r="W2204" i="55"/>
  <c r="V2204" i="55"/>
  <c r="U2204" i="55"/>
  <c r="T2204" i="55"/>
  <c r="S2204" i="55"/>
  <c r="J2204" i="55"/>
  <c r="I2204" i="55"/>
  <c r="H2204" i="55"/>
  <c r="D2204" i="55"/>
  <c r="B2204" i="55"/>
  <c r="A2204" i="55"/>
  <c r="W2203" i="55"/>
  <c r="V2203" i="55"/>
  <c r="U2203" i="55"/>
  <c r="T2203" i="55"/>
  <c r="S2203" i="55"/>
  <c r="J2203" i="55"/>
  <c r="I2203" i="55"/>
  <c r="H2203" i="55"/>
  <c r="D2203" i="55"/>
  <c r="B2203" i="55"/>
  <c r="A2203" i="55"/>
  <c r="W2202" i="55"/>
  <c r="V2202" i="55"/>
  <c r="U2202" i="55"/>
  <c r="T2202" i="55"/>
  <c r="S2202" i="55"/>
  <c r="J2202" i="55"/>
  <c r="I2202" i="55"/>
  <c r="H2202" i="55"/>
  <c r="D2202" i="55"/>
  <c r="B2202" i="55"/>
  <c r="A2202" i="55"/>
  <c r="W2201" i="55"/>
  <c r="V2201" i="55"/>
  <c r="U2201" i="55"/>
  <c r="T2201" i="55"/>
  <c r="S2201" i="55"/>
  <c r="J2201" i="55"/>
  <c r="I2201" i="55"/>
  <c r="H2201" i="55"/>
  <c r="D2201" i="55"/>
  <c r="B2201" i="55"/>
  <c r="A2201" i="55"/>
  <c r="W2200" i="55"/>
  <c r="V2200" i="55"/>
  <c r="U2200" i="55"/>
  <c r="T2200" i="55"/>
  <c r="S2200" i="55"/>
  <c r="J2200" i="55"/>
  <c r="I2200" i="55"/>
  <c r="H2200" i="55"/>
  <c r="D2200" i="55"/>
  <c r="B2200" i="55"/>
  <c r="A2200" i="55"/>
  <c r="W2199" i="55"/>
  <c r="V2199" i="55"/>
  <c r="U2199" i="55"/>
  <c r="T2199" i="55"/>
  <c r="S2199" i="55"/>
  <c r="J2199" i="55"/>
  <c r="I2199" i="55"/>
  <c r="H2199" i="55"/>
  <c r="D2199" i="55"/>
  <c r="B2199" i="55"/>
  <c r="A2199" i="55"/>
  <c r="W2198" i="55"/>
  <c r="V2198" i="55"/>
  <c r="U2198" i="55"/>
  <c r="T2198" i="55"/>
  <c r="S2198" i="55"/>
  <c r="J2198" i="55"/>
  <c r="I2198" i="55"/>
  <c r="H2198" i="55"/>
  <c r="D2198" i="55"/>
  <c r="B2198" i="55"/>
  <c r="A2198" i="55"/>
  <c r="W2197" i="55"/>
  <c r="V2197" i="55"/>
  <c r="U2197" i="55"/>
  <c r="T2197" i="55"/>
  <c r="S2197" i="55"/>
  <c r="J2197" i="55"/>
  <c r="I2197" i="55"/>
  <c r="H2197" i="55"/>
  <c r="D2197" i="55"/>
  <c r="B2197" i="55"/>
  <c r="A2197" i="55"/>
  <c r="W2196" i="55"/>
  <c r="V2196" i="55"/>
  <c r="U2196" i="55"/>
  <c r="T2196" i="55"/>
  <c r="S2196" i="55"/>
  <c r="J2196" i="55"/>
  <c r="I2196" i="55"/>
  <c r="H2196" i="55"/>
  <c r="D2196" i="55"/>
  <c r="B2196" i="55"/>
  <c r="A2196" i="55"/>
  <c r="W2195" i="55"/>
  <c r="V2195" i="55"/>
  <c r="U2195" i="55"/>
  <c r="T2195" i="55"/>
  <c r="S2195" i="55"/>
  <c r="J2195" i="55"/>
  <c r="I2195" i="55"/>
  <c r="H2195" i="55"/>
  <c r="D2195" i="55"/>
  <c r="B2195" i="55"/>
  <c r="A2195" i="55"/>
  <c r="W2194" i="55"/>
  <c r="V2194" i="55"/>
  <c r="U2194" i="55"/>
  <c r="T2194" i="55"/>
  <c r="S2194" i="55"/>
  <c r="J2194" i="55"/>
  <c r="I2194" i="55"/>
  <c r="H2194" i="55"/>
  <c r="D2194" i="55"/>
  <c r="B2194" i="55"/>
  <c r="A2194" i="55"/>
  <c r="W2193" i="55"/>
  <c r="V2193" i="55"/>
  <c r="U2193" i="55"/>
  <c r="T2193" i="55"/>
  <c r="S2193" i="55"/>
  <c r="J2193" i="55"/>
  <c r="I2193" i="55"/>
  <c r="H2193" i="55"/>
  <c r="D2193" i="55"/>
  <c r="B2193" i="55"/>
  <c r="A2193" i="55"/>
  <c r="W2192" i="55"/>
  <c r="V2192" i="55"/>
  <c r="U2192" i="55"/>
  <c r="T2192" i="55"/>
  <c r="S2192" i="55"/>
  <c r="J2192" i="55"/>
  <c r="I2192" i="55"/>
  <c r="H2192" i="55"/>
  <c r="D2192" i="55"/>
  <c r="B2192" i="55"/>
  <c r="A2192" i="55"/>
  <c r="W2191" i="55"/>
  <c r="V2191" i="55"/>
  <c r="U2191" i="55"/>
  <c r="T2191" i="55"/>
  <c r="S2191" i="55"/>
  <c r="J2191" i="55"/>
  <c r="I2191" i="55"/>
  <c r="H2191" i="55"/>
  <c r="D2191" i="55"/>
  <c r="B2191" i="55"/>
  <c r="A2191" i="55"/>
  <c r="W2190" i="55"/>
  <c r="V2190" i="55"/>
  <c r="U2190" i="55"/>
  <c r="T2190" i="55"/>
  <c r="S2190" i="55"/>
  <c r="J2190" i="55"/>
  <c r="I2190" i="55"/>
  <c r="H2190" i="55"/>
  <c r="D2190" i="55"/>
  <c r="B2190" i="55"/>
  <c r="A2190" i="55"/>
  <c r="W2189" i="55"/>
  <c r="V2189" i="55"/>
  <c r="U2189" i="55"/>
  <c r="T2189" i="55"/>
  <c r="S2189" i="55"/>
  <c r="J2189" i="55"/>
  <c r="I2189" i="55"/>
  <c r="H2189" i="55"/>
  <c r="D2189" i="55"/>
  <c r="B2189" i="55"/>
  <c r="A2189" i="55"/>
  <c r="W2188" i="55"/>
  <c r="V2188" i="55"/>
  <c r="U2188" i="55"/>
  <c r="T2188" i="55"/>
  <c r="S2188" i="55"/>
  <c r="J2188" i="55"/>
  <c r="I2188" i="55"/>
  <c r="H2188" i="55"/>
  <c r="D2188" i="55"/>
  <c r="B2188" i="55"/>
  <c r="A2188" i="55"/>
  <c r="W2187" i="55"/>
  <c r="V2187" i="55"/>
  <c r="U2187" i="55"/>
  <c r="T2187" i="55"/>
  <c r="S2187" i="55"/>
  <c r="J2187" i="55"/>
  <c r="I2187" i="55"/>
  <c r="H2187" i="55"/>
  <c r="D2187" i="55"/>
  <c r="B2187" i="55"/>
  <c r="A2187" i="55"/>
  <c r="W2186" i="55"/>
  <c r="V2186" i="55"/>
  <c r="U2186" i="55"/>
  <c r="T2186" i="55"/>
  <c r="S2186" i="55"/>
  <c r="J2186" i="55"/>
  <c r="I2186" i="55"/>
  <c r="H2186" i="55"/>
  <c r="D2186" i="55"/>
  <c r="B2186" i="55"/>
  <c r="A2186" i="55"/>
  <c r="W2185" i="55"/>
  <c r="V2185" i="55"/>
  <c r="U2185" i="55"/>
  <c r="T2185" i="55"/>
  <c r="S2185" i="55"/>
  <c r="J2185" i="55"/>
  <c r="I2185" i="55"/>
  <c r="H2185" i="55"/>
  <c r="D2185" i="55"/>
  <c r="B2185" i="55"/>
  <c r="A2185" i="55"/>
  <c r="W2184" i="55"/>
  <c r="V2184" i="55"/>
  <c r="U2184" i="55"/>
  <c r="T2184" i="55"/>
  <c r="S2184" i="55"/>
  <c r="J2184" i="55"/>
  <c r="I2184" i="55"/>
  <c r="H2184" i="55"/>
  <c r="D2184" i="55"/>
  <c r="B2184" i="55"/>
  <c r="A2184" i="55"/>
  <c r="W2183" i="55"/>
  <c r="V2183" i="55"/>
  <c r="U2183" i="55"/>
  <c r="T2183" i="55"/>
  <c r="S2183" i="55"/>
  <c r="J2183" i="55"/>
  <c r="I2183" i="55"/>
  <c r="H2183" i="55"/>
  <c r="D2183" i="55"/>
  <c r="B2183" i="55"/>
  <c r="A2183" i="55"/>
  <c r="W2182" i="55"/>
  <c r="V2182" i="55"/>
  <c r="U2182" i="55"/>
  <c r="T2182" i="55"/>
  <c r="S2182" i="55"/>
  <c r="J2182" i="55"/>
  <c r="I2182" i="55"/>
  <c r="H2182" i="55"/>
  <c r="D2182" i="55"/>
  <c r="B2182" i="55"/>
  <c r="A2182" i="55"/>
  <c r="W2181" i="55"/>
  <c r="V2181" i="55"/>
  <c r="U2181" i="55"/>
  <c r="T2181" i="55"/>
  <c r="S2181" i="55"/>
  <c r="J2181" i="55"/>
  <c r="I2181" i="55"/>
  <c r="H2181" i="55"/>
  <c r="D2181" i="55"/>
  <c r="B2181" i="55"/>
  <c r="A2181" i="55"/>
  <c r="W2180" i="55"/>
  <c r="V2180" i="55"/>
  <c r="U2180" i="55"/>
  <c r="T2180" i="55"/>
  <c r="S2180" i="55"/>
  <c r="J2180" i="55"/>
  <c r="I2180" i="55"/>
  <c r="H2180" i="55"/>
  <c r="D2180" i="55"/>
  <c r="B2180" i="55"/>
  <c r="A2180" i="55"/>
  <c r="W2179" i="55"/>
  <c r="V2179" i="55"/>
  <c r="U2179" i="55"/>
  <c r="T2179" i="55"/>
  <c r="S2179" i="55"/>
  <c r="J2179" i="55"/>
  <c r="I2179" i="55"/>
  <c r="H2179" i="55"/>
  <c r="D2179" i="55"/>
  <c r="B2179" i="55"/>
  <c r="A2179" i="55"/>
  <c r="W2178" i="55"/>
  <c r="V2178" i="55"/>
  <c r="U2178" i="55"/>
  <c r="T2178" i="55"/>
  <c r="S2178" i="55"/>
  <c r="J2178" i="55"/>
  <c r="I2178" i="55"/>
  <c r="H2178" i="55"/>
  <c r="D2178" i="55"/>
  <c r="B2178" i="55"/>
  <c r="A2178" i="55"/>
  <c r="W2177" i="55"/>
  <c r="V2177" i="55"/>
  <c r="U2177" i="55"/>
  <c r="T2177" i="55"/>
  <c r="S2177" i="55"/>
  <c r="J2177" i="55"/>
  <c r="I2177" i="55"/>
  <c r="H2177" i="55"/>
  <c r="D2177" i="55"/>
  <c r="B2177" i="55"/>
  <c r="A2177" i="55"/>
  <c r="W2176" i="55"/>
  <c r="V2176" i="55"/>
  <c r="U2176" i="55"/>
  <c r="T2176" i="55"/>
  <c r="S2176" i="55"/>
  <c r="J2176" i="55"/>
  <c r="I2176" i="55"/>
  <c r="H2176" i="55"/>
  <c r="D2176" i="55"/>
  <c r="B2176" i="55"/>
  <c r="A2176" i="55"/>
  <c r="W2175" i="55"/>
  <c r="V2175" i="55"/>
  <c r="U2175" i="55"/>
  <c r="T2175" i="55"/>
  <c r="S2175" i="55"/>
  <c r="J2175" i="55"/>
  <c r="I2175" i="55"/>
  <c r="H2175" i="55"/>
  <c r="D2175" i="55"/>
  <c r="B2175" i="55"/>
  <c r="A2175" i="55"/>
  <c r="W2174" i="55"/>
  <c r="V2174" i="55"/>
  <c r="U2174" i="55"/>
  <c r="T2174" i="55"/>
  <c r="S2174" i="55"/>
  <c r="J2174" i="55"/>
  <c r="I2174" i="55"/>
  <c r="H2174" i="55"/>
  <c r="D2174" i="55"/>
  <c r="B2174" i="55"/>
  <c r="A2174" i="55"/>
  <c r="W2173" i="55"/>
  <c r="V2173" i="55"/>
  <c r="U2173" i="55"/>
  <c r="T2173" i="55"/>
  <c r="S2173" i="55"/>
  <c r="J2173" i="55"/>
  <c r="I2173" i="55"/>
  <c r="H2173" i="55"/>
  <c r="D2173" i="55"/>
  <c r="B2173" i="55"/>
  <c r="A2173" i="55"/>
  <c r="W2172" i="55"/>
  <c r="V2172" i="55"/>
  <c r="U2172" i="55"/>
  <c r="T2172" i="55"/>
  <c r="S2172" i="55"/>
  <c r="J2172" i="55"/>
  <c r="I2172" i="55"/>
  <c r="H2172" i="55"/>
  <c r="D2172" i="55"/>
  <c r="B2172" i="55"/>
  <c r="A2172" i="55"/>
  <c r="W2171" i="55"/>
  <c r="V2171" i="55"/>
  <c r="U2171" i="55"/>
  <c r="T2171" i="55"/>
  <c r="S2171" i="55"/>
  <c r="J2171" i="55"/>
  <c r="I2171" i="55"/>
  <c r="H2171" i="55"/>
  <c r="D2171" i="55"/>
  <c r="B2171" i="55"/>
  <c r="A2171" i="55"/>
  <c r="W2170" i="55"/>
  <c r="V2170" i="55"/>
  <c r="U2170" i="55"/>
  <c r="T2170" i="55"/>
  <c r="S2170" i="55"/>
  <c r="J2170" i="55"/>
  <c r="I2170" i="55"/>
  <c r="H2170" i="55"/>
  <c r="D2170" i="55"/>
  <c r="B2170" i="55"/>
  <c r="A2170" i="55"/>
  <c r="W2169" i="55"/>
  <c r="V2169" i="55"/>
  <c r="U2169" i="55"/>
  <c r="T2169" i="55"/>
  <c r="S2169" i="55"/>
  <c r="J2169" i="55"/>
  <c r="I2169" i="55"/>
  <c r="H2169" i="55"/>
  <c r="D2169" i="55"/>
  <c r="B2169" i="55"/>
  <c r="A2169" i="55"/>
  <c r="W2168" i="55"/>
  <c r="V2168" i="55"/>
  <c r="U2168" i="55"/>
  <c r="T2168" i="55"/>
  <c r="S2168" i="55"/>
  <c r="J2168" i="55"/>
  <c r="I2168" i="55"/>
  <c r="H2168" i="55"/>
  <c r="D2168" i="55"/>
  <c r="B2168" i="55"/>
  <c r="A2168" i="55"/>
  <c r="W2167" i="55"/>
  <c r="V2167" i="55"/>
  <c r="U2167" i="55"/>
  <c r="T2167" i="55"/>
  <c r="S2167" i="55"/>
  <c r="J2167" i="55"/>
  <c r="I2167" i="55"/>
  <c r="H2167" i="55"/>
  <c r="D2167" i="55"/>
  <c r="B2167" i="55"/>
  <c r="A2167" i="55"/>
  <c r="W2166" i="55"/>
  <c r="V2166" i="55"/>
  <c r="U2166" i="55"/>
  <c r="T2166" i="55"/>
  <c r="S2166" i="55"/>
  <c r="J2166" i="55"/>
  <c r="I2166" i="55"/>
  <c r="H2166" i="55"/>
  <c r="D2166" i="55"/>
  <c r="B2166" i="55"/>
  <c r="A2166" i="55"/>
  <c r="W2165" i="55"/>
  <c r="V2165" i="55"/>
  <c r="U2165" i="55"/>
  <c r="T2165" i="55"/>
  <c r="S2165" i="55"/>
  <c r="J2165" i="55"/>
  <c r="I2165" i="55"/>
  <c r="H2165" i="55"/>
  <c r="D2165" i="55"/>
  <c r="B2165" i="55"/>
  <c r="A2165" i="55"/>
  <c r="W2164" i="55"/>
  <c r="V2164" i="55"/>
  <c r="U2164" i="55"/>
  <c r="T2164" i="55"/>
  <c r="S2164" i="55"/>
  <c r="J2164" i="55"/>
  <c r="I2164" i="55"/>
  <c r="H2164" i="55"/>
  <c r="D2164" i="55"/>
  <c r="B2164" i="55"/>
  <c r="A2164" i="55"/>
  <c r="W2163" i="55"/>
  <c r="V2163" i="55"/>
  <c r="U2163" i="55"/>
  <c r="T2163" i="55"/>
  <c r="S2163" i="55"/>
  <c r="J2163" i="55"/>
  <c r="I2163" i="55"/>
  <c r="H2163" i="55"/>
  <c r="D2163" i="55"/>
  <c r="B2163" i="55"/>
  <c r="A2163" i="55"/>
  <c r="W2162" i="55"/>
  <c r="V2162" i="55"/>
  <c r="U2162" i="55"/>
  <c r="T2162" i="55"/>
  <c r="S2162" i="55"/>
  <c r="J2162" i="55"/>
  <c r="I2162" i="55"/>
  <c r="H2162" i="55"/>
  <c r="D2162" i="55"/>
  <c r="B2162" i="55"/>
  <c r="A2162" i="55"/>
  <c r="W2161" i="55"/>
  <c r="V2161" i="55"/>
  <c r="U2161" i="55"/>
  <c r="T2161" i="55"/>
  <c r="S2161" i="55"/>
  <c r="J2161" i="55"/>
  <c r="I2161" i="55"/>
  <c r="H2161" i="55"/>
  <c r="D2161" i="55"/>
  <c r="B2161" i="55"/>
  <c r="A2161" i="55"/>
  <c r="W2160" i="55"/>
  <c r="V2160" i="55"/>
  <c r="U2160" i="55"/>
  <c r="T2160" i="55"/>
  <c r="S2160" i="55"/>
  <c r="J2160" i="55"/>
  <c r="I2160" i="55"/>
  <c r="H2160" i="55"/>
  <c r="D2160" i="55"/>
  <c r="B2160" i="55"/>
  <c r="A2160" i="55"/>
  <c r="W2159" i="55"/>
  <c r="V2159" i="55"/>
  <c r="U2159" i="55"/>
  <c r="T2159" i="55"/>
  <c r="S2159" i="55"/>
  <c r="J2159" i="55"/>
  <c r="I2159" i="55"/>
  <c r="H2159" i="55"/>
  <c r="D2159" i="55"/>
  <c r="B2159" i="55"/>
  <c r="A2159" i="55"/>
  <c r="W2158" i="55"/>
  <c r="V2158" i="55"/>
  <c r="U2158" i="55"/>
  <c r="T2158" i="55"/>
  <c r="S2158" i="55"/>
  <c r="J2158" i="55"/>
  <c r="I2158" i="55"/>
  <c r="H2158" i="55"/>
  <c r="D2158" i="55"/>
  <c r="B2158" i="55"/>
  <c r="A2158" i="55"/>
  <c r="W2157" i="55"/>
  <c r="V2157" i="55"/>
  <c r="U2157" i="55"/>
  <c r="T2157" i="55"/>
  <c r="S2157" i="55"/>
  <c r="J2157" i="55"/>
  <c r="I2157" i="55"/>
  <c r="H2157" i="55"/>
  <c r="D2157" i="55"/>
  <c r="B2157" i="55"/>
  <c r="A2157" i="55"/>
  <c r="W2156" i="55"/>
  <c r="V2156" i="55"/>
  <c r="U2156" i="55"/>
  <c r="T2156" i="55"/>
  <c r="S2156" i="55"/>
  <c r="J2156" i="55"/>
  <c r="I2156" i="55"/>
  <c r="H2156" i="55"/>
  <c r="D2156" i="55"/>
  <c r="B2156" i="55"/>
  <c r="A2156" i="55"/>
  <c r="W2155" i="55"/>
  <c r="V2155" i="55"/>
  <c r="U2155" i="55"/>
  <c r="T2155" i="55"/>
  <c r="S2155" i="55"/>
  <c r="J2155" i="55"/>
  <c r="I2155" i="55"/>
  <c r="H2155" i="55"/>
  <c r="D2155" i="55"/>
  <c r="B2155" i="55"/>
  <c r="A2155" i="55"/>
  <c r="W2154" i="55"/>
  <c r="V2154" i="55"/>
  <c r="U2154" i="55"/>
  <c r="T2154" i="55"/>
  <c r="S2154" i="55"/>
  <c r="J2154" i="55"/>
  <c r="I2154" i="55"/>
  <c r="H2154" i="55"/>
  <c r="D2154" i="55"/>
  <c r="B2154" i="55"/>
  <c r="A2154" i="55"/>
  <c r="W2153" i="55"/>
  <c r="V2153" i="55"/>
  <c r="U2153" i="55"/>
  <c r="T2153" i="55"/>
  <c r="S2153" i="55"/>
  <c r="J2153" i="55"/>
  <c r="I2153" i="55"/>
  <c r="H2153" i="55"/>
  <c r="D2153" i="55"/>
  <c r="B2153" i="55"/>
  <c r="A2153" i="55"/>
  <c r="W2152" i="55"/>
  <c r="V2152" i="55"/>
  <c r="U2152" i="55"/>
  <c r="T2152" i="55"/>
  <c r="S2152" i="55"/>
  <c r="J2152" i="55"/>
  <c r="I2152" i="55"/>
  <c r="H2152" i="55"/>
  <c r="D2152" i="55"/>
  <c r="B2152" i="55"/>
  <c r="A2152" i="55"/>
  <c r="W2151" i="55"/>
  <c r="V2151" i="55"/>
  <c r="U2151" i="55"/>
  <c r="T2151" i="55"/>
  <c r="S2151" i="55"/>
  <c r="J2151" i="55"/>
  <c r="I2151" i="55"/>
  <c r="H2151" i="55"/>
  <c r="D2151" i="55"/>
  <c r="B2151" i="55"/>
  <c r="A2151" i="55"/>
  <c r="W2150" i="55"/>
  <c r="V2150" i="55"/>
  <c r="U2150" i="55"/>
  <c r="T2150" i="55"/>
  <c r="S2150" i="55"/>
  <c r="J2150" i="55"/>
  <c r="I2150" i="55"/>
  <c r="H2150" i="55"/>
  <c r="D2150" i="55"/>
  <c r="B2150" i="55"/>
  <c r="A2150" i="55"/>
  <c r="W2149" i="55"/>
  <c r="V2149" i="55"/>
  <c r="U2149" i="55"/>
  <c r="T2149" i="55"/>
  <c r="S2149" i="55"/>
  <c r="J2149" i="55"/>
  <c r="I2149" i="55"/>
  <c r="H2149" i="55"/>
  <c r="D2149" i="55"/>
  <c r="B2149" i="55"/>
  <c r="A2149" i="55"/>
  <c r="W2148" i="55"/>
  <c r="V2148" i="55"/>
  <c r="U2148" i="55"/>
  <c r="T2148" i="55"/>
  <c r="S2148" i="55"/>
  <c r="J2148" i="55"/>
  <c r="I2148" i="55"/>
  <c r="H2148" i="55"/>
  <c r="D2148" i="55"/>
  <c r="B2148" i="55"/>
  <c r="A2148" i="55"/>
  <c r="W2147" i="55"/>
  <c r="V2147" i="55"/>
  <c r="U2147" i="55"/>
  <c r="T2147" i="55"/>
  <c r="S2147" i="55"/>
  <c r="J2147" i="55"/>
  <c r="I2147" i="55"/>
  <c r="H2147" i="55"/>
  <c r="D2147" i="55"/>
  <c r="B2147" i="55"/>
  <c r="A2147" i="55"/>
  <c r="W2146" i="55"/>
  <c r="V2146" i="55"/>
  <c r="U2146" i="55"/>
  <c r="T2146" i="55"/>
  <c r="S2146" i="55"/>
  <c r="J2146" i="55"/>
  <c r="I2146" i="55"/>
  <c r="H2146" i="55"/>
  <c r="D2146" i="55"/>
  <c r="B2146" i="55"/>
  <c r="A2146" i="55"/>
  <c r="W2145" i="55"/>
  <c r="V2145" i="55"/>
  <c r="U2145" i="55"/>
  <c r="T2145" i="55"/>
  <c r="S2145" i="55"/>
  <c r="J2145" i="55"/>
  <c r="I2145" i="55"/>
  <c r="H2145" i="55"/>
  <c r="D2145" i="55"/>
  <c r="B2145" i="55"/>
  <c r="A2145" i="55"/>
  <c r="W2144" i="55"/>
  <c r="V2144" i="55"/>
  <c r="U2144" i="55"/>
  <c r="T2144" i="55"/>
  <c r="S2144" i="55"/>
  <c r="J2144" i="55"/>
  <c r="I2144" i="55"/>
  <c r="H2144" i="55"/>
  <c r="D2144" i="55"/>
  <c r="B2144" i="55"/>
  <c r="A2144" i="55"/>
  <c r="W2143" i="55"/>
  <c r="V2143" i="55"/>
  <c r="U2143" i="55"/>
  <c r="T2143" i="55"/>
  <c r="S2143" i="55"/>
  <c r="J2143" i="55"/>
  <c r="I2143" i="55"/>
  <c r="H2143" i="55"/>
  <c r="D2143" i="55"/>
  <c r="B2143" i="55"/>
  <c r="A2143" i="55"/>
  <c r="W2142" i="55"/>
  <c r="V2142" i="55"/>
  <c r="U2142" i="55"/>
  <c r="T2142" i="55"/>
  <c r="S2142" i="55"/>
  <c r="J2142" i="55"/>
  <c r="I2142" i="55"/>
  <c r="H2142" i="55"/>
  <c r="D2142" i="55"/>
  <c r="B2142" i="55"/>
  <c r="A2142" i="55"/>
  <c r="W2141" i="55"/>
  <c r="V2141" i="55"/>
  <c r="U2141" i="55"/>
  <c r="T2141" i="55"/>
  <c r="S2141" i="55"/>
  <c r="J2141" i="55"/>
  <c r="I2141" i="55"/>
  <c r="H2141" i="55"/>
  <c r="D2141" i="55"/>
  <c r="B2141" i="55"/>
  <c r="A2141" i="55"/>
  <c r="W2140" i="55"/>
  <c r="V2140" i="55"/>
  <c r="U2140" i="55"/>
  <c r="T2140" i="55"/>
  <c r="S2140" i="55"/>
  <c r="J2140" i="55"/>
  <c r="I2140" i="55"/>
  <c r="H2140" i="55"/>
  <c r="D2140" i="55"/>
  <c r="B2140" i="55"/>
  <c r="A2140" i="55"/>
  <c r="W2139" i="55"/>
  <c r="V2139" i="55"/>
  <c r="U2139" i="55"/>
  <c r="T2139" i="55"/>
  <c r="S2139" i="55"/>
  <c r="J2139" i="55"/>
  <c r="I2139" i="55"/>
  <c r="H2139" i="55"/>
  <c r="D2139" i="55"/>
  <c r="B2139" i="55"/>
  <c r="A2139" i="55"/>
  <c r="W2138" i="55"/>
  <c r="V2138" i="55"/>
  <c r="U2138" i="55"/>
  <c r="T2138" i="55"/>
  <c r="S2138" i="55"/>
  <c r="J2138" i="55"/>
  <c r="I2138" i="55"/>
  <c r="H2138" i="55"/>
  <c r="D2138" i="55"/>
  <c r="B2138" i="55"/>
  <c r="A2138" i="55"/>
  <c r="W2137" i="55"/>
  <c r="V2137" i="55"/>
  <c r="U2137" i="55"/>
  <c r="T2137" i="55"/>
  <c r="S2137" i="55"/>
  <c r="J2137" i="55"/>
  <c r="I2137" i="55"/>
  <c r="H2137" i="55"/>
  <c r="D2137" i="55"/>
  <c r="B2137" i="55"/>
  <c r="A2137" i="55"/>
  <c r="W2136" i="55"/>
  <c r="V2136" i="55"/>
  <c r="U2136" i="55"/>
  <c r="T2136" i="55"/>
  <c r="S2136" i="55"/>
  <c r="J2136" i="55"/>
  <c r="I2136" i="55"/>
  <c r="H2136" i="55"/>
  <c r="D2136" i="55"/>
  <c r="B2136" i="55"/>
  <c r="A2136" i="55"/>
  <c r="W2135" i="55"/>
  <c r="V2135" i="55"/>
  <c r="U2135" i="55"/>
  <c r="T2135" i="55"/>
  <c r="S2135" i="55"/>
  <c r="J2135" i="55"/>
  <c r="I2135" i="55"/>
  <c r="H2135" i="55"/>
  <c r="D2135" i="55"/>
  <c r="B2135" i="55"/>
  <c r="A2135" i="55"/>
  <c r="W2134" i="55"/>
  <c r="V2134" i="55"/>
  <c r="U2134" i="55"/>
  <c r="T2134" i="55"/>
  <c r="S2134" i="55"/>
  <c r="J2134" i="55"/>
  <c r="I2134" i="55"/>
  <c r="H2134" i="55"/>
  <c r="D2134" i="55"/>
  <c r="B2134" i="55"/>
  <c r="A2134" i="55"/>
  <c r="W2133" i="55"/>
  <c r="V2133" i="55"/>
  <c r="U2133" i="55"/>
  <c r="T2133" i="55"/>
  <c r="S2133" i="55"/>
  <c r="J2133" i="55"/>
  <c r="I2133" i="55"/>
  <c r="H2133" i="55"/>
  <c r="D2133" i="55"/>
  <c r="B2133" i="55"/>
  <c r="A2133" i="55"/>
  <c r="W2132" i="55"/>
  <c r="V2132" i="55"/>
  <c r="U2132" i="55"/>
  <c r="T2132" i="55"/>
  <c r="S2132" i="55"/>
  <c r="J2132" i="55"/>
  <c r="I2132" i="55"/>
  <c r="H2132" i="55"/>
  <c r="D2132" i="55"/>
  <c r="B2132" i="55"/>
  <c r="A2132" i="55"/>
  <c r="W2131" i="55"/>
  <c r="V2131" i="55"/>
  <c r="U2131" i="55"/>
  <c r="T2131" i="55"/>
  <c r="S2131" i="55"/>
  <c r="J2131" i="55"/>
  <c r="I2131" i="55"/>
  <c r="H2131" i="55"/>
  <c r="D2131" i="55"/>
  <c r="B2131" i="55"/>
  <c r="A2131" i="55"/>
  <c r="W2130" i="55"/>
  <c r="V2130" i="55"/>
  <c r="U2130" i="55"/>
  <c r="T2130" i="55"/>
  <c r="S2130" i="55"/>
  <c r="J2130" i="55"/>
  <c r="I2130" i="55"/>
  <c r="H2130" i="55"/>
  <c r="D2130" i="55"/>
  <c r="B2130" i="55"/>
  <c r="A2130" i="55"/>
  <c r="W2129" i="55"/>
  <c r="V2129" i="55"/>
  <c r="U2129" i="55"/>
  <c r="T2129" i="55"/>
  <c r="S2129" i="55"/>
  <c r="J2129" i="55"/>
  <c r="I2129" i="55"/>
  <c r="H2129" i="55"/>
  <c r="D2129" i="55"/>
  <c r="B2129" i="55"/>
  <c r="A2129" i="55"/>
  <c r="W2128" i="55"/>
  <c r="V2128" i="55"/>
  <c r="U2128" i="55"/>
  <c r="T2128" i="55"/>
  <c r="S2128" i="55"/>
  <c r="J2128" i="55"/>
  <c r="I2128" i="55"/>
  <c r="H2128" i="55"/>
  <c r="D2128" i="55"/>
  <c r="B2128" i="55"/>
  <c r="A2128" i="55"/>
  <c r="W2127" i="55"/>
  <c r="V2127" i="55"/>
  <c r="U2127" i="55"/>
  <c r="T2127" i="55"/>
  <c r="S2127" i="55"/>
  <c r="J2127" i="55"/>
  <c r="I2127" i="55"/>
  <c r="H2127" i="55"/>
  <c r="D2127" i="55"/>
  <c r="B2127" i="55"/>
  <c r="A2127" i="55"/>
  <c r="W2126" i="55"/>
  <c r="V2126" i="55"/>
  <c r="U2126" i="55"/>
  <c r="T2126" i="55"/>
  <c r="S2126" i="55"/>
  <c r="J2126" i="55"/>
  <c r="I2126" i="55"/>
  <c r="H2126" i="55"/>
  <c r="D2126" i="55"/>
  <c r="B2126" i="55"/>
  <c r="A2126" i="55"/>
  <c r="W2125" i="55"/>
  <c r="V2125" i="55"/>
  <c r="U2125" i="55"/>
  <c r="T2125" i="55"/>
  <c r="S2125" i="55"/>
  <c r="J2125" i="55"/>
  <c r="I2125" i="55"/>
  <c r="H2125" i="55"/>
  <c r="D2125" i="55"/>
  <c r="B2125" i="55"/>
  <c r="A2125" i="55"/>
  <c r="W2124" i="55"/>
  <c r="V2124" i="55"/>
  <c r="U2124" i="55"/>
  <c r="T2124" i="55"/>
  <c r="S2124" i="55"/>
  <c r="J2124" i="55"/>
  <c r="I2124" i="55"/>
  <c r="H2124" i="55"/>
  <c r="D2124" i="55"/>
  <c r="B2124" i="55"/>
  <c r="A2124" i="55"/>
  <c r="W2123" i="55"/>
  <c r="V2123" i="55"/>
  <c r="U2123" i="55"/>
  <c r="T2123" i="55"/>
  <c r="S2123" i="55"/>
  <c r="J2123" i="55"/>
  <c r="I2123" i="55"/>
  <c r="H2123" i="55"/>
  <c r="D2123" i="55"/>
  <c r="B2123" i="55"/>
  <c r="A2123" i="55"/>
  <c r="W2122" i="55"/>
  <c r="V2122" i="55"/>
  <c r="U2122" i="55"/>
  <c r="T2122" i="55"/>
  <c r="S2122" i="55"/>
  <c r="J2122" i="55"/>
  <c r="I2122" i="55"/>
  <c r="H2122" i="55"/>
  <c r="D2122" i="55"/>
  <c r="B2122" i="55"/>
  <c r="A2122" i="55"/>
  <c r="W2121" i="55"/>
  <c r="V2121" i="55"/>
  <c r="U2121" i="55"/>
  <c r="T2121" i="55"/>
  <c r="S2121" i="55"/>
  <c r="J2121" i="55"/>
  <c r="I2121" i="55"/>
  <c r="H2121" i="55"/>
  <c r="D2121" i="55"/>
  <c r="B2121" i="55"/>
  <c r="A2121" i="55"/>
  <c r="W2120" i="55"/>
  <c r="V2120" i="55"/>
  <c r="U2120" i="55"/>
  <c r="T2120" i="55"/>
  <c r="S2120" i="55"/>
  <c r="J2120" i="55"/>
  <c r="I2120" i="55"/>
  <c r="H2120" i="55"/>
  <c r="D2120" i="55"/>
  <c r="B2120" i="55"/>
  <c r="A2120" i="55"/>
  <c r="W2119" i="55"/>
  <c r="V2119" i="55"/>
  <c r="U2119" i="55"/>
  <c r="T2119" i="55"/>
  <c r="S2119" i="55"/>
  <c r="J2119" i="55"/>
  <c r="I2119" i="55"/>
  <c r="H2119" i="55"/>
  <c r="D2119" i="55"/>
  <c r="B2119" i="55"/>
  <c r="A2119" i="55"/>
  <c r="W2118" i="55"/>
  <c r="V2118" i="55"/>
  <c r="U2118" i="55"/>
  <c r="T2118" i="55"/>
  <c r="S2118" i="55"/>
  <c r="J2118" i="55"/>
  <c r="I2118" i="55"/>
  <c r="H2118" i="55"/>
  <c r="D2118" i="55"/>
  <c r="B2118" i="55"/>
  <c r="A2118" i="55"/>
  <c r="W2117" i="55"/>
  <c r="V2117" i="55"/>
  <c r="U2117" i="55"/>
  <c r="T2117" i="55"/>
  <c r="S2117" i="55"/>
  <c r="J2117" i="55"/>
  <c r="I2117" i="55"/>
  <c r="H2117" i="55"/>
  <c r="D2117" i="55"/>
  <c r="B2117" i="55"/>
  <c r="A2117" i="55"/>
  <c r="W2116" i="55"/>
  <c r="V2116" i="55"/>
  <c r="U2116" i="55"/>
  <c r="T2116" i="55"/>
  <c r="S2116" i="55"/>
  <c r="J2116" i="55"/>
  <c r="I2116" i="55"/>
  <c r="H2116" i="55"/>
  <c r="D2116" i="55"/>
  <c r="B2116" i="55"/>
  <c r="A2116" i="55"/>
  <c r="W2115" i="55"/>
  <c r="V2115" i="55"/>
  <c r="U2115" i="55"/>
  <c r="T2115" i="55"/>
  <c r="S2115" i="55"/>
  <c r="J2115" i="55"/>
  <c r="I2115" i="55"/>
  <c r="H2115" i="55"/>
  <c r="D2115" i="55"/>
  <c r="B2115" i="55"/>
  <c r="A2115" i="55"/>
  <c r="W2114" i="55"/>
  <c r="V2114" i="55"/>
  <c r="U2114" i="55"/>
  <c r="T2114" i="55"/>
  <c r="S2114" i="55"/>
  <c r="J2114" i="55"/>
  <c r="I2114" i="55"/>
  <c r="H2114" i="55"/>
  <c r="D2114" i="55"/>
  <c r="B2114" i="55"/>
  <c r="A2114" i="55"/>
  <c r="W2113" i="55"/>
  <c r="V2113" i="55"/>
  <c r="U2113" i="55"/>
  <c r="T2113" i="55"/>
  <c r="S2113" i="55"/>
  <c r="J2113" i="55"/>
  <c r="I2113" i="55"/>
  <c r="H2113" i="55"/>
  <c r="D2113" i="55"/>
  <c r="B2113" i="55"/>
  <c r="A2113" i="55"/>
  <c r="W2112" i="55"/>
  <c r="V2112" i="55"/>
  <c r="U2112" i="55"/>
  <c r="T2112" i="55"/>
  <c r="S2112" i="55"/>
  <c r="J2112" i="55"/>
  <c r="I2112" i="55"/>
  <c r="H2112" i="55"/>
  <c r="D2112" i="55"/>
  <c r="B2112" i="55"/>
  <c r="A2112" i="55"/>
  <c r="W2111" i="55"/>
  <c r="V2111" i="55"/>
  <c r="U2111" i="55"/>
  <c r="T2111" i="55"/>
  <c r="S2111" i="55"/>
  <c r="J2111" i="55"/>
  <c r="I2111" i="55"/>
  <c r="H2111" i="55"/>
  <c r="D2111" i="55"/>
  <c r="B2111" i="55"/>
  <c r="A2111" i="55"/>
  <c r="W2110" i="55"/>
  <c r="V2110" i="55"/>
  <c r="U2110" i="55"/>
  <c r="T2110" i="55"/>
  <c r="S2110" i="55"/>
  <c r="J2110" i="55"/>
  <c r="I2110" i="55"/>
  <c r="H2110" i="55"/>
  <c r="D2110" i="55"/>
  <c r="B2110" i="55"/>
  <c r="A2110" i="55"/>
  <c r="W2109" i="55"/>
  <c r="V2109" i="55"/>
  <c r="U2109" i="55"/>
  <c r="T2109" i="55"/>
  <c r="S2109" i="55"/>
  <c r="J2109" i="55"/>
  <c r="I2109" i="55"/>
  <c r="H2109" i="55"/>
  <c r="D2109" i="55"/>
  <c r="B2109" i="55"/>
  <c r="A2109" i="55"/>
  <c r="W2108" i="55"/>
  <c r="V2108" i="55"/>
  <c r="U2108" i="55"/>
  <c r="T2108" i="55"/>
  <c r="S2108" i="55"/>
  <c r="J2108" i="55"/>
  <c r="I2108" i="55"/>
  <c r="H2108" i="55"/>
  <c r="D2108" i="55"/>
  <c r="B2108" i="55"/>
  <c r="A2108" i="55"/>
  <c r="W2107" i="55"/>
  <c r="V2107" i="55"/>
  <c r="U2107" i="55"/>
  <c r="T2107" i="55"/>
  <c r="S2107" i="55"/>
  <c r="J2107" i="55"/>
  <c r="I2107" i="55"/>
  <c r="H2107" i="55"/>
  <c r="D2107" i="55"/>
  <c r="B2107" i="55"/>
  <c r="A2107" i="55"/>
  <c r="W2106" i="55"/>
  <c r="V2106" i="55"/>
  <c r="U2106" i="55"/>
  <c r="T2106" i="55"/>
  <c r="S2106" i="55"/>
  <c r="J2106" i="55"/>
  <c r="I2106" i="55"/>
  <c r="H2106" i="55"/>
  <c r="D2106" i="55"/>
  <c r="B2106" i="55"/>
  <c r="A2106" i="55"/>
  <c r="W2105" i="55"/>
  <c r="V2105" i="55"/>
  <c r="U2105" i="55"/>
  <c r="T2105" i="55"/>
  <c r="S2105" i="55"/>
  <c r="J2105" i="55"/>
  <c r="I2105" i="55"/>
  <c r="H2105" i="55"/>
  <c r="D2105" i="55"/>
  <c r="B2105" i="55"/>
  <c r="A2105" i="55"/>
  <c r="W2104" i="55"/>
  <c r="V2104" i="55"/>
  <c r="U2104" i="55"/>
  <c r="T2104" i="55"/>
  <c r="S2104" i="55"/>
  <c r="J2104" i="55"/>
  <c r="I2104" i="55"/>
  <c r="H2104" i="55"/>
  <c r="D2104" i="55"/>
  <c r="B2104" i="55"/>
  <c r="A2104" i="55"/>
  <c r="W2103" i="55"/>
  <c r="V2103" i="55"/>
  <c r="U2103" i="55"/>
  <c r="T2103" i="55"/>
  <c r="S2103" i="55"/>
  <c r="J2103" i="55"/>
  <c r="I2103" i="55"/>
  <c r="H2103" i="55"/>
  <c r="D2103" i="55"/>
  <c r="B2103" i="55"/>
  <c r="A2103" i="55"/>
  <c r="W2102" i="55"/>
  <c r="V2102" i="55"/>
  <c r="U2102" i="55"/>
  <c r="T2102" i="55"/>
  <c r="S2102" i="55"/>
  <c r="J2102" i="55"/>
  <c r="I2102" i="55"/>
  <c r="H2102" i="55"/>
  <c r="D2102" i="55"/>
  <c r="B2102" i="55"/>
  <c r="A2102" i="55"/>
  <c r="W2101" i="55"/>
  <c r="V2101" i="55"/>
  <c r="U2101" i="55"/>
  <c r="T2101" i="55"/>
  <c r="S2101" i="55"/>
  <c r="J2101" i="55"/>
  <c r="I2101" i="55"/>
  <c r="H2101" i="55"/>
  <c r="D2101" i="55"/>
  <c r="B2101" i="55"/>
  <c r="A2101" i="55"/>
  <c r="W2100" i="55"/>
  <c r="V2100" i="55"/>
  <c r="U2100" i="55"/>
  <c r="T2100" i="55"/>
  <c r="S2100" i="55"/>
  <c r="J2100" i="55"/>
  <c r="I2100" i="55"/>
  <c r="H2100" i="55"/>
  <c r="D2100" i="55"/>
  <c r="B2100" i="55"/>
  <c r="A2100" i="55"/>
  <c r="W2099" i="55"/>
  <c r="V2099" i="55"/>
  <c r="U2099" i="55"/>
  <c r="T2099" i="55"/>
  <c r="S2099" i="55"/>
  <c r="J2099" i="55"/>
  <c r="I2099" i="55"/>
  <c r="H2099" i="55"/>
  <c r="D2099" i="55"/>
  <c r="B2099" i="55"/>
  <c r="A2099" i="55"/>
  <c r="W2098" i="55"/>
  <c r="V2098" i="55"/>
  <c r="U2098" i="55"/>
  <c r="T2098" i="55"/>
  <c r="S2098" i="55"/>
  <c r="J2098" i="55"/>
  <c r="I2098" i="55"/>
  <c r="H2098" i="55"/>
  <c r="D2098" i="55"/>
  <c r="B2098" i="55"/>
  <c r="A2098" i="55"/>
  <c r="W2097" i="55"/>
  <c r="V2097" i="55"/>
  <c r="U2097" i="55"/>
  <c r="T2097" i="55"/>
  <c r="S2097" i="55"/>
  <c r="J2097" i="55"/>
  <c r="I2097" i="55"/>
  <c r="H2097" i="55"/>
  <c r="D2097" i="55"/>
  <c r="B2097" i="55"/>
  <c r="A2097" i="55"/>
  <c r="W2096" i="55"/>
  <c r="V2096" i="55"/>
  <c r="U2096" i="55"/>
  <c r="T2096" i="55"/>
  <c r="S2096" i="55"/>
  <c r="J2096" i="55"/>
  <c r="I2096" i="55"/>
  <c r="H2096" i="55"/>
  <c r="D2096" i="55"/>
  <c r="B2096" i="55"/>
  <c r="A2096" i="55"/>
  <c r="W2095" i="55"/>
  <c r="V2095" i="55"/>
  <c r="U2095" i="55"/>
  <c r="T2095" i="55"/>
  <c r="S2095" i="55"/>
  <c r="J2095" i="55"/>
  <c r="I2095" i="55"/>
  <c r="H2095" i="55"/>
  <c r="D2095" i="55"/>
  <c r="B2095" i="55"/>
  <c r="A2095" i="55"/>
  <c r="W2094" i="55"/>
  <c r="V2094" i="55"/>
  <c r="U2094" i="55"/>
  <c r="T2094" i="55"/>
  <c r="S2094" i="55"/>
  <c r="J2094" i="55"/>
  <c r="I2094" i="55"/>
  <c r="H2094" i="55"/>
  <c r="D2094" i="55"/>
  <c r="B2094" i="55"/>
  <c r="A2094" i="55"/>
  <c r="W2093" i="55"/>
  <c r="V2093" i="55"/>
  <c r="U2093" i="55"/>
  <c r="T2093" i="55"/>
  <c r="S2093" i="55"/>
  <c r="J2093" i="55"/>
  <c r="I2093" i="55"/>
  <c r="H2093" i="55"/>
  <c r="D2093" i="55"/>
  <c r="B2093" i="55"/>
  <c r="A2093" i="55"/>
  <c r="W2092" i="55"/>
  <c r="V2092" i="55"/>
  <c r="U2092" i="55"/>
  <c r="T2092" i="55"/>
  <c r="S2092" i="55"/>
  <c r="J2092" i="55"/>
  <c r="I2092" i="55"/>
  <c r="H2092" i="55"/>
  <c r="D2092" i="55"/>
  <c r="B2092" i="55"/>
  <c r="A2092" i="55"/>
  <c r="W2091" i="55"/>
  <c r="V2091" i="55"/>
  <c r="U2091" i="55"/>
  <c r="T2091" i="55"/>
  <c r="S2091" i="55"/>
  <c r="J2091" i="55"/>
  <c r="I2091" i="55"/>
  <c r="H2091" i="55"/>
  <c r="D2091" i="55"/>
  <c r="B2091" i="55"/>
  <c r="A2091" i="55"/>
  <c r="W2090" i="55"/>
  <c r="V2090" i="55"/>
  <c r="U2090" i="55"/>
  <c r="T2090" i="55"/>
  <c r="S2090" i="55"/>
  <c r="J2090" i="55"/>
  <c r="I2090" i="55"/>
  <c r="H2090" i="55"/>
  <c r="D2090" i="55"/>
  <c r="B2090" i="55"/>
  <c r="A2090" i="55"/>
  <c r="W2089" i="55"/>
  <c r="V2089" i="55"/>
  <c r="U2089" i="55"/>
  <c r="T2089" i="55"/>
  <c r="S2089" i="55"/>
  <c r="J2089" i="55"/>
  <c r="I2089" i="55"/>
  <c r="H2089" i="55"/>
  <c r="D2089" i="55"/>
  <c r="B2089" i="55"/>
  <c r="A2089" i="55"/>
  <c r="W2088" i="55"/>
  <c r="V2088" i="55"/>
  <c r="U2088" i="55"/>
  <c r="T2088" i="55"/>
  <c r="S2088" i="55"/>
  <c r="J2088" i="55"/>
  <c r="I2088" i="55"/>
  <c r="H2088" i="55"/>
  <c r="D2088" i="55"/>
  <c r="B2088" i="55"/>
  <c r="A2088" i="55"/>
  <c r="W2087" i="55"/>
  <c r="V2087" i="55"/>
  <c r="U2087" i="55"/>
  <c r="T2087" i="55"/>
  <c r="S2087" i="55"/>
  <c r="J2087" i="55"/>
  <c r="I2087" i="55"/>
  <c r="H2087" i="55"/>
  <c r="D2087" i="55"/>
  <c r="B2087" i="55"/>
  <c r="A2087" i="55"/>
  <c r="W2086" i="55"/>
  <c r="V2086" i="55"/>
  <c r="U2086" i="55"/>
  <c r="T2086" i="55"/>
  <c r="S2086" i="55"/>
  <c r="J2086" i="55"/>
  <c r="I2086" i="55"/>
  <c r="H2086" i="55"/>
  <c r="D2086" i="55"/>
  <c r="B2086" i="55"/>
  <c r="A2086" i="55"/>
  <c r="W2085" i="55"/>
  <c r="V2085" i="55"/>
  <c r="U2085" i="55"/>
  <c r="T2085" i="55"/>
  <c r="S2085" i="55"/>
  <c r="J2085" i="55"/>
  <c r="I2085" i="55"/>
  <c r="H2085" i="55"/>
  <c r="D2085" i="55"/>
  <c r="B2085" i="55"/>
  <c r="A2085" i="55"/>
  <c r="W2084" i="55"/>
  <c r="V2084" i="55"/>
  <c r="U2084" i="55"/>
  <c r="T2084" i="55"/>
  <c r="S2084" i="55"/>
  <c r="J2084" i="55"/>
  <c r="I2084" i="55"/>
  <c r="H2084" i="55"/>
  <c r="D2084" i="55"/>
  <c r="B2084" i="55"/>
  <c r="A2084" i="55"/>
  <c r="W2083" i="55"/>
  <c r="V2083" i="55"/>
  <c r="U2083" i="55"/>
  <c r="T2083" i="55"/>
  <c r="S2083" i="55"/>
  <c r="J2083" i="55"/>
  <c r="I2083" i="55"/>
  <c r="H2083" i="55"/>
  <c r="D2083" i="55"/>
  <c r="B2083" i="55"/>
  <c r="A2083" i="55"/>
  <c r="W2082" i="55"/>
  <c r="V2082" i="55"/>
  <c r="U2082" i="55"/>
  <c r="T2082" i="55"/>
  <c r="S2082" i="55"/>
  <c r="J2082" i="55"/>
  <c r="I2082" i="55"/>
  <c r="H2082" i="55"/>
  <c r="D2082" i="55"/>
  <c r="B2082" i="55"/>
  <c r="A2082" i="55"/>
  <c r="W2081" i="55"/>
  <c r="V2081" i="55"/>
  <c r="U2081" i="55"/>
  <c r="T2081" i="55"/>
  <c r="S2081" i="55"/>
  <c r="J2081" i="55"/>
  <c r="I2081" i="55"/>
  <c r="H2081" i="55"/>
  <c r="D2081" i="55"/>
  <c r="B2081" i="55"/>
  <c r="A2081" i="55"/>
  <c r="W2080" i="55"/>
  <c r="V2080" i="55"/>
  <c r="U2080" i="55"/>
  <c r="T2080" i="55"/>
  <c r="S2080" i="55"/>
  <c r="J2080" i="55"/>
  <c r="I2080" i="55"/>
  <c r="H2080" i="55"/>
  <c r="D2080" i="55"/>
  <c r="B2080" i="55"/>
  <c r="A2080" i="55"/>
  <c r="W2079" i="55"/>
  <c r="V2079" i="55"/>
  <c r="U2079" i="55"/>
  <c r="T2079" i="55"/>
  <c r="S2079" i="55"/>
  <c r="J2079" i="55"/>
  <c r="I2079" i="55"/>
  <c r="H2079" i="55"/>
  <c r="D2079" i="55"/>
  <c r="B2079" i="55"/>
  <c r="A2079" i="55"/>
  <c r="W2078" i="55"/>
  <c r="V2078" i="55"/>
  <c r="U2078" i="55"/>
  <c r="T2078" i="55"/>
  <c r="S2078" i="55"/>
  <c r="J2078" i="55"/>
  <c r="I2078" i="55"/>
  <c r="H2078" i="55"/>
  <c r="D2078" i="55"/>
  <c r="B2078" i="55"/>
  <c r="A2078" i="55"/>
  <c r="W2077" i="55"/>
  <c r="V2077" i="55"/>
  <c r="U2077" i="55"/>
  <c r="T2077" i="55"/>
  <c r="S2077" i="55"/>
  <c r="J2077" i="55"/>
  <c r="I2077" i="55"/>
  <c r="H2077" i="55"/>
  <c r="D2077" i="55"/>
  <c r="B2077" i="55"/>
  <c r="A2077" i="55"/>
  <c r="W2076" i="55"/>
  <c r="V2076" i="55"/>
  <c r="U2076" i="55"/>
  <c r="T2076" i="55"/>
  <c r="S2076" i="55"/>
  <c r="J2076" i="55"/>
  <c r="I2076" i="55"/>
  <c r="H2076" i="55"/>
  <c r="D2076" i="55"/>
  <c r="B2076" i="55"/>
  <c r="A2076" i="55"/>
  <c r="W2075" i="55"/>
  <c r="V2075" i="55"/>
  <c r="U2075" i="55"/>
  <c r="T2075" i="55"/>
  <c r="S2075" i="55"/>
  <c r="J2075" i="55"/>
  <c r="I2075" i="55"/>
  <c r="H2075" i="55"/>
  <c r="D2075" i="55"/>
  <c r="B2075" i="55"/>
  <c r="A2075" i="55"/>
  <c r="W2074" i="55"/>
  <c r="V2074" i="55"/>
  <c r="U2074" i="55"/>
  <c r="T2074" i="55"/>
  <c r="S2074" i="55"/>
  <c r="J2074" i="55"/>
  <c r="I2074" i="55"/>
  <c r="H2074" i="55"/>
  <c r="D2074" i="55"/>
  <c r="B2074" i="55"/>
  <c r="A2074" i="55"/>
  <c r="W2073" i="55"/>
  <c r="V2073" i="55"/>
  <c r="U2073" i="55"/>
  <c r="T2073" i="55"/>
  <c r="S2073" i="55"/>
  <c r="J2073" i="55"/>
  <c r="I2073" i="55"/>
  <c r="H2073" i="55"/>
  <c r="D2073" i="55"/>
  <c r="B2073" i="55"/>
  <c r="A2073" i="55"/>
  <c r="W2072" i="55"/>
  <c r="V2072" i="55"/>
  <c r="U2072" i="55"/>
  <c r="T2072" i="55"/>
  <c r="S2072" i="55"/>
  <c r="J2072" i="55"/>
  <c r="I2072" i="55"/>
  <c r="H2072" i="55"/>
  <c r="D2072" i="55"/>
  <c r="B2072" i="55"/>
  <c r="A2072" i="55"/>
  <c r="W2071" i="55"/>
  <c r="V2071" i="55"/>
  <c r="U2071" i="55"/>
  <c r="T2071" i="55"/>
  <c r="S2071" i="55"/>
  <c r="J2071" i="55"/>
  <c r="I2071" i="55"/>
  <c r="H2071" i="55"/>
  <c r="D2071" i="55"/>
  <c r="B2071" i="55"/>
  <c r="A2071" i="55"/>
  <c r="W2070" i="55"/>
  <c r="V2070" i="55"/>
  <c r="U2070" i="55"/>
  <c r="T2070" i="55"/>
  <c r="S2070" i="55"/>
  <c r="J2070" i="55"/>
  <c r="I2070" i="55"/>
  <c r="H2070" i="55"/>
  <c r="D2070" i="55"/>
  <c r="B2070" i="55"/>
  <c r="A2070" i="55"/>
  <c r="W2069" i="55"/>
  <c r="V2069" i="55"/>
  <c r="U2069" i="55"/>
  <c r="T2069" i="55"/>
  <c r="S2069" i="55"/>
  <c r="J2069" i="55"/>
  <c r="I2069" i="55"/>
  <c r="H2069" i="55"/>
  <c r="D2069" i="55"/>
  <c r="B2069" i="55"/>
  <c r="A2069" i="55"/>
  <c r="W2068" i="55"/>
  <c r="V2068" i="55"/>
  <c r="U2068" i="55"/>
  <c r="T2068" i="55"/>
  <c r="S2068" i="55"/>
  <c r="J2068" i="55"/>
  <c r="I2068" i="55"/>
  <c r="H2068" i="55"/>
  <c r="D2068" i="55"/>
  <c r="B2068" i="55"/>
  <c r="A2068" i="55"/>
  <c r="W2067" i="55"/>
  <c r="V2067" i="55"/>
  <c r="U2067" i="55"/>
  <c r="T2067" i="55"/>
  <c r="S2067" i="55"/>
  <c r="J2067" i="55"/>
  <c r="I2067" i="55"/>
  <c r="H2067" i="55"/>
  <c r="D2067" i="55"/>
  <c r="B2067" i="55"/>
  <c r="A2067" i="55"/>
  <c r="W2066" i="55"/>
  <c r="V2066" i="55"/>
  <c r="U2066" i="55"/>
  <c r="T2066" i="55"/>
  <c r="S2066" i="55"/>
  <c r="J2066" i="55"/>
  <c r="I2066" i="55"/>
  <c r="H2066" i="55"/>
  <c r="D2066" i="55"/>
  <c r="B2066" i="55"/>
  <c r="A2066" i="55"/>
  <c r="W2065" i="55"/>
  <c r="V2065" i="55"/>
  <c r="U2065" i="55"/>
  <c r="T2065" i="55"/>
  <c r="S2065" i="55"/>
  <c r="J2065" i="55"/>
  <c r="I2065" i="55"/>
  <c r="H2065" i="55"/>
  <c r="D2065" i="55"/>
  <c r="B2065" i="55"/>
  <c r="A2065" i="55"/>
  <c r="W2064" i="55"/>
  <c r="V2064" i="55"/>
  <c r="U2064" i="55"/>
  <c r="T2064" i="55"/>
  <c r="S2064" i="55"/>
  <c r="J2064" i="55"/>
  <c r="I2064" i="55"/>
  <c r="H2064" i="55"/>
  <c r="D2064" i="55"/>
  <c r="B2064" i="55"/>
  <c r="A2064" i="55"/>
  <c r="W2063" i="55"/>
  <c r="V2063" i="55"/>
  <c r="U2063" i="55"/>
  <c r="T2063" i="55"/>
  <c r="S2063" i="55"/>
  <c r="J2063" i="55"/>
  <c r="I2063" i="55"/>
  <c r="H2063" i="55"/>
  <c r="D2063" i="55"/>
  <c r="B2063" i="55"/>
  <c r="A2063" i="55"/>
  <c r="W2062" i="55"/>
  <c r="V2062" i="55"/>
  <c r="U2062" i="55"/>
  <c r="T2062" i="55"/>
  <c r="S2062" i="55"/>
  <c r="J2062" i="55"/>
  <c r="I2062" i="55"/>
  <c r="H2062" i="55"/>
  <c r="D2062" i="55"/>
  <c r="B2062" i="55"/>
  <c r="A2062" i="55"/>
  <c r="W2061" i="55"/>
  <c r="V2061" i="55"/>
  <c r="U2061" i="55"/>
  <c r="T2061" i="55"/>
  <c r="S2061" i="55"/>
  <c r="J2061" i="55"/>
  <c r="I2061" i="55"/>
  <c r="H2061" i="55"/>
  <c r="D2061" i="55"/>
  <c r="B2061" i="55"/>
  <c r="A2061" i="55"/>
  <c r="W2060" i="55"/>
  <c r="V2060" i="55"/>
  <c r="U2060" i="55"/>
  <c r="T2060" i="55"/>
  <c r="S2060" i="55"/>
  <c r="J2060" i="55"/>
  <c r="I2060" i="55"/>
  <c r="H2060" i="55"/>
  <c r="D2060" i="55"/>
  <c r="B2060" i="55"/>
  <c r="A2060" i="55"/>
  <c r="W2059" i="55"/>
  <c r="V2059" i="55"/>
  <c r="U2059" i="55"/>
  <c r="T2059" i="55"/>
  <c r="S2059" i="55"/>
  <c r="J2059" i="55"/>
  <c r="I2059" i="55"/>
  <c r="H2059" i="55"/>
  <c r="D2059" i="55"/>
  <c r="B2059" i="55"/>
  <c r="A2059" i="55"/>
  <c r="W2058" i="55"/>
  <c r="V2058" i="55"/>
  <c r="U2058" i="55"/>
  <c r="T2058" i="55"/>
  <c r="S2058" i="55"/>
  <c r="J2058" i="55"/>
  <c r="I2058" i="55"/>
  <c r="H2058" i="55"/>
  <c r="D2058" i="55"/>
  <c r="B2058" i="55"/>
  <c r="A2058" i="55"/>
  <c r="W2057" i="55"/>
  <c r="V2057" i="55"/>
  <c r="U2057" i="55"/>
  <c r="T2057" i="55"/>
  <c r="S2057" i="55"/>
  <c r="J2057" i="55"/>
  <c r="I2057" i="55"/>
  <c r="H2057" i="55"/>
  <c r="D2057" i="55"/>
  <c r="B2057" i="55"/>
  <c r="A2057" i="55"/>
  <c r="W2056" i="55"/>
  <c r="V2056" i="55"/>
  <c r="U2056" i="55"/>
  <c r="T2056" i="55"/>
  <c r="S2056" i="55"/>
  <c r="J2056" i="55"/>
  <c r="I2056" i="55"/>
  <c r="H2056" i="55"/>
  <c r="D2056" i="55"/>
  <c r="B2056" i="55"/>
  <c r="A2056" i="55"/>
  <c r="W2055" i="55"/>
  <c r="V2055" i="55"/>
  <c r="U2055" i="55"/>
  <c r="T2055" i="55"/>
  <c r="S2055" i="55"/>
  <c r="J2055" i="55"/>
  <c r="I2055" i="55"/>
  <c r="H2055" i="55"/>
  <c r="D2055" i="55"/>
  <c r="B2055" i="55"/>
  <c r="A2055" i="55"/>
  <c r="W2054" i="55"/>
  <c r="V2054" i="55"/>
  <c r="U2054" i="55"/>
  <c r="T2054" i="55"/>
  <c r="S2054" i="55"/>
  <c r="J2054" i="55"/>
  <c r="I2054" i="55"/>
  <c r="H2054" i="55"/>
  <c r="D2054" i="55"/>
  <c r="B2054" i="55"/>
  <c r="A2054" i="55"/>
  <c r="W2053" i="55"/>
  <c r="V2053" i="55"/>
  <c r="U2053" i="55"/>
  <c r="T2053" i="55"/>
  <c r="S2053" i="55"/>
  <c r="J2053" i="55"/>
  <c r="I2053" i="55"/>
  <c r="H2053" i="55"/>
  <c r="D2053" i="55"/>
  <c r="B2053" i="55"/>
  <c r="A2053" i="55"/>
  <c r="W2052" i="55"/>
  <c r="V2052" i="55"/>
  <c r="U2052" i="55"/>
  <c r="T2052" i="55"/>
  <c r="S2052" i="55"/>
  <c r="J2052" i="55"/>
  <c r="I2052" i="55"/>
  <c r="H2052" i="55"/>
  <c r="D2052" i="55"/>
  <c r="B2052" i="55"/>
  <c r="A2052" i="55"/>
  <c r="W2051" i="55"/>
  <c r="V2051" i="55"/>
  <c r="U2051" i="55"/>
  <c r="T2051" i="55"/>
  <c r="S2051" i="55"/>
  <c r="J2051" i="55"/>
  <c r="I2051" i="55"/>
  <c r="H2051" i="55"/>
  <c r="D2051" i="55"/>
  <c r="B2051" i="55"/>
  <c r="A2051" i="55"/>
  <c r="W2050" i="55"/>
  <c r="V2050" i="55"/>
  <c r="U2050" i="55"/>
  <c r="T2050" i="55"/>
  <c r="S2050" i="55"/>
  <c r="J2050" i="55"/>
  <c r="I2050" i="55"/>
  <c r="H2050" i="55"/>
  <c r="D2050" i="55"/>
  <c r="B2050" i="55"/>
  <c r="A2050" i="55"/>
  <c r="W2049" i="55"/>
  <c r="V2049" i="55"/>
  <c r="U2049" i="55"/>
  <c r="T2049" i="55"/>
  <c r="S2049" i="55"/>
  <c r="J2049" i="55"/>
  <c r="I2049" i="55"/>
  <c r="H2049" i="55"/>
  <c r="D2049" i="55"/>
  <c r="B2049" i="55"/>
  <c r="A2049" i="55"/>
  <c r="W2048" i="55"/>
  <c r="V2048" i="55"/>
  <c r="U2048" i="55"/>
  <c r="T2048" i="55"/>
  <c r="S2048" i="55"/>
  <c r="J2048" i="55"/>
  <c r="I2048" i="55"/>
  <c r="H2048" i="55"/>
  <c r="D2048" i="55"/>
  <c r="B2048" i="55"/>
  <c r="A2048" i="55"/>
  <c r="W2047" i="55"/>
  <c r="V2047" i="55"/>
  <c r="U2047" i="55"/>
  <c r="T2047" i="55"/>
  <c r="S2047" i="55"/>
  <c r="J2047" i="55"/>
  <c r="I2047" i="55"/>
  <c r="H2047" i="55"/>
  <c r="D2047" i="55"/>
  <c r="B2047" i="55"/>
  <c r="A2047" i="55"/>
  <c r="W2046" i="55"/>
  <c r="V2046" i="55"/>
  <c r="U2046" i="55"/>
  <c r="T2046" i="55"/>
  <c r="S2046" i="55"/>
  <c r="J2046" i="55"/>
  <c r="I2046" i="55"/>
  <c r="H2046" i="55"/>
  <c r="D2046" i="55"/>
  <c r="B2046" i="55"/>
  <c r="A2046" i="55"/>
  <c r="W2045" i="55"/>
  <c r="V2045" i="55"/>
  <c r="U2045" i="55"/>
  <c r="T2045" i="55"/>
  <c r="S2045" i="55"/>
  <c r="J2045" i="55"/>
  <c r="I2045" i="55"/>
  <c r="H2045" i="55"/>
  <c r="D2045" i="55"/>
  <c r="B2045" i="55"/>
  <c r="A2045" i="55"/>
  <c r="W2044" i="55"/>
  <c r="V2044" i="55"/>
  <c r="U2044" i="55"/>
  <c r="T2044" i="55"/>
  <c r="S2044" i="55"/>
  <c r="J2044" i="55"/>
  <c r="I2044" i="55"/>
  <c r="H2044" i="55"/>
  <c r="D2044" i="55"/>
  <c r="B2044" i="55"/>
  <c r="A2044" i="55"/>
  <c r="W2043" i="55"/>
  <c r="V2043" i="55"/>
  <c r="U2043" i="55"/>
  <c r="T2043" i="55"/>
  <c r="S2043" i="55"/>
  <c r="J2043" i="55"/>
  <c r="I2043" i="55"/>
  <c r="H2043" i="55"/>
  <c r="D2043" i="55"/>
  <c r="B2043" i="55"/>
  <c r="A2043" i="55"/>
  <c r="W2042" i="55"/>
  <c r="V2042" i="55"/>
  <c r="U2042" i="55"/>
  <c r="T2042" i="55"/>
  <c r="S2042" i="55"/>
  <c r="J2042" i="55"/>
  <c r="I2042" i="55"/>
  <c r="H2042" i="55"/>
  <c r="D2042" i="55"/>
  <c r="B2042" i="55"/>
  <c r="A2042" i="55"/>
  <c r="W2041" i="55"/>
  <c r="V2041" i="55"/>
  <c r="U2041" i="55"/>
  <c r="T2041" i="55"/>
  <c r="S2041" i="55"/>
  <c r="J2041" i="55"/>
  <c r="I2041" i="55"/>
  <c r="H2041" i="55"/>
  <c r="D2041" i="55"/>
  <c r="B2041" i="55"/>
  <c r="A2041" i="55"/>
  <c r="W2040" i="55"/>
  <c r="V2040" i="55"/>
  <c r="U2040" i="55"/>
  <c r="T2040" i="55"/>
  <c r="S2040" i="55"/>
  <c r="J2040" i="55"/>
  <c r="I2040" i="55"/>
  <c r="H2040" i="55"/>
  <c r="D2040" i="55"/>
  <c r="B2040" i="55"/>
  <c r="A2040" i="55"/>
  <c r="W2039" i="55"/>
  <c r="V2039" i="55"/>
  <c r="U2039" i="55"/>
  <c r="T2039" i="55"/>
  <c r="S2039" i="55"/>
  <c r="J2039" i="55"/>
  <c r="I2039" i="55"/>
  <c r="H2039" i="55"/>
  <c r="D2039" i="55"/>
  <c r="B2039" i="55"/>
  <c r="A2039" i="55"/>
  <c r="W2038" i="55"/>
  <c r="V2038" i="55"/>
  <c r="U2038" i="55"/>
  <c r="T2038" i="55"/>
  <c r="S2038" i="55"/>
  <c r="J2038" i="55"/>
  <c r="I2038" i="55"/>
  <c r="H2038" i="55"/>
  <c r="D2038" i="55"/>
  <c r="B2038" i="55"/>
  <c r="A2038" i="55"/>
  <c r="W2037" i="55"/>
  <c r="V2037" i="55"/>
  <c r="U2037" i="55"/>
  <c r="T2037" i="55"/>
  <c r="S2037" i="55"/>
  <c r="J2037" i="55"/>
  <c r="I2037" i="55"/>
  <c r="H2037" i="55"/>
  <c r="D2037" i="55"/>
  <c r="B2037" i="55"/>
  <c r="A2037" i="55"/>
  <c r="W2036" i="55"/>
  <c r="V2036" i="55"/>
  <c r="U2036" i="55"/>
  <c r="T2036" i="55"/>
  <c r="S2036" i="55"/>
  <c r="J2036" i="55"/>
  <c r="I2036" i="55"/>
  <c r="H2036" i="55"/>
  <c r="D2036" i="55"/>
  <c r="B2036" i="55"/>
  <c r="A2036" i="55"/>
  <c r="W2035" i="55"/>
  <c r="V2035" i="55"/>
  <c r="U2035" i="55"/>
  <c r="T2035" i="55"/>
  <c r="S2035" i="55"/>
  <c r="J2035" i="55"/>
  <c r="I2035" i="55"/>
  <c r="H2035" i="55"/>
  <c r="D2035" i="55"/>
  <c r="B2035" i="55"/>
  <c r="A2035" i="55"/>
  <c r="W2034" i="55"/>
  <c r="V2034" i="55"/>
  <c r="U2034" i="55"/>
  <c r="T2034" i="55"/>
  <c r="S2034" i="55"/>
  <c r="J2034" i="55"/>
  <c r="I2034" i="55"/>
  <c r="H2034" i="55"/>
  <c r="D2034" i="55"/>
  <c r="B2034" i="55"/>
  <c r="A2034" i="55"/>
  <c r="W2033" i="55"/>
  <c r="V2033" i="55"/>
  <c r="U2033" i="55"/>
  <c r="T2033" i="55"/>
  <c r="S2033" i="55"/>
  <c r="J2033" i="55"/>
  <c r="I2033" i="55"/>
  <c r="H2033" i="55"/>
  <c r="D2033" i="55"/>
  <c r="B2033" i="55"/>
  <c r="A2033" i="55"/>
  <c r="W2032" i="55"/>
  <c r="V2032" i="55"/>
  <c r="U2032" i="55"/>
  <c r="T2032" i="55"/>
  <c r="S2032" i="55"/>
  <c r="J2032" i="55"/>
  <c r="I2032" i="55"/>
  <c r="H2032" i="55"/>
  <c r="D2032" i="55"/>
  <c r="B2032" i="55"/>
  <c r="A2032" i="55"/>
  <c r="W2031" i="55"/>
  <c r="V2031" i="55"/>
  <c r="U2031" i="55"/>
  <c r="T2031" i="55"/>
  <c r="S2031" i="55"/>
  <c r="J2031" i="55"/>
  <c r="I2031" i="55"/>
  <c r="H2031" i="55"/>
  <c r="D2031" i="55"/>
  <c r="B2031" i="55"/>
  <c r="A2031" i="55"/>
  <c r="W2030" i="55"/>
  <c r="V2030" i="55"/>
  <c r="U2030" i="55"/>
  <c r="T2030" i="55"/>
  <c r="S2030" i="55"/>
  <c r="J2030" i="55"/>
  <c r="I2030" i="55"/>
  <c r="H2030" i="55"/>
  <c r="D2030" i="55"/>
  <c r="B2030" i="55"/>
  <c r="A2030" i="55"/>
  <c r="W2029" i="55"/>
  <c r="V2029" i="55"/>
  <c r="U2029" i="55"/>
  <c r="T2029" i="55"/>
  <c r="S2029" i="55"/>
  <c r="J2029" i="55"/>
  <c r="I2029" i="55"/>
  <c r="H2029" i="55"/>
  <c r="D2029" i="55"/>
  <c r="B2029" i="55"/>
  <c r="A2029" i="55"/>
  <c r="W2028" i="55"/>
  <c r="V2028" i="55"/>
  <c r="U2028" i="55"/>
  <c r="T2028" i="55"/>
  <c r="S2028" i="55"/>
  <c r="J2028" i="55"/>
  <c r="I2028" i="55"/>
  <c r="H2028" i="55"/>
  <c r="D2028" i="55"/>
  <c r="B2028" i="55"/>
  <c r="A2028" i="55"/>
  <c r="W2027" i="55"/>
  <c r="V2027" i="55"/>
  <c r="U2027" i="55"/>
  <c r="T2027" i="55"/>
  <c r="S2027" i="55"/>
  <c r="J2027" i="55"/>
  <c r="I2027" i="55"/>
  <c r="H2027" i="55"/>
  <c r="D2027" i="55"/>
  <c r="B2027" i="55"/>
  <c r="A2027" i="55"/>
  <c r="W2026" i="55"/>
  <c r="V2026" i="55"/>
  <c r="U2026" i="55"/>
  <c r="T2026" i="55"/>
  <c r="S2026" i="55"/>
  <c r="J2026" i="55"/>
  <c r="I2026" i="55"/>
  <c r="H2026" i="55"/>
  <c r="D2026" i="55"/>
  <c r="B2026" i="55"/>
  <c r="A2026" i="55"/>
  <c r="W2025" i="55"/>
  <c r="V2025" i="55"/>
  <c r="U2025" i="55"/>
  <c r="T2025" i="55"/>
  <c r="S2025" i="55"/>
  <c r="J2025" i="55"/>
  <c r="I2025" i="55"/>
  <c r="H2025" i="55"/>
  <c r="D2025" i="55"/>
  <c r="B2025" i="55"/>
  <c r="A2025" i="55"/>
  <c r="W2024" i="55"/>
  <c r="V2024" i="55"/>
  <c r="U2024" i="55"/>
  <c r="T2024" i="55"/>
  <c r="S2024" i="55"/>
  <c r="J2024" i="55"/>
  <c r="I2024" i="55"/>
  <c r="H2024" i="55"/>
  <c r="D2024" i="55"/>
  <c r="B2024" i="55"/>
  <c r="A2024" i="55"/>
  <c r="W2023" i="55"/>
  <c r="V2023" i="55"/>
  <c r="U2023" i="55"/>
  <c r="T2023" i="55"/>
  <c r="S2023" i="55"/>
  <c r="J2023" i="55"/>
  <c r="I2023" i="55"/>
  <c r="H2023" i="55"/>
  <c r="D2023" i="55"/>
  <c r="B2023" i="55"/>
  <c r="A2023" i="55"/>
  <c r="W2022" i="55"/>
  <c r="V2022" i="55"/>
  <c r="U2022" i="55"/>
  <c r="T2022" i="55"/>
  <c r="S2022" i="55"/>
  <c r="J2022" i="55"/>
  <c r="I2022" i="55"/>
  <c r="H2022" i="55"/>
  <c r="D2022" i="55"/>
  <c r="B2022" i="55"/>
  <c r="A2022" i="55"/>
  <c r="W2021" i="55"/>
  <c r="V2021" i="55"/>
  <c r="U2021" i="55"/>
  <c r="T2021" i="55"/>
  <c r="S2021" i="55"/>
  <c r="J2021" i="55"/>
  <c r="I2021" i="55"/>
  <c r="H2021" i="55"/>
  <c r="D2021" i="55"/>
  <c r="B2021" i="55"/>
  <c r="A2021" i="55"/>
  <c r="W2020" i="55"/>
  <c r="V2020" i="55"/>
  <c r="U2020" i="55"/>
  <c r="T2020" i="55"/>
  <c r="S2020" i="55"/>
  <c r="J2020" i="55"/>
  <c r="I2020" i="55"/>
  <c r="H2020" i="55"/>
  <c r="D2020" i="55"/>
  <c r="B2020" i="55"/>
  <c r="A2020" i="55"/>
  <c r="W2019" i="55"/>
  <c r="V2019" i="55"/>
  <c r="U2019" i="55"/>
  <c r="T2019" i="55"/>
  <c r="S2019" i="55"/>
  <c r="J2019" i="55"/>
  <c r="I2019" i="55"/>
  <c r="H2019" i="55"/>
  <c r="D2019" i="55"/>
  <c r="B2019" i="55"/>
  <c r="A2019" i="55"/>
  <c r="W2018" i="55"/>
  <c r="V2018" i="55"/>
  <c r="U2018" i="55"/>
  <c r="T2018" i="55"/>
  <c r="S2018" i="55"/>
  <c r="J2018" i="55"/>
  <c r="I2018" i="55"/>
  <c r="H2018" i="55"/>
  <c r="D2018" i="55"/>
  <c r="B2018" i="55"/>
  <c r="A2018" i="55"/>
  <c r="W2017" i="55"/>
  <c r="V2017" i="55"/>
  <c r="U2017" i="55"/>
  <c r="T2017" i="55"/>
  <c r="S2017" i="55"/>
  <c r="J2017" i="55"/>
  <c r="I2017" i="55"/>
  <c r="H2017" i="55"/>
  <c r="D2017" i="55"/>
  <c r="B2017" i="55"/>
  <c r="A2017" i="55"/>
  <c r="W2016" i="55"/>
  <c r="V2016" i="55"/>
  <c r="U2016" i="55"/>
  <c r="T2016" i="55"/>
  <c r="S2016" i="55"/>
  <c r="J2016" i="55"/>
  <c r="I2016" i="55"/>
  <c r="H2016" i="55"/>
  <c r="D2016" i="55"/>
  <c r="B2016" i="55"/>
  <c r="A2016" i="55"/>
  <c r="W2015" i="55"/>
  <c r="V2015" i="55"/>
  <c r="U2015" i="55"/>
  <c r="T2015" i="55"/>
  <c r="S2015" i="55"/>
  <c r="J2015" i="55"/>
  <c r="I2015" i="55"/>
  <c r="H2015" i="55"/>
  <c r="D2015" i="55"/>
  <c r="B2015" i="55"/>
  <c r="A2015" i="55"/>
  <c r="W2014" i="55"/>
  <c r="V2014" i="55"/>
  <c r="U2014" i="55"/>
  <c r="T2014" i="55"/>
  <c r="S2014" i="55"/>
  <c r="J2014" i="55"/>
  <c r="I2014" i="55"/>
  <c r="H2014" i="55"/>
  <c r="D2014" i="55"/>
  <c r="B2014" i="55"/>
  <c r="A2014" i="55"/>
  <c r="W2013" i="55"/>
  <c r="V2013" i="55"/>
  <c r="U2013" i="55"/>
  <c r="T2013" i="55"/>
  <c r="S2013" i="55"/>
  <c r="J2013" i="55"/>
  <c r="I2013" i="55"/>
  <c r="H2013" i="55"/>
  <c r="D2013" i="55"/>
  <c r="B2013" i="55"/>
  <c r="A2013" i="55"/>
  <c r="W2012" i="55"/>
  <c r="V2012" i="55"/>
  <c r="U2012" i="55"/>
  <c r="T2012" i="55"/>
  <c r="S2012" i="55"/>
  <c r="J2012" i="55"/>
  <c r="I2012" i="55"/>
  <c r="H2012" i="55"/>
  <c r="D2012" i="55"/>
  <c r="B2012" i="55"/>
  <c r="A2012" i="55"/>
  <c r="W2011" i="55"/>
  <c r="V2011" i="55"/>
  <c r="U2011" i="55"/>
  <c r="T2011" i="55"/>
  <c r="S2011" i="55"/>
  <c r="J2011" i="55"/>
  <c r="I2011" i="55"/>
  <c r="H2011" i="55"/>
  <c r="D2011" i="55"/>
  <c r="B2011" i="55"/>
  <c r="A2011" i="55"/>
  <c r="W2010" i="55"/>
  <c r="V2010" i="55"/>
  <c r="U2010" i="55"/>
  <c r="T2010" i="55"/>
  <c r="S2010" i="55"/>
  <c r="J2010" i="55"/>
  <c r="I2010" i="55"/>
  <c r="H2010" i="55"/>
  <c r="D2010" i="55"/>
  <c r="B2010" i="55"/>
  <c r="A2010" i="55"/>
  <c r="W2009" i="55"/>
  <c r="V2009" i="55"/>
  <c r="U2009" i="55"/>
  <c r="T2009" i="55"/>
  <c r="S2009" i="55"/>
  <c r="J2009" i="55"/>
  <c r="I2009" i="55"/>
  <c r="H2009" i="55"/>
  <c r="D2009" i="55"/>
  <c r="B2009" i="55"/>
  <c r="A2009" i="55"/>
  <c r="W2008" i="55"/>
  <c r="V2008" i="55"/>
  <c r="U2008" i="55"/>
  <c r="T2008" i="55"/>
  <c r="S2008" i="55"/>
  <c r="J2008" i="55"/>
  <c r="I2008" i="55"/>
  <c r="H2008" i="55"/>
  <c r="D2008" i="55"/>
  <c r="B2008" i="55"/>
  <c r="A2008" i="55"/>
  <c r="W2007" i="55"/>
  <c r="V2007" i="55"/>
  <c r="U2007" i="55"/>
  <c r="T2007" i="55"/>
  <c r="S2007" i="55"/>
  <c r="J2007" i="55"/>
  <c r="I2007" i="55"/>
  <c r="H2007" i="55"/>
  <c r="D2007" i="55"/>
  <c r="B2007" i="55"/>
  <c r="A2007" i="55"/>
  <c r="W2006" i="55"/>
  <c r="V2006" i="55"/>
  <c r="U2006" i="55"/>
  <c r="T2006" i="55"/>
  <c r="S2006" i="55"/>
  <c r="J2006" i="55"/>
  <c r="I2006" i="55"/>
  <c r="H2006" i="55"/>
  <c r="D2006" i="55"/>
  <c r="B2006" i="55"/>
  <c r="A2006" i="55"/>
  <c r="W2005" i="55"/>
  <c r="V2005" i="55"/>
  <c r="U2005" i="55"/>
  <c r="T2005" i="55"/>
  <c r="S2005" i="55"/>
  <c r="J2005" i="55"/>
  <c r="I2005" i="55"/>
  <c r="H2005" i="55"/>
  <c r="D2005" i="55"/>
  <c r="B2005" i="55"/>
  <c r="A2005" i="55"/>
  <c r="W2004" i="55"/>
  <c r="V2004" i="55"/>
  <c r="U2004" i="55"/>
  <c r="T2004" i="55"/>
  <c r="S2004" i="55"/>
  <c r="J2004" i="55"/>
  <c r="I2004" i="55"/>
  <c r="H2004" i="55"/>
  <c r="D2004" i="55"/>
  <c r="B2004" i="55"/>
  <c r="A2004" i="55"/>
  <c r="W2003" i="55"/>
  <c r="V2003" i="55"/>
  <c r="U2003" i="55"/>
  <c r="T2003" i="55"/>
  <c r="S2003" i="55"/>
  <c r="J2003" i="55"/>
  <c r="I2003" i="55"/>
  <c r="H2003" i="55"/>
  <c r="D2003" i="55"/>
  <c r="B2003" i="55"/>
  <c r="A2003" i="55"/>
  <c r="W2002" i="55"/>
  <c r="V2002" i="55"/>
  <c r="U2002" i="55"/>
  <c r="T2002" i="55"/>
  <c r="S2002" i="55"/>
  <c r="J2002" i="55"/>
  <c r="I2002" i="55"/>
  <c r="H2002" i="55"/>
  <c r="D2002" i="55"/>
  <c r="B2002" i="55"/>
  <c r="A2002" i="55"/>
  <c r="W2001" i="55"/>
  <c r="V2001" i="55"/>
  <c r="U2001" i="55"/>
  <c r="T2001" i="55"/>
  <c r="S2001" i="55"/>
  <c r="J2001" i="55"/>
  <c r="I2001" i="55"/>
  <c r="H2001" i="55"/>
  <c r="D2001" i="55"/>
  <c r="B2001" i="55"/>
  <c r="A2001" i="55"/>
  <c r="W2000" i="55"/>
  <c r="V2000" i="55"/>
  <c r="U2000" i="55"/>
  <c r="T2000" i="55"/>
  <c r="S2000" i="55"/>
  <c r="J2000" i="55"/>
  <c r="I2000" i="55"/>
  <c r="H2000" i="55"/>
  <c r="D2000" i="55"/>
  <c r="B2000" i="55"/>
  <c r="A2000" i="55"/>
  <c r="W1999" i="55"/>
  <c r="V1999" i="55"/>
  <c r="U1999" i="55"/>
  <c r="T1999" i="55"/>
  <c r="S1999" i="55"/>
  <c r="J1999" i="55"/>
  <c r="I1999" i="55"/>
  <c r="H1999" i="55"/>
  <c r="D1999" i="55"/>
  <c r="B1999" i="55"/>
  <c r="A1999" i="55"/>
  <c r="W1998" i="55"/>
  <c r="V1998" i="55"/>
  <c r="U1998" i="55"/>
  <c r="T1998" i="55"/>
  <c r="S1998" i="55"/>
  <c r="J1998" i="55"/>
  <c r="I1998" i="55"/>
  <c r="H1998" i="55"/>
  <c r="D1998" i="55"/>
  <c r="B1998" i="55"/>
  <c r="A1998" i="55"/>
  <c r="W1997" i="55"/>
  <c r="V1997" i="55"/>
  <c r="U1997" i="55"/>
  <c r="T1997" i="55"/>
  <c r="S1997" i="55"/>
  <c r="J1997" i="55"/>
  <c r="I1997" i="55"/>
  <c r="H1997" i="55"/>
  <c r="D1997" i="55"/>
  <c r="B1997" i="55"/>
  <c r="A1997" i="55"/>
  <c r="W1996" i="55"/>
  <c r="V1996" i="55"/>
  <c r="U1996" i="55"/>
  <c r="T1996" i="55"/>
  <c r="S1996" i="55"/>
  <c r="J1996" i="55"/>
  <c r="I1996" i="55"/>
  <c r="H1996" i="55"/>
  <c r="D1996" i="55"/>
  <c r="B1996" i="55"/>
  <c r="A1996" i="55"/>
  <c r="W1995" i="55"/>
  <c r="V1995" i="55"/>
  <c r="U1995" i="55"/>
  <c r="T1995" i="55"/>
  <c r="S1995" i="55"/>
  <c r="J1995" i="55"/>
  <c r="I1995" i="55"/>
  <c r="H1995" i="55"/>
  <c r="D1995" i="55"/>
  <c r="B1995" i="55"/>
  <c r="A1995" i="55"/>
  <c r="W1994" i="55"/>
  <c r="V1994" i="55"/>
  <c r="U1994" i="55"/>
  <c r="T1994" i="55"/>
  <c r="S1994" i="55"/>
  <c r="J1994" i="55"/>
  <c r="I1994" i="55"/>
  <c r="H1994" i="55"/>
  <c r="D1994" i="55"/>
  <c r="B1994" i="55"/>
  <c r="A1994" i="55"/>
  <c r="W1993" i="55"/>
  <c r="V1993" i="55"/>
  <c r="U1993" i="55"/>
  <c r="T1993" i="55"/>
  <c r="S1993" i="55"/>
  <c r="J1993" i="55"/>
  <c r="I1993" i="55"/>
  <c r="H1993" i="55"/>
  <c r="D1993" i="55"/>
  <c r="B1993" i="55"/>
  <c r="A1993" i="55"/>
  <c r="W1992" i="55"/>
  <c r="V1992" i="55"/>
  <c r="U1992" i="55"/>
  <c r="T1992" i="55"/>
  <c r="S1992" i="55"/>
  <c r="J1992" i="55"/>
  <c r="I1992" i="55"/>
  <c r="H1992" i="55"/>
  <c r="D1992" i="55"/>
  <c r="B1992" i="55"/>
  <c r="A1992" i="55"/>
  <c r="W1991" i="55"/>
  <c r="V1991" i="55"/>
  <c r="U1991" i="55"/>
  <c r="T1991" i="55"/>
  <c r="S1991" i="55"/>
  <c r="J1991" i="55"/>
  <c r="I1991" i="55"/>
  <c r="H1991" i="55"/>
  <c r="D1991" i="55"/>
  <c r="B1991" i="55"/>
  <c r="A1991" i="55"/>
  <c r="W1990" i="55"/>
  <c r="V1990" i="55"/>
  <c r="U1990" i="55"/>
  <c r="T1990" i="55"/>
  <c r="S1990" i="55"/>
  <c r="J1990" i="55"/>
  <c r="I1990" i="55"/>
  <c r="H1990" i="55"/>
  <c r="D1990" i="55"/>
  <c r="B1990" i="55"/>
  <c r="A1990" i="55"/>
  <c r="W1989" i="55"/>
  <c r="V1989" i="55"/>
  <c r="U1989" i="55"/>
  <c r="T1989" i="55"/>
  <c r="S1989" i="55"/>
  <c r="J1989" i="55"/>
  <c r="I1989" i="55"/>
  <c r="H1989" i="55"/>
  <c r="D1989" i="55"/>
  <c r="B1989" i="55"/>
  <c r="A1989" i="55"/>
  <c r="W1988" i="55"/>
  <c r="V1988" i="55"/>
  <c r="U1988" i="55"/>
  <c r="T1988" i="55"/>
  <c r="S1988" i="55"/>
  <c r="J1988" i="55"/>
  <c r="I1988" i="55"/>
  <c r="H1988" i="55"/>
  <c r="D1988" i="55"/>
  <c r="B1988" i="55"/>
  <c r="A1988" i="55"/>
  <c r="W1987" i="55"/>
  <c r="V1987" i="55"/>
  <c r="U1987" i="55"/>
  <c r="T1987" i="55"/>
  <c r="S1987" i="55"/>
  <c r="J1987" i="55"/>
  <c r="I1987" i="55"/>
  <c r="H1987" i="55"/>
  <c r="D1987" i="55"/>
  <c r="B1987" i="55"/>
  <c r="A1987" i="55"/>
  <c r="W1986" i="55"/>
  <c r="V1986" i="55"/>
  <c r="U1986" i="55"/>
  <c r="T1986" i="55"/>
  <c r="S1986" i="55"/>
  <c r="J1986" i="55"/>
  <c r="I1986" i="55"/>
  <c r="H1986" i="55"/>
  <c r="D1986" i="55"/>
  <c r="B1986" i="55"/>
  <c r="A1986" i="55"/>
  <c r="W1985" i="55"/>
  <c r="V1985" i="55"/>
  <c r="U1985" i="55"/>
  <c r="T1985" i="55"/>
  <c r="S1985" i="55"/>
  <c r="J1985" i="55"/>
  <c r="I1985" i="55"/>
  <c r="H1985" i="55"/>
  <c r="D1985" i="55"/>
  <c r="B1985" i="55"/>
  <c r="A1985" i="55"/>
  <c r="W1984" i="55"/>
  <c r="V1984" i="55"/>
  <c r="U1984" i="55"/>
  <c r="T1984" i="55"/>
  <c r="S1984" i="55"/>
  <c r="J1984" i="55"/>
  <c r="I1984" i="55"/>
  <c r="H1984" i="55"/>
  <c r="D1984" i="55"/>
  <c r="B1984" i="55"/>
  <c r="A1984" i="55"/>
  <c r="W1983" i="55"/>
  <c r="V1983" i="55"/>
  <c r="U1983" i="55"/>
  <c r="T1983" i="55"/>
  <c r="S1983" i="55"/>
  <c r="J1983" i="55"/>
  <c r="I1983" i="55"/>
  <c r="H1983" i="55"/>
  <c r="D1983" i="55"/>
  <c r="B1983" i="55"/>
  <c r="A1983" i="55"/>
  <c r="W1982" i="55"/>
  <c r="V1982" i="55"/>
  <c r="U1982" i="55"/>
  <c r="T1982" i="55"/>
  <c r="S1982" i="55"/>
  <c r="J1982" i="55"/>
  <c r="I1982" i="55"/>
  <c r="H1982" i="55"/>
  <c r="D1982" i="55"/>
  <c r="B1982" i="55"/>
  <c r="A1982" i="55"/>
  <c r="W1981" i="55"/>
  <c r="V1981" i="55"/>
  <c r="U1981" i="55"/>
  <c r="T1981" i="55"/>
  <c r="S1981" i="55"/>
  <c r="J1981" i="55"/>
  <c r="I1981" i="55"/>
  <c r="H1981" i="55"/>
  <c r="D1981" i="55"/>
  <c r="B1981" i="55"/>
  <c r="A1981" i="55"/>
  <c r="W1980" i="55"/>
  <c r="V1980" i="55"/>
  <c r="U1980" i="55"/>
  <c r="T1980" i="55"/>
  <c r="S1980" i="55"/>
  <c r="J1980" i="55"/>
  <c r="I1980" i="55"/>
  <c r="H1980" i="55"/>
  <c r="D1980" i="55"/>
  <c r="B1980" i="55"/>
  <c r="A1980" i="55"/>
  <c r="W1979" i="55"/>
  <c r="V1979" i="55"/>
  <c r="U1979" i="55"/>
  <c r="T1979" i="55"/>
  <c r="S1979" i="55"/>
  <c r="J1979" i="55"/>
  <c r="I1979" i="55"/>
  <c r="H1979" i="55"/>
  <c r="D1979" i="55"/>
  <c r="B1979" i="55"/>
  <c r="A1979" i="55"/>
  <c r="W1978" i="55"/>
  <c r="V1978" i="55"/>
  <c r="U1978" i="55"/>
  <c r="T1978" i="55"/>
  <c r="S1978" i="55"/>
  <c r="J1978" i="55"/>
  <c r="I1978" i="55"/>
  <c r="H1978" i="55"/>
  <c r="D1978" i="55"/>
  <c r="B1978" i="55"/>
  <c r="A1978" i="55"/>
  <c r="W1977" i="55"/>
  <c r="V1977" i="55"/>
  <c r="U1977" i="55"/>
  <c r="T1977" i="55"/>
  <c r="S1977" i="55"/>
  <c r="J1977" i="55"/>
  <c r="I1977" i="55"/>
  <c r="H1977" i="55"/>
  <c r="D1977" i="55"/>
  <c r="B1977" i="55"/>
  <c r="A1977" i="55"/>
  <c r="W1976" i="55"/>
  <c r="V1976" i="55"/>
  <c r="U1976" i="55"/>
  <c r="T1976" i="55"/>
  <c r="S1976" i="55"/>
  <c r="J1976" i="55"/>
  <c r="I1976" i="55"/>
  <c r="H1976" i="55"/>
  <c r="D1976" i="55"/>
  <c r="B1976" i="55"/>
  <c r="A1976" i="55"/>
  <c r="W1975" i="55"/>
  <c r="V1975" i="55"/>
  <c r="U1975" i="55"/>
  <c r="T1975" i="55"/>
  <c r="S1975" i="55"/>
  <c r="J1975" i="55"/>
  <c r="I1975" i="55"/>
  <c r="H1975" i="55"/>
  <c r="D1975" i="55"/>
  <c r="B1975" i="55"/>
  <c r="A1975" i="55"/>
  <c r="W1974" i="55"/>
  <c r="V1974" i="55"/>
  <c r="U1974" i="55"/>
  <c r="T1974" i="55"/>
  <c r="S1974" i="55"/>
  <c r="J1974" i="55"/>
  <c r="I1974" i="55"/>
  <c r="H1974" i="55"/>
  <c r="D1974" i="55"/>
  <c r="B1974" i="55"/>
  <c r="A1974" i="55"/>
  <c r="W1973" i="55"/>
  <c r="V1973" i="55"/>
  <c r="U1973" i="55"/>
  <c r="T1973" i="55"/>
  <c r="S1973" i="55"/>
  <c r="J1973" i="55"/>
  <c r="I1973" i="55"/>
  <c r="H1973" i="55"/>
  <c r="D1973" i="55"/>
  <c r="B1973" i="55"/>
  <c r="A1973" i="55"/>
  <c r="W1972" i="55"/>
  <c r="V1972" i="55"/>
  <c r="U1972" i="55"/>
  <c r="T1972" i="55"/>
  <c r="S1972" i="55"/>
  <c r="J1972" i="55"/>
  <c r="I1972" i="55"/>
  <c r="H1972" i="55"/>
  <c r="D1972" i="55"/>
  <c r="B1972" i="55"/>
  <c r="A1972" i="55"/>
  <c r="W1971" i="55"/>
  <c r="V1971" i="55"/>
  <c r="U1971" i="55"/>
  <c r="T1971" i="55"/>
  <c r="S1971" i="55"/>
  <c r="J1971" i="55"/>
  <c r="I1971" i="55"/>
  <c r="H1971" i="55"/>
  <c r="D1971" i="55"/>
  <c r="B1971" i="55"/>
  <c r="A1971" i="55"/>
  <c r="W1970" i="55"/>
  <c r="V1970" i="55"/>
  <c r="U1970" i="55"/>
  <c r="T1970" i="55"/>
  <c r="S1970" i="55"/>
  <c r="J1970" i="55"/>
  <c r="I1970" i="55"/>
  <c r="H1970" i="55"/>
  <c r="D1970" i="55"/>
  <c r="B1970" i="55"/>
  <c r="A1970" i="55"/>
  <c r="W1969" i="55"/>
  <c r="V1969" i="55"/>
  <c r="U1969" i="55"/>
  <c r="T1969" i="55"/>
  <c r="S1969" i="55"/>
  <c r="J1969" i="55"/>
  <c r="I1969" i="55"/>
  <c r="H1969" i="55"/>
  <c r="D1969" i="55"/>
  <c r="B1969" i="55"/>
  <c r="A1969" i="55"/>
  <c r="W1968" i="55"/>
  <c r="V1968" i="55"/>
  <c r="U1968" i="55"/>
  <c r="T1968" i="55"/>
  <c r="S1968" i="55"/>
  <c r="J1968" i="55"/>
  <c r="I1968" i="55"/>
  <c r="H1968" i="55"/>
  <c r="D1968" i="55"/>
  <c r="B1968" i="55"/>
  <c r="A1968" i="55"/>
  <c r="W1967" i="55"/>
  <c r="V1967" i="55"/>
  <c r="U1967" i="55"/>
  <c r="T1967" i="55"/>
  <c r="S1967" i="55"/>
  <c r="J1967" i="55"/>
  <c r="I1967" i="55"/>
  <c r="H1967" i="55"/>
  <c r="D1967" i="55"/>
  <c r="B1967" i="55"/>
  <c r="A1967" i="55"/>
  <c r="W1966" i="55"/>
  <c r="V1966" i="55"/>
  <c r="U1966" i="55"/>
  <c r="T1966" i="55"/>
  <c r="S1966" i="55"/>
  <c r="J1966" i="55"/>
  <c r="I1966" i="55"/>
  <c r="H1966" i="55"/>
  <c r="D1966" i="55"/>
  <c r="B1966" i="55"/>
  <c r="A1966" i="55"/>
  <c r="W1965" i="55"/>
  <c r="V1965" i="55"/>
  <c r="U1965" i="55"/>
  <c r="T1965" i="55"/>
  <c r="S1965" i="55"/>
  <c r="J1965" i="55"/>
  <c r="I1965" i="55"/>
  <c r="H1965" i="55"/>
  <c r="D1965" i="55"/>
  <c r="B1965" i="55"/>
  <c r="A1965" i="55"/>
  <c r="W1964" i="55"/>
  <c r="V1964" i="55"/>
  <c r="U1964" i="55"/>
  <c r="T1964" i="55"/>
  <c r="S1964" i="55"/>
  <c r="J1964" i="55"/>
  <c r="I1964" i="55"/>
  <c r="H1964" i="55"/>
  <c r="D1964" i="55"/>
  <c r="B1964" i="55"/>
  <c r="A1964" i="55"/>
  <c r="W1963" i="55"/>
  <c r="V1963" i="55"/>
  <c r="U1963" i="55"/>
  <c r="T1963" i="55"/>
  <c r="S1963" i="55"/>
  <c r="J1963" i="55"/>
  <c r="I1963" i="55"/>
  <c r="H1963" i="55"/>
  <c r="D1963" i="55"/>
  <c r="B1963" i="55"/>
  <c r="A1963" i="55"/>
  <c r="W1962" i="55"/>
  <c r="V1962" i="55"/>
  <c r="U1962" i="55"/>
  <c r="T1962" i="55"/>
  <c r="S1962" i="55"/>
  <c r="J1962" i="55"/>
  <c r="I1962" i="55"/>
  <c r="H1962" i="55"/>
  <c r="D1962" i="55"/>
  <c r="B1962" i="55"/>
  <c r="A1962" i="55"/>
  <c r="W1961" i="55"/>
  <c r="V1961" i="55"/>
  <c r="U1961" i="55"/>
  <c r="T1961" i="55"/>
  <c r="S1961" i="55"/>
  <c r="J1961" i="55"/>
  <c r="I1961" i="55"/>
  <c r="H1961" i="55"/>
  <c r="D1961" i="55"/>
  <c r="B1961" i="55"/>
  <c r="A1961" i="55"/>
  <c r="W1960" i="55"/>
  <c r="V1960" i="55"/>
  <c r="U1960" i="55"/>
  <c r="T1960" i="55"/>
  <c r="S1960" i="55"/>
  <c r="J1960" i="55"/>
  <c r="I1960" i="55"/>
  <c r="H1960" i="55"/>
  <c r="D1960" i="55"/>
  <c r="B1960" i="55"/>
  <c r="A1960" i="55"/>
  <c r="W1959" i="55"/>
  <c r="V1959" i="55"/>
  <c r="U1959" i="55"/>
  <c r="T1959" i="55"/>
  <c r="S1959" i="55"/>
  <c r="J1959" i="55"/>
  <c r="I1959" i="55"/>
  <c r="H1959" i="55"/>
  <c r="D1959" i="55"/>
  <c r="B1959" i="55"/>
  <c r="A1959" i="55"/>
  <c r="W1958" i="55"/>
  <c r="V1958" i="55"/>
  <c r="U1958" i="55"/>
  <c r="T1958" i="55"/>
  <c r="S1958" i="55"/>
  <c r="J1958" i="55"/>
  <c r="I1958" i="55"/>
  <c r="H1958" i="55"/>
  <c r="D1958" i="55"/>
  <c r="B1958" i="55"/>
  <c r="A1958" i="55"/>
  <c r="W1957" i="55"/>
  <c r="V1957" i="55"/>
  <c r="U1957" i="55"/>
  <c r="T1957" i="55"/>
  <c r="S1957" i="55"/>
  <c r="J1957" i="55"/>
  <c r="I1957" i="55"/>
  <c r="H1957" i="55"/>
  <c r="D1957" i="55"/>
  <c r="B1957" i="55"/>
  <c r="A1957" i="55"/>
  <c r="W1956" i="55"/>
  <c r="V1956" i="55"/>
  <c r="U1956" i="55"/>
  <c r="T1956" i="55"/>
  <c r="S1956" i="55"/>
  <c r="J1956" i="55"/>
  <c r="I1956" i="55"/>
  <c r="H1956" i="55"/>
  <c r="D1956" i="55"/>
  <c r="B1956" i="55"/>
  <c r="A1956" i="55"/>
  <c r="W1955" i="55"/>
  <c r="V1955" i="55"/>
  <c r="U1955" i="55"/>
  <c r="T1955" i="55"/>
  <c r="S1955" i="55"/>
  <c r="J1955" i="55"/>
  <c r="I1955" i="55"/>
  <c r="H1955" i="55"/>
  <c r="D1955" i="55"/>
  <c r="B1955" i="55"/>
  <c r="A1955" i="55"/>
  <c r="W1954" i="55"/>
  <c r="V1954" i="55"/>
  <c r="U1954" i="55"/>
  <c r="T1954" i="55"/>
  <c r="S1954" i="55"/>
  <c r="J1954" i="55"/>
  <c r="I1954" i="55"/>
  <c r="H1954" i="55"/>
  <c r="D1954" i="55"/>
  <c r="B1954" i="55"/>
  <c r="A1954" i="55"/>
  <c r="W1953" i="55"/>
  <c r="V1953" i="55"/>
  <c r="U1953" i="55"/>
  <c r="T1953" i="55"/>
  <c r="S1953" i="55"/>
  <c r="J1953" i="55"/>
  <c r="I1953" i="55"/>
  <c r="H1953" i="55"/>
  <c r="D1953" i="55"/>
  <c r="B1953" i="55"/>
  <c r="A1953" i="55"/>
  <c r="W1952" i="55"/>
  <c r="V1952" i="55"/>
  <c r="U1952" i="55"/>
  <c r="T1952" i="55"/>
  <c r="S1952" i="55"/>
  <c r="J1952" i="55"/>
  <c r="I1952" i="55"/>
  <c r="H1952" i="55"/>
  <c r="D1952" i="55"/>
  <c r="B1952" i="55"/>
  <c r="A1952" i="55"/>
  <c r="W1951" i="55"/>
  <c r="V1951" i="55"/>
  <c r="U1951" i="55"/>
  <c r="T1951" i="55"/>
  <c r="S1951" i="55"/>
  <c r="J1951" i="55"/>
  <c r="I1951" i="55"/>
  <c r="H1951" i="55"/>
  <c r="D1951" i="55"/>
  <c r="B1951" i="55"/>
  <c r="A1951" i="55"/>
  <c r="W1950" i="55"/>
  <c r="V1950" i="55"/>
  <c r="U1950" i="55"/>
  <c r="T1950" i="55"/>
  <c r="S1950" i="55"/>
  <c r="J1950" i="55"/>
  <c r="I1950" i="55"/>
  <c r="H1950" i="55"/>
  <c r="D1950" i="55"/>
  <c r="B1950" i="55"/>
  <c r="A1950" i="55"/>
  <c r="W1949" i="55"/>
  <c r="V1949" i="55"/>
  <c r="U1949" i="55"/>
  <c r="T1949" i="55"/>
  <c r="S1949" i="55"/>
  <c r="J1949" i="55"/>
  <c r="I1949" i="55"/>
  <c r="H1949" i="55"/>
  <c r="D1949" i="55"/>
  <c r="B1949" i="55"/>
  <c r="A1949" i="55"/>
  <c r="W1948" i="55"/>
  <c r="V1948" i="55"/>
  <c r="U1948" i="55"/>
  <c r="T1948" i="55"/>
  <c r="S1948" i="55"/>
  <c r="J1948" i="55"/>
  <c r="I1948" i="55"/>
  <c r="H1948" i="55"/>
  <c r="D1948" i="55"/>
  <c r="B1948" i="55"/>
  <c r="A1948" i="55"/>
  <c r="W1947" i="55"/>
  <c r="V1947" i="55"/>
  <c r="U1947" i="55"/>
  <c r="T1947" i="55"/>
  <c r="S1947" i="55"/>
  <c r="J1947" i="55"/>
  <c r="I1947" i="55"/>
  <c r="H1947" i="55"/>
  <c r="D1947" i="55"/>
  <c r="B1947" i="55"/>
  <c r="A1947" i="55"/>
  <c r="W1946" i="55"/>
  <c r="V1946" i="55"/>
  <c r="U1946" i="55"/>
  <c r="T1946" i="55"/>
  <c r="S1946" i="55"/>
  <c r="J1946" i="55"/>
  <c r="I1946" i="55"/>
  <c r="H1946" i="55"/>
  <c r="D1946" i="55"/>
  <c r="B1946" i="55"/>
  <c r="A1946" i="55"/>
  <c r="W1945" i="55"/>
  <c r="V1945" i="55"/>
  <c r="U1945" i="55"/>
  <c r="T1945" i="55"/>
  <c r="S1945" i="55"/>
  <c r="J1945" i="55"/>
  <c r="I1945" i="55"/>
  <c r="H1945" i="55"/>
  <c r="D1945" i="55"/>
  <c r="B1945" i="55"/>
  <c r="A1945" i="55"/>
  <c r="W1944" i="55"/>
  <c r="V1944" i="55"/>
  <c r="U1944" i="55"/>
  <c r="T1944" i="55"/>
  <c r="S1944" i="55"/>
  <c r="J1944" i="55"/>
  <c r="I1944" i="55"/>
  <c r="H1944" i="55"/>
  <c r="D1944" i="55"/>
  <c r="B1944" i="55"/>
  <c r="A1944" i="55"/>
  <c r="W1943" i="55"/>
  <c r="V1943" i="55"/>
  <c r="U1943" i="55"/>
  <c r="T1943" i="55"/>
  <c r="S1943" i="55"/>
  <c r="J1943" i="55"/>
  <c r="I1943" i="55"/>
  <c r="H1943" i="55"/>
  <c r="D1943" i="55"/>
  <c r="B1943" i="55"/>
  <c r="A1943" i="55"/>
  <c r="W1942" i="55"/>
  <c r="V1942" i="55"/>
  <c r="U1942" i="55"/>
  <c r="T1942" i="55"/>
  <c r="S1942" i="55"/>
  <c r="J1942" i="55"/>
  <c r="I1942" i="55"/>
  <c r="H1942" i="55"/>
  <c r="D1942" i="55"/>
  <c r="B1942" i="55"/>
  <c r="A1942" i="55"/>
  <c r="W1941" i="55"/>
  <c r="V1941" i="55"/>
  <c r="U1941" i="55"/>
  <c r="T1941" i="55"/>
  <c r="S1941" i="55"/>
  <c r="J1941" i="55"/>
  <c r="I1941" i="55"/>
  <c r="H1941" i="55"/>
  <c r="D1941" i="55"/>
  <c r="B1941" i="55"/>
  <c r="A1941" i="55"/>
  <c r="W1940" i="55"/>
  <c r="V1940" i="55"/>
  <c r="U1940" i="55"/>
  <c r="T1940" i="55"/>
  <c r="S1940" i="55"/>
  <c r="J1940" i="55"/>
  <c r="I1940" i="55"/>
  <c r="H1940" i="55"/>
  <c r="D1940" i="55"/>
  <c r="B1940" i="55"/>
  <c r="A1940" i="55"/>
  <c r="W1939" i="55"/>
  <c r="V1939" i="55"/>
  <c r="U1939" i="55"/>
  <c r="T1939" i="55"/>
  <c r="S1939" i="55"/>
  <c r="J1939" i="55"/>
  <c r="I1939" i="55"/>
  <c r="H1939" i="55"/>
  <c r="D1939" i="55"/>
  <c r="B1939" i="55"/>
  <c r="A1939" i="55"/>
  <c r="W1938" i="55"/>
  <c r="V1938" i="55"/>
  <c r="U1938" i="55"/>
  <c r="T1938" i="55"/>
  <c r="S1938" i="55"/>
  <c r="J1938" i="55"/>
  <c r="I1938" i="55"/>
  <c r="H1938" i="55"/>
  <c r="D1938" i="55"/>
  <c r="B1938" i="55"/>
  <c r="A1938" i="55"/>
  <c r="W1937" i="55"/>
  <c r="V1937" i="55"/>
  <c r="U1937" i="55"/>
  <c r="T1937" i="55"/>
  <c r="S1937" i="55"/>
  <c r="J1937" i="55"/>
  <c r="I1937" i="55"/>
  <c r="H1937" i="55"/>
  <c r="D1937" i="55"/>
  <c r="B1937" i="55"/>
  <c r="A1937" i="55"/>
  <c r="W1936" i="55"/>
  <c r="V1936" i="55"/>
  <c r="U1936" i="55"/>
  <c r="T1936" i="55"/>
  <c r="S1936" i="55"/>
  <c r="J1936" i="55"/>
  <c r="I1936" i="55"/>
  <c r="H1936" i="55"/>
  <c r="D1936" i="55"/>
  <c r="B1936" i="55"/>
  <c r="A1936" i="55"/>
  <c r="W1935" i="55"/>
  <c r="V1935" i="55"/>
  <c r="U1935" i="55"/>
  <c r="T1935" i="55"/>
  <c r="S1935" i="55"/>
  <c r="J1935" i="55"/>
  <c r="I1935" i="55"/>
  <c r="H1935" i="55"/>
  <c r="D1935" i="55"/>
  <c r="B1935" i="55"/>
  <c r="A1935" i="55"/>
  <c r="W1934" i="55"/>
  <c r="V1934" i="55"/>
  <c r="U1934" i="55"/>
  <c r="T1934" i="55"/>
  <c r="S1934" i="55"/>
  <c r="J1934" i="55"/>
  <c r="I1934" i="55"/>
  <c r="H1934" i="55"/>
  <c r="D1934" i="55"/>
  <c r="B1934" i="55"/>
  <c r="A1934" i="55"/>
  <c r="W1933" i="55"/>
  <c r="V1933" i="55"/>
  <c r="U1933" i="55"/>
  <c r="T1933" i="55"/>
  <c r="S1933" i="55"/>
  <c r="J1933" i="55"/>
  <c r="I1933" i="55"/>
  <c r="H1933" i="55"/>
  <c r="D1933" i="55"/>
  <c r="B1933" i="55"/>
  <c r="A1933" i="55"/>
  <c r="W1932" i="55"/>
  <c r="V1932" i="55"/>
  <c r="U1932" i="55"/>
  <c r="T1932" i="55"/>
  <c r="S1932" i="55"/>
  <c r="J1932" i="55"/>
  <c r="I1932" i="55"/>
  <c r="H1932" i="55"/>
  <c r="D1932" i="55"/>
  <c r="B1932" i="55"/>
  <c r="A1932" i="55"/>
  <c r="W1931" i="55"/>
  <c r="V1931" i="55"/>
  <c r="U1931" i="55"/>
  <c r="T1931" i="55"/>
  <c r="S1931" i="55"/>
  <c r="J1931" i="55"/>
  <c r="I1931" i="55"/>
  <c r="H1931" i="55"/>
  <c r="D1931" i="55"/>
  <c r="B1931" i="55"/>
  <c r="A1931" i="55"/>
  <c r="W1930" i="55"/>
  <c r="V1930" i="55"/>
  <c r="U1930" i="55"/>
  <c r="T1930" i="55"/>
  <c r="S1930" i="55"/>
  <c r="J1930" i="55"/>
  <c r="I1930" i="55"/>
  <c r="H1930" i="55"/>
  <c r="D1930" i="55"/>
  <c r="B1930" i="55"/>
  <c r="A1930" i="55"/>
  <c r="W1929" i="55"/>
  <c r="V1929" i="55"/>
  <c r="U1929" i="55"/>
  <c r="T1929" i="55"/>
  <c r="S1929" i="55"/>
  <c r="J1929" i="55"/>
  <c r="I1929" i="55"/>
  <c r="H1929" i="55"/>
  <c r="D1929" i="55"/>
  <c r="B1929" i="55"/>
  <c r="A1929" i="55"/>
  <c r="W1928" i="55"/>
  <c r="V1928" i="55"/>
  <c r="U1928" i="55"/>
  <c r="T1928" i="55"/>
  <c r="S1928" i="55"/>
  <c r="J1928" i="55"/>
  <c r="I1928" i="55"/>
  <c r="H1928" i="55"/>
  <c r="D1928" i="55"/>
  <c r="B1928" i="55"/>
  <c r="A1928" i="55"/>
  <c r="W1927" i="55"/>
  <c r="V1927" i="55"/>
  <c r="U1927" i="55"/>
  <c r="T1927" i="55"/>
  <c r="S1927" i="55"/>
  <c r="J1927" i="55"/>
  <c r="I1927" i="55"/>
  <c r="H1927" i="55"/>
  <c r="D1927" i="55"/>
  <c r="B1927" i="55"/>
  <c r="A1927" i="55"/>
  <c r="W1926" i="55"/>
  <c r="V1926" i="55"/>
  <c r="U1926" i="55"/>
  <c r="T1926" i="55"/>
  <c r="S1926" i="55"/>
  <c r="J1926" i="55"/>
  <c r="I1926" i="55"/>
  <c r="H1926" i="55"/>
  <c r="D1926" i="55"/>
  <c r="B1926" i="55"/>
  <c r="A1926" i="55"/>
  <c r="W1925" i="55"/>
  <c r="V1925" i="55"/>
  <c r="U1925" i="55"/>
  <c r="T1925" i="55"/>
  <c r="S1925" i="55"/>
  <c r="J1925" i="55"/>
  <c r="I1925" i="55"/>
  <c r="H1925" i="55"/>
  <c r="D1925" i="55"/>
  <c r="B1925" i="55"/>
  <c r="A1925" i="55"/>
  <c r="W1924" i="55"/>
  <c r="V1924" i="55"/>
  <c r="U1924" i="55"/>
  <c r="T1924" i="55"/>
  <c r="S1924" i="55"/>
  <c r="J1924" i="55"/>
  <c r="I1924" i="55"/>
  <c r="H1924" i="55"/>
  <c r="D1924" i="55"/>
  <c r="B1924" i="55"/>
  <c r="A1924" i="55"/>
  <c r="W1923" i="55"/>
  <c r="V1923" i="55"/>
  <c r="U1923" i="55"/>
  <c r="T1923" i="55"/>
  <c r="S1923" i="55"/>
  <c r="J1923" i="55"/>
  <c r="I1923" i="55"/>
  <c r="H1923" i="55"/>
  <c r="D1923" i="55"/>
  <c r="B1923" i="55"/>
  <c r="A1923" i="55"/>
  <c r="W1922" i="55"/>
  <c r="V1922" i="55"/>
  <c r="U1922" i="55"/>
  <c r="T1922" i="55"/>
  <c r="S1922" i="55"/>
  <c r="J1922" i="55"/>
  <c r="I1922" i="55"/>
  <c r="H1922" i="55"/>
  <c r="D1922" i="55"/>
  <c r="B1922" i="55"/>
  <c r="A1922" i="55"/>
  <c r="W1921" i="55"/>
  <c r="V1921" i="55"/>
  <c r="U1921" i="55"/>
  <c r="T1921" i="55"/>
  <c r="S1921" i="55"/>
  <c r="J1921" i="55"/>
  <c r="I1921" i="55"/>
  <c r="H1921" i="55"/>
  <c r="D1921" i="55"/>
  <c r="B1921" i="55"/>
  <c r="A1921" i="55"/>
  <c r="W1920" i="55"/>
  <c r="V1920" i="55"/>
  <c r="U1920" i="55"/>
  <c r="T1920" i="55"/>
  <c r="S1920" i="55"/>
  <c r="J1920" i="55"/>
  <c r="I1920" i="55"/>
  <c r="H1920" i="55"/>
  <c r="D1920" i="55"/>
  <c r="B1920" i="55"/>
  <c r="A1920" i="55"/>
  <c r="W1919" i="55"/>
  <c r="V1919" i="55"/>
  <c r="U1919" i="55"/>
  <c r="T1919" i="55"/>
  <c r="S1919" i="55"/>
  <c r="J1919" i="55"/>
  <c r="I1919" i="55"/>
  <c r="H1919" i="55"/>
  <c r="D1919" i="55"/>
  <c r="B1919" i="55"/>
  <c r="A1919" i="55"/>
  <c r="W1918" i="55"/>
  <c r="V1918" i="55"/>
  <c r="U1918" i="55"/>
  <c r="T1918" i="55"/>
  <c r="S1918" i="55"/>
  <c r="J1918" i="55"/>
  <c r="I1918" i="55"/>
  <c r="H1918" i="55"/>
  <c r="D1918" i="55"/>
  <c r="B1918" i="55"/>
  <c r="A1918" i="55"/>
  <c r="W1917" i="55"/>
  <c r="V1917" i="55"/>
  <c r="U1917" i="55"/>
  <c r="T1917" i="55"/>
  <c r="S1917" i="55"/>
  <c r="J1917" i="55"/>
  <c r="I1917" i="55"/>
  <c r="H1917" i="55"/>
  <c r="D1917" i="55"/>
  <c r="B1917" i="55"/>
  <c r="A1917" i="55"/>
  <c r="W1916" i="55"/>
  <c r="V1916" i="55"/>
  <c r="U1916" i="55"/>
  <c r="T1916" i="55"/>
  <c r="S1916" i="55"/>
  <c r="J1916" i="55"/>
  <c r="I1916" i="55"/>
  <c r="H1916" i="55"/>
  <c r="D1916" i="55"/>
  <c r="B1916" i="55"/>
  <c r="A1916" i="55"/>
  <c r="W1915" i="55"/>
  <c r="V1915" i="55"/>
  <c r="U1915" i="55"/>
  <c r="T1915" i="55"/>
  <c r="S1915" i="55"/>
  <c r="J1915" i="55"/>
  <c r="I1915" i="55"/>
  <c r="H1915" i="55"/>
  <c r="D1915" i="55"/>
  <c r="B1915" i="55"/>
  <c r="A1915" i="55"/>
  <c r="W1914" i="55"/>
  <c r="V1914" i="55"/>
  <c r="U1914" i="55"/>
  <c r="T1914" i="55"/>
  <c r="S1914" i="55"/>
  <c r="J1914" i="55"/>
  <c r="I1914" i="55"/>
  <c r="H1914" i="55"/>
  <c r="D1914" i="55"/>
  <c r="B1914" i="55"/>
  <c r="A1914" i="55"/>
  <c r="W1913" i="55"/>
  <c r="V1913" i="55"/>
  <c r="U1913" i="55"/>
  <c r="T1913" i="55"/>
  <c r="S1913" i="55"/>
  <c r="J1913" i="55"/>
  <c r="I1913" i="55"/>
  <c r="H1913" i="55"/>
  <c r="D1913" i="55"/>
  <c r="B1913" i="55"/>
  <c r="A1913" i="55"/>
  <c r="W1912" i="55"/>
  <c r="V1912" i="55"/>
  <c r="U1912" i="55"/>
  <c r="T1912" i="55"/>
  <c r="S1912" i="55"/>
  <c r="J1912" i="55"/>
  <c r="I1912" i="55"/>
  <c r="H1912" i="55"/>
  <c r="D1912" i="55"/>
  <c r="B1912" i="55"/>
  <c r="A1912" i="55"/>
  <c r="W1911" i="55"/>
  <c r="V1911" i="55"/>
  <c r="U1911" i="55"/>
  <c r="T1911" i="55"/>
  <c r="S1911" i="55"/>
  <c r="J1911" i="55"/>
  <c r="I1911" i="55"/>
  <c r="H1911" i="55"/>
  <c r="D1911" i="55"/>
  <c r="B1911" i="55"/>
  <c r="A1911" i="55"/>
  <c r="W1910" i="55"/>
  <c r="V1910" i="55"/>
  <c r="U1910" i="55"/>
  <c r="T1910" i="55"/>
  <c r="S1910" i="55"/>
  <c r="J1910" i="55"/>
  <c r="I1910" i="55"/>
  <c r="H1910" i="55"/>
  <c r="D1910" i="55"/>
  <c r="B1910" i="55"/>
  <c r="A1910" i="55"/>
  <c r="W1909" i="55"/>
  <c r="V1909" i="55"/>
  <c r="U1909" i="55"/>
  <c r="T1909" i="55"/>
  <c r="S1909" i="55"/>
  <c r="J1909" i="55"/>
  <c r="I1909" i="55"/>
  <c r="H1909" i="55"/>
  <c r="D1909" i="55"/>
  <c r="B1909" i="55"/>
  <c r="A1909" i="55"/>
  <c r="W1908" i="55"/>
  <c r="V1908" i="55"/>
  <c r="U1908" i="55"/>
  <c r="T1908" i="55"/>
  <c r="S1908" i="55"/>
  <c r="J1908" i="55"/>
  <c r="I1908" i="55"/>
  <c r="H1908" i="55"/>
  <c r="D1908" i="55"/>
  <c r="B1908" i="55"/>
  <c r="A1908" i="55"/>
  <c r="W1907" i="55"/>
  <c r="V1907" i="55"/>
  <c r="U1907" i="55"/>
  <c r="T1907" i="55"/>
  <c r="S1907" i="55"/>
  <c r="J1907" i="55"/>
  <c r="I1907" i="55"/>
  <c r="H1907" i="55"/>
  <c r="D1907" i="55"/>
  <c r="B1907" i="55"/>
  <c r="A1907" i="55"/>
  <c r="W1906" i="55"/>
  <c r="V1906" i="55"/>
  <c r="U1906" i="55"/>
  <c r="T1906" i="55"/>
  <c r="S1906" i="55"/>
  <c r="J1906" i="55"/>
  <c r="I1906" i="55"/>
  <c r="H1906" i="55"/>
  <c r="D1906" i="55"/>
  <c r="B1906" i="55"/>
  <c r="A1906" i="55"/>
  <c r="W1905" i="55"/>
  <c r="V1905" i="55"/>
  <c r="U1905" i="55"/>
  <c r="T1905" i="55"/>
  <c r="S1905" i="55"/>
  <c r="J1905" i="55"/>
  <c r="I1905" i="55"/>
  <c r="H1905" i="55"/>
  <c r="D1905" i="55"/>
  <c r="B1905" i="55"/>
  <c r="A1905" i="55"/>
  <c r="W1904" i="55"/>
  <c r="V1904" i="55"/>
  <c r="U1904" i="55"/>
  <c r="T1904" i="55"/>
  <c r="S1904" i="55"/>
  <c r="J1904" i="55"/>
  <c r="I1904" i="55"/>
  <c r="H1904" i="55"/>
  <c r="D1904" i="55"/>
  <c r="B1904" i="55"/>
  <c r="A1904" i="55"/>
  <c r="W1903" i="55"/>
  <c r="V1903" i="55"/>
  <c r="U1903" i="55"/>
  <c r="T1903" i="55"/>
  <c r="S1903" i="55"/>
  <c r="J1903" i="55"/>
  <c r="I1903" i="55"/>
  <c r="H1903" i="55"/>
  <c r="D1903" i="55"/>
  <c r="B1903" i="55"/>
  <c r="A1903" i="55"/>
  <c r="W1902" i="55"/>
  <c r="V1902" i="55"/>
  <c r="U1902" i="55"/>
  <c r="T1902" i="55"/>
  <c r="S1902" i="55"/>
  <c r="J1902" i="55"/>
  <c r="I1902" i="55"/>
  <c r="H1902" i="55"/>
  <c r="D1902" i="55"/>
  <c r="B1902" i="55"/>
  <c r="A1902" i="55"/>
  <c r="W1901" i="55"/>
  <c r="V1901" i="55"/>
  <c r="U1901" i="55"/>
  <c r="T1901" i="55"/>
  <c r="S1901" i="55"/>
  <c r="J1901" i="55"/>
  <c r="I1901" i="55"/>
  <c r="H1901" i="55"/>
  <c r="D1901" i="55"/>
  <c r="B1901" i="55"/>
  <c r="A1901" i="55"/>
  <c r="W1900" i="55"/>
  <c r="V1900" i="55"/>
  <c r="U1900" i="55"/>
  <c r="T1900" i="55"/>
  <c r="S1900" i="55"/>
  <c r="J1900" i="55"/>
  <c r="I1900" i="55"/>
  <c r="H1900" i="55"/>
  <c r="D1900" i="55"/>
  <c r="B1900" i="55"/>
  <c r="A1900" i="55"/>
  <c r="W1899" i="55"/>
  <c r="V1899" i="55"/>
  <c r="U1899" i="55"/>
  <c r="T1899" i="55"/>
  <c r="S1899" i="55"/>
  <c r="J1899" i="55"/>
  <c r="I1899" i="55"/>
  <c r="H1899" i="55"/>
  <c r="D1899" i="55"/>
  <c r="B1899" i="55"/>
  <c r="A1899" i="55"/>
  <c r="W1898" i="55"/>
  <c r="V1898" i="55"/>
  <c r="U1898" i="55"/>
  <c r="T1898" i="55"/>
  <c r="S1898" i="55"/>
  <c r="J1898" i="55"/>
  <c r="I1898" i="55"/>
  <c r="H1898" i="55"/>
  <c r="D1898" i="55"/>
  <c r="B1898" i="55"/>
  <c r="A1898" i="55"/>
  <c r="W1897" i="55"/>
  <c r="V1897" i="55"/>
  <c r="U1897" i="55"/>
  <c r="T1897" i="55"/>
  <c r="S1897" i="55"/>
  <c r="J1897" i="55"/>
  <c r="I1897" i="55"/>
  <c r="H1897" i="55"/>
  <c r="D1897" i="55"/>
  <c r="B1897" i="55"/>
  <c r="A1897" i="55"/>
  <c r="W1896" i="55"/>
  <c r="V1896" i="55"/>
  <c r="U1896" i="55"/>
  <c r="T1896" i="55"/>
  <c r="S1896" i="55"/>
  <c r="J1896" i="55"/>
  <c r="I1896" i="55"/>
  <c r="H1896" i="55"/>
  <c r="D1896" i="55"/>
  <c r="B1896" i="55"/>
  <c r="A1896" i="55"/>
  <c r="W1895" i="55"/>
  <c r="V1895" i="55"/>
  <c r="U1895" i="55"/>
  <c r="T1895" i="55"/>
  <c r="S1895" i="55"/>
  <c r="J1895" i="55"/>
  <c r="I1895" i="55"/>
  <c r="H1895" i="55"/>
  <c r="D1895" i="55"/>
  <c r="B1895" i="55"/>
  <c r="A1895" i="55"/>
  <c r="W1894" i="55"/>
  <c r="V1894" i="55"/>
  <c r="U1894" i="55"/>
  <c r="T1894" i="55"/>
  <c r="S1894" i="55"/>
  <c r="J1894" i="55"/>
  <c r="I1894" i="55"/>
  <c r="H1894" i="55"/>
  <c r="D1894" i="55"/>
  <c r="B1894" i="55"/>
  <c r="A1894" i="55"/>
  <c r="W1893" i="55"/>
  <c r="V1893" i="55"/>
  <c r="U1893" i="55"/>
  <c r="T1893" i="55"/>
  <c r="S1893" i="55"/>
  <c r="J1893" i="55"/>
  <c r="I1893" i="55"/>
  <c r="H1893" i="55"/>
  <c r="D1893" i="55"/>
  <c r="B1893" i="55"/>
  <c r="A1893" i="55"/>
  <c r="W1892" i="55"/>
  <c r="V1892" i="55"/>
  <c r="U1892" i="55"/>
  <c r="T1892" i="55"/>
  <c r="S1892" i="55"/>
  <c r="J1892" i="55"/>
  <c r="I1892" i="55"/>
  <c r="H1892" i="55"/>
  <c r="D1892" i="55"/>
  <c r="B1892" i="55"/>
  <c r="A1892" i="55"/>
  <c r="W1891" i="55"/>
  <c r="V1891" i="55"/>
  <c r="U1891" i="55"/>
  <c r="T1891" i="55"/>
  <c r="S1891" i="55"/>
  <c r="J1891" i="55"/>
  <c r="I1891" i="55"/>
  <c r="H1891" i="55"/>
  <c r="D1891" i="55"/>
  <c r="B1891" i="55"/>
  <c r="A1891" i="55"/>
  <c r="W1890" i="55"/>
  <c r="V1890" i="55"/>
  <c r="U1890" i="55"/>
  <c r="T1890" i="55"/>
  <c r="S1890" i="55"/>
  <c r="J1890" i="55"/>
  <c r="I1890" i="55"/>
  <c r="H1890" i="55"/>
  <c r="D1890" i="55"/>
  <c r="B1890" i="55"/>
  <c r="A1890" i="55"/>
  <c r="W1889" i="55"/>
  <c r="V1889" i="55"/>
  <c r="U1889" i="55"/>
  <c r="T1889" i="55"/>
  <c r="S1889" i="55"/>
  <c r="J1889" i="55"/>
  <c r="I1889" i="55"/>
  <c r="H1889" i="55"/>
  <c r="D1889" i="55"/>
  <c r="B1889" i="55"/>
  <c r="A1889" i="55"/>
  <c r="W1888" i="55"/>
  <c r="V1888" i="55"/>
  <c r="U1888" i="55"/>
  <c r="T1888" i="55"/>
  <c r="S1888" i="55"/>
  <c r="J1888" i="55"/>
  <c r="I1888" i="55"/>
  <c r="H1888" i="55"/>
  <c r="D1888" i="55"/>
  <c r="B1888" i="55"/>
  <c r="A1888" i="55"/>
  <c r="W1887" i="55"/>
  <c r="V1887" i="55"/>
  <c r="U1887" i="55"/>
  <c r="T1887" i="55"/>
  <c r="S1887" i="55"/>
  <c r="J1887" i="55"/>
  <c r="I1887" i="55"/>
  <c r="H1887" i="55"/>
  <c r="D1887" i="55"/>
  <c r="B1887" i="55"/>
  <c r="A1887" i="55"/>
  <c r="W1886" i="55"/>
  <c r="V1886" i="55"/>
  <c r="U1886" i="55"/>
  <c r="T1886" i="55"/>
  <c r="S1886" i="55"/>
  <c r="J1886" i="55"/>
  <c r="I1886" i="55"/>
  <c r="H1886" i="55"/>
  <c r="D1886" i="55"/>
  <c r="B1886" i="55"/>
  <c r="A1886" i="55"/>
  <c r="W1885" i="55"/>
  <c r="V1885" i="55"/>
  <c r="U1885" i="55"/>
  <c r="T1885" i="55"/>
  <c r="S1885" i="55"/>
  <c r="J1885" i="55"/>
  <c r="I1885" i="55"/>
  <c r="H1885" i="55"/>
  <c r="D1885" i="55"/>
  <c r="B1885" i="55"/>
  <c r="A1885" i="55"/>
  <c r="W1884" i="55"/>
  <c r="V1884" i="55"/>
  <c r="U1884" i="55"/>
  <c r="T1884" i="55"/>
  <c r="S1884" i="55"/>
  <c r="J1884" i="55"/>
  <c r="I1884" i="55"/>
  <c r="H1884" i="55"/>
  <c r="D1884" i="55"/>
  <c r="B1884" i="55"/>
  <c r="A1884" i="55"/>
  <c r="W1883" i="55"/>
  <c r="V1883" i="55"/>
  <c r="U1883" i="55"/>
  <c r="T1883" i="55"/>
  <c r="S1883" i="55"/>
  <c r="J1883" i="55"/>
  <c r="I1883" i="55"/>
  <c r="H1883" i="55"/>
  <c r="D1883" i="55"/>
  <c r="B1883" i="55"/>
  <c r="A1883" i="55"/>
  <c r="W1882" i="55"/>
  <c r="V1882" i="55"/>
  <c r="U1882" i="55"/>
  <c r="T1882" i="55"/>
  <c r="S1882" i="55"/>
  <c r="J1882" i="55"/>
  <c r="I1882" i="55"/>
  <c r="H1882" i="55"/>
  <c r="D1882" i="55"/>
  <c r="B1882" i="55"/>
  <c r="A1882" i="55"/>
  <c r="W1881" i="55"/>
  <c r="V1881" i="55"/>
  <c r="U1881" i="55"/>
  <c r="T1881" i="55"/>
  <c r="S1881" i="55"/>
  <c r="J1881" i="55"/>
  <c r="I1881" i="55"/>
  <c r="H1881" i="55"/>
  <c r="D1881" i="55"/>
  <c r="B1881" i="55"/>
  <c r="A1881" i="55"/>
  <c r="W1880" i="55"/>
  <c r="V1880" i="55"/>
  <c r="U1880" i="55"/>
  <c r="T1880" i="55"/>
  <c r="S1880" i="55"/>
  <c r="J1880" i="55"/>
  <c r="I1880" i="55"/>
  <c r="H1880" i="55"/>
  <c r="D1880" i="55"/>
  <c r="B1880" i="55"/>
  <c r="A1880" i="55"/>
  <c r="W1879" i="55"/>
  <c r="V1879" i="55"/>
  <c r="U1879" i="55"/>
  <c r="T1879" i="55"/>
  <c r="S1879" i="55"/>
  <c r="J1879" i="55"/>
  <c r="I1879" i="55"/>
  <c r="H1879" i="55"/>
  <c r="D1879" i="55"/>
  <c r="B1879" i="55"/>
  <c r="A1879" i="55"/>
  <c r="W1878" i="55"/>
  <c r="V1878" i="55"/>
  <c r="U1878" i="55"/>
  <c r="T1878" i="55"/>
  <c r="S1878" i="55"/>
  <c r="J1878" i="55"/>
  <c r="I1878" i="55"/>
  <c r="H1878" i="55"/>
  <c r="D1878" i="55"/>
  <c r="B1878" i="55"/>
  <c r="A1878" i="55"/>
  <c r="W1877" i="55"/>
  <c r="V1877" i="55"/>
  <c r="U1877" i="55"/>
  <c r="T1877" i="55"/>
  <c r="S1877" i="55"/>
  <c r="J1877" i="55"/>
  <c r="I1877" i="55"/>
  <c r="H1877" i="55"/>
  <c r="D1877" i="55"/>
  <c r="B1877" i="55"/>
  <c r="A1877" i="55"/>
  <c r="W1876" i="55"/>
  <c r="V1876" i="55"/>
  <c r="U1876" i="55"/>
  <c r="T1876" i="55"/>
  <c r="S1876" i="55"/>
  <c r="J1876" i="55"/>
  <c r="I1876" i="55"/>
  <c r="H1876" i="55"/>
  <c r="D1876" i="55"/>
  <c r="B1876" i="55"/>
  <c r="A1876" i="55"/>
  <c r="W1875" i="55"/>
  <c r="V1875" i="55"/>
  <c r="U1875" i="55"/>
  <c r="T1875" i="55"/>
  <c r="S1875" i="55"/>
  <c r="J1875" i="55"/>
  <c r="I1875" i="55"/>
  <c r="H1875" i="55"/>
  <c r="D1875" i="55"/>
  <c r="B1875" i="55"/>
  <c r="A1875" i="55"/>
  <c r="W1874" i="55"/>
  <c r="V1874" i="55"/>
  <c r="U1874" i="55"/>
  <c r="T1874" i="55"/>
  <c r="S1874" i="55"/>
  <c r="J1874" i="55"/>
  <c r="I1874" i="55"/>
  <c r="H1874" i="55"/>
  <c r="D1874" i="55"/>
  <c r="B1874" i="55"/>
  <c r="A1874" i="55"/>
  <c r="W1873" i="55"/>
  <c r="V1873" i="55"/>
  <c r="U1873" i="55"/>
  <c r="T1873" i="55"/>
  <c r="S1873" i="55"/>
  <c r="J1873" i="55"/>
  <c r="I1873" i="55"/>
  <c r="H1873" i="55"/>
  <c r="D1873" i="55"/>
  <c r="B1873" i="55"/>
  <c r="A1873" i="55"/>
  <c r="W1872" i="55"/>
  <c r="V1872" i="55"/>
  <c r="U1872" i="55"/>
  <c r="T1872" i="55"/>
  <c r="S1872" i="55"/>
  <c r="J1872" i="55"/>
  <c r="I1872" i="55"/>
  <c r="H1872" i="55"/>
  <c r="D1872" i="55"/>
  <c r="B1872" i="55"/>
  <c r="A1872" i="55"/>
  <c r="W1871" i="55"/>
  <c r="V1871" i="55"/>
  <c r="U1871" i="55"/>
  <c r="T1871" i="55"/>
  <c r="S1871" i="55"/>
  <c r="J1871" i="55"/>
  <c r="I1871" i="55"/>
  <c r="H1871" i="55"/>
  <c r="D1871" i="55"/>
  <c r="B1871" i="55"/>
  <c r="A1871" i="55"/>
  <c r="W1870" i="55"/>
  <c r="V1870" i="55"/>
  <c r="U1870" i="55"/>
  <c r="T1870" i="55"/>
  <c r="S1870" i="55"/>
  <c r="J1870" i="55"/>
  <c r="I1870" i="55"/>
  <c r="H1870" i="55"/>
  <c r="D1870" i="55"/>
  <c r="B1870" i="55"/>
  <c r="A1870" i="55"/>
  <c r="W1869" i="55"/>
  <c r="V1869" i="55"/>
  <c r="U1869" i="55"/>
  <c r="T1869" i="55"/>
  <c r="S1869" i="55"/>
  <c r="J1869" i="55"/>
  <c r="I1869" i="55"/>
  <c r="H1869" i="55"/>
  <c r="D1869" i="55"/>
  <c r="B1869" i="55"/>
  <c r="A1869" i="55"/>
  <c r="W1868" i="55"/>
  <c r="V1868" i="55"/>
  <c r="U1868" i="55"/>
  <c r="T1868" i="55"/>
  <c r="S1868" i="55"/>
  <c r="J1868" i="55"/>
  <c r="I1868" i="55"/>
  <c r="H1868" i="55"/>
  <c r="D1868" i="55"/>
  <c r="B1868" i="55"/>
  <c r="A1868" i="55"/>
  <c r="W1867" i="55"/>
  <c r="V1867" i="55"/>
  <c r="U1867" i="55"/>
  <c r="T1867" i="55"/>
  <c r="S1867" i="55"/>
  <c r="J1867" i="55"/>
  <c r="I1867" i="55"/>
  <c r="H1867" i="55"/>
  <c r="D1867" i="55"/>
  <c r="B1867" i="55"/>
  <c r="A1867" i="55"/>
  <c r="W1866" i="55"/>
  <c r="V1866" i="55"/>
  <c r="U1866" i="55"/>
  <c r="T1866" i="55"/>
  <c r="S1866" i="55"/>
  <c r="J1866" i="55"/>
  <c r="I1866" i="55"/>
  <c r="H1866" i="55"/>
  <c r="D1866" i="55"/>
  <c r="B1866" i="55"/>
  <c r="A1866" i="55"/>
  <c r="W1865" i="55"/>
  <c r="V1865" i="55"/>
  <c r="U1865" i="55"/>
  <c r="T1865" i="55"/>
  <c r="S1865" i="55"/>
  <c r="J1865" i="55"/>
  <c r="I1865" i="55"/>
  <c r="H1865" i="55"/>
  <c r="D1865" i="55"/>
  <c r="B1865" i="55"/>
  <c r="A1865" i="55"/>
  <c r="W1864" i="55"/>
  <c r="V1864" i="55"/>
  <c r="U1864" i="55"/>
  <c r="T1864" i="55"/>
  <c r="S1864" i="55"/>
  <c r="J1864" i="55"/>
  <c r="I1864" i="55"/>
  <c r="H1864" i="55"/>
  <c r="D1864" i="55"/>
  <c r="B1864" i="55"/>
  <c r="A1864" i="55"/>
  <c r="W1863" i="55"/>
  <c r="V1863" i="55"/>
  <c r="U1863" i="55"/>
  <c r="T1863" i="55"/>
  <c r="S1863" i="55"/>
  <c r="J1863" i="55"/>
  <c r="I1863" i="55"/>
  <c r="H1863" i="55"/>
  <c r="D1863" i="55"/>
  <c r="B1863" i="55"/>
  <c r="A1863" i="55"/>
  <c r="W1862" i="55"/>
  <c r="V1862" i="55"/>
  <c r="U1862" i="55"/>
  <c r="T1862" i="55"/>
  <c r="S1862" i="55"/>
  <c r="J1862" i="55"/>
  <c r="I1862" i="55"/>
  <c r="H1862" i="55"/>
  <c r="D1862" i="55"/>
  <c r="B1862" i="55"/>
  <c r="A1862" i="55"/>
  <c r="W1861" i="55"/>
  <c r="V1861" i="55"/>
  <c r="U1861" i="55"/>
  <c r="T1861" i="55"/>
  <c r="S1861" i="55"/>
  <c r="J1861" i="55"/>
  <c r="I1861" i="55"/>
  <c r="H1861" i="55"/>
  <c r="D1861" i="55"/>
  <c r="B1861" i="55"/>
  <c r="A1861" i="55"/>
  <c r="W1860" i="55"/>
  <c r="V1860" i="55"/>
  <c r="U1860" i="55"/>
  <c r="T1860" i="55"/>
  <c r="S1860" i="55"/>
  <c r="J1860" i="55"/>
  <c r="I1860" i="55"/>
  <c r="H1860" i="55"/>
  <c r="D1860" i="55"/>
  <c r="B1860" i="55"/>
  <c r="A1860" i="55"/>
  <c r="W1859" i="55"/>
  <c r="V1859" i="55"/>
  <c r="U1859" i="55"/>
  <c r="T1859" i="55"/>
  <c r="S1859" i="55"/>
  <c r="J1859" i="55"/>
  <c r="I1859" i="55"/>
  <c r="H1859" i="55"/>
  <c r="D1859" i="55"/>
  <c r="B1859" i="55"/>
  <c r="A1859" i="55"/>
  <c r="W1858" i="55"/>
  <c r="V1858" i="55"/>
  <c r="U1858" i="55"/>
  <c r="T1858" i="55"/>
  <c r="S1858" i="55"/>
  <c r="J1858" i="55"/>
  <c r="I1858" i="55"/>
  <c r="H1858" i="55"/>
  <c r="D1858" i="55"/>
  <c r="B1858" i="55"/>
  <c r="A1858" i="55"/>
  <c r="W1857" i="55"/>
  <c r="V1857" i="55"/>
  <c r="U1857" i="55"/>
  <c r="T1857" i="55"/>
  <c r="S1857" i="55"/>
  <c r="J1857" i="55"/>
  <c r="I1857" i="55"/>
  <c r="H1857" i="55"/>
  <c r="D1857" i="55"/>
  <c r="B1857" i="55"/>
  <c r="A1857" i="55"/>
  <c r="W1856" i="55"/>
  <c r="V1856" i="55"/>
  <c r="U1856" i="55"/>
  <c r="T1856" i="55"/>
  <c r="S1856" i="55"/>
  <c r="J1856" i="55"/>
  <c r="I1856" i="55"/>
  <c r="H1856" i="55"/>
  <c r="D1856" i="55"/>
  <c r="B1856" i="55"/>
  <c r="A1856" i="55"/>
  <c r="W1855" i="55"/>
  <c r="V1855" i="55"/>
  <c r="U1855" i="55"/>
  <c r="T1855" i="55"/>
  <c r="S1855" i="55"/>
  <c r="J1855" i="55"/>
  <c r="I1855" i="55"/>
  <c r="H1855" i="55"/>
  <c r="D1855" i="55"/>
  <c r="B1855" i="55"/>
  <c r="A1855" i="55"/>
  <c r="W1854" i="55"/>
  <c r="V1854" i="55"/>
  <c r="U1854" i="55"/>
  <c r="T1854" i="55"/>
  <c r="S1854" i="55"/>
  <c r="J1854" i="55"/>
  <c r="I1854" i="55"/>
  <c r="H1854" i="55"/>
  <c r="D1854" i="55"/>
  <c r="B1854" i="55"/>
  <c r="A1854" i="55"/>
  <c r="W1853" i="55"/>
  <c r="V1853" i="55"/>
  <c r="U1853" i="55"/>
  <c r="T1853" i="55"/>
  <c r="S1853" i="55"/>
  <c r="J1853" i="55"/>
  <c r="I1853" i="55"/>
  <c r="H1853" i="55"/>
  <c r="D1853" i="55"/>
  <c r="B1853" i="55"/>
  <c r="A1853" i="55"/>
  <c r="W1852" i="55"/>
  <c r="V1852" i="55"/>
  <c r="U1852" i="55"/>
  <c r="T1852" i="55"/>
  <c r="S1852" i="55"/>
  <c r="J1852" i="55"/>
  <c r="I1852" i="55"/>
  <c r="H1852" i="55"/>
  <c r="D1852" i="55"/>
  <c r="B1852" i="55"/>
  <c r="A1852" i="55"/>
  <c r="W1851" i="55"/>
  <c r="V1851" i="55"/>
  <c r="U1851" i="55"/>
  <c r="T1851" i="55"/>
  <c r="S1851" i="55"/>
  <c r="J1851" i="55"/>
  <c r="I1851" i="55"/>
  <c r="H1851" i="55"/>
  <c r="D1851" i="55"/>
  <c r="B1851" i="55"/>
  <c r="A1851" i="55"/>
  <c r="W1850" i="55"/>
  <c r="V1850" i="55"/>
  <c r="U1850" i="55"/>
  <c r="T1850" i="55"/>
  <c r="S1850" i="55"/>
  <c r="J1850" i="55"/>
  <c r="I1850" i="55"/>
  <c r="H1850" i="55"/>
  <c r="D1850" i="55"/>
  <c r="B1850" i="55"/>
  <c r="A1850" i="55"/>
  <c r="W1849" i="55"/>
  <c r="V1849" i="55"/>
  <c r="U1849" i="55"/>
  <c r="T1849" i="55"/>
  <c r="S1849" i="55"/>
  <c r="J1849" i="55"/>
  <c r="I1849" i="55"/>
  <c r="H1849" i="55"/>
  <c r="D1849" i="55"/>
  <c r="B1849" i="55"/>
  <c r="A1849" i="55"/>
  <c r="W1848" i="55"/>
  <c r="V1848" i="55"/>
  <c r="U1848" i="55"/>
  <c r="T1848" i="55"/>
  <c r="S1848" i="55"/>
  <c r="J1848" i="55"/>
  <c r="I1848" i="55"/>
  <c r="H1848" i="55"/>
  <c r="D1848" i="55"/>
  <c r="B1848" i="55"/>
  <c r="A1848" i="55"/>
  <c r="W1847" i="55"/>
  <c r="V1847" i="55"/>
  <c r="U1847" i="55"/>
  <c r="T1847" i="55"/>
  <c r="S1847" i="55"/>
  <c r="J1847" i="55"/>
  <c r="I1847" i="55"/>
  <c r="H1847" i="55"/>
  <c r="D1847" i="55"/>
  <c r="B1847" i="55"/>
  <c r="A1847" i="55"/>
  <c r="W1846" i="55"/>
  <c r="V1846" i="55"/>
  <c r="U1846" i="55"/>
  <c r="T1846" i="55"/>
  <c r="S1846" i="55"/>
  <c r="J1846" i="55"/>
  <c r="I1846" i="55"/>
  <c r="H1846" i="55"/>
  <c r="D1846" i="55"/>
  <c r="B1846" i="55"/>
  <c r="A1846" i="55"/>
  <c r="W1845" i="55"/>
  <c r="V1845" i="55"/>
  <c r="U1845" i="55"/>
  <c r="T1845" i="55"/>
  <c r="S1845" i="55"/>
  <c r="J1845" i="55"/>
  <c r="I1845" i="55"/>
  <c r="H1845" i="55"/>
  <c r="D1845" i="55"/>
  <c r="B1845" i="55"/>
  <c r="A1845" i="55"/>
  <c r="W1844" i="55"/>
  <c r="V1844" i="55"/>
  <c r="U1844" i="55"/>
  <c r="T1844" i="55"/>
  <c r="S1844" i="55"/>
  <c r="J1844" i="55"/>
  <c r="I1844" i="55"/>
  <c r="H1844" i="55"/>
  <c r="D1844" i="55"/>
  <c r="B1844" i="55"/>
  <c r="A1844" i="55"/>
  <c r="W1843" i="55"/>
  <c r="V1843" i="55"/>
  <c r="U1843" i="55"/>
  <c r="T1843" i="55"/>
  <c r="S1843" i="55"/>
  <c r="J1843" i="55"/>
  <c r="I1843" i="55"/>
  <c r="H1843" i="55"/>
  <c r="D1843" i="55"/>
  <c r="B1843" i="55"/>
  <c r="A1843" i="55"/>
  <c r="W1842" i="55"/>
  <c r="V1842" i="55"/>
  <c r="U1842" i="55"/>
  <c r="T1842" i="55"/>
  <c r="S1842" i="55"/>
  <c r="J1842" i="55"/>
  <c r="I1842" i="55"/>
  <c r="H1842" i="55"/>
  <c r="D1842" i="55"/>
  <c r="B1842" i="55"/>
  <c r="A1842" i="55"/>
  <c r="W1841" i="55"/>
  <c r="V1841" i="55"/>
  <c r="U1841" i="55"/>
  <c r="T1841" i="55"/>
  <c r="S1841" i="55"/>
  <c r="J1841" i="55"/>
  <c r="I1841" i="55"/>
  <c r="H1841" i="55"/>
  <c r="D1841" i="55"/>
  <c r="B1841" i="55"/>
  <c r="A1841" i="55"/>
  <c r="W1840" i="55"/>
  <c r="V1840" i="55"/>
  <c r="U1840" i="55"/>
  <c r="T1840" i="55"/>
  <c r="S1840" i="55"/>
  <c r="J1840" i="55"/>
  <c r="I1840" i="55"/>
  <c r="H1840" i="55"/>
  <c r="D1840" i="55"/>
  <c r="B1840" i="55"/>
  <c r="A1840" i="55"/>
  <c r="W1839" i="55"/>
  <c r="V1839" i="55"/>
  <c r="U1839" i="55"/>
  <c r="T1839" i="55"/>
  <c r="S1839" i="55"/>
  <c r="J1839" i="55"/>
  <c r="I1839" i="55"/>
  <c r="H1839" i="55"/>
  <c r="D1839" i="55"/>
  <c r="B1839" i="55"/>
  <c r="A1839" i="55"/>
  <c r="W1838" i="55"/>
  <c r="V1838" i="55"/>
  <c r="U1838" i="55"/>
  <c r="T1838" i="55"/>
  <c r="S1838" i="55"/>
  <c r="J1838" i="55"/>
  <c r="I1838" i="55"/>
  <c r="H1838" i="55"/>
  <c r="D1838" i="55"/>
  <c r="B1838" i="55"/>
  <c r="A1838" i="55"/>
  <c r="W1837" i="55"/>
  <c r="V1837" i="55"/>
  <c r="U1837" i="55"/>
  <c r="T1837" i="55"/>
  <c r="S1837" i="55"/>
  <c r="J1837" i="55"/>
  <c r="I1837" i="55"/>
  <c r="H1837" i="55"/>
  <c r="D1837" i="55"/>
  <c r="B1837" i="55"/>
  <c r="A1837" i="55"/>
  <c r="W1836" i="55"/>
  <c r="V1836" i="55"/>
  <c r="U1836" i="55"/>
  <c r="T1836" i="55"/>
  <c r="S1836" i="55"/>
  <c r="J1836" i="55"/>
  <c r="I1836" i="55"/>
  <c r="H1836" i="55"/>
  <c r="D1836" i="55"/>
  <c r="B1836" i="55"/>
  <c r="A1836" i="55"/>
  <c r="W1835" i="55"/>
  <c r="V1835" i="55"/>
  <c r="U1835" i="55"/>
  <c r="T1835" i="55"/>
  <c r="S1835" i="55"/>
  <c r="J1835" i="55"/>
  <c r="I1835" i="55"/>
  <c r="H1835" i="55"/>
  <c r="D1835" i="55"/>
  <c r="B1835" i="55"/>
  <c r="A1835" i="55"/>
  <c r="W1834" i="55"/>
  <c r="V1834" i="55"/>
  <c r="U1834" i="55"/>
  <c r="T1834" i="55"/>
  <c r="S1834" i="55"/>
  <c r="J1834" i="55"/>
  <c r="I1834" i="55"/>
  <c r="H1834" i="55"/>
  <c r="D1834" i="55"/>
  <c r="B1834" i="55"/>
  <c r="A1834" i="55"/>
  <c r="W1833" i="55"/>
  <c r="V1833" i="55"/>
  <c r="U1833" i="55"/>
  <c r="T1833" i="55"/>
  <c r="S1833" i="55"/>
  <c r="J1833" i="55"/>
  <c r="I1833" i="55"/>
  <c r="H1833" i="55"/>
  <c r="D1833" i="55"/>
  <c r="B1833" i="55"/>
  <c r="A1833" i="55"/>
  <c r="W1832" i="55"/>
  <c r="V1832" i="55"/>
  <c r="U1832" i="55"/>
  <c r="T1832" i="55"/>
  <c r="S1832" i="55"/>
  <c r="J1832" i="55"/>
  <c r="I1832" i="55"/>
  <c r="H1832" i="55"/>
  <c r="D1832" i="55"/>
  <c r="B1832" i="55"/>
  <c r="A1832" i="55"/>
  <c r="W1831" i="55"/>
  <c r="V1831" i="55"/>
  <c r="U1831" i="55"/>
  <c r="T1831" i="55"/>
  <c r="S1831" i="55"/>
  <c r="J1831" i="55"/>
  <c r="I1831" i="55"/>
  <c r="H1831" i="55"/>
  <c r="D1831" i="55"/>
  <c r="B1831" i="55"/>
  <c r="A1831" i="55"/>
  <c r="W1830" i="55"/>
  <c r="V1830" i="55"/>
  <c r="U1830" i="55"/>
  <c r="T1830" i="55"/>
  <c r="S1830" i="55"/>
  <c r="J1830" i="55"/>
  <c r="I1830" i="55"/>
  <c r="H1830" i="55"/>
  <c r="D1830" i="55"/>
  <c r="B1830" i="55"/>
  <c r="A1830" i="55"/>
  <c r="W1829" i="55"/>
  <c r="V1829" i="55"/>
  <c r="U1829" i="55"/>
  <c r="T1829" i="55"/>
  <c r="S1829" i="55"/>
  <c r="J1829" i="55"/>
  <c r="I1829" i="55"/>
  <c r="H1829" i="55"/>
  <c r="D1829" i="55"/>
  <c r="B1829" i="55"/>
  <c r="A1829" i="55"/>
  <c r="W1828" i="55"/>
  <c r="V1828" i="55"/>
  <c r="U1828" i="55"/>
  <c r="T1828" i="55"/>
  <c r="S1828" i="55"/>
  <c r="J1828" i="55"/>
  <c r="I1828" i="55"/>
  <c r="H1828" i="55"/>
  <c r="D1828" i="55"/>
  <c r="B1828" i="55"/>
  <c r="A1828" i="55"/>
  <c r="W1827" i="55"/>
  <c r="V1827" i="55"/>
  <c r="U1827" i="55"/>
  <c r="T1827" i="55"/>
  <c r="S1827" i="55"/>
  <c r="J1827" i="55"/>
  <c r="I1827" i="55"/>
  <c r="H1827" i="55"/>
  <c r="D1827" i="55"/>
  <c r="B1827" i="55"/>
  <c r="A1827" i="55"/>
  <c r="W1826" i="55"/>
  <c r="V1826" i="55"/>
  <c r="U1826" i="55"/>
  <c r="T1826" i="55"/>
  <c r="S1826" i="55"/>
  <c r="J1826" i="55"/>
  <c r="I1826" i="55"/>
  <c r="H1826" i="55"/>
  <c r="D1826" i="55"/>
  <c r="B1826" i="55"/>
  <c r="A1826" i="55"/>
  <c r="W1825" i="55"/>
  <c r="V1825" i="55"/>
  <c r="U1825" i="55"/>
  <c r="T1825" i="55"/>
  <c r="S1825" i="55"/>
  <c r="J1825" i="55"/>
  <c r="I1825" i="55"/>
  <c r="H1825" i="55"/>
  <c r="D1825" i="55"/>
  <c r="B1825" i="55"/>
  <c r="A1825" i="55"/>
  <c r="W1824" i="55"/>
  <c r="V1824" i="55"/>
  <c r="U1824" i="55"/>
  <c r="T1824" i="55"/>
  <c r="S1824" i="55"/>
  <c r="J1824" i="55"/>
  <c r="I1824" i="55"/>
  <c r="H1824" i="55"/>
  <c r="D1824" i="55"/>
  <c r="B1824" i="55"/>
  <c r="A1824" i="55"/>
  <c r="W1823" i="55"/>
  <c r="V1823" i="55"/>
  <c r="U1823" i="55"/>
  <c r="T1823" i="55"/>
  <c r="S1823" i="55"/>
  <c r="J1823" i="55"/>
  <c r="I1823" i="55"/>
  <c r="H1823" i="55"/>
  <c r="D1823" i="55"/>
  <c r="B1823" i="55"/>
  <c r="A1823" i="55"/>
  <c r="W1822" i="55"/>
  <c r="V1822" i="55"/>
  <c r="U1822" i="55"/>
  <c r="T1822" i="55"/>
  <c r="S1822" i="55"/>
  <c r="J1822" i="55"/>
  <c r="I1822" i="55"/>
  <c r="H1822" i="55"/>
  <c r="D1822" i="55"/>
  <c r="B1822" i="55"/>
  <c r="A1822" i="55"/>
  <c r="W1821" i="55"/>
  <c r="V1821" i="55"/>
  <c r="U1821" i="55"/>
  <c r="T1821" i="55"/>
  <c r="S1821" i="55"/>
  <c r="J1821" i="55"/>
  <c r="I1821" i="55"/>
  <c r="H1821" i="55"/>
  <c r="D1821" i="55"/>
  <c r="B1821" i="55"/>
  <c r="A1821" i="55"/>
  <c r="W1820" i="55"/>
  <c r="V1820" i="55"/>
  <c r="U1820" i="55"/>
  <c r="T1820" i="55"/>
  <c r="S1820" i="55"/>
  <c r="J1820" i="55"/>
  <c r="I1820" i="55"/>
  <c r="H1820" i="55"/>
  <c r="D1820" i="55"/>
  <c r="B1820" i="55"/>
  <c r="A1820" i="55"/>
  <c r="W1819" i="55"/>
  <c r="V1819" i="55"/>
  <c r="U1819" i="55"/>
  <c r="T1819" i="55"/>
  <c r="S1819" i="55"/>
  <c r="J1819" i="55"/>
  <c r="I1819" i="55"/>
  <c r="H1819" i="55"/>
  <c r="D1819" i="55"/>
  <c r="B1819" i="55"/>
  <c r="A1819" i="55"/>
  <c r="W1818" i="55"/>
  <c r="V1818" i="55"/>
  <c r="U1818" i="55"/>
  <c r="T1818" i="55"/>
  <c r="S1818" i="55"/>
  <c r="J1818" i="55"/>
  <c r="I1818" i="55"/>
  <c r="H1818" i="55"/>
  <c r="D1818" i="55"/>
  <c r="B1818" i="55"/>
  <c r="A1818" i="55"/>
  <c r="W1817" i="55"/>
  <c r="V1817" i="55"/>
  <c r="U1817" i="55"/>
  <c r="T1817" i="55"/>
  <c r="S1817" i="55"/>
  <c r="J1817" i="55"/>
  <c r="I1817" i="55"/>
  <c r="H1817" i="55"/>
  <c r="D1817" i="55"/>
  <c r="B1817" i="55"/>
  <c r="A1817" i="55"/>
  <c r="W1816" i="55"/>
  <c r="V1816" i="55"/>
  <c r="U1816" i="55"/>
  <c r="T1816" i="55"/>
  <c r="S1816" i="55"/>
  <c r="J1816" i="55"/>
  <c r="I1816" i="55"/>
  <c r="H1816" i="55"/>
  <c r="D1816" i="55"/>
  <c r="B1816" i="55"/>
  <c r="A1816" i="55"/>
  <c r="W1815" i="55"/>
  <c r="V1815" i="55"/>
  <c r="U1815" i="55"/>
  <c r="T1815" i="55"/>
  <c r="S1815" i="55"/>
  <c r="J1815" i="55"/>
  <c r="I1815" i="55"/>
  <c r="H1815" i="55"/>
  <c r="D1815" i="55"/>
  <c r="B1815" i="55"/>
  <c r="A1815" i="55"/>
  <c r="W1814" i="55"/>
  <c r="V1814" i="55"/>
  <c r="U1814" i="55"/>
  <c r="T1814" i="55"/>
  <c r="S1814" i="55"/>
  <c r="J1814" i="55"/>
  <c r="I1814" i="55"/>
  <c r="H1814" i="55"/>
  <c r="D1814" i="55"/>
  <c r="B1814" i="55"/>
  <c r="A1814" i="55"/>
  <c r="W1813" i="55"/>
  <c r="V1813" i="55"/>
  <c r="U1813" i="55"/>
  <c r="T1813" i="55"/>
  <c r="S1813" i="55"/>
  <c r="J1813" i="55"/>
  <c r="I1813" i="55"/>
  <c r="H1813" i="55"/>
  <c r="D1813" i="55"/>
  <c r="B1813" i="55"/>
  <c r="A1813" i="55"/>
  <c r="W1812" i="55"/>
  <c r="V1812" i="55"/>
  <c r="U1812" i="55"/>
  <c r="T1812" i="55"/>
  <c r="S1812" i="55"/>
  <c r="J1812" i="55"/>
  <c r="I1812" i="55"/>
  <c r="H1812" i="55"/>
  <c r="D1812" i="55"/>
  <c r="B1812" i="55"/>
  <c r="A1812" i="55"/>
  <c r="W1811" i="55"/>
  <c r="V1811" i="55"/>
  <c r="U1811" i="55"/>
  <c r="T1811" i="55"/>
  <c r="S1811" i="55"/>
  <c r="J1811" i="55"/>
  <c r="I1811" i="55"/>
  <c r="H1811" i="55"/>
  <c r="D1811" i="55"/>
  <c r="B1811" i="55"/>
  <c r="A1811" i="55"/>
  <c r="W1810" i="55"/>
  <c r="V1810" i="55"/>
  <c r="U1810" i="55"/>
  <c r="T1810" i="55"/>
  <c r="S1810" i="55"/>
  <c r="J1810" i="55"/>
  <c r="I1810" i="55"/>
  <c r="H1810" i="55"/>
  <c r="D1810" i="55"/>
  <c r="B1810" i="55"/>
  <c r="A1810" i="55"/>
  <c r="W1809" i="55"/>
  <c r="V1809" i="55"/>
  <c r="U1809" i="55"/>
  <c r="T1809" i="55"/>
  <c r="S1809" i="55"/>
  <c r="J1809" i="55"/>
  <c r="I1809" i="55"/>
  <c r="H1809" i="55"/>
  <c r="D1809" i="55"/>
  <c r="B1809" i="55"/>
  <c r="A1809" i="55"/>
  <c r="W1808" i="55"/>
  <c r="V1808" i="55"/>
  <c r="U1808" i="55"/>
  <c r="T1808" i="55"/>
  <c r="S1808" i="55"/>
  <c r="J1808" i="55"/>
  <c r="I1808" i="55"/>
  <c r="H1808" i="55"/>
  <c r="D1808" i="55"/>
  <c r="B1808" i="55"/>
  <c r="A1808" i="55"/>
  <c r="W1807" i="55"/>
  <c r="V1807" i="55"/>
  <c r="U1807" i="55"/>
  <c r="T1807" i="55"/>
  <c r="S1807" i="55"/>
  <c r="J1807" i="55"/>
  <c r="I1807" i="55"/>
  <c r="H1807" i="55"/>
  <c r="D1807" i="55"/>
  <c r="B1807" i="55"/>
  <c r="A1807" i="55"/>
  <c r="W1806" i="55"/>
  <c r="V1806" i="55"/>
  <c r="U1806" i="55"/>
  <c r="T1806" i="55"/>
  <c r="S1806" i="55"/>
  <c r="J1806" i="55"/>
  <c r="I1806" i="55"/>
  <c r="H1806" i="55"/>
  <c r="D1806" i="55"/>
  <c r="B1806" i="55"/>
  <c r="A1806" i="55"/>
  <c r="W1805" i="55"/>
  <c r="V1805" i="55"/>
  <c r="U1805" i="55"/>
  <c r="T1805" i="55"/>
  <c r="S1805" i="55"/>
  <c r="J1805" i="55"/>
  <c r="I1805" i="55"/>
  <c r="H1805" i="55"/>
  <c r="D1805" i="55"/>
  <c r="B1805" i="55"/>
  <c r="A1805" i="55"/>
  <c r="W1804" i="55"/>
  <c r="V1804" i="55"/>
  <c r="U1804" i="55"/>
  <c r="T1804" i="55"/>
  <c r="S1804" i="55"/>
  <c r="J1804" i="55"/>
  <c r="I1804" i="55"/>
  <c r="H1804" i="55"/>
  <c r="D1804" i="55"/>
  <c r="B1804" i="55"/>
  <c r="A1804" i="55"/>
  <c r="W1803" i="55"/>
  <c r="V1803" i="55"/>
  <c r="U1803" i="55"/>
  <c r="T1803" i="55"/>
  <c r="S1803" i="55"/>
  <c r="J1803" i="55"/>
  <c r="I1803" i="55"/>
  <c r="H1803" i="55"/>
  <c r="D1803" i="55"/>
  <c r="B1803" i="55"/>
  <c r="A1803" i="55"/>
  <c r="W1802" i="55"/>
  <c r="V1802" i="55"/>
  <c r="U1802" i="55"/>
  <c r="T1802" i="55"/>
  <c r="S1802" i="55"/>
  <c r="J1802" i="55"/>
  <c r="I1802" i="55"/>
  <c r="H1802" i="55"/>
  <c r="D1802" i="55"/>
  <c r="B1802" i="55"/>
  <c r="A1802" i="55"/>
  <c r="W1801" i="55"/>
  <c r="V1801" i="55"/>
  <c r="U1801" i="55"/>
  <c r="T1801" i="55"/>
  <c r="S1801" i="55"/>
  <c r="J1801" i="55"/>
  <c r="I1801" i="55"/>
  <c r="H1801" i="55"/>
  <c r="D1801" i="55"/>
  <c r="B1801" i="55"/>
  <c r="A1801" i="55"/>
  <c r="W1800" i="55"/>
  <c r="V1800" i="55"/>
  <c r="U1800" i="55"/>
  <c r="T1800" i="55"/>
  <c r="S1800" i="55"/>
  <c r="J1800" i="55"/>
  <c r="I1800" i="55"/>
  <c r="H1800" i="55"/>
  <c r="D1800" i="55"/>
  <c r="B1800" i="55"/>
  <c r="A1800" i="55"/>
  <c r="W1799" i="55"/>
  <c r="V1799" i="55"/>
  <c r="U1799" i="55"/>
  <c r="T1799" i="55"/>
  <c r="S1799" i="55"/>
  <c r="J1799" i="55"/>
  <c r="I1799" i="55"/>
  <c r="H1799" i="55"/>
  <c r="D1799" i="55"/>
  <c r="B1799" i="55"/>
  <c r="A1799" i="55"/>
  <c r="W1798" i="55"/>
  <c r="V1798" i="55"/>
  <c r="U1798" i="55"/>
  <c r="T1798" i="55"/>
  <c r="S1798" i="55"/>
  <c r="J1798" i="55"/>
  <c r="I1798" i="55"/>
  <c r="H1798" i="55"/>
  <c r="D1798" i="55"/>
  <c r="B1798" i="55"/>
  <c r="A1798" i="55"/>
  <c r="W1797" i="55"/>
  <c r="V1797" i="55"/>
  <c r="U1797" i="55"/>
  <c r="T1797" i="55"/>
  <c r="S1797" i="55"/>
  <c r="J1797" i="55"/>
  <c r="I1797" i="55"/>
  <c r="H1797" i="55"/>
  <c r="D1797" i="55"/>
  <c r="B1797" i="55"/>
  <c r="A1797" i="55"/>
  <c r="W1796" i="55"/>
  <c r="V1796" i="55"/>
  <c r="U1796" i="55"/>
  <c r="T1796" i="55"/>
  <c r="S1796" i="55"/>
  <c r="J1796" i="55"/>
  <c r="I1796" i="55"/>
  <c r="H1796" i="55"/>
  <c r="D1796" i="55"/>
  <c r="B1796" i="55"/>
  <c r="A1796" i="55"/>
  <c r="W1795" i="55"/>
  <c r="V1795" i="55"/>
  <c r="U1795" i="55"/>
  <c r="T1795" i="55"/>
  <c r="S1795" i="55"/>
  <c r="J1795" i="55"/>
  <c r="I1795" i="55"/>
  <c r="H1795" i="55"/>
  <c r="D1795" i="55"/>
  <c r="B1795" i="55"/>
  <c r="A1795" i="55"/>
  <c r="W1794" i="55"/>
  <c r="V1794" i="55"/>
  <c r="U1794" i="55"/>
  <c r="T1794" i="55"/>
  <c r="S1794" i="55"/>
  <c r="J1794" i="55"/>
  <c r="I1794" i="55"/>
  <c r="H1794" i="55"/>
  <c r="D1794" i="55"/>
  <c r="B1794" i="55"/>
  <c r="A1794" i="55"/>
  <c r="W1793" i="55"/>
  <c r="V1793" i="55"/>
  <c r="U1793" i="55"/>
  <c r="T1793" i="55"/>
  <c r="S1793" i="55"/>
  <c r="J1793" i="55"/>
  <c r="I1793" i="55"/>
  <c r="H1793" i="55"/>
  <c r="D1793" i="55"/>
  <c r="B1793" i="55"/>
  <c r="A1793" i="55"/>
  <c r="W1792" i="55"/>
  <c r="V1792" i="55"/>
  <c r="U1792" i="55"/>
  <c r="T1792" i="55"/>
  <c r="S1792" i="55"/>
  <c r="J1792" i="55"/>
  <c r="I1792" i="55"/>
  <c r="H1792" i="55"/>
  <c r="D1792" i="55"/>
  <c r="B1792" i="55"/>
  <c r="A1792" i="55"/>
  <c r="W1791" i="55"/>
  <c r="V1791" i="55"/>
  <c r="U1791" i="55"/>
  <c r="T1791" i="55"/>
  <c r="S1791" i="55"/>
  <c r="J1791" i="55"/>
  <c r="I1791" i="55"/>
  <c r="H1791" i="55"/>
  <c r="D1791" i="55"/>
  <c r="B1791" i="55"/>
  <c r="A1791" i="55"/>
  <c r="W1790" i="55"/>
  <c r="V1790" i="55"/>
  <c r="U1790" i="55"/>
  <c r="T1790" i="55"/>
  <c r="S1790" i="55"/>
  <c r="J1790" i="55"/>
  <c r="I1790" i="55"/>
  <c r="H1790" i="55"/>
  <c r="D1790" i="55"/>
  <c r="B1790" i="55"/>
  <c r="A1790" i="55"/>
  <c r="W1789" i="55"/>
  <c r="V1789" i="55"/>
  <c r="U1789" i="55"/>
  <c r="T1789" i="55"/>
  <c r="S1789" i="55"/>
  <c r="J1789" i="55"/>
  <c r="I1789" i="55"/>
  <c r="H1789" i="55"/>
  <c r="D1789" i="55"/>
  <c r="B1789" i="55"/>
  <c r="A1789" i="55"/>
  <c r="W1788" i="55"/>
  <c r="V1788" i="55"/>
  <c r="U1788" i="55"/>
  <c r="T1788" i="55"/>
  <c r="S1788" i="55"/>
  <c r="J1788" i="55"/>
  <c r="I1788" i="55"/>
  <c r="H1788" i="55"/>
  <c r="D1788" i="55"/>
  <c r="B1788" i="55"/>
  <c r="A1788" i="55"/>
  <c r="W1787" i="55"/>
  <c r="V1787" i="55"/>
  <c r="U1787" i="55"/>
  <c r="T1787" i="55"/>
  <c r="S1787" i="55"/>
  <c r="J1787" i="55"/>
  <c r="I1787" i="55"/>
  <c r="H1787" i="55"/>
  <c r="D1787" i="55"/>
  <c r="B1787" i="55"/>
  <c r="A1787" i="55"/>
  <c r="W1786" i="55"/>
  <c r="V1786" i="55"/>
  <c r="U1786" i="55"/>
  <c r="T1786" i="55"/>
  <c r="S1786" i="55"/>
  <c r="J1786" i="55"/>
  <c r="I1786" i="55"/>
  <c r="H1786" i="55"/>
  <c r="D1786" i="55"/>
  <c r="B1786" i="55"/>
  <c r="A1786" i="55"/>
  <c r="W1785" i="55"/>
  <c r="V1785" i="55"/>
  <c r="U1785" i="55"/>
  <c r="T1785" i="55"/>
  <c r="S1785" i="55"/>
  <c r="J1785" i="55"/>
  <c r="I1785" i="55"/>
  <c r="H1785" i="55"/>
  <c r="D1785" i="55"/>
  <c r="B1785" i="55"/>
  <c r="A1785" i="55"/>
  <c r="W1784" i="55"/>
  <c r="V1784" i="55"/>
  <c r="U1784" i="55"/>
  <c r="T1784" i="55"/>
  <c r="S1784" i="55"/>
  <c r="J1784" i="55"/>
  <c r="I1784" i="55"/>
  <c r="H1784" i="55"/>
  <c r="D1784" i="55"/>
  <c r="B1784" i="55"/>
  <c r="A1784" i="55"/>
  <c r="W1783" i="55"/>
  <c r="V1783" i="55"/>
  <c r="U1783" i="55"/>
  <c r="T1783" i="55"/>
  <c r="S1783" i="55"/>
  <c r="J1783" i="55"/>
  <c r="I1783" i="55"/>
  <c r="H1783" i="55"/>
  <c r="D1783" i="55"/>
  <c r="B1783" i="55"/>
  <c r="A1783" i="55"/>
  <c r="W1782" i="55"/>
  <c r="V1782" i="55"/>
  <c r="U1782" i="55"/>
  <c r="T1782" i="55"/>
  <c r="S1782" i="55"/>
  <c r="J1782" i="55"/>
  <c r="I1782" i="55"/>
  <c r="H1782" i="55"/>
  <c r="D1782" i="55"/>
  <c r="B1782" i="55"/>
  <c r="A1782" i="55"/>
  <c r="W1781" i="55"/>
  <c r="V1781" i="55"/>
  <c r="U1781" i="55"/>
  <c r="T1781" i="55"/>
  <c r="S1781" i="55"/>
  <c r="J1781" i="55"/>
  <c r="I1781" i="55"/>
  <c r="H1781" i="55"/>
  <c r="D1781" i="55"/>
  <c r="B1781" i="55"/>
  <c r="A1781" i="55"/>
  <c r="W1780" i="55"/>
  <c r="V1780" i="55"/>
  <c r="U1780" i="55"/>
  <c r="T1780" i="55"/>
  <c r="S1780" i="55"/>
  <c r="J1780" i="55"/>
  <c r="I1780" i="55"/>
  <c r="H1780" i="55"/>
  <c r="D1780" i="55"/>
  <c r="B1780" i="55"/>
  <c r="A1780" i="55"/>
  <c r="W1779" i="55"/>
  <c r="V1779" i="55"/>
  <c r="U1779" i="55"/>
  <c r="T1779" i="55"/>
  <c r="S1779" i="55"/>
  <c r="J1779" i="55"/>
  <c r="I1779" i="55"/>
  <c r="H1779" i="55"/>
  <c r="D1779" i="55"/>
  <c r="B1779" i="55"/>
  <c r="A1779" i="55"/>
  <c r="W1778" i="55"/>
  <c r="V1778" i="55"/>
  <c r="U1778" i="55"/>
  <c r="T1778" i="55"/>
  <c r="S1778" i="55"/>
  <c r="J1778" i="55"/>
  <c r="I1778" i="55"/>
  <c r="H1778" i="55"/>
  <c r="D1778" i="55"/>
  <c r="B1778" i="55"/>
  <c r="A1778" i="55"/>
  <c r="W1777" i="55"/>
  <c r="V1777" i="55"/>
  <c r="U1777" i="55"/>
  <c r="T1777" i="55"/>
  <c r="S1777" i="55"/>
  <c r="J1777" i="55"/>
  <c r="I1777" i="55"/>
  <c r="H1777" i="55"/>
  <c r="D1777" i="55"/>
  <c r="B1777" i="55"/>
  <c r="A1777" i="55"/>
  <c r="W1776" i="55"/>
  <c r="V1776" i="55"/>
  <c r="U1776" i="55"/>
  <c r="T1776" i="55"/>
  <c r="S1776" i="55"/>
  <c r="J1776" i="55"/>
  <c r="I1776" i="55"/>
  <c r="H1776" i="55"/>
  <c r="D1776" i="55"/>
  <c r="B1776" i="55"/>
  <c r="A1776" i="55"/>
  <c r="W1775" i="55"/>
  <c r="V1775" i="55"/>
  <c r="U1775" i="55"/>
  <c r="T1775" i="55"/>
  <c r="S1775" i="55"/>
  <c r="J1775" i="55"/>
  <c r="I1775" i="55"/>
  <c r="H1775" i="55"/>
  <c r="D1775" i="55"/>
  <c r="B1775" i="55"/>
  <c r="A1775" i="55"/>
  <c r="W1774" i="55"/>
  <c r="V1774" i="55"/>
  <c r="U1774" i="55"/>
  <c r="T1774" i="55"/>
  <c r="S1774" i="55"/>
  <c r="J1774" i="55"/>
  <c r="I1774" i="55"/>
  <c r="H1774" i="55"/>
  <c r="D1774" i="55"/>
  <c r="B1774" i="55"/>
  <c r="A1774" i="55"/>
  <c r="W1773" i="55"/>
  <c r="V1773" i="55"/>
  <c r="U1773" i="55"/>
  <c r="T1773" i="55"/>
  <c r="S1773" i="55"/>
  <c r="J1773" i="55"/>
  <c r="I1773" i="55"/>
  <c r="H1773" i="55"/>
  <c r="D1773" i="55"/>
  <c r="B1773" i="55"/>
  <c r="A1773" i="55"/>
  <c r="W1772" i="55"/>
  <c r="V1772" i="55"/>
  <c r="U1772" i="55"/>
  <c r="T1772" i="55"/>
  <c r="S1772" i="55"/>
  <c r="J1772" i="55"/>
  <c r="I1772" i="55"/>
  <c r="H1772" i="55"/>
  <c r="D1772" i="55"/>
  <c r="B1772" i="55"/>
  <c r="A1772" i="55"/>
  <c r="W1771" i="55"/>
  <c r="V1771" i="55"/>
  <c r="U1771" i="55"/>
  <c r="T1771" i="55"/>
  <c r="S1771" i="55"/>
  <c r="J1771" i="55"/>
  <c r="I1771" i="55"/>
  <c r="H1771" i="55"/>
  <c r="D1771" i="55"/>
  <c r="B1771" i="55"/>
  <c r="A1771" i="55"/>
  <c r="W1770" i="55"/>
  <c r="V1770" i="55"/>
  <c r="U1770" i="55"/>
  <c r="T1770" i="55"/>
  <c r="S1770" i="55"/>
  <c r="J1770" i="55"/>
  <c r="I1770" i="55"/>
  <c r="H1770" i="55"/>
  <c r="D1770" i="55"/>
  <c r="B1770" i="55"/>
  <c r="A1770" i="55"/>
  <c r="W1769" i="55"/>
  <c r="V1769" i="55"/>
  <c r="U1769" i="55"/>
  <c r="T1769" i="55"/>
  <c r="S1769" i="55"/>
  <c r="J1769" i="55"/>
  <c r="I1769" i="55"/>
  <c r="H1769" i="55"/>
  <c r="D1769" i="55"/>
  <c r="B1769" i="55"/>
  <c r="A1769" i="55"/>
  <c r="W1768" i="55"/>
  <c r="V1768" i="55"/>
  <c r="U1768" i="55"/>
  <c r="T1768" i="55"/>
  <c r="S1768" i="55"/>
  <c r="J1768" i="55"/>
  <c r="I1768" i="55"/>
  <c r="H1768" i="55"/>
  <c r="D1768" i="55"/>
  <c r="B1768" i="55"/>
  <c r="A1768" i="55"/>
  <c r="W1767" i="55"/>
  <c r="V1767" i="55"/>
  <c r="U1767" i="55"/>
  <c r="T1767" i="55"/>
  <c r="S1767" i="55"/>
  <c r="J1767" i="55"/>
  <c r="I1767" i="55"/>
  <c r="H1767" i="55"/>
  <c r="D1767" i="55"/>
  <c r="B1767" i="55"/>
  <c r="A1767" i="55"/>
  <c r="W1766" i="55"/>
  <c r="V1766" i="55"/>
  <c r="U1766" i="55"/>
  <c r="T1766" i="55"/>
  <c r="S1766" i="55"/>
  <c r="J1766" i="55"/>
  <c r="I1766" i="55"/>
  <c r="H1766" i="55"/>
  <c r="D1766" i="55"/>
  <c r="B1766" i="55"/>
  <c r="A1766" i="55"/>
  <c r="W1765" i="55"/>
  <c r="V1765" i="55"/>
  <c r="U1765" i="55"/>
  <c r="T1765" i="55"/>
  <c r="S1765" i="55"/>
  <c r="J1765" i="55"/>
  <c r="I1765" i="55"/>
  <c r="H1765" i="55"/>
  <c r="D1765" i="55"/>
  <c r="B1765" i="55"/>
  <c r="A1765" i="55"/>
  <c r="W1764" i="55"/>
  <c r="V1764" i="55"/>
  <c r="U1764" i="55"/>
  <c r="T1764" i="55"/>
  <c r="S1764" i="55"/>
  <c r="J1764" i="55"/>
  <c r="I1764" i="55"/>
  <c r="H1764" i="55"/>
  <c r="D1764" i="55"/>
  <c r="B1764" i="55"/>
  <c r="A1764" i="55"/>
  <c r="W1763" i="55"/>
  <c r="V1763" i="55"/>
  <c r="U1763" i="55"/>
  <c r="T1763" i="55"/>
  <c r="S1763" i="55"/>
  <c r="J1763" i="55"/>
  <c r="I1763" i="55"/>
  <c r="H1763" i="55"/>
  <c r="D1763" i="55"/>
  <c r="B1763" i="55"/>
  <c r="A1763" i="55"/>
  <c r="W1762" i="55"/>
  <c r="V1762" i="55"/>
  <c r="U1762" i="55"/>
  <c r="T1762" i="55"/>
  <c r="S1762" i="55"/>
  <c r="J1762" i="55"/>
  <c r="I1762" i="55"/>
  <c r="H1762" i="55"/>
  <c r="D1762" i="55"/>
  <c r="B1762" i="55"/>
  <c r="A1762" i="55"/>
  <c r="W1761" i="55"/>
  <c r="V1761" i="55"/>
  <c r="U1761" i="55"/>
  <c r="T1761" i="55"/>
  <c r="S1761" i="55"/>
  <c r="J1761" i="55"/>
  <c r="I1761" i="55"/>
  <c r="H1761" i="55"/>
  <c r="D1761" i="55"/>
  <c r="B1761" i="55"/>
  <c r="A1761" i="55"/>
  <c r="W1760" i="55"/>
  <c r="V1760" i="55"/>
  <c r="U1760" i="55"/>
  <c r="T1760" i="55"/>
  <c r="S1760" i="55"/>
  <c r="J1760" i="55"/>
  <c r="I1760" i="55"/>
  <c r="H1760" i="55"/>
  <c r="D1760" i="55"/>
  <c r="B1760" i="55"/>
  <c r="A1760" i="55"/>
  <c r="W1759" i="55"/>
  <c r="V1759" i="55"/>
  <c r="U1759" i="55"/>
  <c r="T1759" i="55"/>
  <c r="S1759" i="55"/>
  <c r="J1759" i="55"/>
  <c r="I1759" i="55"/>
  <c r="H1759" i="55"/>
  <c r="D1759" i="55"/>
  <c r="B1759" i="55"/>
  <c r="A1759" i="55"/>
  <c r="W1758" i="55"/>
  <c r="V1758" i="55"/>
  <c r="U1758" i="55"/>
  <c r="T1758" i="55"/>
  <c r="S1758" i="55"/>
  <c r="J1758" i="55"/>
  <c r="I1758" i="55"/>
  <c r="H1758" i="55"/>
  <c r="D1758" i="55"/>
  <c r="B1758" i="55"/>
  <c r="A1758" i="55"/>
  <c r="W1757" i="55"/>
  <c r="V1757" i="55"/>
  <c r="U1757" i="55"/>
  <c r="T1757" i="55"/>
  <c r="S1757" i="55"/>
  <c r="J1757" i="55"/>
  <c r="I1757" i="55"/>
  <c r="H1757" i="55"/>
  <c r="D1757" i="55"/>
  <c r="B1757" i="55"/>
  <c r="A1757" i="55"/>
  <c r="W1756" i="55"/>
  <c r="V1756" i="55"/>
  <c r="U1756" i="55"/>
  <c r="T1756" i="55"/>
  <c r="S1756" i="55"/>
  <c r="J1756" i="55"/>
  <c r="I1756" i="55"/>
  <c r="H1756" i="55"/>
  <c r="D1756" i="55"/>
  <c r="B1756" i="55"/>
  <c r="A1756" i="55"/>
  <c r="W1755" i="55"/>
  <c r="V1755" i="55"/>
  <c r="U1755" i="55"/>
  <c r="T1755" i="55"/>
  <c r="S1755" i="55"/>
  <c r="J1755" i="55"/>
  <c r="I1755" i="55"/>
  <c r="H1755" i="55"/>
  <c r="D1755" i="55"/>
  <c r="B1755" i="55"/>
  <c r="A1755" i="55"/>
  <c r="W1754" i="55"/>
  <c r="V1754" i="55"/>
  <c r="U1754" i="55"/>
  <c r="T1754" i="55"/>
  <c r="S1754" i="55"/>
  <c r="J1754" i="55"/>
  <c r="I1754" i="55"/>
  <c r="H1754" i="55"/>
  <c r="D1754" i="55"/>
  <c r="B1754" i="55"/>
  <c r="A1754" i="55"/>
  <c r="W1753" i="55"/>
  <c r="V1753" i="55"/>
  <c r="U1753" i="55"/>
  <c r="T1753" i="55"/>
  <c r="S1753" i="55"/>
  <c r="J1753" i="55"/>
  <c r="I1753" i="55"/>
  <c r="H1753" i="55"/>
  <c r="D1753" i="55"/>
  <c r="B1753" i="55"/>
  <c r="A1753" i="55"/>
  <c r="W1752" i="55"/>
  <c r="V1752" i="55"/>
  <c r="U1752" i="55"/>
  <c r="T1752" i="55"/>
  <c r="S1752" i="55"/>
  <c r="J1752" i="55"/>
  <c r="I1752" i="55"/>
  <c r="H1752" i="55"/>
  <c r="D1752" i="55"/>
  <c r="B1752" i="55"/>
  <c r="A1752" i="55"/>
  <c r="W1751" i="55"/>
  <c r="V1751" i="55"/>
  <c r="U1751" i="55"/>
  <c r="T1751" i="55"/>
  <c r="S1751" i="55"/>
  <c r="J1751" i="55"/>
  <c r="I1751" i="55"/>
  <c r="H1751" i="55"/>
  <c r="D1751" i="55"/>
  <c r="B1751" i="55"/>
  <c r="A1751" i="55"/>
  <c r="W1750" i="55"/>
  <c r="V1750" i="55"/>
  <c r="U1750" i="55"/>
  <c r="T1750" i="55"/>
  <c r="S1750" i="55"/>
  <c r="J1750" i="55"/>
  <c r="I1750" i="55"/>
  <c r="H1750" i="55"/>
  <c r="D1750" i="55"/>
  <c r="B1750" i="55"/>
  <c r="A1750" i="55"/>
  <c r="W1749" i="55"/>
  <c r="V1749" i="55"/>
  <c r="U1749" i="55"/>
  <c r="T1749" i="55"/>
  <c r="S1749" i="55"/>
  <c r="J1749" i="55"/>
  <c r="I1749" i="55"/>
  <c r="H1749" i="55"/>
  <c r="D1749" i="55"/>
  <c r="B1749" i="55"/>
  <c r="A1749" i="55"/>
  <c r="W1748" i="55"/>
  <c r="V1748" i="55"/>
  <c r="U1748" i="55"/>
  <c r="T1748" i="55"/>
  <c r="S1748" i="55"/>
  <c r="J1748" i="55"/>
  <c r="I1748" i="55"/>
  <c r="H1748" i="55"/>
  <c r="D1748" i="55"/>
  <c r="B1748" i="55"/>
  <c r="A1748" i="55"/>
  <c r="W1747" i="55"/>
  <c r="V1747" i="55"/>
  <c r="U1747" i="55"/>
  <c r="T1747" i="55"/>
  <c r="S1747" i="55"/>
  <c r="J1747" i="55"/>
  <c r="I1747" i="55"/>
  <c r="H1747" i="55"/>
  <c r="D1747" i="55"/>
  <c r="B1747" i="55"/>
  <c r="A1747" i="55"/>
  <c r="W1746" i="55"/>
  <c r="V1746" i="55"/>
  <c r="U1746" i="55"/>
  <c r="T1746" i="55"/>
  <c r="S1746" i="55"/>
  <c r="J1746" i="55"/>
  <c r="I1746" i="55"/>
  <c r="H1746" i="55"/>
  <c r="D1746" i="55"/>
  <c r="B1746" i="55"/>
  <c r="A1746" i="55"/>
  <c r="W1745" i="55"/>
  <c r="V1745" i="55"/>
  <c r="U1745" i="55"/>
  <c r="T1745" i="55"/>
  <c r="S1745" i="55"/>
  <c r="J1745" i="55"/>
  <c r="I1745" i="55"/>
  <c r="H1745" i="55"/>
  <c r="D1745" i="55"/>
  <c r="B1745" i="55"/>
  <c r="A1745" i="55"/>
  <c r="W1744" i="55"/>
  <c r="V1744" i="55"/>
  <c r="U1744" i="55"/>
  <c r="T1744" i="55"/>
  <c r="S1744" i="55"/>
  <c r="J1744" i="55"/>
  <c r="I1744" i="55"/>
  <c r="H1744" i="55"/>
  <c r="D1744" i="55"/>
  <c r="B1744" i="55"/>
  <c r="A1744" i="55"/>
  <c r="W1743" i="55"/>
  <c r="V1743" i="55"/>
  <c r="U1743" i="55"/>
  <c r="T1743" i="55"/>
  <c r="S1743" i="55"/>
  <c r="J1743" i="55"/>
  <c r="I1743" i="55"/>
  <c r="H1743" i="55"/>
  <c r="D1743" i="55"/>
  <c r="B1743" i="55"/>
  <c r="A1743" i="55"/>
  <c r="W1742" i="55"/>
  <c r="V1742" i="55"/>
  <c r="U1742" i="55"/>
  <c r="T1742" i="55"/>
  <c r="S1742" i="55"/>
  <c r="J1742" i="55"/>
  <c r="I1742" i="55"/>
  <c r="H1742" i="55"/>
  <c r="D1742" i="55"/>
  <c r="B1742" i="55"/>
  <c r="A1742" i="55"/>
  <c r="W1741" i="55"/>
  <c r="V1741" i="55"/>
  <c r="U1741" i="55"/>
  <c r="T1741" i="55"/>
  <c r="S1741" i="55"/>
  <c r="J1741" i="55"/>
  <c r="I1741" i="55"/>
  <c r="H1741" i="55"/>
  <c r="D1741" i="55"/>
  <c r="B1741" i="55"/>
  <c r="A1741" i="55"/>
  <c r="W1740" i="55"/>
  <c r="V1740" i="55"/>
  <c r="U1740" i="55"/>
  <c r="T1740" i="55"/>
  <c r="S1740" i="55"/>
  <c r="J1740" i="55"/>
  <c r="I1740" i="55"/>
  <c r="H1740" i="55"/>
  <c r="D1740" i="55"/>
  <c r="B1740" i="55"/>
  <c r="A1740" i="55"/>
  <c r="W1739" i="55"/>
  <c r="V1739" i="55"/>
  <c r="U1739" i="55"/>
  <c r="T1739" i="55"/>
  <c r="S1739" i="55"/>
  <c r="J1739" i="55"/>
  <c r="I1739" i="55"/>
  <c r="H1739" i="55"/>
  <c r="D1739" i="55"/>
  <c r="B1739" i="55"/>
  <c r="A1739" i="55"/>
  <c r="W1738" i="55"/>
  <c r="V1738" i="55"/>
  <c r="U1738" i="55"/>
  <c r="T1738" i="55"/>
  <c r="S1738" i="55"/>
  <c r="J1738" i="55"/>
  <c r="I1738" i="55"/>
  <c r="H1738" i="55"/>
  <c r="D1738" i="55"/>
  <c r="B1738" i="55"/>
  <c r="A1738" i="55"/>
  <c r="W1737" i="55"/>
  <c r="V1737" i="55"/>
  <c r="U1737" i="55"/>
  <c r="T1737" i="55"/>
  <c r="S1737" i="55"/>
  <c r="J1737" i="55"/>
  <c r="I1737" i="55"/>
  <c r="H1737" i="55"/>
  <c r="D1737" i="55"/>
  <c r="B1737" i="55"/>
  <c r="A1737" i="55"/>
  <c r="W1736" i="55"/>
  <c r="V1736" i="55"/>
  <c r="U1736" i="55"/>
  <c r="T1736" i="55"/>
  <c r="S1736" i="55"/>
  <c r="J1736" i="55"/>
  <c r="I1736" i="55"/>
  <c r="H1736" i="55"/>
  <c r="D1736" i="55"/>
  <c r="B1736" i="55"/>
  <c r="A1736" i="55"/>
  <c r="W1735" i="55"/>
  <c r="V1735" i="55"/>
  <c r="U1735" i="55"/>
  <c r="T1735" i="55"/>
  <c r="S1735" i="55"/>
  <c r="J1735" i="55"/>
  <c r="I1735" i="55"/>
  <c r="H1735" i="55"/>
  <c r="D1735" i="55"/>
  <c r="B1735" i="55"/>
  <c r="A1735" i="55"/>
  <c r="W1734" i="55"/>
  <c r="V1734" i="55"/>
  <c r="U1734" i="55"/>
  <c r="T1734" i="55"/>
  <c r="S1734" i="55"/>
  <c r="J1734" i="55"/>
  <c r="I1734" i="55"/>
  <c r="H1734" i="55"/>
  <c r="D1734" i="55"/>
  <c r="B1734" i="55"/>
  <c r="A1734" i="55"/>
  <c r="W1733" i="55"/>
  <c r="V1733" i="55"/>
  <c r="U1733" i="55"/>
  <c r="T1733" i="55"/>
  <c r="S1733" i="55"/>
  <c r="J1733" i="55"/>
  <c r="I1733" i="55"/>
  <c r="H1733" i="55"/>
  <c r="D1733" i="55"/>
  <c r="B1733" i="55"/>
  <c r="A1733" i="55"/>
  <c r="W1732" i="55"/>
  <c r="V1732" i="55"/>
  <c r="U1732" i="55"/>
  <c r="T1732" i="55"/>
  <c r="S1732" i="55"/>
  <c r="J1732" i="55"/>
  <c r="I1732" i="55"/>
  <c r="H1732" i="55"/>
  <c r="D1732" i="55"/>
  <c r="B1732" i="55"/>
  <c r="A1732" i="55"/>
  <c r="W1731" i="55"/>
  <c r="V1731" i="55"/>
  <c r="U1731" i="55"/>
  <c r="T1731" i="55"/>
  <c r="S1731" i="55"/>
  <c r="J1731" i="55"/>
  <c r="I1731" i="55"/>
  <c r="H1731" i="55"/>
  <c r="D1731" i="55"/>
  <c r="B1731" i="55"/>
  <c r="A1731" i="55"/>
  <c r="W1730" i="55"/>
  <c r="V1730" i="55"/>
  <c r="U1730" i="55"/>
  <c r="T1730" i="55"/>
  <c r="S1730" i="55"/>
  <c r="J1730" i="55"/>
  <c r="I1730" i="55"/>
  <c r="H1730" i="55"/>
  <c r="D1730" i="55"/>
  <c r="B1730" i="55"/>
  <c r="A1730" i="55"/>
  <c r="W1729" i="55"/>
  <c r="V1729" i="55"/>
  <c r="U1729" i="55"/>
  <c r="T1729" i="55"/>
  <c r="S1729" i="55"/>
  <c r="J1729" i="55"/>
  <c r="I1729" i="55"/>
  <c r="H1729" i="55"/>
  <c r="D1729" i="55"/>
  <c r="B1729" i="55"/>
  <c r="A1729" i="55"/>
  <c r="W1728" i="55"/>
  <c r="V1728" i="55"/>
  <c r="U1728" i="55"/>
  <c r="T1728" i="55"/>
  <c r="S1728" i="55"/>
  <c r="J1728" i="55"/>
  <c r="I1728" i="55"/>
  <c r="H1728" i="55"/>
  <c r="D1728" i="55"/>
  <c r="B1728" i="55"/>
  <c r="A1728" i="55"/>
  <c r="W1727" i="55"/>
  <c r="V1727" i="55"/>
  <c r="U1727" i="55"/>
  <c r="T1727" i="55"/>
  <c r="S1727" i="55"/>
  <c r="J1727" i="55"/>
  <c r="I1727" i="55"/>
  <c r="H1727" i="55"/>
  <c r="D1727" i="55"/>
  <c r="B1727" i="55"/>
  <c r="A1727" i="55"/>
  <c r="W1726" i="55"/>
  <c r="V1726" i="55"/>
  <c r="U1726" i="55"/>
  <c r="T1726" i="55"/>
  <c r="S1726" i="55"/>
  <c r="J1726" i="55"/>
  <c r="I1726" i="55"/>
  <c r="H1726" i="55"/>
  <c r="D1726" i="55"/>
  <c r="B1726" i="55"/>
  <c r="A1726" i="55"/>
  <c r="W1725" i="55"/>
  <c r="V1725" i="55"/>
  <c r="U1725" i="55"/>
  <c r="T1725" i="55"/>
  <c r="S1725" i="55"/>
  <c r="J1725" i="55"/>
  <c r="I1725" i="55"/>
  <c r="H1725" i="55"/>
  <c r="D1725" i="55"/>
  <c r="B1725" i="55"/>
  <c r="A1725" i="55"/>
  <c r="W1724" i="55"/>
  <c r="V1724" i="55"/>
  <c r="U1724" i="55"/>
  <c r="T1724" i="55"/>
  <c r="S1724" i="55"/>
  <c r="J1724" i="55"/>
  <c r="I1724" i="55"/>
  <c r="H1724" i="55"/>
  <c r="D1724" i="55"/>
  <c r="B1724" i="55"/>
  <c r="A1724" i="55"/>
  <c r="W1723" i="55"/>
  <c r="V1723" i="55"/>
  <c r="U1723" i="55"/>
  <c r="T1723" i="55"/>
  <c r="S1723" i="55"/>
  <c r="J1723" i="55"/>
  <c r="I1723" i="55"/>
  <c r="H1723" i="55"/>
  <c r="D1723" i="55"/>
  <c r="B1723" i="55"/>
  <c r="A1723" i="55"/>
  <c r="W1722" i="55"/>
  <c r="V1722" i="55"/>
  <c r="U1722" i="55"/>
  <c r="T1722" i="55"/>
  <c r="S1722" i="55"/>
  <c r="J1722" i="55"/>
  <c r="I1722" i="55"/>
  <c r="H1722" i="55"/>
  <c r="D1722" i="55"/>
  <c r="B1722" i="55"/>
  <c r="A1722" i="55"/>
  <c r="W1721" i="55"/>
  <c r="V1721" i="55"/>
  <c r="U1721" i="55"/>
  <c r="T1721" i="55"/>
  <c r="S1721" i="55"/>
  <c r="J1721" i="55"/>
  <c r="I1721" i="55"/>
  <c r="H1721" i="55"/>
  <c r="D1721" i="55"/>
  <c r="B1721" i="55"/>
  <c r="A1721" i="55"/>
  <c r="W1720" i="55"/>
  <c r="V1720" i="55"/>
  <c r="U1720" i="55"/>
  <c r="T1720" i="55"/>
  <c r="S1720" i="55"/>
  <c r="J1720" i="55"/>
  <c r="I1720" i="55"/>
  <c r="H1720" i="55"/>
  <c r="D1720" i="55"/>
  <c r="B1720" i="55"/>
  <c r="A1720" i="55"/>
  <c r="W1719" i="55"/>
  <c r="V1719" i="55"/>
  <c r="U1719" i="55"/>
  <c r="T1719" i="55"/>
  <c r="S1719" i="55"/>
  <c r="J1719" i="55"/>
  <c r="I1719" i="55"/>
  <c r="H1719" i="55"/>
  <c r="D1719" i="55"/>
  <c r="B1719" i="55"/>
  <c r="A1719" i="55"/>
  <c r="W1718" i="55"/>
  <c r="V1718" i="55"/>
  <c r="U1718" i="55"/>
  <c r="T1718" i="55"/>
  <c r="S1718" i="55"/>
  <c r="J1718" i="55"/>
  <c r="I1718" i="55"/>
  <c r="H1718" i="55"/>
  <c r="D1718" i="55"/>
  <c r="B1718" i="55"/>
  <c r="A1718" i="55"/>
  <c r="W1717" i="55"/>
  <c r="V1717" i="55"/>
  <c r="U1717" i="55"/>
  <c r="T1717" i="55"/>
  <c r="S1717" i="55"/>
  <c r="J1717" i="55"/>
  <c r="I1717" i="55"/>
  <c r="H1717" i="55"/>
  <c r="D1717" i="55"/>
  <c r="B1717" i="55"/>
  <c r="A1717" i="55"/>
  <c r="W1716" i="55"/>
  <c r="V1716" i="55"/>
  <c r="U1716" i="55"/>
  <c r="T1716" i="55"/>
  <c r="S1716" i="55"/>
  <c r="J1716" i="55"/>
  <c r="I1716" i="55"/>
  <c r="H1716" i="55"/>
  <c r="D1716" i="55"/>
  <c r="B1716" i="55"/>
  <c r="A1716" i="55"/>
  <c r="W1715" i="55"/>
  <c r="V1715" i="55"/>
  <c r="U1715" i="55"/>
  <c r="T1715" i="55"/>
  <c r="S1715" i="55"/>
  <c r="J1715" i="55"/>
  <c r="I1715" i="55"/>
  <c r="H1715" i="55"/>
  <c r="D1715" i="55"/>
  <c r="B1715" i="55"/>
  <c r="A1715" i="55"/>
  <c r="W1714" i="55"/>
  <c r="V1714" i="55"/>
  <c r="U1714" i="55"/>
  <c r="T1714" i="55"/>
  <c r="S1714" i="55"/>
  <c r="J1714" i="55"/>
  <c r="I1714" i="55"/>
  <c r="H1714" i="55"/>
  <c r="D1714" i="55"/>
  <c r="B1714" i="55"/>
  <c r="A1714" i="55"/>
  <c r="W1713" i="55"/>
  <c r="V1713" i="55"/>
  <c r="U1713" i="55"/>
  <c r="T1713" i="55"/>
  <c r="S1713" i="55"/>
  <c r="J1713" i="55"/>
  <c r="I1713" i="55"/>
  <c r="H1713" i="55"/>
  <c r="D1713" i="55"/>
  <c r="B1713" i="55"/>
  <c r="A1713" i="55"/>
  <c r="W1712" i="55"/>
  <c r="V1712" i="55"/>
  <c r="U1712" i="55"/>
  <c r="T1712" i="55"/>
  <c r="S1712" i="55"/>
  <c r="J1712" i="55"/>
  <c r="I1712" i="55"/>
  <c r="H1712" i="55"/>
  <c r="D1712" i="55"/>
  <c r="B1712" i="55"/>
  <c r="A1712" i="55"/>
  <c r="W1711" i="55"/>
  <c r="V1711" i="55"/>
  <c r="U1711" i="55"/>
  <c r="T1711" i="55"/>
  <c r="S1711" i="55"/>
  <c r="J1711" i="55"/>
  <c r="I1711" i="55"/>
  <c r="H1711" i="55"/>
  <c r="D1711" i="55"/>
  <c r="B1711" i="55"/>
  <c r="A1711" i="55"/>
  <c r="W1710" i="55"/>
  <c r="V1710" i="55"/>
  <c r="U1710" i="55"/>
  <c r="T1710" i="55"/>
  <c r="S1710" i="55"/>
  <c r="J1710" i="55"/>
  <c r="I1710" i="55"/>
  <c r="H1710" i="55"/>
  <c r="D1710" i="55"/>
  <c r="B1710" i="55"/>
  <c r="A1710" i="55"/>
  <c r="W1709" i="55"/>
  <c r="V1709" i="55"/>
  <c r="U1709" i="55"/>
  <c r="T1709" i="55"/>
  <c r="S1709" i="55"/>
  <c r="J1709" i="55"/>
  <c r="I1709" i="55"/>
  <c r="H1709" i="55"/>
  <c r="D1709" i="55"/>
  <c r="B1709" i="55"/>
  <c r="A1709" i="55"/>
  <c r="W1708" i="55"/>
  <c r="V1708" i="55"/>
  <c r="U1708" i="55"/>
  <c r="T1708" i="55"/>
  <c r="S1708" i="55"/>
  <c r="J1708" i="55"/>
  <c r="I1708" i="55"/>
  <c r="H1708" i="55"/>
  <c r="D1708" i="55"/>
  <c r="B1708" i="55"/>
  <c r="A1708" i="55"/>
  <c r="W1707" i="55"/>
  <c r="V1707" i="55"/>
  <c r="U1707" i="55"/>
  <c r="T1707" i="55"/>
  <c r="S1707" i="55"/>
  <c r="J1707" i="55"/>
  <c r="I1707" i="55"/>
  <c r="H1707" i="55"/>
  <c r="D1707" i="55"/>
  <c r="B1707" i="55"/>
  <c r="A1707" i="55"/>
  <c r="W1706" i="55"/>
  <c r="V1706" i="55"/>
  <c r="U1706" i="55"/>
  <c r="T1706" i="55"/>
  <c r="S1706" i="55"/>
  <c r="J1706" i="55"/>
  <c r="I1706" i="55"/>
  <c r="H1706" i="55"/>
  <c r="D1706" i="55"/>
  <c r="B1706" i="55"/>
  <c r="A1706" i="55"/>
  <c r="W1705" i="55"/>
  <c r="V1705" i="55"/>
  <c r="U1705" i="55"/>
  <c r="T1705" i="55"/>
  <c r="S1705" i="55"/>
  <c r="J1705" i="55"/>
  <c r="I1705" i="55"/>
  <c r="H1705" i="55"/>
  <c r="D1705" i="55"/>
  <c r="B1705" i="55"/>
  <c r="A1705" i="55"/>
  <c r="W1704" i="55"/>
  <c r="V1704" i="55"/>
  <c r="U1704" i="55"/>
  <c r="T1704" i="55"/>
  <c r="S1704" i="55"/>
  <c r="J1704" i="55"/>
  <c r="I1704" i="55"/>
  <c r="H1704" i="55"/>
  <c r="D1704" i="55"/>
  <c r="B1704" i="55"/>
  <c r="A1704" i="55"/>
  <c r="W1703" i="55"/>
  <c r="V1703" i="55"/>
  <c r="U1703" i="55"/>
  <c r="T1703" i="55"/>
  <c r="S1703" i="55"/>
  <c r="J1703" i="55"/>
  <c r="I1703" i="55"/>
  <c r="H1703" i="55"/>
  <c r="D1703" i="55"/>
  <c r="B1703" i="55"/>
  <c r="A1703" i="55"/>
  <c r="W1702" i="55"/>
  <c r="V1702" i="55"/>
  <c r="U1702" i="55"/>
  <c r="T1702" i="55"/>
  <c r="S1702" i="55"/>
  <c r="J1702" i="55"/>
  <c r="I1702" i="55"/>
  <c r="H1702" i="55"/>
  <c r="D1702" i="55"/>
  <c r="B1702" i="55"/>
  <c r="A1702" i="55"/>
  <c r="W1701" i="55"/>
  <c r="V1701" i="55"/>
  <c r="U1701" i="55"/>
  <c r="T1701" i="55"/>
  <c r="S1701" i="55"/>
  <c r="J1701" i="55"/>
  <c r="I1701" i="55"/>
  <c r="H1701" i="55"/>
  <c r="D1701" i="55"/>
  <c r="B1701" i="55"/>
  <c r="A1701" i="55"/>
  <c r="W1700" i="55"/>
  <c r="V1700" i="55"/>
  <c r="U1700" i="55"/>
  <c r="T1700" i="55"/>
  <c r="S1700" i="55"/>
  <c r="J1700" i="55"/>
  <c r="I1700" i="55"/>
  <c r="H1700" i="55"/>
  <c r="D1700" i="55"/>
  <c r="B1700" i="55"/>
  <c r="A1700" i="55"/>
  <c r="W1699" i="55"/>
  <c r="V1699" i="55"/>
  <c r="U1699" i="55"/>
  <c r="T1699" i="55"/>
  <c r="S1699" i="55"/>
  <c r="J1699" i="55"/>
  <c r="I1699" i="55"/>
  <c r="H1699" i="55"/>
  <c r="D1699" i="55"/>
  <c r="B1699" i="55"/>
  <c r="A1699" i="55"/>
  <c r="W1698" i="55"/>
  <c r="V1698" i="55"/>
  <c r="U1698" i="55"/>
  <c r="T1698" i="55"/>
  <c r="S1698" i="55"/>
  <c r="J1698" i="55"/>
  <c r="I1698" i="55"/>
  <c r="H1698" i="55"/>
  <c r="D1698" i="55"/>
  <c r="B1698" i="55"/>
  <c r="A1698" i="55"/>
  <c r="W1697" i="55"/>
  <c r="V1697" i="55"/>
  <c r="U1697" i="55"/>
  <c r="T1697" i="55"/>
  <c r="S1697" i="55"/>
  <c r="J1697" i="55"/>
  <c r="I1697" i="55"/>
  <c r="H1697" i="55"/>
  <c r="D1697" i="55"/>
  <c r="B1697" i="55"/>
  <c r="A1697" i="55"/>
  <c r="W1696" i="55"/>
  <c r="V1696" i="55"/>
  <c r="U1696" i="55"/>
  <c r="T1696" i="55"/>
  <c r="S1696" i="55"/>
  <c r="J1696" i="55"/>
  <c r="I1696" i="55"/>
  <c r="H1696" i="55"/>
  <c r="D1696" i="55"/>
  <c r="B1696" i="55"/>
  <c r="A1696" i="55"/>
  <c r="W1695" i="55"/>
  <c r="V1695" i="55"/>
  <c r="U1695" i="55"/>
  <c r="T1695" i="55"/>
  <c r="S1695" i="55"/>
  <c r="J1695" i="55"/>
  <c r="I1695" i="55"/>
  <c r="H1695" i="55"/>
  <c r="D1695" i="55"/>
  <c r="B1695" i="55"/>
  <c r="A1695" i="55"/>
  <c r="W1694" i="55"/>
  <c r="V1694" i="55"/>
  <c r="U1694" i="55"/>
  <c r="T1694" i="55"/>
  <c r="S1694" i="55"/>
  <c r="J1694" i="55"/>
  <c r="I1694" i="55"/>
  <c r="H1694" i="55"/>
  <c r="D1694" i="55"/>
  <c r="B1694" i="55"/>
  <c r="A1694" i="55"/>
  <c r="W1693" i="55"/>
  <c r="V1693" i="55"/>
  <c r="U1693" i="55"/>
  <c r="T1693" i="55"/>
  <c r="S1693" i="55"/>
  <c r="J1693" i="55"/>
  <c r="I1693" i="55"/>
  <c r="H1693" i="55"/>
  <c r="D1693" i="55"/>
  <c r="B1693" i="55"/>
  <c r="A1693" i="55"/>
  <c r="W1692" i="55"/>
  <c r="V1692" i="55"/>
  <c r="U1692" i="55"/>
  <c r="T1692" i="55"/>
  <c r="S1692" i="55"/>
  <c r="J1692" i="55"/>
  <c r="I1692" i="55"/>
  <c r="H1692" i="55"/>
  <c r="D1692" i="55"/>
  <c r="B1692" i="55"/>
  <c r="A1692" i="55"/>
  <c r="W1691" i="55"/>
  <c r="V1691" i="55"/>
  <c r="U1691" i="55"/>
  <c r="T1691" i="55"/>
  <c r="S1691" i="55"/>
  <c r="J1691" i="55"/>
  <c r="I1691" i="55"/>
  <c r="H1691" i="55"/>
  <c r="D1691" i="55"/>
  <c r="B1691" i="55"/>
  <c r="A1691" i="55"/>
  <c r="W1690" i="55"/>
  <c r="V1690" i="55"/>
  <c r="U1690" i="55"/>
  <c r="T1690" i="55"/>
  <c r="S1690" i="55"/>
  <c r="J1690" i="55"/>
  <c r="I1690" i="55"/>
  <c r="H1690" i="55"/>
  <c r="D1690" i="55"/>
  <c r="B1690" i="55"/>
  <c r="A1690" i="55"/>
  <c r="W1689" i="55"/>
  <c r="V1689" i="55"/>
  <c r="U1689" i="55"/>
  <c r="T1689" i="55"/>
  <c r="S1689" i="55"/>
  <c r="J1689" i="55"/>
  <c r="I1689" i="55"/>
  <c r="H1689" i="55"/>
  <c r="D1689" i="55"/>
  <c r="B1689" i="55"/>
  <c r="A1689" i="55"/>
  <c r="W1688" i="55"/>
  <c r="V1688" i="55"/>
  <c r="U1688" i="55"/>
  <c r="T1688" i="55"/>
  <c r="S1688" i="55"/>
  <c r="J1688" i="55"/>
  <c r="I1688" i="55"/>
  <c r="H1688" i="55"/>
  <c r="D1688" i="55"/>
  <c r="B1688" i="55"/>
  <c r="A1688" i="55"/>
  <c r="W1687" i="55"/>
  <c r="V1687" i="55"/>
  <c r="U1687" i="55"/>
  <c r="T1687" i="55"/>
  <c r="S1687" i="55"/>
  <c r="J1687" i="55"/>
  <c r="I1687" i="55"/>
  <c r="H1687" i="55"/>
  <c r="D1687" i="55"/>
  <c r="B1687" i="55"/>
  <c r="A1687" i="55"/>
  <c r="W1686" i="55"/>
  <c r="V1686" i="55"/>
  <c r="U1686" i="55"/>
  <c r="T1686" i="55"/>
  <c r="S1686" i="55"/>
  <c r="J1686" i="55"/>
  <c r="I1686" i="55"/>
  <c r="H1686" i="55"/>
  <c r="D1686" i="55"/>
  <c r="B1686" i="55"/>
  <c r="A1686" i="55"/>
  <c r="W1685" i="55"/>
  <c r="V1685" i="55"/>
  <c r="U1685" i="55"/>
  <c r="T1685" i="55"/>
  <c r="S1685" i="55"/>
  <c r="J1685" i="55"/>
  <c r="I1685" i="55"/>
  <c r="H1685" i="55"/>
  <c r="D1685" i="55"/>
  <c r="B1685" i="55"/>
  <c r="A1685" i="55"/>
  <c r="W1684" i="55"/>
  <c r="V1684" i="55"/>
  <c r="U1684" i="55"/>
  <c r="T1684" i="55"/>
  <c r="S1684" i="55"/>
  <c r="J1684" i="55"/>
  <c r="I1684" i="55"/>
  <c r="H1684" i="55"/>
  <c r="D1684" i="55"/>
  <c r="B1684" i="55"/>
  <c r="A1684" i="55"/>
  <c r="W1683" i="55"/>
  <c r="V1683" i="55"/>
  <c r="U1683" i="55"/>
  <c r="T1683" i="55"/>
  <c r="S1683" i="55"/>
  <c r="J1683" i="55"/>
  <c r="I1683" i="55"/>
  <c r="H1683" i="55"/>
  <c r="D1683" i="55"/>
  <c r="B1683" i="55"/>
  <c r="A1683" i="55"/>
  <c r="W1682" i="55"/>
  <c r="V1682" i="55"/>
  <c r="U1682" i="55"/>
  <c r="T1682" i="55"/>
  <c r="S1682" i="55"/>
  <c r="J1682" i="55"/>
  <c r="I1682" i="55"/>
  <c r="H1682" i="55"/>
  <c r="D1682" i="55"/>
  <c r="B1682" i="55"/>
  <c r="A1682" i="55"/>
  <c r="W1681" i="55"/>
  <c r="V1681" i="55"/>
  <c r="U1681" i="55"/>
  <c r="T1681" i="55"/>
  <c r="S1681" i="55"/>
  <c r="J1681" i="55"/>
  <c r="I1681" i="55"/>
  <c r="H1681" i="55"/>
  <c r="D1681" i="55"/>
  <c r="B1681" i="55"/>
  <c r="A1681" i="55"/>
  <c r="W1680" i="55"/>
  <c r="V1680" i="55"/>
  <c r="U1680" i="55"/>
  <c r="T1680" i="55"/>
  <c r="S1680" i="55"/>
  <c r="J1680" i="55"/>
  <c r="I1680" i="55"/>
  <c r="H1680" i="55"/>
  <c r="D1680" i="55"/>
  <c r="B1680" i="55"/>
  <c r="A1680" i="55"/>
  <c r="W1679" i="55"/>
  <c r="V1679" i="55"/>
  <c r="U1679" i="55"/>
  <c r="T1679" i="55"/>
  <c r="S1679" i="55"/>
  <c r="J1679" i="55"/>
  <c r="I1679" i="55"/>
  <c r="H1679" i="55"/>
  <c r="D1679" i="55"/>
  <c r="B1679" i="55"/>
  <c r="A1679" i="55"/>
  <c r="W1678" i="55"/>
  <c r="V1678" i="55"/>
  <c r="U1678" i="55"/>
  <c r="T1678" i="55"/>
  <c r="S1678" i="55"/>
  <c r="J1678" i="55"/>
  <c r="I1678" i="55"/>
  <c r="H1678" i="55"/>
  <c r="D1678" i="55"/>
  <c r="B1678" i="55"/>
  <c r="A1678" i="55"/>
  <c r="W1677" i="55"/>
  <c r="V1677" i="55"/>
  <c r="U1677" i="55"/>
  <c r="T1677" i="55"/>
  <c r="S1677" i="55"/>
  <c r="J1677" i="55"/>
  <c r="I1677" i="55"/>
  <c r="H1677" i="55"/>
  <c r="D1677" i="55"/>
  <c r="B1677" i="55"/>
  <c r="A1677" i="55"/>
  <c r="W1676" i="55"/>
  <c r="V1676" i="55"/>
  <c r="U1676" i="55"/>
  <c r="T1676" i="55"/>
  <c r="S1676" i="55"/>
  <c r="J1676" i="55"/>
  <c r="I1676" i="55"/>
  <c r="H1676" i="55"/>
  <c r="D1676" i="55"/>
  <c r="B1676" i="55"/>
  <c r="A1676" i="55"/>
  <c r="W1675" i="55"/>
  <c r="V1675" i="55"/>
  <c r="U1675" i="55"/>
  <c r="T1675" i="55"/>
  <c r="S1675" i="55"/>
  <c r="J1675" i="55"/>
  <c r="I1675" i="55"/>
  <c r="H1675" i="55"/>
  <c r="D1675" i="55"/>
  <c r="B1675" i="55"/>
  <c r="A1675" i="55"/>
  <c r="W1674" i="55"/>
  <c r="V1674" i="55"/>
  <c r="U1674" i="55"/>
  <c r="T1674" i="55"/>
  <c r="S1674" i="55"/>
  <c r="J1674" i="55"/>
  <c r="I1674" i="55"/>
  <c r="H1674" i="55"/>
  <c r="D1674" i="55"/>
  <c r="B1674" i="55"/>
  <c r="A1674" i="55"/>
  <c r="W1673" i="55"/>
  <c r="V1673" i="55"/>
  <c r="U1673" i="55"/>
  <c r="T1673" i="55"/>
  <c r="S1673" i="55"/>
  <c r="J1673" i="55"/>
  <c r="I1673" i="55"/>
  <c r="H1673" i="55"/>
  <c r="D1673" i="55"/>
  <c r="B1673" i="55"/>
  <c r="A1673" i="55"/>
  <c r="W1672" i="55"/>
  <c r="V1672" i="55"/>
  <c r="U1672" i="55"/>
  <c r="T1672" i="55"/>
  <c r="S1672" i="55"/>
  <c r="J1672" i="55"/>
  <c r="I1672" i="55"/>
  <c r="H1672" i="55"/>
  <c r="D1672" i="55"/>
  <c r="B1672" i="55"/>
  <c r="A1672" i="55"/>
  <c r="W1671" i="55"/>
  <c r="V1671" i="55"/>
  <c r="U1671" i="55"/>
  <c r="T1671" i="55"/>
  <c r="S1671" i="55"/>
  <c r="J1671" i="55"/>
  <c r="I1671" i="55"/>
  <c r="H1671" i="55"/>
  <c r="D1671" i="55"/>
  <c r="B1671" i="55"/>
  <c r="A1671" i="55"/>
  <c r="W1670" i="55"/>
  <c r="V1670" i="55"/>
  <c r="U1670" i="55"/>
  <c r="T1670" i="55"/>
  <c r="S1670" i="55"/>
  <c r="J1670" i="55"/>
  <c r="I1670" i="55"/>
  <c r="H1670" i="55"/>
  <c r="D1670" i="55"/>
  <c r="B1670" i="55"/>
  <c r="A1670" i="55"/>
  <c r="W1669" i="55"/>
  <c r="V1669" i="55"/>
  <c r="U1669" i="55"/>
  <c r="T1669" i="55"/>
  <c r="S1669" i="55"/>
  <c r="J1669" i="55"/>
  <c r="I1669" i="55"/>
  <c r="H1669" i="55"/>
  <c r="D1669" i="55"/>
  <c r="B1669" i="55"/>
  <c r="A1669" i="55"/>
  <c r="W1668" i="55"/>
  <c r="V1668" i="55"/>
  <c r="U1668" i="55"/>
  <c r="T1668" i="55"/>
  <c r="S1668" i="55"/>
  <c r="J1668" i="55"/>
  <c r="I1668" i="55"/>
  <c r="H1668" i="55"/>
  <c r="D1668" i="55"/>
  <c r="B1668" i="55"/>
  <c r="A1668" i="55"/>
  <c r="W1667" i="55"/>
  <c r="V1667" i="55"/>
  <c r="U1667" i="55"/>
  <c r="T1667" i="55"/>
  <c r="S1667" i="55"/>
  <c r="J1667" i="55"/>
  <c r="I1667" i="55"/>
  <c r="H1667" i="55"/>
  <c r="D1667" i="55"/>
  <c r="B1667" i="55"/>
  <c r="A1667" i="55"/>
  <c r="W1666" i="55"/>
  <c r="V1666" i="55"/>
  <c r="U1666" i="55"/>
  <c r="T1666" i="55"/>
  <c r="S1666" i="55"/>
  <c r="J1666" i="55"/>
  <c r="I1666" i="55"/>
  <c r="H1666" i="55"/>
  <c r="D1666" i="55"/>
  <c r="B1666" i="55"/>
  <c r="A1666" i="55"/>
  <c r="W1665" i="55"/>
  <c r="V1665" i="55"/>
  <c r="U1665" i="55"/>
  <c r="T1665" i="55"/>
  <c r="S1665" i="55"/>
  <c r="J1665" i="55"/>
  <c r="I1665" i="55"/>
  <c r="H1665" i="55"/>
  <c r="D1665" i="55"/>
  <c r="B1665" i="55"/>
  <c r="A1665" i="55"/>
  <c r="W1664" i="55"/>
  <c r="V1664" i="55"/>
  <c r="U1664" i="55"/>
  <c r="T1664" i="55"/>
  <c r="S1664" i="55"/>
  <c r="J1664" i="55"/>
  <c r="I1664" i="55"/>
  <c r="H1664" i="55"/>
  <c r="D1664" i="55"/>
  <c r="B1664" i="55"/>
  <c r="A1664" i="55"/>
  <c r="W1663" i="55"/>
  <c r="V1663" i="55"/>
  <c r="U1663" i="55"/>
  <c r="T1663" i="55"/>
  <c r="S1663" i="55"/>
  <c r="J1663" i="55"/>
  <c r="I1663" i="55"/>
  <c r="H1663" i="55"/>
  <c r="D1663" i="55"/>
  <c r="B1663" i="55"/>
  <c r="A1663" i="55"/>
  <c r="W1662" i="55"/>
  <c r="V1662" i="55"/>
  <c r="U1662" i="55"/>
  <c r="T1662" i="55"/>
  <c r="S1662" i="55"/>
  <c r="J1662" i="55"/>
  <c r="I1662" i="55"/>
  <c r="H1662" i="55"/>
  <c r="D1662" i="55"/>
  <c r="B1662" i="55"/>
  <c r="A1662" i="55"/>
  <c r="W1661" i="55"/>
  <c r="V1661" i="55"/>
  <c r="U1661" i="55"/>
  <c r="T1661" i="55"/>
  <c r="S1661" i="55"/>
  <c r="J1661" i="55"/>
  <c r="I1661" i="55"/>
  <c r="H1661" i="55"/>
  <c r="D1661" i="55"/>
  <c r="B1661" i="55"/>
  <c r="A1661" i="55"/>
  <c r="W1660" i="55"/>
  <c r="V1660" i="55"/>
  <c r="U1660" i="55"/>
  <c r="T1660" i="55"/>
  <c r="S1660" i="55"/>
  <c r="J1660" i="55"/>
  <c r="I1660" i="55"/>
  <c r="H1660" i="55"/>
  <c r="D1660" i="55"/>
  <c r="B1660" i="55"/>
  <c r="A1660" i="55"/>
  <c r="W1659" i="55"/>
  <c r="V1659" i="55"/>
  <c r="U1659" i="55"/>
  <c r="T1659" i="55"/>
  <c r="S1659" i="55"/>
  <c r="J1659" i="55"/>
  <c r="I1659" i="55"/>
  <c r="H1659" i="55"/>
  <c r="D1659" i="55"/>
  <c r="B1659" i="55"/>
  <c r="A1659" i="55"/>
  <c r="W1658" i="55"/>
  <c r="V1658" i="55"/>
  <c r="U1658" i="55"/>
  <c r="T1658" i="55"/>
  <c r="S1658" i="55"/>
  <c r="J1658" i="55"/>
  <c r="I1658" i="55"/>
  <c r="H1658" i="55"/>
  <c r="D1658" i="55"/>
  <c r="B1658" i="55"/>
  <c r="A1658" i="55"/>
  <c r="W1657" i="55"/>
  <c r="V1657" i="55"/>
  <c r="U1657" i="55"/>
  <c r="T1657" i="55"/>
  <c r="S1657" i="55"/>
  <c r="J1657" i="55"/>
  <c r="I1657" i="55"/>
  <c r="H1657" i="55"/>
  <c r="D1657" i="55"/>
  <c r="B1657" i="55"/>
  <c r="A1657" i="55"/>
  <c r="W1656" i="55"/>
  <c r="V1656" i="55"/>
  <c r="U1656" i="55"/>
  <c r="T1656" i="55"/>
  <c r="S1656" i="55"/>
  <c r="J1656" i="55"/>
  <c r="I1656" i="55"/>
  <c r="H1656" i="55"/>
  <c r="D1656" i="55"/>
  <c r="B1656" i="55"/>
  <c r="A1656" i="55"/>
  <c r="W1655" i="55"/>
  <c r="V1655" i="55"/>
  <c r="U1655" i="55"/>
  <c r="T1655" i="55"/>
  <c r="S1655" i="55"/>
  <c r="J1655" i="55"/>
  <c r="I1655" i="55"/>
  <c r="H1655" i="55"/>
  <c r="D1655" i="55"/>
  <c r="B1655" i="55"/>
  <c r="A1655" i="55"/>
  <c r="W1654" i="55"/>
  <c r="V1654" i="55"/>
  <c r="U1654" i="55"/>
  <c r="T1654" i="55"/>
  <c r="S1654" i="55"/>
  <c r="J1654" i="55"/>
  <c r="I1654" i="55"/>
  <c r="H1654" i="55"/>
  <c r="D1654" i="55"/>
  <c r="B1654" i="55"/>
  <c r="A1654" i="55"/>
  <c r="W1653" i="55"/>
  <c r="V1653" i="55"/>
  <c r="U1653" i="55"/>
  <c r="T1653" i="55"/>
  <c r="S1653" i="55"/>
  <c r="J1653" i="55"/>
  <c r="I1653" i="55"/>
  <c r="H1653" i="55"/>
  <c r="D1653" i="55"/>
  <c r="B1653" i="55"/>
  <c r="A1653" i="55"/>
  <c r="W1652" i="55"/>
  <c r="V1652" i="55"/>
  <c r="U1652" i="55"/>
  <c r="T1652" i="55"/>
  <c r="S1652" i="55"/>
  <c r="J1652" i="55"/>
  <c r="I1652" i="55"/>
  <c r="H1652" i="55"/>
  <c r="D1652" i="55"/>
  <c r="B1652" i="55"/>
  <c r="A1652" i="55"/>
  <c r="W1651" i="55"/>
  <c r="V1651" i="55"/>
  <c r="U1651" i="55"/>
  <c r="T1651" i="55"/>
  <c r="S1651" i="55"/>
  <c r="J1651" i="55"/>
  <c r="I1651" i="55"/>
  <c r="H1651" i="55"/>
  <c r="D1651" i="55"/>
  <c r="B1651" i="55"/>
  <c r="A1651" i="55"/>
  <c r="W1650" i="55"/>
  <c r="V1650" i="55"/>
  <c r="U1650" i="55"/>
  <c r="T1650" i="55"/>
  <c r="S1650" i="55"/>
  <c r="J1650" i="55"/>
  <c r="I1650" i="55"/>
  <c r="H1650" i="55"/>
  <c r="D1650" i="55"/>
  <c r="B1650" i="55"/>
  <c r="A1650" i="55"/>
  <c r="W1649" i="55"/>
  <c r="V1649" i="55"/>
  <c r="U1649" i="55"/>
  <c r="T1649" i="55"/>
  <c r="S1649" i="55"/>
  <c r="J1649" i="55"/>
  <c r="I1649" i="55"/>
  <c r="H1649" i="55"/>
  <c r="D1649" i="55"/>
  <c r="B1649" i="55"/>
  <c r="A1649" i="55"/>
  <c r="W1648" i="55"/>
  <c r="V1648" i="55"/>
  <c r="U1648" i="55"/>
  <c r="T1648" i="55"/>
  <c r="S1648" i="55"/>
  <c r="J1648" i="55"/>
  <c r="I1648" i="55"/>
  <c r="H1648" i="55"/>
  <c r="D1648" i="55"/>
  <c r="B1648" i="55"/>
  <c r="A1648" i="55"/>
  <c r="W1647" i="55"/>
  <c r="V1647" i="55"/>
  <c r="U1647" i="55"/>
  <c r="T1647" i="55"/>
  <c r="S1647" i="55"/>
  <c r="J1647" i="55"/>
  <c r="I1647" i="55"/>
  <c r="H1647" i="55"/>
  <c r="D1647" i="55"/>
  <c r="B1647" i="55"/>
  <c r="A1647" i="55"/>
  <c r="W1646" i="55"/>
  <c r="V1646" i="55"/>
  <c r="U1646" i="55"/>
  <c r="T1646" i="55"/>
  <c r="S1646" i="55"/>
  <c r="J1646" i="55"/>
  <c r="I1646" i="55"/>
  <c r="H1646" i="55"/>
  <c r="D1646" i="55"/>
  <c r="B1646" i="55"/>
  <c r="A1646" i="55"/>
  <c r="W1645" i="55"/>
  <c r="V1645" i="55"/>
  <c r="U1645" i="55"/>
  <c r="T1645" i="55"/>
  <c r="S1645" i="55"/>
  <c r="J1645" i="55"/>
  <c r="I1645" i="55"/>
  <c r="H1645" i="55"/>
  <c r="D1645" i="55"/>
  <c r="B1645" i="55"/>
  <c r="A1645" i="55"/>
  <c r="W1644" i="55"/>
  <c r="V1644" i="55"/>
  <c r="U1644" i="55"/>
  <c r="T1644" i="55"/>
  <c r="S1644" i="55"/>
  <c r="J1644" i="55"/>
  <c r="I1644" i="55"/>
  <c r="H1644" i="55"/>
  <c r="D1644" i="55"/>
  <c r="B1644" i="55"/>
  <c r="A1644" i="55"/>
  <c r="W1643" i="55"/>
  <c r="V1643" i="55"/>
  <c r="U1643" i="55"/>
  <c r="T1643" i="55"/>
  <c r="S1643" i="55"/>
  <c r="J1643" i="55"/>
  <c r="I1643" i="55"/>
  <c r="H1643" i="55"/>
  <c r="D1643" i="55"/>
  <c r="B1643" i="55"/>
  <c r="A1643" i="55"/>
  <c r="W1642" i="55"/>
  <c r="V1642" i="55"/>
  <c r="U1642" i="55"/>
  <c r="T1642" i="55"/>
  <c r="S1642" i="55"/>
  <c r="J1642" i="55"/>
  <c r="I1642" i="55"/>
  <c r="H1642" i="55"/>
  <c r="D1642" i="55"/>
  <c r="B1642" i="55"/>
  <c r="A1642" i="55"/>
  <c r="W1641" i="55"/>
  <c r="V1641" i="55"/>
  <c r="U1641" i="55"/>
  <c r="T1641" i="55"/>
  <c r="S1641" i="55"/>
  <c r="J1641" i="55"/>
  <c r="I1641" i="55"/>
  <c r="H1641" i="55"/>
  <c r="D1641" i="55"/>
  <c r="B1641" i="55"/>
  <c r="A1641" i="55"/>
  <c r="W1640" i="55"/>
  <c r="V1640" i="55"/>
  <c r="U1640" i="55"/>
  <c r="T1640" i="55"/>
  <c r="S1640" i="55"/>
  <c r="J1640" i="55"/>
  <c r="I1640" i="55"/>
  <c r="H1640" i="55"/>
  <c r="D1640" i="55"/>
  <c r="B1640" i="55"/>
  <c r="A1640" i="55"/>
  <c r="W1639" i="55"/>
  <c r="V1639" i="55"/>
  <c r="U1639" i="55"/>
  <c r="T1639" i="55"/>
  <c r="S1639" i="55"/>
  <c r="J1639" i="55"/>
  <c r="I1639" i="55"/>
  <c r="H1639" i="55"/>
  <c r="D1639" i="55"/>
  <c r="B1639" i="55"/>
  <c r="A1639" i="55"/>
  <c r="W1638" i="55"/>
  <c r="V1638" i="55"/>
  <c r="U1638" i="55"/>
  <c r="T1638" i="55"/>
  <c r="S1638" i="55"/>
  <c r="J1638" i="55"/>
  <c r="I1638" i="55"/>
  <c r="H1638" i="55"/>
  <c r="D1638" i="55"/>
  <c r="B1638" i="55"/>
  <c r="A1638" i="55"/>
  <c r="W1637" i="55"/>
  <c r="V1637" i="55"/>
  <c r="U1637" i="55"/>
  <c r="T1637" i="55"/>
  <c r="S1637" i="55"/>
  <c r="J1637" i="55"/>
  <c r="I1637" i="55"/>
  <c r="H1637" i="55"/>
  <c r="D1637" i="55"/>
  <c r="B1637" i="55"/>
  <c r="A1637" i="55"/>
  <c r="W1636" i="55"/>
  <c r="V1636" i="55"/>
  <c r="U1636" i="55"/>
  <c r="T1636" i="55"/>
  <c r="S1636" i="55"/>
  <c r="J1636" i="55"/>
  <c r="I1636" i="55"/>
  <c r="H1636" i="55"/>
  <c r="D1636" i="55"/>
  <c r="B1636" i="55"/>
  <c r="A1636" i="55"/>
  <c r="W1635" i="55"/>
  <c r="V1635" i="55"/>
  <c r="U1635" i="55"/>
  <c r="T1635" i="55"/>
  <c r="S1635" i="55"/>
  <c r="J1635" i="55"/>
  <c r="I1635" i="55"/>
  <c r="H1635" i="55"/>
  <c r="D1635" i="55"/>
  <c r="B1635" i="55"/>
  <c r="A1635" i="55"/>
  <c r="W1634" i="55"/>
  <c r="V1634" i="55"/>
  <c r="U1634" i="55"/>
  <c r="T1634" i="55"/>
  <c r="S1634" i="55"/>
  <c r="J1634" i="55"/>
  <c r="I1634" i="55"/>
  <c r="H1634" i="55"/>
  <c r="D1634" i="55"/>
  <c r="B1634" i="55"/>
  <c r="A1634" i="55"/>
  <c r="W1633" i="55"/>
  <c r="V1633" i="55"/>
  <c r="U1633" i="55"/>
  <c r="T1633" i="55"/>
  <c r="S1633" i="55"/>
  <c r="J1633" i="55"/>
  <c r="I1633" i="55"/>
  <c r="H1633" i="55"/>
  <c r="D1633" i="55"/>
  <c r="B1633" i="55"/>
  <c r="A1633" i="55"/>
  <c r="W1632" i="55"/>
  <c r="V1632" i="55"/>
  <c r="U1632" i="55"/>
  <c r="T1632" i="55"/>
  <c r="S1632" i="55"/>
  <c r="J1632" i="55"/>
  <c r="I1632" i="55"/>
  <c r="H1632" i="55"/>
  <c r="D1632" i="55"/>
  <c r="B1632" i="55"/>
  <c r="A1632" i="55"/>
  <c r="W1631" i="55"/>
  <c r="V1631" i="55"/>
  <c r="U1631" i="55"/>
  <c r="T1631" i="55"/>
  <c r="S1631" i="55"/>
  <c r="J1631" i="55"/>
  <c r="I1631" i="55"/>
  <c r="H1631" i="55"/>
  <c r="D1631" i="55"/>
  <c r="B1631" i="55"/>
  <c r="A1631" i="55"/>
  <c r="W1630" i="55"/>
  <c r="V1630" i="55"/>
  <c r="U1630" i="55"/>
  <c r="T1630" i="55"/>
  <c r="S1630" i="55"/>
  <c r="J1630" i="55"/>
  <c r="I1630" i="55"/>
  <c r="H1630" i="55"/>
  <c r="D1630" i="55"/>
  <c r="B1630" i="55"/>
  <c r="A1630" i="55"/>
  <c r="W1629" i="55"/>
  <c r="V1629" i="55"/>
  <c r="U1629" i="55"/>
  <c r="T1629" i="55"/>
  <c r="S1629" i="55"/>
  <c r="J1629" i="55"/>
  <c r="I1629" i="55"/>
  <c r="H1629" i="55"/>
  <c r="D1629" i="55"/>
  <c r="B1629" i="55"/>
  <c r="A1629" i="55"/>
  <c r="W1628" i="55"/>
  <c r="V1628" i="55"/>
  <c r="U1628" i="55"/>
  <c r="T1628" i="55"/>
  <c r="S1628" i="55"/>
  <c r="J1628" i="55"/>
  <c r="I1628" i="55"/>
  <c r="H1628" i="55"/>
  <c r="D1628" i="55"/>
  <c r="B1628" i="55"/>
  <c r="A1628" i="55"/>
  <c r="W1627" i="55"/>
  <c r="V1627" i="55"/>
  <c r="U1627" i="55"/>
  <c r="T1627" i="55"/>
  <c r="S1627" i="55"/>
  <c r="J1627" i="55"/>
  <c r="I1627" i="55"/>
  <c r="H1627" i="55"/>
  <c r="D1627" i="55"/>
  <c r="B1627" i="55"/>
  <c r="A1627" i="55"/>
  <c r="W1626" i="55"/>
  <c r="V1626" i="55"/>
  <c r="U1626" i="55"/>
  <c r="T1626" i="55"/>
  <c r="S1626" i="55"/>
  <c r="J1626" i="55"/>
  <c r="I1626" i="55"/>
  <c r="H1626" i="55"/>
  <c r="D1626" i="55"/>
  <c r="B1626" i="55"/>
  <c r="A1626" i="55"/>
  <c r="W1625" i="55"/>
  <c r="V1625" i="55"/>
  <c r="U1625" i="55"/>
  <c r="T1625" i="55"/>
  <c r="S1625" i="55"/>
  <c r="J1625" i="55"/>
  <c r="I1625" i="55"/>
  <c r="H1625" i="55"/>
  <c r="D1625" i="55"/>
  <c r="B1625" i="55"/>
  <c r="A1625" i="55"/>
  <c r="W1624" i="55"/>
  <c r="V1624" i="55"/>
  <c r="U1624" i="55"/>
  <c r="T1624" i="55"/>
  <c r="S1624" i="55"/>
  <c r="J1624" i="55"/>
  <c r="I1624" i="55"/>
  <c r="H1624" i="55"/>
  <c r="D1624" i="55"/>
  <c r="B1624" i="55"/>
  <c r="A1624" i="55"/>
  <c r="W1623" i="55"/>
  <c r="V1623" i="55"/>
  <c r="U1623" i="55"/>
  <c r="T1623" i="55"/>
  <c r="S1623" i="55"/>
  <c r="J1623" i="55"/>
  <c r="I1623" i="55"/>
  <c r="H1623" i="55"/>
  <c r="D1623" i="55"/>
  <c r="B1623" i="55"/>
  <c r="A1623" i="55"/>
  <c r="W1622" i="55"/>
  <c r="V1622" i="55"/>
  <c r="U1622" i="55"/>
  <c r="T1622" i="55"/>
  <c r="S1622" i="55"/>
  <c r="J1622" i="55"/>
  <c r="I1622" i="55"/>
  <c r="H1622" i="55"/>
  <c r="D1622" i="55"/>
  <c r="B1622" i="55"/>
  <c r="A1622" i="55"/>
  <c r="W1621" i="55"/>
  <c r="V1621" i="55"/>
  <c r="U1621" i="55"/>
  <c r="T1621" i="55"/>
  <c r="S1621" i="55"/>
  <c r="J1621" i="55"/>
  <c r="I1621" i="55"/>
  <c r="H1621" i="55"/>
  <c r="D1621" i="55"/>
  <c r="B1621" i="55"/>
  <c r="A1621" i="55"/>
  <c r="W1620" i="55"/>
  <c r="V1620" i="55"/>
  <c r="U1620" i="55"/>
  <c r="T1620" i="55"/>
  <c r="S1620" i="55"/>
  <c r="J1620" i="55"/>
  <c r="I1620" i="55"/>
  <c r="H1620" i="55"/>
  <c r="D1620" i="55"/>
  <c r="B1620" i="55"/>
  <c r="A1620" i="55"/>
  <c r="W1619" i="55"/>
  <c r="V1619" i="55"/>
  <c r="U1619" i="55"/>
  <c r="T1619" i="55"/>
  <c r="S1619" i="55"/>
  <c r="J1619" i="55"/>
  <c r="I1619" i="55"/>
  <c r="H1619" i="55"/>
  <c r="D1619" i="55"/>
  <c r="B1619" i="55"/>
  <c r="A1619" i="55"/>
  <c r="W1618" i="55"/>
  <c r="V1618" i="55"/>
  <c r="U1618" i="55"/>
  <c r="T1618" i="55"/>
  <c r="S1618" i="55"/>
  <c r="J1618" i="55"/>
  <c r="I1618" i="55"/>
  <c r="H1618" i="55"/>
  <c r="D1618" i="55"/>
  <c r="B1618" i="55"/>
  <c r="A1618" i="55"/>
  <c r="W1617" i="55"/>
  <c r="V1617" i="55"/>
  <c r="U1617" i="55"/>
  <c r="T1617" i="55"/>
  <c r="S1617" i="55"/>
  <c r="J1617" i="55"/>
  <c r="I1617" i="55"/>
  <c r="H1617" i="55"/>
  <c r="D1617" i="55"/>
  <c r="B1617" i="55"/>
  <c r="A1617" i="55"/>
  <c r="W1616" i="55"/>
  <c r="V1616" i="55"/>
  <c r="U1616" i="55"/>
  <c r="T1616" i="55"/>
  <c r="S1616" i="55"/>
  <c r="J1616" i="55"/>
  <c r="I1616" i="55"/>
  <c r="H1616" i="55"/>
  <c r="D1616" i="55"/>
  <c r="B1616" i="55"/>
  <c r="A1616" i="55"/>
  <c r="W1615" i="55"/>
  <c r="V1615" i="55"/>
  <c r="U1615" i="55"/>
  <c r="T1615" i="55"/>
  <c r="S1615" i="55"/>
  <c r="J1615" i="55"/>
  <c r="I1615" i="55"/>
  <c r="H1615" i="55"/>
  <c r="D1615" i="55"/>
  <c r="B1615" i="55"/>
  <c r="A1615" i="55"/>
  <c r="W1614" i="55"/>
  <c r="V1614" i="55"/>
  <c r="U1614" i="55"/>
  <c r="T1614" i="55"/>
  <c r="S1614" i="55"/>
  <c r="J1614" i="55"/>
  <c r="I1614" i="55"/>
  <c r="H1614" i="55"/>
  <c r="D1614" i="55"/>
  <c r="B1614" i="55"/>
  <c r="A1614" i="55"/>
  <c r="W1613" i="55"/>
  <c r="V1613" i="55"/>
  <c r="U1613" i="55"/>
  <c r="T1613" i="55"/>
  <c r="S1613" i="55"/>
  <c r="J1613" i="55"/>
  <c r="I1613" i="55"/>
  <c r="H1613" i="55"/>
  <c r="D1613" i="55"/>
  <c r="B1613" i="55"/>
  <c r="A1613" i="55"/>
  <c r="W1612" i="55"/>
  <c r="V1612" i="55"/>
  <c r="U1612" i="55"/>
  <c r="T1612" i="55"/>
  <c r="S1612" i="55"/>
  <c r="J1612" i="55"/>
  <c r="I1612" i="55"/>
  <c r="H1612" i="55"/>
  <c r="D1612" i="55"/>
  <c r="B1612" i="55"/>
  <c r="A1612" i="55"/>
  <c r="W1611" i="55"/>
  <c r="V1611" i="55"/>
  <c r="U1611" i="55"/>
  <c r="T1611" i="55"/>
  <c r="S1611" i="55"/>
  <c r="J1611" i="55"/>
  <c r="I1611" i="55"/>
  <c r="H1611" i="55"/>
  <c r="D1611" i="55"/>
  <c r="B1611" i="55"/>
  <c r="A1611" i="55"/>
  <c r="W1610" i="55"/>
  <c r="V1610" i="55"/>
  <c r="U1610" i="55"/>
  <c r="T1610" i="55"/>
  <c r="S1610" i="55"/>
  <c r="J1610" i="55"/>
  <c r="I1610" i="55"/>
  <c r="H1610" i="55"/>
  <c r="D1610" i="55"/>
  <c r="B1610" i="55"/>
  <c r="A1610" i="55"/>
  <c r="W1609" i="55"/>
  <c r="V1609" i="55"/>
  <c r="U1609" i="55"/>
  <c r="T1609" i="55"/>
  <c r="S1609" i="55"/>
  <c r="J1609" i="55"/>
  <c r="I1609" i="55"/>
  <c r="H1609" i="55"/>
  <c r="D1609" i="55"/>
  <c r="B1609" i="55"/>
  <c r="A1609" i="55"/>
  <c r="W1608" i="55"/>
  <c r="V1608" i="55"/>
  <c r="U1608" i="55"/>
  <c r="T1608" i="55"/>
  <c r="S1608" i="55"/>
  <c r="J1608" i="55"/>
  <c r="I1608" i="55"/>
  <c r="H1608" i="55"/>
  <c r="D1608" i="55"/>
  <c r="B1608" i="55"/>
  <c r="A1608" i="55"/>
  <c r="W1607" i="55"/>
  <c r="V1607" i="55"/>
  <c r="U1607" i="55"/>
  <c r="T1607" i="55"/>
  <c r="S1607" i="55"/>
  <c r="J1607" i="55"/>
  <c r="I1607" i="55"/>
  <c r="H1607" i="55"/>
  <c r="D1607" i="55"/>
  <c r="B1607" i="55"/>
  <c r="A1607" i="55"/>
  <c r="W1606" i="55"/>
  <c r="V1606" i="55"/>
  <c r="U1606" i="55"/>
  <c r="T1606" i="55"/>
  <c r="S1606" i="55"/>
  <c r="J1606" i="55"/>
  <c r="I1606" i="55"/>
  <c r="H1606" i="55"/>
  <c r="D1606" i="55"/>
  <c r="B1606" i="55"/>
  <c r="A1606" i="55"/>
  <c r="W1605" i="55"/>
  <c r="V1605" i="55"/>
  <c r="U1605" i="55"/>
  <c r="T1605" i="55"/>
  <c r="S1605" i="55"/>
  <c r="J1605" i="55"/>
  <c r="I1605" i="55"/>
  <c r="H1605" i="55"/>
  <c r="D1605" i="55"/>
  <c r="B1605" i="55"/>
  <c r="A1605" i="55"/>
  <c r="W1604" i="55"/>
  <c r="V1604" i="55"/>
  <c r="U1604" i="55"/>
  <c r="T1604" i="55"/>
  <c r="S1604" i="55"/>
  <c r="J1604" i="55"/>
  <c r="I1604" i="55"/>
  <c r="H1604" i="55"/>
  <c r="D1604" i="55"/>
  <c r="B1604" i="55"/>
  <c r="A1604" i="55"/>
  <c r="W1603" i="55"/>
  <c r="V1603" i="55"/>
  <c r="U1603" i="55"/>
  <c r="T1603" i="55"/>
  <c r="S1603" i="55"/>
  <c r="J1603" i="55"/>
  <c r="I1603" i="55"/>
  <c r="H1603" i="55"/>
  <c r="D1603" i="55"/>
  <c r="B1603" i="55"/>
  <c r="A1603" i="55"/>
  <c r="W1602" i="55"/>
  <c r="V1602" i="55"/>
  <c r="U1602" i="55"/>
  <c r="T1602" i="55"/>
  <c r="S1602" i="55"/>
  <c r="J1602" i="55"/>
  <c r="I1602" i="55"/>
  <c r="H1602" i="55"/>
  <c r="D1602" i="55"/>
  <c r="B1602" i="55"/>
  <c r="A1602" i="55"/>
  <c r="W1601" i="55"/>
  <c r="V1601" i="55"/>
  <c r="U1601" i="55"/>
  <c r="T1601" i="55"/>
  <c r="S1601" i="55"/>
  <c r="J1601" i="55"/>
  <c r="I1601" i="55"/>
  <c r="H1601" i="55"/>
  <c r="D1601" i="55"/>
  <c r="B1601" i="55"/>
  <c r="A1601" i="55"/>
  <c r="W1600" i="55"/>
  <c r="V1600" i="55"/>
  <c r="U1600" i="55"/>
  <c r="T1600" i="55"/>
  <c r="S1600" i="55"/>
  <c r="J1600" i="55"/>
  <c r="I1600" i="55"/>
  <c r="H1600" i="55"/>
  <c r="D1600" i="55"/>
  <c r="B1600" i="55"/>
  <c r="A1600" i="55"/>
  <c r="W1599" i="55"/>
  <c r="V1599" i="55"/>
  <c r="U1599" i="55"/>
  <c r="T1599" i="55"/>
  <c r="S1599" i="55"/>
  <c r="J1599" i="55"/>
  <c r="I1599" i="55"/>
  <c r="H1599" i="55"/>
  <c r="D1599" i="55"/>
  <c r="B1599" i="55"/>
  <c r="A1599" i="55"/>
  <c r="W1598" i="55"/>
  <c r="V1598" i="55"/>
  <c r="U1598" i="55"/>
  <c r="T1598" i="55"/>
  <c r="S1598" i="55"/>
  <c r="J1598" i="55"/>
  <c r="I1598" i="55"/>
  <c r="H1598" i="55"/>
  <c r="D1598" i="55"/>
  <c r="B1598" i="55"/>
  <c r="A1598" i="55"/>
  <c r="W1597" i="55"/>
  <c r="V1597" i="55"/>
  <c r="U1597" i="55"/>
  <c r="T1597" i="55"/>
  <c r="S1597" i="55"/>
  <c r="J1597" i="55"/>
  <c r="I1597" i="55"/>
  <c r="H1597" i="55"/>
  <c r="D1597" i="55"/>
  <c r="B1597" i="55"/>
  <c r="A1597" i="55"/>
  <c r="W1596" i="55"/>
  <c r="V1596" i="55"/>
  <c r="U1596" i="55"/>
  <c r="T1596" i="55"/>
  <c r="S1596" i="55"/>
  <c r="J1596" i="55"/>
  <c r="I1596" i="55"/>
  <c r="H1596" i="55"/>
  <c r="D1596" i="55"/>
  <c r="B1596" i="55"/>
  <c r="A1596" i="55"/>
  <c r="W1595" i="55"/>
  <c r="V1595" i="55"/>
  <c r="U1595" i="55"/>
  <c r="T1595" i="55"/>
  <c r="S1595" i="55"/>
  <c r="J1595" i="55"/>
  <c r="I1595" i="55"/>
  <c r="H1595" i="55"/>
  <c r="D1595" i="55"/>
  <c r="B1595" i="55"/>
  <c r="A1595" i="55"/>
  <c r="W1594" i="55"/>
  <c r="V1594" i="55"/>
  <c r="U1594" i="55"/>
  <c r="T1594" i="55"/>
  <c r="S1594" i="55"/>
  <c r="J1594" i="55"/>
  <c r="I1594" i="55"/>
  <c r="H1594" i="55"/>
  <c r="D1594" i="55"/>
  <c r="B1594" i="55"/>
  <c r="A1594" i="55"/>
  <c r="W1593" i="55"/>
  <c r="V1593" i="55"/>
  <c r="U1593" i="55"/>
  <c r="T1593" i="55"/>
  <c r="S1593" i="55"/>
  <c r="J1593" i="55"/>
  <c r="I1593" i="55"/>
  <c r="H1593" i="55"/>
  <c r="D1593" i="55"/>
  <c r="B1593" i="55"/>
  <c r="A1593" i="55"/>
  <c r="W1592" i="55"/>
  <c r="V1592" i="55"/>
  <c r="U1592" i="55"/>
  <c r="T1592" i="55"/>
  <c r="S1592" i="55"/>
  <c r="J1592" i="55"/>
  <c r="I1592" i="55"/>
  <c r="H1592" i="55"/>
  <c r="D1592" i="55"/>
  <c r="B1592" i="55"/>
  <c r="A1592" i="55"/>
  <c r="W1591" i="55"/>
  <c r="V1591" i="55"/>
  <c r="U1591" i="55"/>
  <c r="T1591" i="55"/>
  <c r="S1591" i="55"/>
  <c r="J1591" i="55"/>
  <c r="I1591" i="55"/>
  <c r="H1591" i="55"/>
  <c r="D1591" i="55"/>
  <c r="B1591" i="55"/>
  <c r="A1591" i="55"/>
  <c r="W1590" i="55"/>
  <c r="V1590" i="55"/>
  <c r="U1590" i="55"/>
  <c r="T1590" i="55"/>
  <c r="S1590" i="55"/>
  <c r="J1590" i="55"/>
  <c r="I1590" i="55"/>
  <c r="H1590" i="55"/>
  <c r="D1590" i="55"/>
  <c r="B1590" i="55"/>
  <c r="A1590" i="55"/>
  <c r="W1589" i="55"/>
  <c r="V1589" i="55"/>
  <c r="U1589" i="55"/>
  <c r="T1589" i="55"/>
  <c r="S1589" i="55"/>
  <c r="J1589" i="55"/>
  <c r="I1589" i="55"/>
  <c r="H1589" i="55"/>
  <c r="D1589" i="55"/>
  <c r="B1589" i="55"/>
  <c r="A1589" i="55"/>
  <c r="W1588" i="55"/>
  <c r="V1588" i="55"/>
  <c r="U1588" i="55"/>
  <c r="T1588" i="55"/>
  <c r="S1588" i="55"/>
  <c r="J1588" i="55"/>
  <c r="I1588" i="55"/>
  <c r="H1588" i="55"/>
  <c r="D1588" i="55"/>
  <c r="B1588" i="55"/>
  <c r="A1588" i="55"/>
  <c r="W1587" i="55"/>
  <c r="V1587" i="55"/>
  <c r="U1587" i="55"/>
  <c r="T1587" i="55"/>
  <c r="S1587" i="55"/>
  <c r="J1587" i="55"/>
  <c r="I1587" i="55"/>
  <c r="H1587" i="55"/>
  <c r="D1587" i="55"/>
  <c r="B1587" i="55"/>
  <c r="A1587" i="55"/>
  <c r="W1586" i="55"/>
  <c r="V1586" i="55"/>
  <c r="U1586" i="55"/>
  <c r="T1586" i="55"/>
  <c r="S1586" i="55"/>
  <c r="J1586" i="55"/>
  <c r="I1586" i="55"/>
  <c r="H1586" i="55"/>
  <c r="D1586" i="55"/>
  <c r="B1586" i="55"/>
  <c r="A1586" i="55"/>
  <c r="W1585" i="55"/>
  <c r="V1585" i="55"/>
  <c r="U1585" i="55"/>
  <c r="T1585" i="55"/>
  <c r="S1585" i="55"/>
  <c r="J1585" i="55"/>
  <c r="I1585" i="55"/>
  <c r="H1585" i="55"/>
  <c r="D1585" i="55"/>
  <c r="B1585" i="55"/>
  <c r="A1585" i="55"/>
  <c r="W1584" i="55"/>
  <c r="V1584" i="55"/>
  <c r="U1584" i="55"/>
  <c r="T1584" i="55"/>
  <c r="S1584" i="55"/>
  <c r="J1584" i="55"/>
  <c r="I1584" i="55"/>
  <c r="H1584" i="55"/>
  <c r="D1584" i="55"/>
  <c r="B1584" i="55"/>
  <c r="A1584" i="55"/>
  <c r="W1583" i="55"/>
  <c r="V1583" i="55"/>
  <c r="U1583" i="55"/>
  <c r="T1583" i="55"/>
  <c r="S1583" i="55"/>
  <c r="J1583" i="55"/>
  <c r="I1583" i="55"/>
  <c r="H1583" i="55"/>
  <c r="D1583" i="55"/>
  <c r="B1583" i="55"/>
  <c r="A1583" i="55"/>
  <c r="W1582" i="55"/>
  <c r="V1582" i="55"/>
  <c r="U1582" i="55"/>
  <c r="T1582" i="55"/>
  <c r="S1582" i="55"/>
  <c r="J1582" i="55"/>
  <c r="I1582" i="55"/>
  <c r="H1582" i="55"/>
  <c r="D1582" i="55"/>
  <c r="B1582" i="55"/>
  <c r="A1582" i="55"/>
  <c r="W1581" i="55"/>
  <c r="V1581" i="55"/>
  <c r="U1581" i="55"/>
  <c r="T1581" i="55"/>
  <c r="S1581" i="55"/>
  <c r="J1581" i="55"/>
  <c r="I1581" i="55"/>
  <c r="H1581" i="55"/>
  <c r="D1581" i="55"/>
  <c r="B1581" i="55"/>
  <c r="A1581" i="55"/>
  <c r="W1580" i="55"/>
  <c r="V1580" i="55"/>
  <c r="U1580" i="55"/>
  <c r="T1580" i="55"/>
  <c r="S1580" i="55"/>
  <c r="J1580" i="55"/>
  <c r="I1580" i="55"/>
  <c r="H1580" i="55"/>
  <c r="D1580" i="55"/>
  <c r="B1580" i="55"/>
  <c r="A1580" i="55"/>
  <c r="W1579" i="55"/>
  <c r="V1579" i="55"/>
  <c r="U1579" i="55"/>
  <c r="T1579" i="55"/>
  <c r="S1579" i="55"/>
  <c r="J1579" i="55"/>
  <c r="I1579" i="55"/>
  <c r="H1579" i="55"/>
  <c r="D1579" i="55"/>
  <c r="B1579" i="55"/>
  <c r="A1579" i="55"/>
  <c r="W1578" i="55"/>
  <c r="V1578" i="55"/>
  <c r="U1578" i="55"/>
  <c r="T1578" i="55"/>
  <c r="S1578" i="55"/>
  <c r="J1578" i="55"/>
  <c r="I1578" i="55"/>
  <c r="H1578" i="55"/>
  <c r="D1578" i="55"/>
  <c r="B1578" i="55"/>
  <c r="A1578" i="55"/>
  <c r="W1577" i="55"/>
  <c r="V1577" i="55"/>
  <c r="U1577" i="55"/>
  <c r="T1577" i="55"/>
  <c r="S1577" i="55"/>
  <c r="J1577" i="55"/>
  <c r="I1577" i="55"/>
  <c r="H1577" i="55"/>
  <c r="D1577" i="55"/>
  <c r="B1577" i="55"/>
  <c r="A1577" i="55"/>
  <c r="W1576" i="55"/>
  <c r="V1576" i="55"/>
  <c r="U1576" i="55"/>
  <c r="T1576" i="55"/>
  <c r="S1576" i="55"/>
  <c r="J1576" i="55"/>
  <c r="I1576" i="55"/>
  <c r="H1576" i="55"/>
  <c r="D1576" i="55"/>
  <c r="B1576" i="55"/>
  <c r="A1576" i="55"/>
  <c r="W1575" i="55"/>
  <c r="V1575" i="55"/>
  <c r="U1575" i="55"/>
  <c r="T1575" i="55"/>
  <c r="S1575" i="55"/>
  <c r="J1575" i="55"/>
  <c r="I1575" i="55"/>
  <c r="H1575" i="55"/>
  <c r="D1575" i="55"/>
  <c r="B1575" i="55"/>
  <c r="A1575" i="55"/>
  <c r="W1574" i="55"/>
  <c r="V1574" i="55"/>
  <c r="U1574" i="55"/>
  <c r="T1574" i="55"/>
  <c r="S1574" i="55"/>
  <c r="J1574" i="55"/>
  <c r="I1574" i="55"/>
  <c r="H1574" i="55"/>
  <c r="D1574" i="55"/>
  <c r="B1574" i="55"/>
  <c r="A1574" i="55"/>
  <c r="W1573" i="55"/>
  <c r="V1573" i="55"/>
  <c r="U1573" i="55"/>
  <c r="T1573" i="55"/>
  <c r="S1573" i="55"/>
  <c r="J1573" i="55"/>
  <c r="I1573" i="55"/>
  <c r="H1573" i="55"/>
  <c r="D1573" i="55"/>
  <c r="B1573" i="55"/>
  <c r="A1573" i="55"/>
  <c r="W1572" i="55"/>
  <c r="V1572" i="55"/>
  <c r="U1572" i="55"/>
  <c r="T1572" i="55"/>
  <c r="S1572" i="55"/>
  <c r="J1572" i="55"/>
  <c r="I1572" i="55"/>
  <c r="H1572" i="55"/>
  <c r="D1572" i="55"/>
  <c r="B1572" i="55"/>
  <c r="A1572" i="55"/>
  <c r="W1571" i="55"/>
  <c r="V1571" i="55"/>
  <c r="U1571" i="55"/>
  <c r="T1571" i="55"/>
  <c r="S1571" i="55"/>
  <c r="J1571" i="55"/>
  <c r="I1571" i="55"/>
  <c r="H1571" i="55"/>
  <c r="D1571" i="55"/>
  <c r="B1571" i="55"/>
  <c r="A1571" i="55"/>
  <c r="W1570" i="55"/>
  <c r="V1570" i="55"/>
  <c r="U1570" i="55"/>
  <c r="T1570" i="55"/>
  <c r="S1570" i="55"/>
  <c r="J1570" i="55"/>
  <c r="I1570" i="55"/>
  <c r="H1570" i="55"/>
  <c r="D1570" i="55"/>
  <c r="B1570" i="55"/>
  <c r="A1570" i="55"/>
  <c r="W1569" i="55"/>
  <c r="V1569" i="55"/>
  <c r="U1569" i="55"/>
  <c r="T1569" i="55"/>
  <c r="S1569" i="55"/>
  <c r="J1569" i="55"/>
  <c r="I1569" i="55"/>
  <c r="H1569" i="55"/>
  <c r="D1569" i="55"/>
  <c r="B1569" i="55"/>
  <c r="A1569" i="55"/>
  <c r="W1568" i="55"/>
  <c r="V1568" i="55"/>
  <c r="U1568" i="55"/>
  <c r="T1568" i="55"/>
  <c r="S1568" i="55"/>
  <c r="J1568" i="55"/>
  <c r="I1568" i="55"/>
  <c r="H1568" i="55"/>
  <c r="D1568" i="55"/>
  <c r="B1568" i="55"/>
  <c r="A1568" i="55"/>
  <c r="W1567" i="55"/>
  <c r="V1567" i="55"/>
  <c r="U1567" i="55"/>
  <c r="T1567" i="55"/>
  <c r="S1567" i="55"/>
  <c r="J1567" i="55"/>
  <c r="I1567" i="55"/>
  <c r="H1567" i="55"/>
  <c r="D1567" i="55"/>
  <c r="B1567" i="55"/>
  <c r="A1567" i="55"/>
  <c r="W1566" i="55"/>
  <c r="V1566" i="55"/>
  <c r="U1566" i="55"/>
  <c r="T1566" i="55"/>
  <c r="S1566" i="55"/>
  <c r="J1566" i="55"/>
  <c r="I1566" i="55"/>
  <c r="H1566" i="55"/>
  <c r="D1566" i="55"/>
  <c r="B1566" i="55"/>
  <c r="A1566" i="55"/>
  <c r="W1565" i="55"/>
  <c r="V1565" i="55"/>
  <c r="U1565" i="55"/>
  <c r="T1565" i="55"/>
  <c r="S1565" i="55"/>
  <c r="J1565" i="55"/>
  <c r="I1565" i="55"/>
  <c r="H1565" i="55"/>
  <c r="D1565" i="55"/>
  <c r="B1565" i="55"/>
  <c r="A1565" i="55"/>
  <c r="W1564" i="55"/>
  <c r="V1564" i="55"/>
  <c r="U1564" i="55"/>
  <c r="T1564" i="55"/>
  <c r="S1564" i="55"/>
  <c r="J1564" i="55"/>
  <c r="I1564" i="55"/>
  <c r="H1564" i="55"/>
  <c r="D1564" i="55"/>
  <c r="B1564" i="55"/>
  <c r="A1564" i="55"/>
  <c r="W1563" i="55"/>
  <c r="V1563" i="55"/>
  <c r="U1563" i="55"/>
  <c r="T1563" i="55"/>
  <c r="S1563" i="55"/>
  <c r="J1563" i="55"/>
  <c r="I1563" i="55"/>
  <c r="H1563" i="55"/>
  <c r="D1563" i="55"/>
  <c r="B1563" i="55"/>
  <c r="A1563" i="55"/>
  <c r="W1562" i="55"/>
  <c r="V1562" i="55"/>
  <c r="U1562" i="55"/>
  <c r="T1562" i="55"/>
  <c r="S1562" i="55"/>
  <c r="J1562" i="55"/>
  <c r="I1562" i="55"/>
  <c r="H1562" i="55"/>
  <c r="D1562" i="55"/>
  <c r="B1562" i="55"/>
  <c r="A1562" i="55"/>
  <c r="W1561" i="55"/>
  <c r="V1561" i="55"/>
  <c r="U1561" i="55"/>
  <c r="T1561" i="55"/>
  <c r="S1561" i="55"/>
  <c r="J1561" i="55"/>
  <c r="I1561" i="55"/>
  <c r="H1561" i="55"/>
  <c r="D1561" i="55"/>
  <c r="B1561" i="55"/>
  <c r="A1561" i="55"/>
  <c r="W1560" i="55"/>
  <c r="V1560" i="55"/>
  <c r="U1560" i="55"/>
  <c r="T1560" i="55"/>
  <c r="S1560" i="55"/>
  <c r="J1560" i="55"/>
  <c r="I1560" i="55"/>
  <c r="H1560" i="55"/>
  <c r="D1560" i="55"/>
  <c r="B1560" i="55"/>
  <c r="A1560" i="55"/>
  <c r="W1559" i="55"/>
  <c r="V1559" i="55"/>
  <c r="U1559" i="55"/>
  <c r="T1559" i="55"/>
  <c r="S1559" i="55"/>
  <c r="J1559" i="55"/>
  <c r="I1559" i="55"/>
  <c r="H1559" i="55"/>
  <c r="D1559" i="55"/>
  <c r="B1559" i="55"/>
  <c r="A1559" i="55"/>
  <c r="W1558" i="55"/>
  <c r="V1558" i="55"/>
  <c r="U1558" i="55"/>
  <c r="T1558" i="55"/>
  <c r="S1558" i="55"/>
  <c r="J1558" i="55"/>
  <c r="I1558" i="55"/>
  <c r="H1558" i="55"/>
  <c r="D1558" i="55"/>
  <c r="B1558" i="55"/>
  <c r="A1558" i="55"/>
  <c r="W1557" i="55"/>
  <c r="V1557" i="55"/>
  <c r="U1557" i="55"/>
  <c r="T1557" i="55"/>
  <c r="S1557" i="55"/>
  <c r="J1557" i="55"/>
  <c r="I1557" i="55"/>
  <c r="H1557" i="55"/>
  <c r="D1557" i="55"/>
  <c r="B1557" i="55"/>
  <c r="A1557" i="55"/>
  <c r="W1556" i="55"/>
  <c r="V1556" i="55"/>
  <c r="U1556" i="55"/>
  <c r="T1556" i="55"/>
  <c r="S1556" i="55"/>
  <c r="J1556" i="55"/>
  <c r="I1556" i="55"/>
  <c r="H1556" i="55"/>
  <c r="D1556" i="55"/>
  <c r="B1556" i="55"/>
  <c r="A1556" i="55"/>
  <c r="W1555" i="55"/>
  <c r="V1555" i="55"/>
  <c r="U1555" i="55"/>
  <c r="T1555" i="55"/>
  <c r="S1555" i="55"/>
  <c r="J1555" i="55"/>
  <c r="I1555" i="55"/>
  <c r="H1555" i="55"/>
  <c r="D1555" i="55"/>
  <c r="B1555" i="55"/>
  <c r="A1555" i="55"/>
  <c r="W1554" i="55"/>
  <c r="V1554" i="55"/>
  <c r="U1554" i="55"/>
  <c r="T1554" i="55"/>
  <c r="S1554" i="55"/>
  <c r="J1554" i="55"/>
  <c r="I1554" i="55"/>
  <c r="H1554" i="55"/>
  <c r="D1554" i="55"/>
  <c r="B1554" i="55"/>
  <c r="A1554" i="55"/>
  <c r="W1553" i="55"/>
  <c r="V1553" i="55"/>
  <c r="U1553" i="55"/>
  <c r="T1553" i="55"/>
  <c r="S1553" i="55"/>
  <c r="J1553" i="55"/>
  <c r="I1553" i="55"/>
  <c r="H1553" i="55"/>
  <c r="D1553" i="55"/>
  <c r="B1553" i="55"/>
  <c r="A1553" i="55"/>
  <c r="W1552" i="55"/>
  <c r="V1552" i="55"/>
  <c r="U1552" i="55"/>
  <c r="T1552" i="55"/>
  <c r="S1552" i="55"/>
  <c r="J1552" i="55"/>
  <c r="I1552" i="55"/>
  <c r="H1552" i="55"/>
  <c r="D1552" i="55"/>
  <c r="B1552" i="55"/>
  <c r="A1552" i="55"/>
  <c r="W1551" i="55"/>
  <c r="V1551" i="55"/>
  <c r="U1551" i="55"/>
  <c r="T1551" i="55"/>
  <c r="S1551" i="55"/>
  <c r="J1551" i="55"/>
  <c r="I1551" i="55"/>
  <c r="H1551" i="55"/>
  <c r="D1551" i="55"/>
  <c r="B1551" i="55"/>
  <c r="A1551" i="55"/>
  <c r="W1550" i="55"/>
  <c r="V1550" i="55"/>
  <c r="U1550" i="55"/>
  <c r="T1550" i="55"/>
  <c r="S1550" i="55"/>
  <c r="J1550" i="55"/>
  <c r="I1550" i="55"/>
  <c r="H1550" i="55"/>
  <c r="D1550" i="55"/>
  <c r="B1550" i="55"/>
  <c r="A1550" i="55"/>
  <c r="W1549" i="55"/>
  <c r="V1549" i="55"/>
  <c r="U1549" i="55"/>
  <c r="T1549" i="55"/>
  <c r="S1549" i="55"/>
  <c r="J1549" i="55"/>
  <c r="I1549" i="55"/>
  <c r="H1549" i="55"/>
  <c r="D1549" i="55"/>
  <c r="B1549" i="55"/>
  <c r="A1549" i="55"/>
  <c r="W1548" i="55"/>
  <c r="V1548" i="55"/>
  <c r="U1548" i="55"/>
  <c r="T1548" i="55"/>
  <c r="S1548" i="55"/>
  <c r="J1548" i="55"/>
  <c r="I1548" i="55"/>
  <c r="H1548" i="55"/>
  <c r="D1548" i="55"/>
  <c r="B1548" i="55"/>
  <c r="A1548" i="55"/>
  <c r="W1547" i="55"/>
  <c r="V1547" i="55"/>
  <c r="U1547" i="55"/>
  <c r="T1547" i="55"/>
  <c r="S1547" i="55"/>
  <c r="J1547" i="55"/>
  <c r="I1547" i="55"/>
  <c r="H1547" i="55"/>
  <c r="D1547" i="55"/>
  <c r="B1547" i="55"/>
  <c r="A1547" i="55"/>
  <c r="W1546" i="55"/>
  <c r="V1546" i="55"/>
  <c r="U1546" i="55"/>
  <c r="T1546" i="55"/>
  <c r="S1546" i="55"/>
  <c r="J1546" i="55"/>
  <c r="I1546" i="55"/>
  <c r="H1546" i="55"/>
  <c r="D1546" i="55"/>
  <c r="B1546" i="55"/>
  <c r="A1546" i="55"/>
  <c r="W1545" i="55"/>
  <c r="V1545" i="55"/>
  <c r="U1545" i="55"/>
  <c r="T1545" i="55"/>
  <c r="S1545" i="55"/>
  <c r="J1545" i="55"/>
  <c r="I1545" i="55"/>
  <c r="H1545" i="55"/>
  <c r="D1545" i="55"/>
  <c r="B1545" i="55"/>
  <c r="A1545" i="55"/>
  <c r="W1544" i="55"/>
  <c r="V1544" i="55"/>
  <c r="U1544" i="55"/>
  <c r="T1544" i="55"/>
  <c r="S1544" i="55"/>
  <c r="J1544" i="55"/>
  <c r="I1544" i="55"/>
  <c r="H1544" i="55"/>
  <c r="D1544" i="55"/>
  <c r="B1544" i="55"/>
  <c r="A1544" i="55"/>
  <c r="W1543" i="55"/>
  <c r="V1543" i="55"/>
  <c r="U1543" i="55"/>
  <c r="T1543" i="55"/>
  <c r="S1543" i="55"/>
  <c r="J1543" i="55"/>
  <c r="I1543" i="55"/>
  <c r="H1543" i="55"/>
  <c r="D1543" i="55"/>
  <c r="B1543" i="55"/>
  <c r="A1543" i="55"/>
  <c r="W1542" i="55"/>
  <c r="V1542" i="55"/>
  <c r="U1542" i="55"/>
  <c r="T1542" i="55"/>
  <c r="S1542" i="55"/>
  <c r="J1542" i="55"/>
  <c r="I1542" i="55"/>
  <c r="H1542" i="55"/>
  <c r="D1542" i="55"/>
  <c r="B1542" i="55"/>
  <c r="A1542" i="55"/>
  <c r="W1541" i="55"/>
  <c r="V1541" i="55"/>
  <c r="U1541" i="55"/>
  <c r="T1541" i="55"/>
  <c r="S1541" i="55"/>
  <c r="J1541" i="55"/>
  <c r="I1541" i="55"/>
  <c r="H1541" i="55"/>
  <c r="D1541" i="55"/>
  <c r="B1541" i="55"/>
  <c r="A1541" i="55"/>
  <c r="W1540" i="55"/>
  <c r="V1540" i="55"/>
  <c r="U1540" i="55"/>
  <c r="T1540" i="55"/>
  <c r="S1540" i="55"/>
  <c r="J1540" i="55"/>
  <c r="I1540" i="55"/>
  <c r="H1540" i="55"/>
  <c r="D1540" i="55"/>
  <c r="B1540" i="55"/>
  <c r="A1540" i="55"/>
  <c r="W1539" i="55"/>
  <c r="V1539" i="55"/>
  <c r="U1539" i="55"/>
  <c r="T1539" i="55"/>
  <c r="S1539" i="55"/>
  <c r="J1539" i="55"/>
  <c r="I1539" i="55"/>
  <c r="H1539" i="55"/>
  <c r="D1539" i="55"/>
  <c r="B1539" i="55"/>
  <c r="A1539" i="55"/>
  <c r="W1538" i="55"/>
  <c r="V1538" i="55"/>
  <c r="U1538" i="55"/>
  <c r="T1538" i="55"/>
  <c r="S1538" i="55"/>
  <c r="J1538" i="55"/>
  <c r="I1538" i="55"/>
  <c r="H1538" i="55"/>
  <c r="D1538" i="55"/>
  <c r="B1538" i="55"/>
  <c r="A1538" i="55"/>
  <c r="W1537" i="55"/>
  <c r="V1537" i="55"/>
  <c r="U1537" i="55"/>
  <c r="T1537" i="55"/>
  <c r="S1537" i="55"/>
  <c r="J1537" i="55"/>
  <c r="I1537" i="55"/>
  <c r="H1537" i="55"/>
  <c r="D1537" i="55"/>
  <c r="B1537" i="55"/>
  <c r="A1537" i="55"/>
  <c r="W1536" i="55"/>
  <c r="V1536" i="55"/>
  <c r="U1536" i="55"/>
  <c r="T1536" i="55"/>
  <c r="S1536" i="55"/>
  <c r="J1536" i="55"/>
  <c r="I1536" i="55"/>
  <c r="H1536" i="55"/>
  <c r="D1536" i="55"/>
  <c r="B1536" i="55"/>
  <c r="A1536" i="55"/>
  <c r="W1535" i="55"/>
  <c r="V1535" i="55"/>
  <c r="U1535" i="55"/>
  <c r="T1535" i="55"/>
  <c r="S1535" i="55"/>
  <c r="J1535" i="55"/>
  <c r="I1535" i="55"/>
  <c r="H1535" i="55"/>
  <c r="D1535" i="55"/>
  <c r="B1535" i="55"/>
  <c r="A1535" i="55"/>
  <c r="W1534" i="55"/>
  <c r="V1534" i="55"/>
  <c r="U1534" i="55"/>
  <c r="T1534" i="55"/>
  <c r="S1534" i="55"/>
  <c r="J1534" i="55"/>
  <c r="I1534" i="55"/>
  <c r="H1534" i="55"/>
  <c r="D1534" i="55"/>
  <c r="B1534" i="55"/>
  <c r="A1534" i="55"/>
  <c r="W1533" i="55"/>
  <c r="V1533" i="55"/>
  <c r="U1533" i="55"/>
  <c r="T1533" i="55"/>
  <c r="S1533" i="55"/>
  <c r="J1533" i="55"/>
  <c r="I1533" i="55"/>
  <c r="H1533" i="55"/>
  <c r="D1533" i="55"/>
  <c r="B1533" i="55"/>
  <c r="A1533" i="55"/>
  <c r="W1532" i="55"/>
  <c r="V1532" i="55"/>
  <c r="U1532" i="55"/>
  <c r="T1532" i="55"/>
  <c r="S1532" i="55"/>
  <c r="J1532" i="55"/>
  <c r="I1532" i="55"/>
  <c r="H1532" i="55"/>
  <c r="D1532" i="55"/>
  <c r="B1532" i="55"/>
  <c r="A1532" i="55"/>
  <c r="W1531" i="55"/>
  <c r="V1531" i="55"/>
  <c r="U1531" i="55"/>
  <c r="T1531" i="55"/>
  <c r="S1531" i="55"/>
  <c r="J1531" i="55"/>
  <c r="I1531" i="55"/>
  <c r="H1531" i="55"/>
  <c r="D1531" i="55"/>
  <c r="B1531" i="55"/>
  <c r="A1531" i="55"/>
  <c r="W1530" i="55"/>
  <c r="V1530" i="55"/>
  <c r="U1530" i="55"/>
  <c r="T1530" i="55"/>
  <c r="S1530" i="55"/>
  <c r="J1530" i="55"/>
  <c r="I1530" i="55"/>
  <c r="H1530" i="55"/>
  <c r="D1530" i="55"/>
  <c r="B1530" i="55"/>
  <c r="A1530" i="55"/>
  <c r="W1529" i="55"/>
  <c r="V1529" i="55"/>
  <c r="U1529" i="55"/>
  <c r="T1529" i="55"/>
  <c r="S1529" i="55"/>
  <c r="J1529" i="55"/>
  <c r="I1529" i="55"/>
  <c r="H1529" i="55"/>
  <c r="D1529" i="55"/>
  <c r="B1529" i="55"/>
  <c r="A1529" i="55"/>
  <c r="W1528" i="55"/>
  <c r="V1528" i="55"/>
  <c r="U1528" i="55"/>
  <c r="T1528" i="55"/>
  <c r="S1528" i="55"/>
  <c r="J1528" i="55"/>
  <c r="I1528" i="55"/>
  <c r="H1528" i="55"/>
  <c r="D1528" i="55"/>
  <c r="B1528" i="55"/>
  <c r="A1528" i="55"/>
  <c r="W1527" i="55"/>
  <c r="V1527" i="55"/>
  <c r="U1527" i="55"/>
  <c r="T1527" i="55"/>
  <c r="S1527" i="55"/>
  <c r="J1527" i="55"/>
  <c r="I1527" i="55"/>
  <c r="H1527" i="55"/>
  <c r="D1527" i="55"/>
  <c r="B1527" i="55"/>
  <c r="A1527" i="55"/>
  <c r="W1526" i="55"/>
  <c r="V1526" i="55"/>
  <c r="U1526" i="55"/>
  <c r="T1526" i="55"/>
  <c r="S1526" i="55"/>
  <c r="J1526" i="55"/>
  <c r="I1526" i="55"/>
  <c r="H1526" i="55"/>
  <c r="D1526" i="55"/>
  <c r="B1526" i="55"/>
  <c r="A1526" i="55"/>
  <c r="W1525" i="55"/>
  <c r="V1525" i="55"/>
  <c r="U1525" i="55"/>
  <c r="T1525" i="55"/>
  <c r="S1525" i="55"/>
  <c r="J1525" i="55"/>
  <c r="I1525" i="55"/>
  <c r="H1525" i="55"/>
  <c r="D1525" i="55"/>
  <c r="B1525" i="55"/>
  <c r="A1525" i="55"/>
  <c r="W1524" i="55"/>
  <c r="V1524" i="55"/>
  <c r="U1524" i="55"/>
  <c r="T1524" i="55"/>
  <c r="S1524" i="55"/>
  <c r="J1524" i="55"/>
  <c r="I1524" i="55"/>
  <c r="H1524" i="55"/>
  <c r="D1524" i="55"/>
  <c r="B1524" i="55"/>
  <c r="A1524" i="55"/>
  <c r="W1523" i="55"/>
  <c r="V1523" i="55"/>
  <c r="U1523" i="55"/>
  <c r="T1523" i="55"/>
  <c r="S1523" i="55"/>
  <c r="J1523" i="55"/>
  <c r="I1523" i="55"/>
  <c r="H1523" i="55"/>
  <c r="D1523" i="55"/>
  <c r="B1523" i="55"/>
  <c r="A1523" i="55"/>
  <c r="W1522" i="55"/>
  <c r="V1522" i="55"/>
  <c r="U1522" i="55"/>
  <c r="T1522" i="55"/>
  <c r="S1522" i="55"/>
  <c r="J1522" i="55"/>
  <c r="I1522" i="55"/>
  <c r="H1522" i="55"/>
  <c r="D1522" i="55"/>
  <c r="B1522" i="55"/>
  <c r="A1522" i="55"/>
  <c r="W1521" i="55"/>
  <c r="V1521" i="55"/>
  <c r="U1521" i="55"/>
  <c r="T1521" i="55"/>
  <c r="S1521" i="55"/>
  <c r="J1521" i="55"/>
  <c r="I1521" i="55"/>
  <c r="H1521" i="55"/>
  <c r="D1521" i="55"/>
  <c r="B1521" i="55"/>
  <c r="A1521" i="55"/>
  <c r="W1520" i="55"/>
  <c r="V1520" i="55"/>
  <c r="U1520" i="55"/>
  <c r="T1520" i="55"/>
  <c r="S1520" i="55"/>
  <c r="J1520" i="55"/>
  <c r="I1520" i="55"/>
  <c r="H1520" i="55"/>
  <c r="D1520" i="55"/>
  <c r="B1520" i="55"/>
  <c r="A1520" i="55"/>
  <c r="W1519" i="55"/>
  <c r="V1519" i="55"/>
  <c r="U1519" i="55"/>
  <c r="T1519" i="55"/>
  <c r="S1519" i="55"/>
  <c r="J1519" i="55"/>
  <c r="I1519" i="55"/>
  <c r="H1519" i="55"/>
  <c r="D1519" i="55"/>
  <c r="B1519" i="55"/>
  <c r="A1519" i="55"/>
  <c r="W1518" i="55"/>
  <c r="V1518" i="55"/>
  <c r="U1518" i="55"/>
  <c r="T1518" i="55"/>
  <c r="S1518" i="55"/>
  <c r="J1518" i="55"/>
  <c r="I1518" i="55"/>
  <c r="H1518" i="55"/>
  <c r="D1518" i="55"/>
  <c r="B1518" i="55"/>
  <c r="A1518" i="55"/>
  <c r="W1517" i="55"/>
  <c r="V1517" i="55"/>
  <c r="U1517" i="55"/>
  <c r="T1517" i="55"/>
  <c r="S1517" i="55"/>
  <c r="J1517" i="55"/>
  <c r="I1517" i="55"/>
  <c r="H1517" i="55"/>
  <c r="D1517" i="55"/>
  <c r="B1517" i="55"/>
  <c r="A1517" i="55"/>
  <c r="W1516" i="55"/>
  <c r="V1516" i="55"/>
  <c r="U1516" i="55"/>
  <c r="T1516" i="55"/>
  <c r="S1516" i="55"/>
  <c r="J1516" i="55"/>
  <c r="I1516" i="55"/>
  <c r="H1516" i="55"/>
  <c r="D1516" i="55"/>
  <c r="B1516" i="55"/>
  <c r="A1516" i="55"/>
  <c r="W1515" i="55"/>
  <c r="V1515" i="55"/>
  <c r="U1515" i="55"/>
  <c r="T1515" i="55"/>
  <c r="S1515" i="55"/>
  <c r="J1515" i="55"/>
  <c r="I1515" i="55"/>
  <c r="H1515" i="55"/>
  <c r="D1515" i="55"/>
  <c r="B1515" i="55"/>
  <c r="A1515" i="55"/>
  <c r="W1514" i="55"/>
  <c r="V1514" i="55"/>
  <c r="U1514" i="55"/>
  <c r="T1514" i="55"/>
  <c r="S1514" i="55"/>
  <c r="J1514" i="55"/>
  <c r="I1514" i="55"/>
  <c r="H1514" i="55"/>
  <c r="D1514" i="55"/>
  <c r="B1514" i="55"/>
  <c r="A1514" i="55"/>
  <c r="W1513" i="55"/>
  <c r="V1513" i="55"/>
  <c r="U1513" i="55"/>
  <c r="T1513" i="55"/>
  <c r="S1513" i="55"/>
  <c r="J1513" i="55"/>
  <c r="I1513" i="55"/>
  <c r="H1513" i="55"/>
  <c r="D1513" i="55"/>
  <c r="B1513" i="55"/>
  <c r="A1513" i="55"/>
  <c r="W1512" i="55"/>
  <c r="V1512" i="55"/>
  <c r="U1512" i="55"/>
  <c r="T1512" i="55"/>
  <c r="S1512" i="55"/>
  <c r="J1512" i="55"/>
  <c r="I1512" i="55"/>
  <c r="H1512" i="55"/>
  <c r="D1512" i="55"/>
  <c r="B1512" i="55"/>
  <c r="A1512" i="55"/>
  <c r="W1511" i="55"/>
  <c r="V1511" i="55"/>
  <c r="U1511" i="55"/>
  <c r="T1511" i="55"/>
  <c r="S1511" i="55"/>
  <c r="J1511" i="55"/>
  <c r="I1511" i="55"/>
  <c r="H1511" i="55"/>
  <c r="D1511" i="55"/>
  <c r="B1511" i="55"/>
  <c r="A1511" i="55"/>
  <c r="W1510" i="55"/>
  <c r="V1510" i="55"/>
  <c r="U1510" i="55"/>
  <c r="T1510" i="55"/>
  <c r="S1510" i="55"/>
  <c r="J1510" i="55"/>
  <c r="I1510" i="55"/>
  <c r="H1510" i="55"/>
  <c r="D1510" i="55"/>
  <c r="B1510" i="55"/>
  <c r="A1510" i="55"/>
  <c r="W1509" i="55"/>
  <c r="V1509" i="55"/>
  <c r="U1509" i="55"/>
  <c r="T1509" i="55"/>
  <c r="S1509" i="55"/>
  <c r="J1509" i="55"/>
  <c r="I1509" i="55"/>
  <c r="H1509" i="55"/>
  <c r="D1509" i="55"/>
  <c r="B1509" i="55"/>
  <c r="A1509" i="55"/>
  <c r="W1508" i="55"/>
  <c r="V1508" i="55"/>
  <c r="U1508" i="55"/>
  <c r="T1508" i="55"/>
  <c r="S1508" i="55"/>
  <c r="J1508" i="55"/>
  <c r="I1508" i="55"/>
  <c r="H1508" i="55"/>
  <c r="D1508" i="55"/>
  <c r="B1508" i="55"/>
  <c r="A1508" i="55"/>
  <c r="W1507" i="55"/>
  <c r="V1507" i="55"/>
  <c r="U1507" i="55"/>
  <c r="T1507" i="55"/>
  <c r="S1507" i="55"/>
  <c r="J1507" i="55"/>
  <c r="I1507" i="55"/>
  <c r="H1507" i="55"/>
  <c r="D1507" i="55"/>
  <c r="B1507" i="55"/>
  <c r="A1507" i="55"/>
  <c r="W1506" i="55"/>
  <c r="V1506" i="55"/>
  <c r="U1506" i="55"/>
  <c r="T1506" i="55"/>
  <c r="S1506" i="55"/>
  <c r="J1506" i="55"/>
  <c r="I1506" i="55"/>
  <c r="H1506" i="55"/>
  <c r="D1506" i="55"/>
  <c r="B1506" i="55"/>
  <c r="A1506" i="55"/>
  <c r="W1505" i="55"/>
  <c r="V1505" i="55"/>
  <c r="U1505" i="55"/>
  <c r="T1505" i="55"/>
  <c r="S1505" i="55"/>
  <c r="J1505" i="55"/>
  <c r="I1505" i="55"/>
  <c r="H1505" i="55"/>
  <c r="D1505" i="55"/>
  <c r="B1505" i="55"/>
  <c r="A1505" i="55"/>
  <c r="W1504" i="55"/>
  <c r="V1504" i="55"/>
  <c r="U1504" i="55"/>
  <c r="T1504" i="55"/>
  <c r="S1504" i="55"/>
  <c r="J1504" i="55"/>
  <c r="I1504" i="55"/>
  <c r="H1504" i="55"/>
  <c r="D1504" i="55"/>
  <c r="B1504" i="55"/>
  <c r="A1504" i="55"/>
  <c r="W1503" i="55"/>
  <c r="V1503" i="55"/>
  <c r="U1503" i="55"/>
  <c r="T1503" i="55"/>
  <c r="S1503" i="55"/>
  <c r="J1503" i="55"/>
  <c r="I1503" i="55"/>
  <c r="H1503" i="55"/>
  <c r="D1503" i="55"/>
  <c r="B1503" i="55"/>
  <c r="A1503" i="55"/>
  <c r="W1502" i="55"/>
  <c r="V1502" i="55"/>
  <c r="U1502" i="55"/>
  <c r="T1502" i="55"/>
  <c r="S1502" i="55"/>
  <c r="J1502" i="55"/>
  <c r="I1502" i="55"/>
  <c r="H1502" i="55"/>
  <c r="D1502" i="55"/>
  <c r="B1502" i="55"/>
  <c r="A1502" i="55"/>
  <c r="W1501" i="55"/>
  <c r="V1501" i="55"/>
  <c r="U1501" i="55"/>
  <c r="T1501" i="55"/>
  <c r="S1501" i="55"/>
  <c r="J1501" i="55"/>
  <c r="I1501" i="55"/>
  <c r="H1501" i="55"/>
  <c r="D1501" i="55"/>
  <c r="B1501" i="55"/>
  <c r="A1501" i="55"/>
  <c r="W1500" i="55"/>
  <c r="V1500" i="55"/>
  <c r="U1500" i="55"/>
  <c r="T1500" i="55"/>
  <c r="S1500" i="55"/>
  <c r="J1500" i="55"/>
  <c r="I1500" i="55"/>
  <c r="H1500" i="55"/>
  <c r="D1500" i="55"/>
  <c r="B1500" i="55"/>
  <c r="A1500" i="55"/>
  <c r="W1499" i="55"/>
  <c r="V1499" i="55"/>
  <c r="U1499" i="55"/>
  <c r="T1499" i="55"/>
  <c r="S1499" i="55"/>
  <c r="J1499" i="55"/>
  <c r="I1499" i="55"/>
  <c r="H1499" i="55"/>
  <c r="D1499" i="55"/>
  <c r="B1499" i="55"/>
  <c r="A1499" i="55"/>
  <c r="W1498" i="55"/>
  <c r="V1498" i="55"/>
  <c r="U1498" i="55"/>
  <c r="T1498" i="55"/>
  <c r="S1498" i="55"/>
  <c r="J1498" i="55"/>
  <c r="I1498" i="55"/>
  <c r="H1498" i="55"/>
  <c r="D1498" i="55"/>
  <c r="B1498" i="55"/>
  <c r="A1498" i="55"/>
  <c r="W1497" i="55"/>
  <c r="V1497" i="55"/>
  <c r="U1497" i="55"/>
  <c r="T1497" i="55"/>
  <c r="S1497" i="55"/>
  <c r="J1497" i="55"/>
  <c r="I1497" i="55"/>
  <c r="H1497" i="55"/>
  <c r="D1497" i="55"/>
  <c r="B1497" i="55"/>
  <c r="A1497" i="55"/>
  <c r="W1496" i="55"/>
  <c r="V1496" i="55"/>
  <c r="U1496" i="55"/>
  <c r="T1496" i="55"/>
  <c r="S1496" i="55"/>
  <c r="J1496" i="55"/>
  <c r="I1496" i="55"/>
  <c r="H1496" i="55"/>
  <c r="D1496" i="55"/>
  <c r="B1496" i="55"/>
  <c r="A1496" i="55"/>
  <c r="W1495" i="55"/>
  <c r="V1495" i="55"/>
  <c r="U1495" i="55"/>
  <c r="T1495" i="55"/>
  <c r="S1495" i="55"/>
  <c r="J1495" i="55"/>
  <c r="I1495" i="55"/>
  <c r="H1495" i="55"/>
  <c r="D1495" i="55"/>
  <c r="B1495" i="55"/>
  <c r="A1495" i="55"/>
  <c r="W1494" i="55"/>
  <c r="V1494" i="55"/>
  <c r="U1494" i="55"/>
  <c r="T1494" i="55"/>
  <c r="S1494" i="55"/>
  <c r="J1494" i="55"/>
  <c r="I1494" i="55"/>
  <c r="H1494" i="55"/>
  <c r="D1494" i="55"/>
  <c r="B1494" i="55"/>
  <c r="A1494" i="55"/>
  <c r="W1493" i="55"/>
  <c r="V1493" i="55"/>
  <c r="U1493" i="55"/>
  <c r="T1493" i="55"/>
  <c r="S1493" i="55"/>
  <c r="J1493" i="55"/>
  <c r="I1493" i="55"/>
  <c r="H1493" i="55"/>
  <c r="D1493" i="55"/>
  <c r="B1493" i="55"/>
  <c r="A1493" i="55"/>
  <c r="W1492" i="55"/>
  <c r="V1492" i="55"/>
  <c r="U1492" i="55"/>
  <c r="T1492" i="55"/>
  <c r="S1492" i="55"/>
  <c r="J1492" i="55"/>
  <c r="I1492" i="55"/>
  <c r="H1492" i="55"/>
  <c r="D1492" i="55"/>
  <c r="B1492" i="55"/>
  <c r="A1492" i="55"/>
  <c r="W1491" i="55"/>
  <c r="V1491" i="55"/>
  <c r="U1491" i="55"/>
  <c r="T1491" i="55"/>
  <c r="S1491" i="55"/>
  <c r="J1491" i="55"/>
  <c r="I1491" i="55"/>
  <c r="H1491" i="55"/>
  <c r="D1491" i="55"/>
  <c r="B1491" i="55"/>
  <c r="A1491" i="55"/>
  <c r="W1490" i="55"/>
  <c r="V1490" i="55"/>
  <c r="U1490" i="55"/>
  <c r="T1490" i="55"/>
  <c r="S1490" i="55"/>
  <c r="J1490" i="55"/>
  <c r="I1490" i="55"/>
  <c r="H1490" i="55"/>
  <c r="D1490" i="55"/>
  <c r="B1490" i="55"/>
  <c r="A1490" i="55"/>
  <c r="W1489" i="55"/>
  <c r="V1489" i="55"/>
  <c r="U1489" i="55"/>
  <c r="T1489" i="55"/>
  <c r="S1489" i="55"/>
  <c r="J1489" i="55"/>
  <c r="I1489" i="55"/>
  <c r="H1489" i="55"/>
  <c r="D1489" i="55"/>
  <c r="B1489" i="55"/>
  <c r="A1489" i="55"/>
  <c r="W1488" i="55"/>
  <c r="V1488" i="55"/>
  <c r="U1488" i="55"/>
  <c r="T1488" i="55"/>
  <c r="S1488" i="55"/>
  <c r="J1488" i="55"/>
  <c r="I1488" i="55"/>
  <c r="H1488" i="55"/>
  <c r="D1488" i="55"/>
  <c r="B1488" i="55"/>
  <c r="A1488" i="55"/>
  <c r="W1487" i="55"/>
  <c r="V1487" i="55"/>
  <c r="U1487" i="55"/>
  <c r="T1487" i="55"/>
  <c r="S1487" i="55"/>
  <c r="J1487" i="55"/>
  <c r="I1487" i="55"/>
  <c r="H1487" i="55"/>
  <c r="D1487" i="55"/>
  <c r="B1487" i="55"/>
  <c r="A1487" i="55"/>
  <c r="W1486" i="55"/>
  <c r="V1486" i="55"/>
  <c r="U1486" i="55"/>
  <c r="T1486" i="55"/>
  <c r="S1486" i="55"/>
  <c r="J1486" i="55"/>
  <c r="I1486" i="55"/>
  <c r="H1486" i="55"/>
  <c r="D1486" i="55"/>
  <c r="B1486" i="55"/>
  <c r="A1486" i="55"/>
  <c r="W1485" i="55"/>
  <c r="V1485" i="55"/>
  <c r="U1485" i="55"/>
  <c r="T1485" i="55"/>
  <c r="S1485" i="55"/>
  <c r="J1485" i="55"/>
  <c r="I1485" i="55"/>
  <c r="H1485" i="55"/>
  <c r="D1485" i="55"/>
  <c r="B1485" i="55"/>
  <c r="A1485" i="55"/>
  <c r="W1484" i="55"/>
  <c r="V1484" i="55"/>
  <c r="U1484" i="55"/>
  <c r="T1484" i="55"/>
  <c r="S1484" i="55"/>
  <c r="J1484" i="55"/>
  <c r="I1484" i="55"/>
  <c r="H1484" i="55"/>
  <c r="D1484" i="55"/>
  <c r="B1484" i="55"/>
  <c r="A1484" i="55"/>
  <c r="W1483" i="55"/>
  <c r="V1483" i="55"/>
  <c r="U1483" i="55"/>
  <c r="T1483" i="55"/>
  <c r="S1483" i="55"/>
  <c r="J1483" i="55"/>
  <c r="I1483" i="55"/>
  <c r="H1483" i="55"/>
  <c r="D1483" i="55"/>
  <c r="B1483" i="55"/>
  <c r="A1483" i="55"/>
  <c r="W1482" i="55"/>
  <c r="V1482" i="55"/>
  <c r="U1482" i="55"/>
  <c r="T1482" i="55"/>
  <c r="S1482" i="55"/>
  <c r="J1482" i="55"/>
  <c r="I1482" i="55"/>
  <c r="H1482" i="55"/>
  <c r="D1482" i="55"/>
  <c r="B1482" i="55"/>
  <c r="A1482" i="55"/>
  <c r="W1481" i="55"/>
  <c r="V1481" i="55"/>
  <c r="U1481" i="55"/>
  <c r="T1481" i="55"/>
  <c r="S1481" i="55"/>
  <c r="J1481" i="55"/>
  <c r="I1481" i="55"/>
  <c r="H1481" i="55"/>
  <c r="D1481" i="55"/>
  <c r="B1481" i="55"/>
  <c r="A1481" i="55"/>
  <c r="W1480" i="55"/>
  <c r="V1480" i="55"/>
  <c r="U1480" i="55"/>
  <c r="T1480" i="55"/>
  <c r="S1480" i="55"/>
  <c r="J1480" i="55"/>
  <c r="I1480" i="55"/>
  <c r="H1480" i="55"/>
  <c r="D1480" i="55"/>
  <c r="B1480" i="55"/>
  <c r="A1480" i="55"/>
  <c r="W1479" i="55"/>
  <c r="V1479" i="55"/>
  <c r="U1479" i="55"/>
  <c r="T1479" i="55"/>
  <c r="S1479" i="55"/>
  <c r="J1479" i="55"/>
  <c r="I1479" i="55"/>
  <c r="H1479" i="55"/>
  <c r="D1479" i="55"/>
  <c r="B1479" i="55"/>
  <c r="A1479" i="55"/>
  <c r="W1478" i="55"/>
  <c r="V1478" i="55"/>
  <c r="U1478" i="55"/>
  <c r="T1478" i="55"/>
  <c r="S1478" i="55"/>
  <c r="J1478" i="55"/>
  <c r="I1478" i="55"/>
  <c r="H1478" i="55"/>
  <c r="D1478" i="55"/>
  <c r="B1478" i="55"/>
  <c r="A1478" i="55"/>
  <c r="W1477" i="55"/>
  <c r="V1477" i="55"/>
  <c r="U1477" i="55"/>
  <c r="T1477" i="55"/>
  <c r="S1477" i="55"/>
  <c r="J1477" i="55"/>
  <c r="I1477" i="55"/>
  <c r="H1477" i="55"/>
  <c r="D1477" i="55"/>
  <c r="B1477" i="55"/>
  <c r="A1477" i="55"/>
  <c r="W1476" i="55"/>
  <c r="V1476" i="55"/>
  <c r="U1476" i="55"/>
  <c r="T1476" i="55"/>
  <c r="S1476" i="55"/>
  <c r="J1476" i="55"/>
  <c r="I1476" i="55"/>
  <c r="H1476" i="55"/>
  <c r="D1476" i="55"/>
  <c r="B1476" i="55"/>
  <c r="A1476" i="55"/>
  <c r="W1475" i="55"/>
  <c r="V1475" i="55"/>
  <c r="U1475" i="55"/>
  <c r="T1475" i="55"/>
  <c r="S1475" i="55"/>
  <c r="J1475" i="55"/>
  <c r="I1475" i="55"/>
  <c r="H1475" i="55"/>
  <c r="D1475" i="55"/>
  <c r="B1475" i="55"/>
  <c r="A1475" i="55"/>
  <c r="W1474" i="55"/>
  <c r="V1474" i="55"/>
  <c r="U1474" i="55"/>
  <c r="T1474" i="55"/>
  <c r="S1474" i="55"/>
  <c r="J1474" i="55"/>
  <c r="I1474" i="55"/>
  <c r="H1474" i="55"/>
  <c r="D1474" i="55"/>
  <c r="B1474" i="55"/>
  <c r="A1474" i="55"/>
  <c r="W1473" i="55"/>
  <c r="V1473" i="55"/>
  <c r="U1473" i="55"/>
  <c r="T1473" i="55"/>
  <c r="S1473" i="55"/>
  <c r="J1473" i="55"/>
  <c r="I1473" i="55"/>
  <c r="H1473" i="55"/>
  <c r="D1473" i="55"/>
  <c r="B1473" i="55"/>
  <c r="A1473" i="55"/>
  <c r="W1472" i="55"/>
  <c r="V1472" i="55"/>
  <c r="U1472" i="55"/>
  <c r="T1472" i="55"/>
  <c r="S1472" i="55"/>
  <c r="J1472" i="55"/>
  <c r="I1472" i="55"/>
  <c r="H1472" i="55"/>
  <c r="D1472" i="55"/>
  <c r="B1472" i="55"/>
  <c r="A1472" i="55"/>
  <c r="W1471" i="55"/>
  <c r="V1471" i="55"/>
  <c r="U1471" i="55"/>
  <c r="T1471" i="55"/>
  <c r="S1471" i="55"/>
  <c r="J1471" i="55"/>
  <c r="I1471" i="55"/>
  <c r="H1471" i="55"/>
  <c r="D1471" i="55"/>
  <c r="B1471" i="55"/>
  <c r="A1471" i="55"/>
  <c r="W1470" i="55"/>
  <c r="V1470" i="55"/>
  <c r="U1470" i="55"/>
  <c r="T1470" i="55"/>
  <c r="S1470" i="55"/>
  <c r="J1470" i="55"/>
  <c r="I1470" i="55"/>
  <c r="H1470" i="55"/>
  <c r="D1470" i="55"/>
  <c r="B1470" i="55"/>
  <c r="A1470" i="55"/>
  <c r="W1469" i="55"/>
  <c r="V1469" i="55"/>
  <c r="U1469" i="55"/>
  <c r="T1469" i="55"/>
  <c r="S1469" i="55"/>
  <c r="J1469" i="55"/>
  <c r="I1469" i="55"/>
  <c r="H1469" i="55"/>
  <c r="D1469" i="55"/>
  <c r="B1469" i="55"/>
  <c r="A1469" i="55"/>
  <c r="W1468" i="55"/>
  <c r="V1468" i="55"/>
  <c r="U1468" i="55"/>
  <c r="T1468" i="55"/>
  <c r="S1468" i="55"/>
  <c r="J1468" i="55"/>
  <c r="I1468" i="55"/>
  <c r="H1468" i="55"/>
  <c r="D1468" i="55"/>
  <c r="B1468" i="55"/>
  <c r="A1468" i="55"/>
  <c r="W1467" i="55"/>
  <c r="V1467" i="55"/>
  <c r="U1467" i="55"/>
  <c r="T1467" i="55"/>
  <c r="S1467" i="55"/>
  <c r="J1467" i="55"/>
  <c r="I1467" i="55"/>
  <c r="H1467" i="55"/>
  <c r="D1467" i="55"/>
  <c r="B1467" i="55"/>
  <c r="A1467" i="55"/>
  <c r="W1466" i="55"/>
  <c r="V1466" i="55"/>
  <c r="U1466" i="55"/>
  <c r="T1466" i="55"/>
  <c r="S1466" i="55"/>
  <c r="J1466" i="55"/>
  <c r="I1466" i="55"/>
  <c r="H1466" i="55"/>
  <c r="D1466" i="55"/>
  <c r="B1466" i="55"/>
  <c r="A1466" i="55"/>
  <c r="W1465" i="55"/>
  <c r="V1465" i="55"/>
  <c r="U1465" i="55"/>
  <c r="T1465" i="55"/>
  <c r="S1465" i="55"/>
  <c r="J1465" i="55"/>
  <c r="I1465" i="55"/>
  <c r="H1465" i="55"/>
  <c r="D1465" i="55"/>
  <c r="B1465" i="55"/>
  <c r="A1465" i="55"/>
  <c r="W1464" i="55"/>
  <c r="V1464" i="55"/>
  <c r="U1464" i="55"/>
  <c r="T1464" i="55"/>
  <c r="S1464" i="55"/>
  <c r="J1464" i="55"/>
  <c r="I1464" i="55"/>
  <c r="H1464" i="55"/>
  <c r="D1464" i="55"/>
  <c r="B1464" i="55"/>
  <c r="A1464" i="55"/>
  <c r="W1463" i="55"/>
  <c r="V1463" i="55"/>
  <c r="U1463" i="55"/>
  <c r="T1463" i="55"/>
  <c r="S1463" i="55"/>
  <c r="J1463" i="55"/>
  <c r="I1463" i="55"/>
  <c r="H1463" i="55"/>
  <c r="D1463" i="55"/>
  <c r="B1463" i="55"/>
  <c r="A1463" i="55"/>
  <c r="W1462" i="55"/>
  <c r="V1462" i="55"/>
  <c r="U1462" i="55"/>
  <c r="T1462" i="55"/>
  <c r="S1462" i="55"/>
  <c r="J1462" i="55"/>
  <c r="I1462" i="55"/>
  <c r="H1462" i="55"/>
  <c r="D1462" i="55"/>
  <c r="B1462" i="55"/>
  <c r="A1462" i="55"/>
  <c r="W1461" i="55"/>
  <c r="V1461" i="55"/>
  <c r="U1461" i="55"/>
  <c r="T1461" i="55"/>
  <c r="S1461" i="55"/>
  <c r="J1461" i="55"/>
  <c r="I1461" i="55"/>
  <c r="H1461" i="55"/>
  <c r="D1461" i="55"/>
  <c r="B1461" i="55"/>
  <c r="A1461" i="55"/>
  <c r="W1460" i="55"/>
  <c r="V1460" i="55"/>
  <c r="U1460" i="55"/>
  <c r="T1460" i="55"/>
  <c r="S1460" i="55"/>
  <c r="J1460" i="55"/>
  <c r="I1460" i="55"/>
  <c r="H1460" i="55"/>
  <c r="D1460" i="55"/>
  <c r="B1460" i="55"/>
  <c r="A1460" i="55"/>
  <c r="W1459" i="55"/>
  <c r="V1459" i="55"/>
  <c r="U1459" i="55"/>
  <c r="T1459" i="55"/>
  <c r="S1459" i="55"/>
  <c r="J1459" i="55"/>
  <c r="I1459" i="55"/>
  <c r="H1459" i="55"/>
  <c r="D1459" i="55"/>
  <c r="B1459" i="55"/>
  <c r="A1459" i="55"/>
  <c r="W1458" i="55"/>
  <c r="V1458" i="55"/>
  <c r="U1458" i="55"/>
  <c r="T1458" i="55"/>
  <c r="S1458" i="55"/>
  <c r="J1458" i="55"/>
  <c r="I1458" i="55"/>
  <c r="H1458" i="55"/>
  <c r="D1458" i="55"/>
  <c r="B1458" i="55"/>
  <c r="A1458" i="55"/>
  <c r="W1457" i="55"/>
  <c r="V1457" i="55"/>
  <c r="U1457" i="55"/>
  <c r="T1457" i="55"/>
  <c r="S1457" i="55"/>
  <c r="J1457" i="55"/>
  <c r="I1457" i="55"/>
  <c r="H1457" i="55"/>
  <c r="D1457" i="55"/>
  <c r="B1457" i="55"/>
  <c r="A1457" i="55"/>
  <c r="W1456" i="55"/>
  <c r="V1456" i="55"/>
  <c r="U1456" i="55"/>
  <c r="T1456" i="55"/>
  <c r="S1456" i="55"/>
  <c r="J1456" i="55"/>
  <c r="I1456" i="55"/>
  <c r="H1456" i="55"/>
  <c r="D1456" i="55"/>
  <c r="B1456" i="55"/>
  <c r="A1456" i="55"/>
  <c r="W1455" i="55"/>
  <c r="V1455" i="55"/>
  <c r="U1455" i="55"/>
  <c r="T1455" i="55"/>
  <c r="S1455" i="55"/>
  <c r="J1455" i="55"/>
  <c r="I1455" i="55"/>
  <c r="H1455" i="55"/>
  <c r="D1455" i="55"/>
  <c r="B1455" i="55"/>
  <c r="A1455" i="55"/>
  <c r="W1454" i="55"/>
  <c r="V1454" i="55"/>
  <c r="U1454" i="55"/>
  <c r="T1454" i="55"/>
  <c r="S1454" i="55"/>
  <c r="J1454" i="55"/>
  <c r="I1454" i="55"/>
  <c r="H1454" i="55"/>
  <c r="D1454" i="55"/>
  <c r="B1454" i="55"/>
  <c r="A1454" i="55"/>
  <c r="W1453" i="55"/>
  <c r="V1453" i="55"/>
  <c r="U1453" i="55"/>
  <c r="T1453" i="55"/>
  <c r="S1453" i="55"/>
  <c r="J1453" i="55"/>
  <c r="I1453" i="55"/>
  <c r="H1453" i="55"/>
  <c r="D1453" i="55"/>
  <c r="B1453" i="55"/>
  <c r="A1453" i="55"/>
  <c r="W1452" i="55"/>
  <c r="V1452" i="55"/>
  <c r="U1452" i="55"/>
  <c r="T1452" i="55"/>
  <c r="S1452" i="55"/>
  <c r="J1452" i="55"/>
  <c r="I1452" i="55"/>
  <c r="H1452" i="55"/>
  <c r="D1452" i="55"/>
  <c r="B1452" i="55"/>
  <c r="A1452" i="55"/>
  <c r="W1451" i="55"/>
  <c r="V1451" i="55"/>
  <c r="U1451" i="55"/>
  <c r="T1451" i="55"/>
  <c r="S1451" i="55"/>
  <c r="J1451" i="55"/>
  <c r="I1451" i="55"/>
  <c r="H1451" i="55"/>
  <c r="D1451" i="55"/>
  <c r="B1451" i="55"/>
  <c r="A1451" i="55"/>
  <c r="W1450" i="55"/>
  <c r="V1450" i="55"/>
  <c r="U1450" i="55"/>
  <c r="T1450" i="55"/>
  <c r="S1450" i="55"/>
  <c r="J1450" i="55"/>
  <c r="I1450" i="55"/>
  <c r="H1450" i="55"/>
  <c r="D1450" i="55"/>
  <c r="B1450" i="55"/>
  <c r="A1450" i="55"/>
  <c r="W1449" i="55"/>
  <c r="V1449" i="55"/>
  <c r="U1449" i="55"/>
  <c r="T1449" i="55"/>
  <c r="S1449" i="55"/>
  <c r="J1449" i="55"/>
  <c r="I1449" i="55"/>
  <c r="H1449" i="55"/>
  <c r="D1449" i="55"/>
  <c r="B1449" i="55"/>
  <c r="A1449" i="55"/>
  <c r="W1448" i="55"/>
  <c r="V1448" i="55"/>
  <c r="U1448" i="55"/>
  <c r="T1448" i="55"/>
  <c r="S1448" i="55"/>
  <c r="J1448" i="55"/>
  <c r="I1448" i="55"/>
  <c r="H1448" i="55"/>
  <c r="D1448" i="55"/>
  <c r="B1448" i="55"/>
  <c r="A1448" i="55"/>
  <c r="W1447" i="55"/>
  <c r="V1447" i="55"/>
  <c r="U1447" i="55"/>
  <c r="T1447" i="55"/>
  <c r="S1447" i="55"/>
  <c r="J1447" i="55"/>
  <c r="I1447" i="55"/>
  <c r="H1447" i="55"/>
  <c r="D1447" i="55"/>
  <c r="B1447" i="55"/>
  <c r="A1447" i="55"/>
  <c r="W1446" i="55"/>
  <c r="V1446" i="55"/>
  <c r="U1446" i="55"/>
  <c r="T1446" i="55"/>
  <c r="S1446" i="55"/>
  <c r="J1446" i="55"/>
  <c r="I1446" i="55"/>
  <c r="H1446" i="55"/>
  <c r="D1446" i="55"/>
  <c r="B1446" i="55"/>
  <c r="A1446" i="55"/>
  <c r="W1445" i="55"/>
  <c r="V1445" i="55"/>
  <c r="U1445" i="55"/>
  <c r="T1445" i="55"/>
  <c r="S1445" i="55"/>
  <c r="J1445" i="55"/>
  <c r="I1445" i="55"/>
  <c r="H1445" i="55"/>
  <c r="D1445" i="55"/>
  <c r="B1445" i="55"/>
  <c r="A1445" i="55"/>
  <c r="W1444" i="55"/>
  <c r="V1444" i="55"/>
  <c r="U1444" i="55"/>
  <c r="T1444" i="55"/>
  <c r="S1444" i="55"/>
  <c r="J1444" i="55"/>
  <c r="I1444" i="55"/>
  <c r="H1444" i="55"/>
  <c r="D1444" i="55"/>
  <c r="B1444" i="55"/>
  <c r="A1444" i="55"/>
  <c r="W1443" i="55"/>
  <c r="V1443" i="55"/>
  <c r="U1443" i="55"/>
  <c r="T1443" i="55"/>
  <c r="S1443" i="55"/>
  <c r="J1443" i="55"/>
  <c r="I1443" i="55"/>
  <c r="H1443" i="55"/>
  <c r="D1443" i="55"/>
  <c r="B1443" i="55"/>
  <c r="A1443" i="55"/>
  <c r="W1442" i="55"/>
  <c r="V1442" i="55"/>
  <c r="U1442" i="55"/>
  <c r="T1442" i="55"/>
  <c r="S1442" i="55"/>
  <c r="J1442" i="55"/>
  <c r="I1442" i="55"/>
  <c r="H1442" i="55"/>
  <c r="D1442" i="55"/>
  <c r="B1442" i="55"/>
  <c r="A1442" i="55"/>
  <c r="W1441" i="55"/>
  <c r="V1441" i="55"/>
  <c r="U1441" i="55"/>
  <c r="T1441" i="55"/>
  <c r="S1441" i="55"/>
  <c r="J1441" i="55"/>
  <c r="I1441" i="55"/>
  <c r="H1441" i="55"/>
  <c r="D1441" i="55"/>
  <c r="B1441" i="55"/>
  <c r="A1441" i="55"/>
  <c r="W1440" i="55"/>
  <c r="V1440" i="55"/>
  <c r="U1440" i="55"/>
  <c r="T1440" i="55"/>
  <c r="S1440" i="55"/>
  <c r="J1440" i="55"/>
  <c r="I1440" i="55"/>
  <c r="H1440" i="55"/>
  <c r="D1440" i="55"/>
  <c r="B1440" i="55"/>
  <c r="A1440" i="55"/>
  <c r="W1439" i="55"/>
  <c r="V1439" i="55"/>
  <c r="U1439" i="55"/>
  <c r="T1439" i="55"/>
  <c r="S1439" i="55"/>
  <c r="J1439" i="55"/>
  <c r="I1439" i="55"/>
  <c r="H1439" i="55"/>
  <c r="D1439" i="55"/>
  <c r="B1439" i="55"/>
  <c r="A1439" i="55"/>
  <c r="W1438" i="55"/>
  <c r="V1438" i="55"/>
  <c r="U1438" i="55"/>
  <c r="T1438" i="55"/>
  <c r="S1438" i="55"/>
  <c r="J1438" i="55"/>
  <c r="I1438" i="55"/>
  <c r="H1438" i="55"/>
  <c r="D1438" i="55"/>
  <c r="B1438" i="55"/>
  <c r="A1438" i="55"/>
  <c r="W1437" i="55"/>
  <c r="V1437" i="55"/>
  <c r="U1437" i="55"/>
  <c r="T1437" i="55"/>
  <c r="S1437" i="55"/>
  <c r="J1437" i="55"/>
  <c r="I1437" i="55"/>
  <c r="H1437" i="55"/>
  <c r="D1437" i="55"/>
  <c r="B1437" i="55"/>
  <c r="A1437" i="55"/>
  <c r="W1436" i="55"/>
  <c r="V1436" i="55"/>
  <c r="U1436" i="55"/>
  <c r="T1436" i="55"/>
  <c r="S1436" i="55"/>
  <c r="J1436" i="55"/>
  <c r="I1436" i="55"/>
  <c r="H1436" i="55"/>
  <c r="D1436" i="55"/>
  <c r="B1436" i="55"/>
  <c r="A1436" i="55"/>
  <c r="W1435" i="55"/>
  <c r="V1435" i="55"/>
  <c r="U1435" i="55"/>
  <c r="T1435" i="55"/>
  <c r="S1435" i="55"/>
  <c r="J1435" i="55"/>
  <c r="I1435" i="55"/>
  <c r="H1435" i="55"/>
  <c r="D1435" i="55"/>
  <c r="B1435" i="55"/>
  <c r="A1435" i="55"/>
  <c r="W1434" i="55"/>
  <c r="V1434" i="55"/>
  <c r="U1434" i="55"/>
  <c r="T1434" i="55"/>
  <c r="S1434" i="55"/>
  <c r="J1434" i="55"/>
  <c r="I1434" i="55"/>
  <c r="H1434" i="55"/>
  <c r="D1434" i="55"/>
  <c r="B1434" i="55"/>
  <c r="A1434" i="55"/>
  <c r="W1433" i="55"/>
  <c r="V1433" i="55"/>
  <c r="U1433" i="55"/>
  <c r="T1433" i="55"/>
  <c r="S1433" i="55"/>
  <c r="J1433" i="55"/>
  <c r="I1433" i="55"/>
  <c r="H1433" i="55"/>
  <c r="D1433" i="55"/>
  <c r="B1433" i="55"/>
  <c r="A1433" i="55"/>
  <c r="W1432" i="55"/>
  <c r="V1432" i="55"/>
  <c r="U1432" i="55"/>
  <c r="T1432" i="55"/>
  <c r="S1432" i="55"/>
  <c r="J1432" i="55"/>
  <c r="I1432" i="55"/>
  <c r="H1432" i="55"/>
  <c r="D1432" i="55"/>
  <c r="B1432" i="55"/>
  <c r="A1432" i="55"/>
  <c r="W1431" i="55"/>
  <c r="V1431" i="55"/>
  <c r="U1431" i="55"/>
  <c r="T1431" i="55"/>
  <c r="S1431" i="55"/>
  <c r="J1431" i="55"/>
  <c r="I1431" i="55"/>
  <c r="H1431" i="55"/>
  <c r="D1431" i="55"/>
  <c r="B1431" i="55"/>
  <c r="A1431" i="55"/>
  <c r="W1430" i="55"/>
  <c r="V1430" i="55"/>
  <c r="U1430" i="55"/>
  <c r="T1430" i="55"/>
  <c r="S1430" i="55"/>
  <c r="J1430" i="55"/>
  <c r="I1430" i="55"/>
  <c r="H1430" i="55"/>
  <c r="D1430" i="55"/>
  <c r="B1430" i="55"/>
  <c r="A1430" i="55"/>
  <c r="W1429" i="55"/>
  <c r="V1429" i="55"/>
  <c r="U1429" i="55"/>
  <c r="T1429" i="55"/>
  <c r="S1429" i="55"/>
  <c r="J1429" i="55"/>
  <c r="I1429" i="55"/>
  <c r="H1429" i="55"/>
  <c r="D1429" i="55"/>
  <c r="B1429" i="55"/>
  <c r="A1429" i="55"/>
  <c r="W1428" i="55"/>
  <c r="V1428" i="55"/>
  <c r="U1428" i="55"/>
  <c r="T1428" i="55"/>
  <c r="S1428" i="55"/>
  <c r="J1428" i="55"/>
  <c r="I1428" i="55"/>
  <c r="H1428" i="55"/>
  <c r="D1428" i="55"/>
  <c r="B1428" i="55"/>
  <c r="A1428" i="55"/>
  <c r="W1427" i="55"/>
  <c r="V1427" i="55"/>
  <c r="U1427" i="55"/>
  <c r="T1427" i="55"/>
  <c r="S1427" i="55"/>
  <c r="J1427" i="55"/>
  <c r="I1427" i="55"/>
  <c r="H1427" i="55"/>
  <c r="D1427" i="55"/>
  <c r="B1427" i="55"/>
  <c r="A1427" i="55"/>
  <c r="W1426" i="55"/>
  <c r="V1426" i="55"/>
  <c r="U1426" i="55"/>
  <c r="T1426" i="55"/>
  <c r="S1426" i="55"/>
  <c r="J1426" i="55"/>
  <c r="I1426" i="55"/>
  <c r="H1426" i="55"/>
  <c r="D1426" i="55"/>
  <c r="B1426" i="55"/>
  <c r="A1426" i="55"/>
  <c r="W1425" i="55"/>
  <c r="V1425" i="55"/>
  <c r="U1425" i="55"/>
  <c r="T1425" i="55"/>
  <c r="S1425" i="55"/>
  <c r="J1425" i="55"/>
  <c r="I1425" i="55"/>
  <c r="H1425" i="55"/>
  <c r="D1425" i="55"/>
  <c r="B1425" i="55"/>
  <c r="A1425" i="55"/>
  <c r="W1424" i="55"/>
  <c r="V1424" i="55"/>
  <c r="U1424" i="55"/>
  <c r="T1424" i="55"/>
  <c r="S1424" i="55"/>
  <c r="J1424" i="55"/>
  <c r="I1424" i="55"/>
  <c r="H1424" i="55"/>
  <c r="D1424" i="55"/>
  <c r="B1424" i="55"/>
  <c r="A1424" i="55"/>
  <c r="W1423" i="55"/>
  <c r="V1423" i="55"/>
  <c r="U1423" i="55"/>
  <c r="T1423" i="55"/>
  <c r="S1423" i="55"/>
  <c r="J1423" i="55"/>
  <c r="I1423" i="55"/>
  <c r="H1423" i="55"/>
  <c r="D1423" i="55"/>
  <c r="B1423" i="55"/>
  <c r="A1423" i="55"/>
  <c r="W1422" i="55"/>
  <c r="V1422" i="55"/>
  <c r="U1422" i="55"/>
  <c r="T1422" i="55"/>
  <c r="S1422" i="55"/>
  <c r="J1422" i="55"/>
  <c r="I1422" i="55"/>
  <c r="H1422" i="55"/>
  <c r="D1422" i="55"/>
  <c r="B1422" i="55"/>
  <c r="A1422" i="55"/>
  <c r="W1421" i="55"/>
  <c r="V1421" i="55"/>
  <c r="U1421" i="55"/>
  <c r="T1421" i="55"/>
  <c r="S1421" i="55"/>
  <c r="J1421" i="55"/>
  <c r="I1421" i="55"/>
  <c r="H1421" i="55"/>
  <c r="D1421" i="55"/>
  <c r="B1421" i="55"/>
  <c r="A1421" i="55"/>
  <c r="W1420" i="55"/>
  <c r="V1420" i="55"/>
  <c r="U1420" i="55"/>
  <c r="T1420" i="55"/>
  <c r="S1420" i="55"/>
  <c r="J1420" i="55"/>
  <c r="I1420" i="55"/>
  <c r="H1420" i="55"/>
  <c r="D1420" i="55"/>
  <c r="B1420" i="55"/>
  <c r="A1420" i="55"/>
  <c r="W1419" i="55"/>
  <c r="V1419" i="55"/>
  <c r="U1419" i="55"/>
  <c r="T1419" i="55"/>
  <c r="S1419" i="55"/>
  <c r="J1419" i="55"/>
  <c r="I1419" i="55"/>
  <c r="H1419" i="55"/>
  <c r="D1419" i="55"/>
  <c r="B1419" i="55"/>
  <c r="A1419" i="55"/>
  <c r="W1418" i="55"/>
  <c r="V1418" i="55"/>
  <c r="U1418" i="55"/>
  <c r="T1418" i="55"/>
  <c r="S1418" i="55"/>
  <c r="J1418" i="55"/>
  <c r="I1418" i="55"/>
  <c r="H1418" i="55"/>
  <c r="D1418" i="55"/>
  <c r="B1418" i="55"/>
  <c r="A1418" i="55"/>
  <c r="W1417" i="55"/>
  <c r="V1417" i="55"/>
  <c r="U1417" i="55"/>
  <c r="T1417" i="55"/>
  <c r="S1417" i="55"/>
  <c r="J1417" i="55"/>
  <c r="I1417" i="55"/>
  <c r="H1417" i="55"/>
  <c r="D1417" i="55"/>
  <c r="B1417" i="55"/>
  <c r="A1417" i="55"/>
  <c r="W1416" i="55"/>
  <c r="V1416" i="55"/>
  <c r="U1416" i="55"/>
  <c r="T1416" i="55"/>
  <c r="S1416" i="55"/>
  <c r="J1416" i="55"/>
  <c r="I1416" i="55"/>
  <c r="H1416" i="55"/>
  <c r="D1416" i="55"/>
  <c r="B1416" i="55"/>
  <c r="A1416" i="55"/>
  <c r="W1415" i="55"/>
  <c r="V1415" i="55"/>
  <c r="U1415" i="55"/>
  <c r="T1415" i="55"/>
  <c r="S1415" i="55"/>
  <c r="J1415" i="55"/>
  <c r="I1415" i="55"/>
  <c r="H1415" i="55"/>
  <c r="D1415" i="55"/>
  <c r="B1415" i="55"/>
  <c r="A1415" i="55"/>
  <c r="W1414" i="55"/>
  <c r="V1414" i="55"/>
  <c r="U1414" i="55"/>
  <c r="T1414" i="55"/>
  <c r="S1414" i="55"/>
  <c r="J1414" i="55"/>
  <c r="I1414" i="55"/>
  <c r="H1414" i="55"/>
  <c r="D1414" i="55"/>
  <c r="B1414" i="55"/>
  <c r="A1414" i="55"/>
  <c r="W1413" i="55"/>
  <c r="V1413" i="55"/>
  <c r="U1413" i="55"/>
  <c r="T1413" i="55"/>
  <c r="S1413" i="55"/>
  <c r="J1413" i="55"/>
  <c r="I1413" i="55"/>
  <c r="H1413" i="55"/>
  <c r="D1413" i="55"/>
  <c r="B1413" i="55"/>
  <c r="A1413" i="55"/>
  <c r="W1412" i="55"/>
  <c r="V1412" i="55"/>
  <c r="U1412" i="55"/>
  <c r="T1412" i="55"/>
  <c r="S1412" i="55"/>
  <c r="J1412" i="55"/>
  <c r="I1412" i="55"/>
  <c r="H1412" i="55"/>
  <c r="D1412" i="55"/>
  <c r="B1412" i="55"/>
  <c r="A1412" i="55"/>
  <c r="W1411" i="55"/>
  <c r="V1411" i="55"/>
  <c r="U1411" i="55"/>
  <c r="T1411" i="55"/>
  <c r="S1411" i="55"/>
  <c r="J1411" i="55"/>
  <c r="I1411" i="55"/>
  <c r="H1411" i="55"/>
  <c r="D1411" i="55"/>
  <c r="B1411" i="55"/>
  <c r="A1411" i="55"/>
  <c r="W1410" i="55"/>
  <c r="V1410" i="55"/>
  <c r="U1410" i="55"/>
  <c r="T1410" i="55"/>
  <c r="S1410" i="55"/>
  <c r="J1410" i="55"/>
  <c r="I1410" i="55"/>
  <c r="H1410" i="55"/>
  <c r="D1410" i="55"/>
  <c r="B1410" i="55"/>
  <c r="A1410" i="55"/>
  <c r="W1409" i="55"/>
  <c r="V1409" i="55"/>
  <c r="U1409" i="55"/>
  <c r="T1409" i="55"/>
  <c r="S1409" i="55"/>
  <c r="J1409" i="55"/>
  <c r="I1409" i="55"/>
  <c r="H1409" i="55"/>
  <c r="D1409" i="55"/>
  <c r="B1409" i="55"/>
  <c r="A1409" i="55"/>
  <c r="W1408" i="55"/>
  <c r="V1408" i="55"/>
  <c r="U1408" i="55"/>
  <c r="T1408" i="55"/>
  <c r="S1408" i="55"/>
  <c r="J1408" i="55"/>
  <c r="I1408" i="55"/>
  <c r="H1408" i="55"/>
  <c r="D1408" i="55"/>
  <c r="B1408" i="55"/>
  <c r="A1408" i="55"/>
  <c r="W1407" i="55"/>
  <c r="V1407" i="55"/>
  <c r="U1407" i="55"/>
  <c r="T1407" i="55"/>
  <c r="S1407" i="55"/>
  <c r="J1407" i="55"/>
  <c r="I1407" i="55"/>
  <c r="H1407" i="55"/>
  <c r="D1407" i="55"/>
  <c r="B1407" i="55"/>
  <c r="A1407" i="55"/>
  <c r="W1406" i="55"/>
  <c r="V1406" i="55"/>
  <c r="U1406" i="55"/>
  <c r="T1406" i="55"/>
  <c r="S1406" i="55"/>
  <c r="J1406" i="55"/>
  <c r="I1406" i="55"/>
  <c r="H1406" i="55"/>
  <c r="D1406" i="55"/>
  <c r="B1406" i="55"/>
  <c r="A1406" i="55"/>
  <c r="W1405" i="55"/>
  <c r="V1405" i="55"/>
  <c r="U1405" i="55"/>
  <c r="T1405" i="55"/>
  <c r="S1405" i="55"/>
  <c r="J1405" i="55"/>
  <c r="I1405" i="55"/>
  <c r="H1405" i="55"/>
  <c r="D1405" i="55"/>
  <c r="B1405" i="55"/>
  <c r="A1405" i="55"/>
  <c r="W1404" i="55"/>
  <c r="V1404" i="55"/>
  <c r="U1404" i="55"/>
  <c r="T1404" i="55"/>
  <c r="S1404" i="55"/>
  <c r="J1404" i="55"/>
  <c r="I1404" i="55"/>
  <c r="H1404" i="55"/>
  <c r="D1404" i="55"/>
  <c r="B1404" i="55"/>
  <c r="A1404" i="55"/>
  <c r="W1403" i="55"/>
  <c r="V1403" i="55"/>
  <c r="U1403" i="55"/>
  <c r="T1403" i="55"/>
  <c r="S1403" i="55"/>
  <c r="J1403" i="55"/>
  <c r="I1403" i="55"/>
  <c r="H1403" i="55"/>
  <c r="D1403" i="55"/>
  <c r="B1403" i="55"/>
  <c r="A1403" i="55"/>
  <c r="W1402" i="55"/>
  <c r="V1402" i="55"/>
  <c r="U1402" i="55"/>
  <c r="T1402" i="55"/>
  <c r="S1402" i="55"/>
  <c r="J1402" i="55"/>
  <c r="I1402" i="55"/>
  <c r="H1402" i="55"/>
  <c r="D1402" i="55"/>
  <c r="B1402" i="55"/>
  <c r="A1402" i="55"/>
  <c r="W1401" i="55"/>
  <c r="V1401" i="55"/>
  <c r="U1401" i="55"/>
  <c r="T1401" i="55"/>
  <c r="S1401" i="55"/>
  <c r="J1401" i="55"/>
  <c r="I1401" i="55"/>
  <c r="H1401" i="55"/>
  <c r="D1401" i="55"/>
  <c r="B1401" i="55"/>
  <c r="A1401" i="55"/>
  <c r="W1400" i="55"/>
  <c r="V1400" i="55"/>
  <c r="U1400" i="55"/>
  <c r="T1400" i="55"/>
  <c r="S1400" i="55"/>
  <c r="J1400" i="55"/>
  <c r="I1400" i="55"/>
  <c r="H1400" i="55"/>
  <c r="D1400" i="55"/>
  <c r="B1400" i="55"/>
  <c r="A1400" i="55"/>
  <c r="W1399" i="55"/>
  <c r="V1399" i="55"/>
  <c r="U1399" i="55"/>
  <c r="T1399" i="55"/>
  <c r="S1399" i="55"/>
  <c r="J1399" i="55"/>
  <c r="I1399" i="55"/>
  <c r="H1399" i="55"/>
  <c r="D1399" i="55"/>
  <c r="B1399" i="55"/>
  <c r="A1399" i="55"/>
  <c r="W1398" i="55"/>
  <c r="V1398" i="55"/>
  <c r="U1398" i="55"/>
  <c r="T1398" i="55"/>
  <c r="S1398" i="55"/>
  <c r="J1398" i="55"/>
  <c r="I1398" i="55"/>
  <c r="H1398" i="55"/>
  <c r="D1398" i="55"/>
  <c r="B1398" i="55"/>
  <c r="A1398" i="55"/>
  <c r="W1397" i="55"/>
  <c r="V1397" i="55"/>
  <c r="U1397" i="55"/>
  <c r="T1397" i="55"/>
  <c r="S1397" i="55"/>
  <c r="J1397" i="55"/>
  <c r="I1397" i="55"/>
  <c r="H1397" i="55"/>
  <c r="D1397" i="55"/>
  <c r="B1397" i="55"/>
  <c r="A1397" i="55"/>
  <c r="W1396" i="55"/>
  <c r="V1396" i="55"/>
  <c r="U1396" i="55"/>
  <c r="T1396" i="55"/>
  <c r="S1396" i="55"/>
  <c r="J1396" i="55"/>
  <c r="I1396" i="55"/>
  <c r="H1396" i="55"/>
  <c r="D1396" i="55"/>
  <c r="B1396" i="55"/>
  <c r="A1396" i="55"/>
  <c r="W1395" i="55"/>
  <c r="V1395" i="55"/>
  <c r="U1395" i="55"/>
  <c r="T1395" i="55"/>
  <c r="S1395" i="55"/>
  <c r="J1395" i="55"/>
  <c r="I1395" i="55"/>
  <c r="H1395" i="55"/>
  <c r="D1395" i="55"/>
  <c r="B1395" i="55"/>
  <c r="A1395" i="55"/>
  <c r="W1394" i="55"/>
  <c r="V1394" i="55"/>
  <c r="U1394" i="55"/>
  <c r="T1394" i="55"/>
  <c r="S1394" i="55"/>
  <c r="J1394" i="55"/>
  <c r="I1394" i="55"/>
  <c r="H1394" i="55"/>
  <c r="D1394" i="55"/>
  <c r="B1394" i="55"/>
  <c r="A1394" i="55"/>
  <c r="W1393" i="55"/>
  <c r="V1393" i="55"/>
  <c r="U1393" i="55"/>
  <c r="T1393" i="55"/>
  <c r="S1393" i="55"/>
  <c r="J1393" i="55"/>
  <c r="I1393" i="55"/>
  <c r="H1393" i="55"/>
  <c r="D1393" i="55"/>
  <c r="B1393" i="55"/>
  <c r="A1393" i="55"/>
  <c r="W1392" i="55"/>
  <c r="V1392" i="55"/>
  <c r="U1392" i="55"/>
  <c r="T1392" i="55"/>
  <c r="S1392" i="55"/>
  <c r="J1392" i="55"/>
  <c r="I1392" i="55"/>
  <c r="H1392" i="55"/>
  <c r="D1392" i="55"/>
  <c r="B1392" i="55"/>
  <c r="A1392" i="55"/>
  <c r="W1391" i="55"/>
  <c r="V1391" i="55"/>
  <c r="U1391" i="55"/>
  <c r="T1391" i="55"/>
  <c r="S1391" i="55"/>
  <c r="J1391" i="55"/>
  <c r="I1391" i="55"/>
  <c r="H1391" i="55"/>
  <c r="D1391" i="55"/>
  <c r="B1391" i="55"/>
  <c r="A1391" i="55"/>
  <c r="W1390" i="55"/>
  <c r="V1390" i="55"/>
  <c r="U1390" i="55"/>
  <c r="T1390" i="55"/>
  <c r="S1390" i="55"/>
  <c r="J1390" i="55"/>
  <c r="I1390" i="55"/>
  <c r="H1390" i="55"/>
  <c r="D1390" i="55"/>
  <c r="B1390" i="55"/>
  <c r="A1390" i="55"/>
  <c r="W1389" i="55"/>
  <c r="V1389" i="55"/>
  <c r="U1389" i="55"/>
  <c r="T1389" i="55"/>
  <c r="S1389" i="55"/>
  <c r="J1389" i="55"/>
  <c r="I1389" i="55"/>
  <c r="H1389" i="55"/>
  <c r="D1389" i="55"/>
  <c r="B1389" i="55"/>
  <c r="A1389" i="55"/>
  <c r="W1388" i="55"/>
  <c r="V1388" i="55"/>
  <c r="U1388" i="55"/>
  <c r="T1388" i="55"/>
  <c r="S1388" i="55"/>
  <c r="J1388" i="55"/>
  <c r="I1388" i="55"/>
  <c r="H1388" i="55"/>
  <c r="D1388" i="55"/>
  <c r="B1388" i="55"/>
  <c r="A1388" i="55"/>
  <c r="W1387" i="55"/>
  <c r="V1387" i="55"/>
  <c r="U1387" i="55"/>
  <c r="T1387" i="55"/>
  <c r="S1387" i="55"/>
  <c r="J1387" i="55"/>
  <c r="I1387" i="55"/>
  <c r="H1387" i="55"/>
  <c r="D1387" i="55"/>
  <c r="B1387" i="55"/>
  <c r="A1387" i="55"/>
  <c r="W1386" i="55"/>
  <c r="V1386" i="55"/>
  <c r="U1386" i="55"/>
  <c r="T1386" i="55"/>
  <c r="S1386" i="55"/>
  <c r="J1386" i="55"/>
  <c r="I1386" i="55"/>
  <c r="H1386" i="55"/>
  <c r="D1386" i="55"/>
  <c r="B1386" i="55"/>
  <c r="A1386" i="55"/>
  <c r="W1385" i="55"/>
  <c r="V1385" i="55"/>
  <c r="U1385" i="55"/>
  <c r="T1385" i="55"/>
  <c r="S1385" i="55"/>
  <c r="J1385" i="55"/>
  <c r="I1385" i="55"/>
  <c r="H1385" i="55"/>
  <c r="D1385" i="55"/>
  <c r="B1385" i="55"/>
  <c r="A1385" i="55"/>
  <c r="W1384" i="55"/>
  <c r="V1384" i="55"/>
  <c r="U1384" i="55"/>
  <c r="T1384" i="55"/>
  <c r="S1384" i="55"/>
  <c r="J1384" i="55"/>
  <c r="I1384" i="55"/>
  <c r="H1384" i="55"/>
  <c r="D1384" i="55"/>
  <c r="B1384" i="55"/>
  <c r="A1384" i="55"/>
  <c r="W1383" i="55"/>
  <c r="V1383" i="55"/>
  <c r="U1383" i="55"/>
  <c r="T1383" i="55"/>
  <c r="S1383" i="55"/>
  <c r="J1383" i="55"/>
  <c r="I1383" i="55"/>
  <c r="H1383" i="55"/>
  <c r="D1383" i="55"/>
  <c r="B1383" i="55"/>
  <c r="A1383" i="55"/>
  <c r="W1382" i="55"/>
  <c r="V1382" i="55"/>
  <c r="U1382" i="55"/>
  <c r="T1382" i="55"/>
  <c r="S1382" i="55"/>
  <c r="J1382" i="55"/>
  <c r="I1382" i="55"/>
  <c r="H1382" i="55"/>
  <c r="D1382" i="55"/>
  <c r="B1382" i="55"/>
  <c r="A1382" i="55"/>
  <c r="W1381" i="55"/>
  <c r="V1381" i="55"/>
  <c r="U1381" i="55"/>
  <c r="T1381" i="55"/>
  <c r="S1381" i="55"/>
  <c r="J1381" i="55"/>
  <c r="I1381" i="55"/>
  <c r="H1381" i="55"/>
  <c r="D1381" i="55"/>
  <c r="B1381" i="55"/>
  <c r="A1381" i="55"/>
  <c r="W1380" i="55"/>
  <c r="V1380" i="55"/>
  <c r="U1380" i="55"/>
  <c r="T1380" i="55"/>
  <c r="S1380" i="55"/>
  <c r="J1380" i="55"/>
  <c r="I1380" i="55"/>
  <c r="H1380" i="55"/>
  <c r="D1380" i="55"/>
  <c r="B1380" i="55"/>
  <c r="A1380" i="55"/>
  <c r="W1379" i="55"/>
  <c r="V1379" i="55"/>
  <c r="U1379" i="55"/>
  <c r="T1379" i="55"/>
  <c r="S1379" i="55"/>
  <c r="J1379" i="55"/>
  <c r="I1379" i="55"/>
  <c r="H1379" i="55"/>
  <c r="D1379" i="55"/>
  <c r="B1379" i="55"/>
  <c r="A1379" i="55"/>
  <c r="W1378" i="55"/>
  <c r="V1378" i="55"/>
  <c r="U1378" i="55"/>
  <c r="T1378" i="55"/>
  <c r="S1378" i="55"/>
  <c r="J1378" i="55"/>
  <c r="I1378" i="55"/>
  <c r="H1378" i="55"/>
  <c r="D1378" i="55"/>
  <c r="B1378" i="55"/>
  <c r="A1378" i="55"/>
  <c r="W1377" i="55"/>
  <c r="V1377" i="55"/>
  <c r="U1377" i="55"/>
  <c r="T1377" i="55"/>
  <c r="S1377" i="55"/>
  <c r="J1377" i="55"/>
  <c r="I1377" i="55"/>
  <c r="H1377" i="55"/>
  <c r="D1377" i="55"/>
  <c r="B1377" i="55"/>
  <c r="A1377" i="55"/>
  <c r="W1376" i="55"/>
  <c r="V1376" i="55"/>
  <c r="U1376" i="55"/>
  <c r="T1376" i="55"/>
  <c r="S1376" i="55"/>
  <c r="J1376" i="55"/>
  <c r="I1376" i="55"/>
  <c r="H1376" i="55"/>
  <c r="D1376" i="55"/>
  <c r="B1376" i="55"/>
  <c r="A1376" i="55"/>
  <c r="W1375" i="55"/>
  <c r="V1375" i="55"/>
  <c r="U1375" i="55"/>
  <c r="T1375" i="55"/>
  <c r="S1375" i="55"/>
  <c r="J1375" i="55"/>
  <c r="I1375" i="55"/>
  <c r="H1375" i="55"/>
  <c r="D1375" i="55"/>
  <c r="B1375" i="55"/>
  <c r="A1375" i="55"/>
  <c r="W1374" i="55"/>
  <c r="V1374" i="55"/>
  <c r="U1374" i="55"/>
  <c r="T1374" i="55"/>
  <c r="S1374" i="55"/>
  <c r="J1374" i="55"/>
  <c r="I1374" i="55"/>
  <c r="H1374" i="55"/>
  <c r="D1374" i="55"/>
  <c r="B1374" i="55"/>
  <c r="A1374" i="55"/>
  <c r="W1373" i="55"/>
  <c r="V1373" i="55"/>
  <c r="U1373" i="55"/>
  <c r="T1373" i="55"/>
  <c r="S1373" i="55"/>
  <c r="J1373" i="55"/>
  <c r="I1373" i="55"/>
  <c r="H1373" i="55"/>
  <c r="D1373" i="55"/>
  <c r="B1373" i="55"/>
  <c r="A1373" i="55"/>
  <c r="W1372" i="55"/>
  <c r="V1372" i="55"/>
  <c r="U1372" i="55"/>
  <c r="T1372" i="55"/>
  <c r="S1372" i="55"/>
  <c r="J1372" i="55"/>
  <c r="I1372" i="55"/>
  <c r="H1372" i="55"/>
  <c r="D1372" i="55"/>
  <c r="B1372" i="55"/>
  <c r="A1372" i="55"/>
  <c r="W1371" i="55"/>
  <c r="V1371" i="55"/>
  <c r="U1371" i="55"/>
  <c r="T1371" i="55"/>
  <c r="S1371" i="55"/>
  <c r="J1371" i="55"/>
  <c r="I1371" i="55"/>
  <c r="H1371" i="55"/>
  <c r="D1371" i="55"/>
  <c r="B1371" i="55"/>
  <c r="A1371" i="55"/>
  <c r="W1370" i="55"/>
  <c r="V1370" i="55"/>
  <c r="U1370" i="55"/>
  <c r="T1370" i="55"/>
  <c r="S1370" i="55"/>
  <c r="J1370" i="55"/>
  <c r="I1370" i="55"/>
  <c r="H1370" i="55"/>
  <c r="D1370" i="55"/>
  <c r="B1370" i="55"/>
  <c r="A1370" i="55"/>
  <c r="W1369" i="55"/>
  <c r="V1369" i="55"/>
  <c r="U1369" i="55"/>
  <c r="T1369" i="55"/>
  <c r="S1369" i="55"/>
  <c r="J1369" i="55"/>
  <c r="I1369" i="55"/>
  <c r="H1369" i="55"/>
  <c r="D1369" i="55"/>
  <c r="B1369" i="55"/>
  <c r="A1369" i="55"/>
  <c r="W1368" i="55"/>
  <c r="V1368" i="55"/>
  <c r="U1368" i="55"/>
  <c r="T1368" i="55"/>
  <c r="S1368" i="55"/>
  <c r="J1368" i="55"/>
  <c r="I1368" i="55"/>
  <c r="H1368" i="55"/>
  <c r="D1368" i="55"/>
  <c r="B1368" i="55"/>
  <c r="A1368" i="55"/>
  <c r="W1367" i="55"/>
  <c r="V1367" i="55"/>
  <c r="U1367" i="55"/>
  <c r="T1367" i="55"/>
  <c r="S1367" i="55"/>
  <c r="J1367" i="55"/>
  <c r="I1367" i="55"/>
  <c r="H1367" i="55"/>
  <c r="D1367" i="55"/>
  <c r="B1367" i="55"/>
  <c r="A1367" i="55"/>
  <c r="W1366" i="55"/>
  <c r="V1366" i="55"/>
  <c r="U1366" i="55"/>
  <c r="T1366" i="55"/>
  <c r="S1366" i="55"/>
  <c r="J1366" i="55"/>
  <c r="I1366" i="55"/>
  <c r="H1366" i="55"/>
  <c r="D1366" i="55"/>
  <c r="B1366" i="55"/>
  <c r="A1366" i="55"/>
  <c r="W1365" i="55"/>
  <c r="V1365" i="55"/>
  <c r="U1365" i="55"/>
  <c r="T1365" i="55"/>
  <c r="S1365" i="55"/>
  <c r="J1365" i="55"/>
  <c r="I1365" i="55"/>
  <c r="H1365" i="55"/>
  <c r="D1365" i="55"/>
  <c r="B1365" i="55"/>
  <c r="A1365" i="55"/>
  <c r="W1364" i="55"/>
  <c r="V1364" i="55"/>
  <c r="U1364" i="55"/>
  <c r="T1364" i="55"/>
  <c r="S1364" i="55"/>
  <c r="J1364" i="55"/>
  <c r="I1364" i="55"/>
  <c r="H1364" i="55"/>
  <c r="D1364" i="55"/>
  <c r="B1364" i="55"/>
  <c r="A1364" i="55"/>
  <c r="W1363" i="55"/>
  <c r="V1363" i="55"/>
  <c r="U1363" i="55"/>
  <c r="T1363" i="55"/>
  <c r="S1363" i="55"/>
  <c r="J1363" i="55"/>
  <c r="I1363" i="55"/>
  <c r="H1363" i="55"/>
  <c r="D1363" i="55"/>
  <c r="B1363" i="55"/>
  <c r="A1363" i="55"/>
  <c r="W1362" i="55"/>
  <c r="V1362" i="55"/>
  <c r="U1362" i="55"/>
  <c r="T1362" i="55"/>
  <c r="S1362" i="55"/>
  <c r="J1362" i="55"/>
  <c r="I1362" i="55"/>
  <c r="H1362" i="55"/>
  <c r="D1362" i="55"/>
  <c r="B1362" i="55"/>
  <c r="A1362" i="55"/>
  <c r="W1361" i="55"/>
  <c r="V1361" i="55"/>
  <c r="U1361" i="55"/>
  <c r="T1361" i="55"/>
  <c r="S1361" i="55"/>
  <c r="J1361" i="55"/>
  <c r="I1361" i="55"/>
  <c r="H1361" i="55"/>
  <c r="D1361" i="55"/>
  <c r="B1361" i="55"/>
  <c r="A1361" i="55"/>
  <c r="W1360" i="55"/>
  <c r="V1360" i="55"/>
  <c r="U1360" i="55"/>
  <c r="T1360" i="55"/>
  <c r="S1360" i="55"/>
  <c r="J1360" i="55"/>
  <c r="I1360" i="55"/>
  <c r="H1360" i="55"/>
  <c r="D1360" i="55"/>
  <c r="B1360" i="55"/>
  <c r="A1360" i="55"/>
  <c r="W1359" i="55"/>
  <c r="V1359" i="55"/>
  <c r="U1359" i="55"/>
  <c r="T1359" i="55"/>
  <c r="S1359" i="55"/>
  <c r="J1359" i="55"/>
  <c r="I1359" i="55"/>
  <c r="H1359" i="55"/>
  <c r="D1359" i="55"/>
  <c r="B1359" i="55"/>
  <c r="A1359" i="55"/>
  <c r="W1358" i="55"/>
  <c r="V1358" i="55"/>
  <c r="U1358" i="55"/>
  <c r="T1358" i="55"/>
  <c r="S1358" i="55"/>
  <c r="J1358" i="55"/>
  <c r="I1358" i="55"/>
  <c r="H1358" i="55"/>
  <c r="D1358" i="55"/>
  <c r="B1358" i="55"/>
  <c r="A1358" i="55"/>
  <c r="W1357" i="55"/>
  <c r="V1357" i="55"/>
  <c r="U1357" i="55"/>
  <c r="T1357" i="55"/>
  <c r="S1357" i="55"/>
  <c r="J1357" i="55"/>
  <c r="I1357" i="55"/>
  <c r="H1357" i="55"/>
  <c r="D1357" i="55"/>
  <c r="B1357" i="55"/>
  <c r="A1357" i="55"/>
  <c r="W1356" i="55"/>
  <c r="V1356" i="55"/>
  <c r="U1356" i="55"/>
  <c r="T1356" i="55"/>
  <c r="S1356" i="55"/>
  <c r="J1356" i="55"/>
  <c r="I1356" i="55"/>
  <c r="H1356" i="55"/>
  <c r="D1356" i="55"/>
  <c r="B1356" i="55"/>
  <c r="A1356" i="55"/>
  <c r="W1355" i="55"/>
  <c r="V1355" i="55"/>
  <c r="U1355" i="55"/>
  <c r="T1355" i="55"/>
  <c r="S1355" i="55"/>
  <c r="J1355" i="55"/>
  <c r="I1355" i="55"/>
  <c r="H1355" i="55"/>
  <c r="D1355" i="55"/>
  <c r="B1355" i="55"/>
  <c r="A1355" i="55"/>
  <c r="W1354" i="55"/>
  <c r="V1354" i="55"/>
  <c r="U1354" i="55"/>
  <c r="T1354" i="55"/>
  <c r="S1354" i="55"/>
  <c r="J1354" i="55"/>
  <c r="I1354" i="55"/>
  <c r="H1354" i="55"/>
  <c r="D1354" i="55"/>
  <c r="B1354" i="55"/>
  <c r="A1354" i="55"/>
  <c r="W1353" i="55"/>
  <c r="V1353" i="55"/>
  <c r="U1353" i="55"/>
  <c r="T1353" i="55"/>
  <c r="S1353" i="55"/>
  <c r="J1353" i="55"/>
  <c r="I1353" i="55"/>
  <c r="H1353" i="55"/>
  <c r="D1353" i="55"/>
  <c r="B1353" i="55"/>
  <c r="A1353" i="55"/>
  <c r="W1352" i="55"/>
  <c r="V1352" i="55"/>
  <c r="U1352" i="55"/>
  <c r="T1352" i="55"/>
  <c r="S1352" i="55"/>
  <c r="J1352" i="55"/>
  <c r="I1352" i="55"/>
  <c r="H1352" i="55"/>
  <c r="D1352" i="55"/>
  <c r="B1352" i="55"/>
  <c r="A1352" i="55"/>
  <c r="W1351" i="55"/>
  <c r="V1351" i="55"/>
  <c r="U1351" i="55"/>
  <c r="T1351" i="55"/>
  <c r="S1351" i="55"/>
  <c r="J1351" i="55"/>
  <c r="I1351" i="55"/>
  <c r="H1351" i="55"/>
  <c r="D1351" i="55"/>
  <c r="B1351" i="55"/>
  <c r="A1351" i="55"/>
  <c r="W1350" i="55"/>
  <c r="V1350" i="55"/>
  <c r="U1350" i="55"/>
  <c r="T1350" i="55"/>
  <c r="S1350" i="55"/>
  <c r="J1350" i="55"/>
  <c r="I1350" i="55"/>
  <c r="H1350" i="55"/>
  <c r="D1350" i="55"/>
  <c r="B1350" i="55"/>
  <c r="A1350" i="55"/>
  <c r="W1349" i="55"/>
  <c r="V1349" i="55"/>
  <c r="U1349" i="55"/>
  <c r="T1349" i="55"/>
  <c r="S1349" i="55"/>
  <c r="J1349" i="55"/>
  <c r="I1349" i="55"/>
  <c r="H1349" i="55"/>
  <c r="D1349" i="55"/>
  <c r="B1349" i="55"/>
  <c r="A1349" i="55"/>
  <c r="W1348" i="55"/>
  <c r="V1348" i="55"/>
  <c r="U1348" i="55"/>
  <c r="T1348" i="55"/>
  <c r="S1348" i="55"/>
  <c r="J1348" i="55"/>
  <c r="I1348" i="55"/>
  <c r="H1348" i="55"/>
  <c r="D1348" i="55"/>
  <c r="B1348" i="55"/>
  <c r="A1348" i="55"/>
  <c r="W1347" i="55"/>
  <c r="V1347" i="55"/>
  <c r="U1347" i="55"/>
  <c r="T1347" i="55"/>
  <c r="S1347" i="55"/>
  <c r="J1347" i="55"/>
  <c r="I1347" i="55"/>
  <c r="H1347" i="55"/>
  <c r="D1347" i="55"/>
  <c r="B1347" i="55"/>
  <c r="A1347" i="55"/>
  <c r="W1346" i="55"/>
  <c r="V1346" i="55"/>
  <c r="U1346" i="55"/>
  <c r="T1346" i="55"/>
  <c r="S1346" i="55"/>
  <c r="J1346" i="55"/>
  <c r="I1346" i="55"/>
  <c r="H1346" i="55"/>
  <c r="D1346" i="55"/>
  <c r="B1346" i="55"/>
  <c r="A1346" i="55"/>
  <c r="W1345" i="55"/>
  <c r="V1345" i="55"/>
  <c r="U1345" i="55"/>
  <c r="T1345" i="55"/>
  <c r="S1345" i="55"/>
  <c r="J1345" i="55"/>
  <c r="I1345" i="55"/>
  <c r="H1345" i="55"/>
  <c r="D1345" i="55"/>
  <c r="B1345" i="55"/>
  <c r="A1345" i="55"/>
  <c r="W1344" i="55"/>
  <c r="V1344" i="55"/>
  <c r="U1344" i="55"/>
  <c r="T1344" i="55"/>
  <c r="S1344" i="55"/>
  <c r="J1344" i="55"/>
  <c r="I1344" i="55"/>
  <c r="H1344" i="55"/>
  <c r="D1344" i="55"/>
  <c r="B1344" i="55"/>
  <c r="A1344" i="55"/>
  <c r="W1343" i="55"/>
  <c r="V1343" i="55"/>
  <c r="U1343" i="55"/>
  <c r="T1343" i="55"/>
  <c r="S1343" i="55"/>
  <c r="J1343" i="55"/>
  <c r="I1343" i="55"/>
  <c r="H1343" i="55"/>
  <c r="D1343" i="55"/>
  <c r="B1343" i="55"/>
  <c r="A1343" i="55"/>
  <c r="W1342" i="55"/>
  <c r="V1342" i="55"/>
  <c r="U1342" i="55"/>
  <c r="T1342" i="55"/>
  <c r="S1342" i="55"/>
  <c r="J1342" i="55"/>
  <c r="I1342" i="55"/>
  <c r="H1342" i="55"/>
  <c r="D1342" i="55"/>
  <c r="B1342" i="55"/>
  <c r="A1342" i="55"/>
  <c r="W1341" i="55"/>
  <c r="V1341" i="55"/>
  <c r="U1341" i="55"/>
  <c r="T1341" i="55"/>
  <c r="S1341" i="55"/>
  <c r="J1341" i="55"/>
  <c r="I1341" i="55"/>
  <c r="H1341" i="55"/>
  <c r="D1341" i="55"/>
  <c r="B1341" i="55"/>
  <c r="A1341" i="55"/>
  <c r="W1340" i="55"/>
  <c r="V1340" i="55"/>
  <c r="U1340" i="55"/>
  <c r="T1340" i="55"/>
  <c r="S1340" i="55"/>
  <c r="J1340" i="55"/>
  <c r="I1340" i="55"/>
  <c r="H1340" i="55"/>
  <c r="D1340" i="55"/>
  <c r="B1340" i="55"/>
  <c r="A1340" i="55"/>
  <c r="W1339" i="55"/>
  <c r="V1339" i="55"/>
  <c r="U1339" i="55"/>
  <c r="T1339" i="55"/>
  <c r="S1339" i="55"/>
  <c r="J1339" i="55"/>
  <c r="I1339" i="55"/>
  <c r="H1339" i="55"/>
  <c r="D1339" i="55"/>
  <c r="B1339" i="55"/>
  <c r="A1339" i="55"/>
  <c r="W1338" i="55"/>
  <c r="V1338" i="55"/>
  <c r="U1338" i="55"/>
  <c r="T1338" i="55"/>
  <c r="S1338" i="55"/>
  <c r="J1338" i="55"/>
  <c r="I1338" i="55"/>
  <c r="H1338" i="55"/>
  <c r="D1338" i="55"/>
  <c r="B1338" i="55"/>
  <c r="A1338" i="55"/>
  <c r="W1337" i="55"/>
  <c r="V1337" i="55"/>
  <c r="U1337" i="55"/>
  <c r="T1337" i="55"/>
  <c r="S1337" i="55"/>
  <c r="J1337" i="55"/>
  <c r="I1337" i="55"/>
  <c r="H1337" i="55"/>
  <c r="D1337" i="55"/>
  <c r="B1337" i="55"/>
  <c r="A1337" i="55"/>
  <c r="W1336" i="55"/>
  <c r="V1336" i="55"/>
  <c r="U1336" i="55"/>
  <c r="T1336" i="55"/>
  <c r="S1336" i="55"/>
  <c r="J1336" i="55"/>
  <c r="I1336" i="55"/>
  <c r="H1336" i="55"/>
  <c r="D1336" i="55"/>
  <c r="B1336" i="55"/>
  <c r="A1336" i="55"/>
  <c r="W1335" i="55"/>
  <c r="V1335" i="55"/>
  <c r="U1335" i="55"/>
  <c r="T1335" i="55"/>
  <c r="S1335" i="55"/>
  <c r="J1335" i="55"/>
  <c r="I1335" i="55"/>
  <c r="H1335" i="55"/>
  <c r="D1335" i="55"/>
  <c r="B1335" i="55"/>
  <c r="A1335" i="55"/>
  <c r="W1334" i="55"/>
  <c r="V1334" i="55"/>
  <c r="U1334" i="55"/>
  <c r="T1334" i="55"/>
  <c r="S1334" i="55"/>
  <c r="J1334" i="55"/>
  <c r="I1334" i="55"/>
  <c r="H1334" i="55"/>
  <c r="D1334" i="55"/>
  <c r="B1334" i="55"/>
  <c r="A1334" i="55"/>
  <c r="W1333" i="55"/>
  <c r="V1333" i="55"/>
  <c r="U1333" i="55"/>
  <c r="T1333" i="55"/>
  <c r="S1333" i="55"/>
  <c r="J1333" i="55"/>
  <c r="I1333" i="55"/>
  <c r="H1333" i="55"/>
  <c r="D1333" i="55"/>
  <c r="B1333" i="55"/>
  <c r="A1333" i="55"/>
  <c r="W1332" i="55"/>
  <c r="V1332" i="55"/>
  <c r="U1332" i="55"/>
  <c r="T1332" i="55"/>
  <c r="S1332" i="55"/>
  <c r="J1332" i="55"/>
  <c r="I1332" i="55"/>
  <c r="H1332" i="55"/>
  <c r="D1332" i="55"/>
  <c r="B1332" i="55"/>
  <c r="A1332" i="55"/>
  <c r="W1331" i="55"/>
  <c r="V1331" i="55"/>
  <c r="U1331" i="55"/>
  <c r="T1331" i="55"/>
  <c r="S1331" i="55"/>
  <c r="J1331" i="55"/>
  <c r="I1331" i="55"/>
  <c r="H1331" i="55"/>
  <c r="D1331" i="55"/>
  <c r="B1331" i="55"/>
  <c r="A1331" i="55"/>
  <c r="W1330" i="55"/>
  <c r="V1330" i="55"/>
  <c r="U1330" i="55"/>
  <c r="T1330" i="55"/>
  <c r="S1330" i="55"/>
  <c r="J1330" i="55"/>
  <c r="I1330" i="55"/>
  <c r="H1330" i="55"/>
  <c r="D1330" i="55"/>
  <c r="B1330" i="55"/>
  <c r="A1330" i="55"/>
  <c r="W1329" i="55"/>
  <c r="V1329" i="55"/>
  <c r="U1329" i="55"/>
  <c r="T1329" i="55"/>
  <c r="S1329" i="55"/>
  <c r="J1329" i="55"/>
  <c r="I1329" i="55"/>
  <c r="H1329" i="55"/>
  <c r="D1329" i="55"/>
  <c r="B1329" i="55"/>
  <c r="A1329" i="55"/>
  <c r="W1328" i="55"/>
  <c r="V1328" i="55"/>
  <c r="U1328" i="55"/>
  <c r="T1328" i="55"/>
  <c r="S1328" i="55"/>
  <c r="J1328" i="55"/>
  <c r="I1328" i="55"/>
  <c r="H1328" i="55"/>
  <c r="D1328" i="55"/>
  <c r="B1328" i="55"/>
  <c r="A1328" i="55"/>
  <c r="W1327" i="55"/>
  <c r="V1327" i="55"/>
  <c r="U1327" i="55"/>
  <c r="T1327" i="55"/>
  <c r="S1327" i="55"/>
  <c r="J1327" i="55"/>
  <c r="I1327" i="55"/>
  <c r="H1327" i="55"/>
  <c r="D1327" i="55"/>
  <c r="B1327" i="55"/>
  <c r="A1327" i="55"/>
  <c r="W1326" i="55"/>
  <c r="V1326" i="55"/>
  <c r="U1326" i="55"/>
  <c r="T1326" i="55"/>
  <c r="S1326" i="55"/>
  <c r="J1326" i="55"/>
  <c r="I1326" i="55"/>
  <c r="H1326" i="55"/>
  <c r="D1326" i="55"/>
  <c r="B1326" i="55"/>
  <c r="A1326" i="55"/>
  <c r="W1325" i="55"/>
  <c r="V1325" i="55"/>
  <c r="U1325" i="55"/>
  <c r="T1325" i="55"/>
  <c r="S1325" i="55"/>
  <c r="J1325" i="55"/>
  <c r="I1325" i="55"/>
  <c r="H1325" i="55"/>
  <c r="D1325" i="55"/>
  <c r="B1325" i="55"/>
  <c r="A1325" i="55"/>
  <c r="W1324" i="55"/>
  <c r="V1324" i="55"/>
  <c r="U1324" i="55"/>
  <c r="T1324" i="55"/>
  <c r="S1324" i="55"/>
  <c r="J1324" i="55"/>
  <c r="I1324" i="55"/>
  <c r="H1324" i="55"/>
  <c r="D1324" i="55"/>
  <c r="B1324" i="55"/>
  <c r="A1324" i="55"/>
  <c r="W1323" i="55"/>
  <c r="V1323" i="55"/>
  <c r="U1323" i="55"/>
  <c r="T1323" i="55"/>
  <c r="S1323" i="55"/>
  <c r="J1323" i="55"/>
  <c r="I1323" i="55"/>
  <c r="H1323" i="55"/>
  <c r="D1323" i="55"/>
  <c r="B1323" i="55"/>
  <c r="A1323" i="55"/>
  <c r="W1322" i="55"/>
  <c r="V1322" i="55"/>
  <c r="U1322" i="55"/>
  <c r="T1322" i="55"/>
  <c r="S1322" i="55"/>
  <c r="J1322" i="55"/>
  <c r="I1322" i="55"/>
  <c r="H1322" i="55"/>
  <c r="D1322" i="55"/>
  <c r="B1322" i="55"/>
  <c r="A1322" i="55"/>
  <c r="W1321" i="55"/>
  <c r="V1321" i="55"/>
  <c r="U1321" i="55"/>
  <c r="T1321" i="55"/>
  <c r="S1321" i="55"/>
  <c r="J1321" i="55"/>
  <c r="I1321" i="55"/>
  <c r="H1321" i="55"/>
  <c r="D1321" i="55"/>
  <c r="B1321" i="55"/>
  <c r="A1321" i="55"/>
  <c r="W1320" i="55"/>
  <c r="V1320" i="55"/>
  <c r="U1320" i="55"/>
  <c r="T1320" i="55"/>
  <c r="S1320" i="55"/>
  <c r="J1320" i="55"/>
  <c r="I1320" i="55"/>
  <c r="H1320" i="55"/>
  <c r="D1320" i="55"/>
  <c r="B1320" i="55"/>
  <c r="A1320" i="55"/>
  <c r="W1319" i="55"/>
  <c r="V1319" i="55"/>
  <c r="U1319" i="55"/>
  <c r="T1319" i="55"/>
  <c r="S1319" i="55"/>
  <c r="J1319" i="55"/>
  <c r="I1319" i="55"/>
  <c r="H1319" i="55"/>
  <c r="D1319" i="55"/>
  <c r="B1319" i="55"/>
  <c r="A1319" i="55"/>
  <c r="W1318" i="55"/>
  <c r="V1318" i="55"/>
  <c r="U1318" i="55"/>
  <c r="T1318" i="55"/>
  <c r="S1318" i="55"/>
  <c r="J1318" i="55"/>
  <c r="I1318" i="55"/>
  <c r="H1318" i="55"/>
  <c r="D1318" i="55"/>
  <c r="B1318" i="55"/>
  <c r="A1318" i="55"/>
  <c r="W1317" i="55"/>
  <c r="V1317" i="55"/>
  <c r="U1317" i="55"/>
  <c r="T1317" i="55"/>
  <c r="S1317" i="55"/>
  <c r="J1317" i="55"/>
  <c r="I1317" i="55"/>
  <c r="H1317" i="55"/>
  <c r="D1317" i="55"/>
  <c r="B1317" i="55"/>
  <c r="A1317" i="55"/>
  <c r="W1316" i="55"/>
  <c r="V1316" i="55"/>
  <c r="U1316" i="55"/>
  <c r="T1316" i="55"/>
  <c r="S1316" i="55"/>
  <c r="J1316" i="55"/>
  <c r="I1316" i="55"/>
  <c r="H1316" i="55"/>
  <c r="D1316" i="55"/>
  <c r="B1316" i="55"/>
  <c r="A1316" i="55"/>
  <c r="W1315" i="55"/>
  <c r="V1315" i="55"/>
  <c r="U1315" i="55"/>
  <c r="T1315" i="55"/>
  <c r="S1315" i="55"/>
  <c r="J1315" i="55"/>
  <c r="I1315" i="55"/>
  <c r="H1315" i="55"/>
  <c r="D1315" i="55"/>
  <c r="B1315" i="55"/>
  <c r="A1315" i="55"/>
  <c r="W1314" i="55"/>
  <c r="V1314" i="55"/>
  <c r="U1314" i="55"/>
  <c r="T1314" i="55"/>
  <c r="S1314" i="55"/>
  <c r="J1314" i="55"/>
  <c r="I1314" i="55"/>
  <c r="H1314" i="55"/>
  <c r="D1314" i="55"/>
  <c r="B1314" i="55"/>
  <c r="A1314" i="55"/>
  <c r="W1313" i="55"/>
  <c r="V1313" i="55"/>
  <c r="U1313" i="55"/>
  <c r="T1313" i="55"/>
  <c r="S1313" i="55"/>
  <c r="J1313" i="55"/>
  <c r="I1313" i="55"/>
  <c r="H1313" i="55"/>
  <c r="D1313" i="55"/>
  <c r="B1313" i="55"/>
  <c r="A1313" i="55"/>
  <c r="W1312" i="55"/>
  <c r="V1312" i="55"/>
  <c r="U1312" i="55"/>
  <c r="T1312" i="55"/>
  <c r="S1312" i="55"/>
  <c r="J1312" i="55"/>
  <c r="I1312" i="55"/>
  <c r="H1312" i="55"/>
  <c r="D1312" i="55"/>
  <c r="B1312" i="55"/>
  <c r="A1312" i="55"/>
  <c r="W1311" i="55"/>
  <c r="V1311" i="55"/>
  <c r="U1311" i="55"/>
  <c r="T1311" i="55"/>
  <c r="S1311" i="55"/>
  <c r="J1311" i="55"/>
  <c r="I1311" i="55"/>
  <c r="H1311" i="55"/>
  <c r="D1311" i="55"/>
  <c r="B1311" i="55"/>
  <c r="A1311" i="55"/>
  <c r="W1310" i="55"/>
  <c r="V1310" i="55"/>
  <c r="U1310" i="55"/>
  <c r="T1310" i="55"/>
  <c r="S1310" i="55"/>
  <c r="J1310" i="55"/>
  <c r="I1310" i="55"/>
  <c r="H1310" i="55"/>
  <c r="D1310" i="55"/>
  <c r="B1310" i="55"/>
  <c r="A1310" i="55"/>
  <c r="W1309" i="55"/>
  <c r="V1309" i="55"/>
  <c r="U1309" i="55"/>
  <c r="T1309" i="55"/>
  <c r="S1309" i="55"/>
  <c r="J1309" i="55"/>
  <c r="I1309" i="55"/>
  <c r="H1309" i="55"/>
  <c r="D1309" i="55"/>
  <c r="B1309" i="55"/>
  <c r="A1309" i="55"/>
  <c r="W1308" i="55"/>
  <c r="V1308" i="55"/>
  <c r="U1308" i="55"/>
  <c r="T1308" i="55"/>
  <c r="S1308" i="55"/>
  <c r="J1308" i="55"/>
  <c r="I1308" i="55"/>
  <c r="H1308" i="55"/>
  <c r="D1308" i="55"/>
  <c r="B1308" i="55"/>
  <c r="A1308" i="55"/>
  <c r="W1307" i="55"/>
  <c r="V1307" i="55"/>
  <c r="U1307" i="55"/>
  <c r="T1307" i="55"/>
  <c r="S1307" i="55"/>
  <c r="J1307" i="55"/>
  <c r="I1307" i="55"/>
  <c r="H1307" i="55"/>
  <c r="D1307" i="55"/>
  <c r="B1307" i="55"/>
  <c r="A1307" i="55"/>
  <c r="W1306" i="55"/>
  <c r="V1306" i="55"/>
  <c r="U1306" i="55"/>
  <c r="T1306" i="55"/>
  <c r="S1306" i="55"/>
  <c r="J1306" i="55"/>
  <c r="I1306" i="55"/>
  <c r="H1306" i="55"/>
  <c r="D1306" i="55"/>
  <c r="B1306" i="55"/>
  <c r="A1306" i="55"/>
  <c r="W1305" i="55"/>
  <c r="V1305" i="55"/>
  <c r="U1305" i="55"/>
  <c r="T1305" i="55"/>
  <c r="S1305" i="55"/>
  <c r="J1305" i="55"/>
  <c r="I1305" i="55"/>
  <c r="H1305" i="55"/>
  <c r="D1305" i="55"/>
  <c r="B1305" i="55"/>
  <c r="A1305" i="55"/>
  <c r="W1304" i="55"/>
  <c r="V1304" i="55"/>
  <c r="U1304" i="55"/>
  <c r="T1304" i="55"/>
  <c r="S1304" i="55"/>
  <c r="J1304" i="55"/>
  <c r="I1304" i="55"/>
  <c r="H1304" i="55"/>
  <c r="D1304" i="55"/>
  <c r="B1304" i="55"/>
  <c r="A1304" i="55"/>
  <c r="W1303" i="55"/>
  <c r="V1303" i="55"/>
  <c r="U1303" i="55"/>
  <c r="T1303" i="55"/>
  <c r="S1303" i="55"/>
  <c r="J1303" i="55"/>
  <c r="I1303" i="55"/>
  <c r="H1303" i="55"/>
  <c r="D1303" i="55"/>
  <c r="B1303" i="55"/>
  <c r="A1303" i="55"/>
  <c r="W1302" i="55"/>
  <c r="V1302" i="55"/>
  <c r="U1302" i="55"/>
  <c r="T1302" i="55"/>
  <c r="S1302" i="55"/>
  <c r="J1302" i="55"/>
  <c r="I1302" i="55"/>
  <c r="H1302" i="55"/>
  <c r="D1302" i="55"/>
  <c r="B1302" i="55"/>
  <c r="A1302" i="55"/>
  <c r="W1301" i="55"/>
  <c r="V1301" i="55"/>
  <c r="U1301" i="55"/>
  <c r="T1301" i="55"/>
  <c r="S1301" i="55"/>
  <c r="J1301" i="55"/>
  <c r="I1301" i="55"/>
  <c r="H1301" i="55"/>
  <c r="D1301" i="55"/>
  <c r="B1301" i="55"/>
  <c r="A1301" i="55"/>
  <c r="W1300" i="55"/>
  <c r="V1300" i="55"/>
  <c r="U1300" i="55"/>
  <c r="T1300" i="55"/>
  <c r="S1300" i="55"/>
  <c r="J1300" i="55"/>
  <c r="I1300" i="55"/>
  <c r="H1300" i="55"/>
  <c r="D1300" i="55"/>
  <c r="B1300" i="55"/>
  <c r="A1300" i="55"/>
  <c r="W1299" i="55"/>
  <c r="V1299" i="55"/>
  <c r="U1299" i="55"/>
  <c r="T1299" i="55"/>
  <c r="S1299" i="55"/>
  <c r="J1299" i="55"/>
  <c r="I1299" i="55"/>
  <c r="H1299" i="55"/>
  <c r="D1299" i="55"/>
  <c r="B1299" i="55"/>
  <c r="A1299" i="55"/>
  <c r="W1298" i="55"/>
  <c r="V1298" i="55"/>
  <c r="U1298" i="55"/>
  <c r="T1298" i="55"/>
  <c r="S1298" i="55"/>
  <c r="J1298" i="55"/>
  <c r="I1298" i="55"/>
  <c r="H1298" i="55"/>
  <c r="D1298" i="55"/>
  <c r="B1298" i="55"/>
  <c r="A1298" i="55"/>
  <c r="W1297" i="55"/>
  <c r="V1297" i="55"/>
  <c r="U1297" i="55"/>
  <c r="T1297" i="55"/>
  <c r="S1297" i="55"/>
  <c r="J1297" i="55"/>
  <c r="I1297" i="55"/>
  <c r="H1297" i="55"/>
  <c r="D1297" i="55"/>
  <c r="B1297" i="55"/>
  <c r="A1297" i="55"/>
  <c r="W1296" i="55"/>
  <c r="V1296" i="55"/>
  <c r="U1296" i="55"/>
  <c r="T1296" i="55"/>
  <c r="S1296" i="55"/>
  <c r="J1296" i="55"/>
  <c r="I1296" i="55"/>
  <c r="H1296" i="55"/>
  <c r="D1296" i="55"/>
  <c r="B1296" i="55"/>
  <c r="A1296" i="55"/>
  <c r="W1295" i="55"/>
  <c r="V1295" i="55"/>
  <c r="U1295" i="55"/>
  <c r="T1295" i="55"/>
  <c r="S1295" i="55"/>
  <c r="J1295" i="55"/>
  <c r="I1295" i="55"/>
  <c r="H1295" i="55"/>
  <c r="D1295" i="55"/>
  <c r="B1295" i="55"/>
  <c r="A1295" i="55"/>
  <c r="W1294" i="55"/>
  <c r="V1294" i="55"/>
  <c r="U1294" i="55"/>
  <c r="T1294" i="55"/>
  <c r="S1294" i="55"/>
  <c r="J1294" i="55"/>
  <c r="I1294" i="55"/>
  <c r="H1294" i="55"/>
  <c r="D1294" i="55"/>
  <c r="B1294" i="55"/>
  <c r="A1294" i="55"/>
  <c r="W1293" i="55"/>
  <c r="V1293" i="55"/>
  <c r="U1293" i="55"/>
  <c r="T1293" i="55"/>
  <c r="S1293" i="55"/>
  <c r="J1293" i="55"/>
  <c r="I1293" i="55"/>
  <c r="H1293" i="55"/>
  <c r="D1293" i="55"/>
  <c r="B1293" i="55"/>
  <c r="A1293" i="55"/>
  <c r="W1292" i="55"/>
  <c r="V1292" i="55"/>
  <c r="U1292" i="55"/>
  <c r="T1292" i="55"/>
  <c r="S1292" i="55"/>
  <c r="J1292" i="55"/>
  <c r="I1292" i="55"/>
  <c r="H1292" i="55"/>
  <c r="D1292" i="55"/>
  <c r="B1292" i="55"/>
  <c r="A1292" i="55"/>
  <c r="W1291" i="55"/>
  <c r="V1291" i="55"/>
  <c r="U1291" i="55"/>
  <c r="T1291" i="55"/>
  <c r="S1291" i="55"/>
  <c r="J1291" i="55"/>
  <c r="I1291" i="55"/>
  <c r="H1291" i="55"/>
  <c r="D1291" i="55"/>
  <c r="B1291" i="55"/>
  <c r="A1291" i="55"/>
  <c r="W1290" i="55"/>
  <c r="V1290" i="55"/>
  <c r="U1290" i="55"/>
  <c r="T1290" i="55"/>
  <c r="S1290" i="55"/>
  <c r="J1290" i="55"/>
  <c r="I1290" i="55"/>
  <c r="H1290" i="55"/>
  <c r="D1290" i="55"/>
  <c r="B1290" i="55"/>
  <c r="A1290" i="55"/>
  <c r="W1289" i="55"/>
  <c r="V1289" i="55"/>
  <c r="U1289" i="55"/>
  <c r="T1289" i="55"/>
  <c r="S1289" i="55"/>
  <c r="J1289" i="55"/>
  <c r="I1289" i="55"/>
  <c r="H1289" i="55"/>
  <c r="D1289" i="55"/>
  <c r="B1289" i="55"/>
  <c r="A1289" i="55"/>
  <c r="W1288" i="55"/>
  <c r="V1288" i="55"/>
  <c r="U1288" i="55"/>
  <c r="T1288" i="55"/>
  <c r="S1288" i="55"/>
  <c r="J1288" i="55"/>
  <c r="I1288" i="55"/>
  <c r="H1288" i="55"/>
  <c r="D1288" i="55"/>
  <c r="B1288" i="55"/>
  <c r="A1288" i="55"/>
  <c r="W1287" i="55"/>
  <c r="V1287" i="55"/>
  <c r="U1287" i="55"/>
  <c r="T1287" i="55"/>
  <c r="S1287" i="55"/>
  <c r="J1287" i="55"/>
  <c r="I1287" i="55"/>
  <c r="H1287" i="55"/>
  <c r="D1287" i="55"/>
  <c r="B1287" i="55"/>
  <c r="A1287" i="55"/>
  <c r="W1286" i="55"/>
  <c r="V1286" i="55"/>
  <c r="U1286" i="55"/>
  <c r="T1286" i="55"/>
  <c r="S1286" i="55"/>
  <c r="J1286" i="55"/>
  <c r="I1286" i="55"/>
  <c r="H1286" i="55"/>
  <c r="D1286" i="55"/>
  <c r="B1286" i="55"/>
  <c r="A1286" i="55"/>
  <c r="W1285" i="55"/>
  <c r="V1285" i="55"/>
  <c r="U1285" i="55"/>
  <c r="T1285" i="55"/>
  <c r="S1285" i="55"/>
  <c r="J1285" i="55"/>
  <c r="I1285" i="55"/>
  <c r="H1285" i="55"/>
  <c r="D1285" i="55"/>
  <c r="B1285" i="55"/>
  <c r="A1285" i="55"/>
  <c r="W1284" i="55"/>
  <c r="V1284" i="55"/>
  <c r="U1284" i="55"/>
  <c r="T1284" i="55"/>
  <c r="S1284" i="55"/>
  <c r="J1284" i="55"/>
  <c r="I1284" i="55"/>
  <c r="H1284" i="55"/>
  <c r="D1284" i="55"/>
  <c r="B1284" i="55"/>
  <c r="A1284" i="55"/>
  <c r="W1283" i="55"/>
  <c r="V1283" i="55"/>
  <c r="U1283" i="55"/>
  <c r="T1283" i="55"/>
  <c r="S1283" i="55"/>
  <c r="J1283" i="55"/>
  <c r="I1283" i="55"/>
  <c r="H1283" i="55"/>
  <c r="D1283" i="55"/>
  <c r="B1283" i="55"/>
  <c r="A1283" i="55"/>
  <c r="W1282" i="55"/>
  <c r="V1282" i="55"/>
  <c r="U1282" i="55"/>
  <c r="T1282" i="55"/>
  <c r="S1282" i="55"/>
  <c r="J1282" i="55"/>
  <c r="I1282" i="55"/>
  <c r="H1282" i="55"/>
  <c r="D1282" i="55"/>
  <c r="B1282" i="55"/>
  <c r="A1282" i="55"/>
  <c r="W1281" i="55"/>
  <c r="V1281" i="55"/>
  <c r="U1281" i="55"/>
  <c r="T1281" i="55"/>
  <c r="S1281" i="55"/>
  <c r="J1281" i="55"/>
  <c r="I1281" i="55"/>
  <c r="H1281" i="55"/>
  <c r="D1281" i="55"/>
  <c r="B1281" i="55"/>
  <c r="A1281" i="55"/>
  <c r="W1280" i="55"/>
  <c r="V1280" i="55"/>
  <c r="U1280" i="55"/>
  <c r="T1280" i="55"/>
  <c r="S1280" i="55"/>
  <c r="J1280" i="55"/>
  <c r="I1280" i="55"/>
  <c r="H1280" i="55"/>
  <c r="D1280" i="55"/>
  <c r="B1280" i="55"/>
  <c r="A1280" i="55"/>
  <c r="W1279" i="55"/>
  <c r="V1279" i="55"/>
  <c r="U1279" i="55"/>
  <c r="T1279" i="55"/>
  <c r="S1279" i="55"/>
  <c r="J1279" i="55"/>
  <c r="I1279" i="55"/>
  <c r="H1279" i="55"/>
  <c r="D1279" i="55"/>
  <c r="B1279" i="55"/>
  <c r="A1279" i="55"/>
  <c r="W1278" i="55"/>
  <c r="V1278" i="55"/>
  <c r="U1278" i="55"/>
  <c r="T1278" i="55"/>
  <c r="S1278" i="55"/>
  <c r="J1278" i="55"/>
  <c r="I1278" i="55"/>
  <c r="H1278" i="55"/>
  <c r="D1278" i="55"/>
  <c r="B1278" i="55"/>
  <c r="A1278" i="55"/>
  <c r="W1277" i="55"/>
  <c r="V1277" i="55"/>
  <c r="U1277" i="55"/>
  <c r="T1277" i="55"/>
  <c r="S1277" i="55"/>
  <c r="J1277" i="55"/>
  <c r="I1277" i="55"/>
  <c r="H1277" i="55"/>
  <c r="D1277" i="55"/>
  <c r="B1277" i="55"/>
  <c r="A1277" i="55"/>
  <c r="W1276" i="55"/>
  <c r="V1276" i="55"/>
  <c r="U1276" i="55"/>
  <c r="T1276" i="55"/>
  <c r="S1276" i="55"/>
  <c r="J1276" i="55"/>
  <c r="I1276" i="55"/>
  <c r="H1276" i="55"/>
  <c r="D1276" i="55"/>
  <c r="B1276" i="55"/>
  <c r="A1276" i="55"/>
  <c r="W1275" i="55"/>
  <c r="V1275" i="55"/>
  <c r="U1275" i="55"/>
  <c r="T1275" i="55"/>
  <c r="S1275" i="55"/>
  <c r="J1275" i="55"/>
  <c r="I1275" i="55"/>
  <c r="H1275" i="55"/>
  <c r="D1275" i="55"/>
  <c r="B1275" i="55"/>
  <c r="A1275" i="55"/>
  <c r="W1274" i="55"/>
  <c r="V1274" i="55"/>
  <c r="U1274" i="55"/>
  <c r="T1274" i="55"/>
  <c r="S1274" i="55"/>
  <c r="J1274" i="55"/>
  <c r="I1274" i="55"/>
  <c r="H1274" i="55"/>
  <c r="D1274" i="55"/>
  <c r="B1274" i="55"/>
  <c r="A1274" i="55"/>
  <c r="W1273" i="55"/>
  <c r="V1273" i="55"/>
  <c r="U1273" i="55"/>
  <c r="T1273" i="55"/>
  <c r="S1273" i="55"/>
  <c r="J1273" i="55"/>
  <c r="I1273" i="55"/>
  <c r="H1273" i="55"/>
  <c r="D1273" i="55"/>
  <c r="B1273" i="55"/>
  <c r="A1273" i="55"/>
  <c r="W1272" i="55"/>
  <c r="V1272" i="55"/>
  <c r="U1272" i="55"/>
  <c r="T1272" i="55"/>
  <c r="S1272" i="55"/>
  <c r="J1272" i="55"/>
  <c r="I1272" i="55"/>
  <c r="H1272" i="55"/>
  <c r="D1272" i="55"/>
  <c r="B1272" i="55"/>
  <c r="A1272" i="55"/>
  <c r="W1271" i="55"/>
  <c r="V1271" i="55"/>
  <c r="U1271" i="55"/>
  <c r="T1271" i="55"/>
  <c r="S1271" i="55"/>
  <c r="J1271" i="55"/>
  <c r="I1271" i="55"/>
  <c r="H1271" i="55"/>
  <c r="D1271" i="55"/>
  <c r="B1271" i="55"/>
  <c r="A1271" i="55"/>
  <c r="W1270" i="55"/>
  <c r="V1270" i="55"/>
  <c r="U1270" i="55"/>
  <c r="T1270" i="55"/>
  <c r="S1270" i="55"/>
  <c r="J1270" i="55"/>
  <c r="I1270" i="55"/>
  <c r="H1270" i="55"/>
  <c r="D1270" i="55"/>
  <c r="B1270" i="55"/>
  <c r="A1270" i="55"/>
  <c r="W1269" i="55"/>
  <c r="V1269" i="55"/>
  <c r="U1269" i="55"/>
  <c r="T1269" i="55"/>
  <c r="S1269" i="55"/>
  <c r="J1269" i="55"/>
  <c r="I1269" i="55"/>
  <c r="H1269" i="55"/>
  <c r="D1269" i="55"/>
  <c r="B1269" i="55"/>
  <c r="A1269" i="55"/>
  <c r="W1268" i="55"/>
  <c r="V1268" i="55"/>
  <c r="U1268" i="55"/>
  <c r="T1268" i="55"/>
  <c r="S1268" i="55"/>
  <c r="J1268" i="55"/>
  <c r="I1268" i="55"/>
  <c r="H1268" i="55"/>
  <c r="D1268" i="55"/>
  <c r="B1268" i="55"/>
  <c r="A1268" i="55"/>
  <c r="W1267" i="55"/>
  <c r="V1267" i="55"/>
  <c r="U1267" i="55"/>
  <c r="T1267" i="55"/>
  <c r="S1267" i="55"/>
  <c r="J1267" i="55"/>
  <c r="I1267" i="55"/>
  <c r="H1267" i="55"/>
  <c r="D1267" i="55"/>
  <c r="B1267" i="55"/>
  <c r="A1267" i="55"/>
  <c r="W1266" i="55"/>
  <c r="V1266" i="55"/>
  <c r="U1266" i="55"/>
  <c r="T1266" i="55"/>
  <c r="S1266" i="55"/>
  <c r="J1266" i="55"/>
  <c r="I1266" i="55"/>
  <c r="H1266" i="55"/>
  <c r="D1266" i="55"/>
  <c r="B1266" i="55"/>
  <c r="A1266" i="55"/>
  <c r="W1265" i="55"/>
  <c r="V1265" i="55"/>
  <c r="U1265" i="55"/>
  <c r="T1265" i="55"/>
  <c r="S1265" i="55"/>
  <c r="J1265" i="55"/>
  <c r="I1265" i="55"/>
  <c r="H1265" i="55"/>
  <c r="D1265" i="55"/>
  <c r="B1265" i="55"/>
  <c r="A1265" i="55"/>
  <c r="W1264" i="55"/>
  <c r="V1264" i="55"/>
  <c r="U1264" i="55"/>
  <c r="T1264" i="55"/>
  <c r="S1264" i="55"/>
  <c r="J1264" i="55"/>
  <c r="I1264" i="55"/>
  <c r="H1264" i="55"/>
  <c r="D1264" i="55"/>
  <c r="B1264" i="55"/>
  <c r="A1264" i="55"/>
  <c r="W1263" i="55"/>
  <c r="V1263" i="55"/>
  <c r="U1263" i="55"/>
  <c r="T1263" i="55"/>
  <c r="S1263" i="55"/>
  <c r="J1263" i="55"/>
  <c r="I1263" i="55"/>
  <c r="H1263" i="55"/>
  <c r="D1263" i="55"/>
  <c r="B1263" i="55"/>
  <c r="A1263" i="55"/>
  <c r="W1262" i="55"/>
  <c r="V1262" i="55"/>
  <c r="U1262" i="55"/>
  <c r="T1262" i="55"/>
  <c r="S1262" i="55"/>
  <c r="J1262" i="55"/>
  <c r="I1262" i="55"/>
  <c r="H1262" i="55"/>
  <c r="D1262" i="55"/>
  <c r="B1262" i="55"/>
  <c r="A1262" i="55"/>
  <c r="W1261" i="55"/>
  <c r="V1261" i="55"/>
  <c r="U1261" i="55"/>
  <c r="T1261" i="55"/>
  <c r="S1261" i="55"/>
  <c r="J1261" i="55"/>
  <c r="I1261" i="55"/>
  <c r="H1261" i="55"/>
  <c r="D1261" i="55"/>
  <c r="B1261" i="55"/>
  <c r="A1261" i="55"/>
  <c r="W1260" i="55"/>
  <c r="V1260" i="55"/>
  <c r="U1260" i="55"/>
  <c r="T1260" i="55"/>
  <c r="S1260" i="55"/>
  <c r="J1260" i="55"/>
  <c r="I1260" i="55"/>
  <c r="H1260" i="55"/>
  <c r="D1260" i="55"/>
  <c r="B1260" i="55"/>
  <c r="A1260" i="55"/>
  <c r="W1259" i="55"/>
  <c r="V1259" i="55"/>
  <c r="U1259" i="55"/>
  <c r="T1259" i="55"/>
  <c r="S1259" i="55"/>
  <c r="J1259" i="55"/>
  <c r="I1259" i="55"/>
  <c r="H1259" i="55"/>
  <c r="D1259" i="55"/>
  <c r="B1259" i="55"/>
  <c r="A1259" i="55"/>
  <c r="W1258" i="55"/>
  <c r="V1258" i="55"/>
  <c r="U1258" i="55"/>
  <c r="T1258" i="55"/>
  <c r="S1258" i="55"/>
  <c r="J1258" i="55"/>
  <c r="I1258" i="55"/>
  <c r="H1258" i="55"/>
  <c r="D1258" i="55"/>
  <c r="B1258" i="55"/>
  <c r="A1258" i="55"/>
  <c r="W1257" i="55"/>
  <c r="V1257" i="55"/>
  <c r="U1257" i="55"/>
  <c r="T1257" i="55"/>
  <c r="S1257" i="55"/>
  <c r="J1257" i="55"/>
  <c r="I1257" i="55"/>
  <c r="H1257" i="55"/>
  <c r="D1257" i="55"/>
  <c r="B1257" i="55"/>
  <c r="A1257" i="55"/>
  <c r="W1256" i="55"/>
  <c r="V1256" i="55"/>
  <c r="U1256" i="55"/>
  <c r="T1256" i="55"/>
  <c r="S1256" i="55"/>
  <c r="J1256" i="55"/>
  <c r="I1256" i="55"/>
  <c r="H1256" i="55"/>
  <c r="D1256" i="55"/>
  <c r="B1256" i="55"/>
  <c r="A1256" i="55"/>
  <c r="W1255" i="55"/>
  <c r="V1255" i="55"/>
  <c r="U1255" i="55"/>
  <c r="T1255" i="55"/>
  <c r="S1255" i="55"/>
  <c r="J1255" i="55"/>
  <c r="I1255" i="55"/>
  <c r="H1255" i="55"/>
  <c r="D1255" i="55"/>
  <c r="B1255" i="55"/>
  <c r="A1255" i="55"/>
  <c r="W1254" i="55"/>
  <c r="V1254" i="55"/>
  <c r="U1254" i="55"/>
  <c r="T1254" i="55"/>
  <c r="S1254" i="55"/>
  <c r="J1254" i="55"/>
  <c r="I1254" i="55"/>
  <c r="H1254" i="55"/>
  <c r="D1254" i="55"/>
  <c r="B1254" i="55"/>
  <c r="A1254" i="55"/>
  <c r="W1253" i="55"/>
  <c r="V1253" i="55"/>
  <c r="U1253" i="55"/>
  <c r="T1253" i="55"/>
  <c r="S1253" i="55"/>
  <c r="J1253" i="55"/>
  <c r="I1253" i="55"/>
  <c r="H1253" i="55"/>
  <c r="D1253" i="55"/>
  <c r="B1253" i="55"/>
  <c r="A1253" i="55"/>
  <c r="W1252" i="55"/>
  <c r="V1252" i="55"/>
  <c r="U1252" i="55"/>
  <c r="T1252" i="55"/>
  <c r="S1252" i="55"/>
  <c r="J1252" i="55"/>
  <c r="I1252" i="55"/>
  <c r="H1252" i="55"/>
  <c r="D1252" i="55"/>
  <c r="B1252" i="55"/>
  <c r="A1252" i="55"/>
  <c r="W1251" i="55"/>
  <c r="V1251" i="55"/>
  <c r="U1251" i="55"/>
  <c r="T1251" i="55"/>
  <c r="S1251" i="55"/>
  <c r="J1251" i="55"/>
  <c r="I1251" i="55"/>
  <c r="H1251" i="55"/>
  <c r="D1251" i="55"/>
  <c r="B1251" i="55"/>
  <c r="A1251" i="55"/>
  <c r="W1250" i="55"/>
  <c r="V1250" i="55"/>
  <c r="U1250" i="55"/>
  <c r="T1250" i="55"/>
  <c r="S1250" i="55"/>
  <c r="J1250" i="55"/>
  <c r="I1250" i="55"/>
  <c r="H1250" i="55"/>
  <c r="D1250" i="55"/>
  <c r="B1250" i="55"/>
  <c r="A1250" i="55"/>
  <c r="W1249" i="55"/>
  <c r="V1249" i="55"/>
  <c r="U1249" i="55"/>
  <c r="T1249" i="55"/>
  <c r="S1249" i="55"/>
  <c r="J1249" i="55"/>
  <c r="I1249" i="55"/>
  <c r="H1249" i="55"/>
  <c r="D1249" i="55"/>
  <c r="B1249" i="55"/>
  <c r="A1249" i="55"/>
  <c r="W1248" i="55"/>
  <c r="V1248" i="55"/>
  <c r="U1248" i="55"/>
  <c r="T1248" i="55"/>
  <c r="S1248" i="55"/>
  <c r="J1248" i="55"/>
  <c r="I1248" i="55"/>
  <c r="H1248" i="55"/>
  <c r="D1248" i="55"/>
  <c r="B1248" i="55"/>
  <c r="A1248" i="55"/>
  <c r="W1247" i="55"/>
  <c r="V1247" i="55"/>
  <c r="U1247" i="55"/>
  <c r="T1247" i="55"/>
  <c r="S1247" i="55"/>
  <c r="J1247" i="55"/>
  <c r="I1247" i="55"/>
  <c r="H1247" i="55"/>
  <c r="D1247" i="55"/>
  <c r="B1247" i="55"/>
  <c r="A1247" i="55"/>
  <c r="W1246" i="55"/>
  <c r="V1246" i="55"/>
  <c r="U1246" i="55"/>
  <c r="T1246" i="55"/>
  <c r="S1246" i="55"/>
  <c r="J1246" i="55"/>
  <c r="I1246" i="55"/>
  <c r="H1246" i="55"/>
  <c r="D1246" i="55"/>
  <c r="B1246" i="55"/>
  <c r="A1246" i="55"/>
  <c r="W1245" i="55"/>
  <c r="V1245" i="55"/>
  <c r="U1245" i="55"/>
  <c r="T1245" i="55"/>
  <c r="S1245" i="55"/>
  <c r="J1245" i="55"/>
  <c r="I1245" i="55"/>
  <c r="H1245" i="55"/>
  <c r="D1245" i="55"/>
  <c r="B1245" i="55"/>
  <c r="A1245" i="55"/>
  <c r="W1244" i="55"/>
  <c r="V1244" i="55"/>
  <c r="U1244" i="55"/>
  <c r="T1244" i="55"/>
  <c r="S1244" i="55"/>
  <c r="J1244" i="55"/>
  <c r="I1244" i="55"/>
  <c r="H1244" i="55"/>
  <c r="D1244" i="55"/>
  <c r="B1244" i="55"/>
  <c r="A1244" i="55"/>
  <c r="W1243" i="55"/>
  <c r="V1243" i="55"/>
  <c r="U1243" i="55"/>
  <c r="T1243" i="55"/>
  <c r="S1243" i="55"/>
  <c r="J1243" i="55"/>
  <c r="I1243" i="55"/>
  <c r="H1243" i="55"/>
  <c r="D1243" i="55"/>
  <c r="B1243" i="55"/>
  <c r="A1243" i="55"/>
  <c r="W1242" i="55"/>
  <c r="V1242" i="55"/>
  <c r="U1242" i="55"/>
  <c r="T1242" i="55"/>
  <c r="S1242" i="55"/>
  <c r="J1242" i="55"/>
  <c r="I1242" i="55"/>
  <c r="H1242" i="55"/>
  <c r="D1242" i="55"/>
  <c r="B1242" i="55"/>
  <c r="A1242" i="55"/>
  <c r="W1241" i="55"/>
  <c r="V1241" i="55"/>
  <c r="U1241" i="55"/>
  <c r="T1241" i="55"/>
  <c r="S1241" i="55"/>
  <c r="J1241" i="55"/>
  <c r="I1241" i="55"/>
  <c r="H1241" i="55"/>
  <c r="D1241" i="55"/>
  <c r="B1241" i="55"/>
  <c r="A1241" i="55"/>
  <c r="W1240" i="55"/>
  <c r="V1240" i="55"/>
  <c r="U1240" i="55"/>
  <c r="T1240" i="55"/>
  <c r="S1240" i="55"/>
  <c r="J1240" i="55"/>
  <c r="I1240" i="55"/>
  <c r="H1240" i="55"/>
  <c r="D1240" i="55"/>
  <c r="B1240" i="55"/>
  <c r="A1240" i="55"/>
  <c r="W1239" i="55"/>
  <c r="V1239" i="55"/>
  <c r="U1239" i="55"/>
  <c r="T1239" i="55"/>
  <c r="S1239" i="55"/>
  <c r="J1239" i="55"/>
  <c r="I1239" i="55"/>
  <c r="H1239" i="55"/>
  <c r="D1239" i="55"/>
  <c r="B1239" i="55"/>
  <c r="A1239" i="55"/>
  <c r="W1238" i="55"/>
  <c r="V1238" i="55"/>
  <c r="U1238" i="55"/>
  <c r="T1238" i="55"/>
  <c r="S1238" i="55"/>
  <c r="J1238" i="55"/>
  <c r="I1238" i="55"/>
  <c r="H1238" i="55"/>
  <c r="D1238" i="55"/>
  <c r="B1238" i="55"/>
  <c r="A1238" i="55"/>
  <c r="W1237" i="55"/>
  <c r="V1237" i="55"/>
  <c r="U1237" i="55"/>
  <c r="T1237" i="55"/>
  <c r="S1237" i="55"/>
  <c r="J1237" i="55"/>
  <c r="I1237" i="55"/>
  <c r="H1237" i="55"/>
  <c r="D1237" i="55"/>
  <c r="B1237" i="55"/>
  <c r="A1237" i="55"/>
  <c r="W1236" i="55"/>
  <c r="V1236" i="55"/>
  <c r="U1236" i="55"/>
  <c r="T1236" i="55"/>
  <c r="S1236" i="55"/>
  <c r="J1236" i="55"/>
  <c r="I1236" i="55"/>
  <c r="H1236" i="55"/>
  <c r="D1236" i="55"/>
  <c r="B1236" i="55"/>
  <c r="A1236" i="55"/>
  <c r="W1235" i="55"/>
  <c r="V1235" i="55"/>
  <c r="U1235" i="55"/>
  <c r="T1235" i="55"/>
  <c r="S1235" i="55"/>
  <c r="J1235" i="55"/>
  <c r="I1235" i="55"/>
  <c r="H1235" i="55"/>
  <c r="D1235" i="55"/>
  <c r="B1235" i="55"/>
  <c r="A1235" i="55"/>
  <c r="W1234" i="55"/>
  <c r="V1234" i="55"/>
  <c r="U1234" i="55"/>
  <c r="T1234" i="55"/>
  <c r="S1234" i="55"/>
  <c r="J1234" i="55"/>
  <c r="I1234" i="55"/>
  <c r="H1234" i="55"/>
  <c r="D1234" i="55"/>
  <c r="B1234" i="55"/>
  <c r="A1234" i="55"/>
  <c r="W1233" i="55"/>
  <c r="V1233" i="55"/>
  <c r="U1233" i="55"/>
  <c r="T1233" i="55"/>
  <c r="S1233" i="55"/>
  <c r="J1233" i="55"/>
  <c r="I1233" i="55"/>
  <c r="H1233" i="55"/>
  <c r="D1233" i="55"/>
  <c r="B1233" i="55"/>
  <c r="A1233" i="55"/>
  <c r="W1232" i="55"/>
  <c r="V1232" i="55"/>
  <c r="U1232" i="55"/>
  <c r="T1232" i="55"/>
  <c r="S1232" i="55"/>
  <c r="J1232" i="55"/>
  <c r="I1232" i="55"/>
  <c r="H1232" i="55"/>
  <c r="D1232" i="55"/>
  <c r="B1232" i="55"/>
  <c r="A1232" i="55"/>
  <c r="W1231" i="55"/>
  <c r="V1231" i="55"/>
  <c r="U1231" i="55"/>
  <c r="T1231" i="55"/>
  <c r="S1231" i="55"/>
  <c r="J1231" i="55"/>
  <c r="I1231" i="55"/>
  <c r="H1231" i="55"/>
  <c r="D1231" i="55"/>
  <c r="B1231" i="55"/>
  <c r="A1231" i="55"/>
  <c r="W1230" i="55"/>
  <c r="V1230" i="55"/>
  <c r="U1230" i="55"/>
  <c r="T1230" i="55"/>
  <c r="S1230" i="55"/>
  <c r="J1230" i="55"/>
  <c r="I1230" i="55"/>
  <c r="H1230" i="55"/>
  <c r="D1230" i="55"/>
  <c r="B1230" i="55"/>
  <c r="A1230" i="55"/>
  <c r="W1229" i="55"/>
  <c r="V1229" i="55"/>
  <c r="U1229" i="55"/>
  <c r="T1229" i="55"/>
  <c r="S1229" i="55"/>
  <c r="J1229" i="55"/>
  <c r="I1229" i="55"/>
  <c r="H1229" i="55"/>
  <c r="D1229" i="55"/>
  <c r="B1229" i="55"/>
  <c r="A1229" i="55"/>
  <c r="W1228" i="55"/>
  <c r="V1228" i="55"/>
  <c r="U1228" i="55"/>
  <c r="T1228" i="55"/>
  <c r="S1228" i="55"/>
  <c r="J1228" i="55"/>
  <c r="I1228" i="55"/>
  <c r="H1228" i="55"/>
  <c r="D1228" i="55"/>
  <c r="B1228" i="55"/>
  <c r="A1228" i="55"/>
  <c r="W1227" i="55"/>
  <c r="V1227" i="55"/>
  <c r="U1227" i="55"/>
  <c r="T1227" i="55"/>
  <c r="S1227" i="55"/>
  <c r="J1227" i="55"/>
  <c r="I1227" i="55"/>
  <c r="H1227" i="55"/>
  <c r="D1227" i="55"/>
  <c r="B1227" i="55"/>
  <c r="A1227" i="55"/>
  <c r="W1226" i="55"/>
  <c r="V1226" i="55"/>
  <c r="U1226" i="55"/>
  <c r="T1226" i="55"/>
  <c r="S1226" i="55"/>
  <c r="J1226" i="55"/>
  <c r="I1226" i="55"/>
  <c r="H1226" i="55"/>
  <c r="D1226" i="55"/>
  <c r="B1226" i="55"/>
  <c r="A1226" i="55"/>
  <c r="W1225" i="55"/>
  <c r="V1225" i="55"/>
  <c r="U1225" i="55"/>
  <c r="T1225" i="55"/>
  <c r="S1225" i="55"/>
  <c r="J1225" i="55"/>
  <c r="I1225" i="55"/>
  <c r="H1225" i="55"/>
  <c r="D1225" i="55"/>
  <c r="B1225" i="55"/>
  <c r="A1225" i="55"/>
  <c r="W1224" i="55"/>
  <c r="V1224" i="55"/>
  <c r="U1224" i="55"/>
  <c r="T1224" i="55"/>
  <c r="S1224" i="55"/>
  <c r="J1224" i="55"/>
  <c r="I1224" i="55"/>
  <c r="H1224" i="55"/>
  <c r="D1224" i="55"/>
  <c r="B1224" i="55"/>
  <c r="A1224" i="55"/>
  <c r="W1223" i="55"/>
  <c r="V1223" i="55"/>
  <c r="U1223" i="55"/>
  <c r="T1223" i="55"/>
  <c r="S1223" i="55"/>
  <c r="J1223" i="55"/>
  <c r="I1223" i="55"/>
  <c r="H1223" i="55"/>
  <c r="D1223" i="55"/>
  <c r="B1223" i="55"/>
  <c r="A1223" i="55"/>
  <c r="W1222" i="55"/>
  <c r="V1222" i="55"/>
  <c r="U1222" i="55"/>
  <c r="T1222" i="55"/>
  <c r="S1222" i="55"/>
  <c r="J1222" i="55"/>
  <c r="I1222" i="55"/>
  <c r="H1222" i="55"/>
  <c r="D1222" i="55"/>
  <c r="B1222" i="55"/>
  <c r="A1222" i="55"/>
  <c r="W1221" i="55"/>
  <c r="V1221" i="55"/>
  <c r="U1221" i="55"/>
  <c r="T1221" i="55"/>
  <c r="S1221" i="55"/>
  <c r="J1221" i="55"/>
  <c r="I1221" i="55"/>
  <c r="H1221" i="55"/>
  <c r="D1221" i="55"/>
  <c r="B1221" i="55"/>
  <c r="A1221" i="55"/>
  <c r="W1220" i="55"/>
  <c r="V1220" i="55"/>
  <c r="U1220" i="55"/>
  <c r="T1220" i="55"/>
  <c r="S1220" i="55"/>
  <c r="J1220" i="55"/>
  <c r="I1220" i="55"/>
  <c r="H1220" i="55"/>
  <c r="D1220" i="55"/>
  <c r="B1220" i="55"/>
  <c r="A1220" i="55"/>
  <c r="W1219" i="55"/>
  <c r="V1219" i="55"/>
  <c r="U1219" i="55"/>
  <c r="T1219" i="55"/>
  <c r="S1219" i="55"/>
  <c r="J1219" i="55"/>
  <c r="I1219" i="55"/>
  <c r="H1219" i="55"/>
  <c r="D1219" i="55"/>
  <c r="B1219" i="55"/>
  <c r="A1219" i="55"/>
  <c r="W1218" i="55"/>
  <c r="V1218" i="55"/>
  <c r="U1218" i="55"/>
  <c r="T1218" i="55"/>
  <c r="S1218" i="55"/>
  <c r="J1218" i="55"/>
  <c r="I1218" i="55"/>
  <c r="H1218" i="55"/>
  <c r="D1218" i="55"/>
  <c r="B1218" i="55"/>
  <c r="A1218" i="55"/>
  <c r="W1217" i="55"/>
  <c r="V1217" i="55"/>
  <c r="U1217" i="55"/>
  <c r="T1217" i="55"/>
  <c r="S1217" i="55"/>
  <c r="J1217" i="55"/>
  <c r="I1217" i="55"/>
  <c r="H1217" i="55"/>
  <c r="D1217" i="55"/>
  <c r="B1217" i="55"/>
  <c r="A1217" i="55"/>
  <c r="W1216" i="55"/>
  <c r="V1216" i="55"/>
  <c r="U1216" i="55"/>
  <c r="T1216" i="55"/>
  <c r="S1216" i="55"/>
  <c r="J1216" i="55"/>
  <c r="I1216" i="55"/>
  <c r="H1216" i="55"/>
  <c r="D1216" i="55"/>
  <c r="B1216" i="55"/>
  <c r="A1216" i="55"/>
  <c r="W1215" i="55"/>
  <c r="V1215" i="55"/>
  <c r="U1215" i="55"/>
  <c r="T1215" i="55"/>
  <c r="S1215" i="55"/>
  <c r="J1215" i="55"/>
  <c r="I1215" i="55"/>
  <c r="H1215" i="55"/>
  <c r="D1215" i="55"/>
  <c r="B1215" i="55"/>
  <c r="A1215" i="55"/>
  <c r="W1214" i="55"/>
  <c r="V1214" i="55"/>
  <c r="U1214" i="55"/>
  <c r="T1214" i="55"/>
  <c r="S1214" i="55"/>
  <c r="J1214" i="55"/>
  <c r="I1214" i="55"/>
  <c r="H1214" i="55"/>
  <c r="D1214" i="55"/>
  <c r="B1214" i="55"/>
  <c r="A1214" i="55"/>
  <c r="W1213" i="55"/>
  <c r="V1213" i="55"/>
  <c r="U1213" i="55"/>
  <c r="T1213" i="55"/>
  <c r="S1213" i="55"/>
  <c r="J1213" i="55"/>
  <c r="I1213" i="55"/>
  <c r="H1213" i="55"/>
  <c r="D1213" i="55"/>
  <c r="B1213" i="55"/>
  <c r="A1213" i="55"/>
  <c r="W1212" i="55"/>
  <c r="V1212" i="55"/>
  <c r="U1212" i="55"/>
  <c r="T1212" i="55"/>
  <c r="S1212" i="55"/>
  <c r="J1212" i="55"/>
  <c r="I1212" i="55"/>
  <c r="H1212" i="55"/>
  <c r="D1212" i="55"/>
  <c r="B1212" i="55"/>
  <c r="A1212" i="55"/>
  <c r="W1211" i="55"/>
  <c r="V1211" i="55"/>
  <c r="U1211" i="55"/>
  <c r="T1211" i="55"/>
  <c r="S1211" i="55"/>
  <c r="J1211" i="55"/>
  <c r="I1211" i="55"/>
  <c r="H1211" i="55"/>
  <c r="D1211" i="55"/>
  <c r="B1211" i="55"/>
  <c r="A1211" i="55"/>
  <c r="W1210" i="55"/>
  <c r="V1210" i="55"/>
  <c r="U1210" i="55"/>
  <c r="T1210" i="55"/>
  <c r="S1210" i="55"/>
  <c r="J1210" i="55"/>
  <c r="I1210" i="55"/>
  <c r="H1210" i="55"/>
  <c r="D1210" i="55"/>
  <c r="B1210" i="55"/>
  <c r="A1210" i="55"/>
  <c r="W1209" i="55"/>
  <c r="V1209" i="55"/>
  <c r="U1209" i="55"/>
  <c r="T1209" i="55"/>
  <c r="S1209" i="55"/>
  <c r="J1209" i="55"/>
  <c r="I1209" i="55"/>
  <c r="H1209" i="55"/>
  <c r="D1209" i="55"/>
  <c r="B1209" i="55"/>
  <c r="A1209" i="55"/>
  <c r="W1208" i="55"/>
  <c r="V1208" i="55"/>
  <c r="U1208" i="55"/>
  <c r="T1208" i="55"/>
  <c r="S1208" i="55"/>
  <c r="J1208" i="55"/>
  <c r="I1208" i="55"/>
  <c r="H1208" i="55"/>
  <c r="D1208" i="55"/>
  <c r="B1208" i="55"/>
  <c r="A1208" i="55"/>
  <c r="W1207" i="55"/>
  <c r="V1207" i="55"/>
  <c r="U1207" i="55"/>
  <c r="T1207" i="55"/>
  <c r="S1207" i="55"/>
  <c r="J1207" i="55"/>
  <c r="I1207" i="55"/>
  <c r="H1207" i="55"/>
  <c r="D1207" i="55"/>
  <c r="B1207" i="55"/>
  <c r="A1207" i="55"/>
  <c r="W1206" i="55"/>
  <c r="V1206" i="55"/>
  <c r="U1206" i="55"/>
  <c r="T1206" i="55"/>
  <c r="S1206" i="55"/>
  <c r="J1206" i="55"/>
  <c r="I1206" i="55"/>
  <c r="H1206" i="55"/>
  <c r="D1206" i="55"/>
  <c r="B1206" i="55"/>
  <c r="A1206" i="55"/>
  <c r="W1205" i="55"/>
  <c r="V1205" i="55"/>
  <c r="U1205" i="55"/>
  <c r="T1205" i="55"/>
  <c r="S1205" i="55"/>
  <c r="J1205" i="55"/>
  <c r="I1205" i="55"/>
  <c r="H1205" i="55"/>
  <c r="D1205" i="55"/>
  <c r="B1205" i="55"/>
  <c r="A1205" i="55"/>
  <c r="W1204" i="55"/>
  <c r="V1204" i="55"/>
  <c r="U1204" i="55"/>
  <c r="T1204" i="55"/>
  <c r="S1204" i="55"/>
  <c r="J1204" i="55"/>
  <c r="I1204" i="55"/>
  <c r="H1204" i="55"/>
  <c r="D1204" i="55"/>
  <c r="B1204" i="55"/>
  <c r="A1204" i="55"/>
  <c r="W1203" i="55"/>
  <c r="V1203" i="55"/>
  <c r="U1203" i="55"/>
  <c r="T1203" i="55"/>
  <c r="S1203" i="55"/>
  <c r="J1203" i="55"/>
  <c r="I1203" i="55"/>
  <c r="H1203" i="55"/>
  <c r="D1203" i="55"/>
  <c r="B1203" i="55"/>
  <c r="A1203" i="55"/>
  <c r="W1202" i="55"/>
  <c r="V1202" i="55"/>
  <c r="U1202" i="55"/>
  <c r="T1202" i="55"/>
  <c r="S1202" i="55"/>
  <c r="J1202" i="55"/>
  <c r="I1202" i="55"/>
  <c r="H1202" i="55"/>
  <c r="D1202" i="55"/>
  <c r="B1202" i="55"/>
  <c r="A1202" i="55"/>
  <c r="W1201" i="55"/>
  <c r="V1201" i="55"/>
  <c r="U1201" i="55"/>
  <c r="T1201" i="55"/>
  <c r="S1201" i="55"/>
  <c r="J1201" i="55"/>
  <c r="I1201" i="55"/>
  <c r="H1201" i="55"/>
  <c r="D1201" i="55"/>
  <c r="B1201" i="55"/>
  <c r="A1201" i="55"/>
  <c r="W1200" i="55"/>
  <c r="V1200" i="55"/>
  <c r="U1200" i="55"/>
  <c r="T1200" i="55"/>
  <c r="S1200" i="55"/>
  <c r="J1200" i="55"/>
  <c r="I1200" i="55"/>
  <c r="H1200" i="55"/>
  <c r="D1200" i="55"/>
  <c r="B1200" i="55"/>
  <c r="A1200" i="55"/>
  <c r="W1199" i="55"/>
  <c r="V1199" i="55"/>
  <c r="U1199" i="55"/>
  <c r="T1199" i="55"/>
  <c r="S1199" i="55"/>
  <c r="J1199" i="55"/>
  <c r="I1199" i="55"/>
  <c r="H1199" i="55"/>
  <c r="D1199" i="55"/>
  <c r="B1199" i="55"/>
  <c r="A1199" i="55"/>
  <c r="W1198" i="55"/>
  <c r="V1198" i="55"/>
  <c r="U1198" i="55"/>
  <c r="T1198" i="55"/>
  <c r="S1198" i="55"/>
  <c r="J1198" i="55"/>
  <c r="I1198" i="55"/>
  <c r="H1198" i="55"/>
  <c r="D1198" i="55"/>
  <c r="B1198" i="55"/>
  <c r="A1198" i="55"/>
  <c r="W1197" i="55"/>
  <c r="V1197" i="55"/>
  <c r="U1197" i="55"/>
  <c r="T1197" i="55"/>
  <c r="S1197" i="55"/>
  <c r="J1197" i="55"/>
  <c r="I1197" i="55"/>
  <c r="H1197" i="55"/>
  <c r="D1197" i="55"/>
  <c r="B1197" i="55"/>
  <c r="A1197" i="55"/>
  <c r="W1196" i="55"/>
  <c r="V1196" i="55"/>
  <c r="U1196" i="55"/>
  <c r="T1196" i="55"/>
  <c r="S1196" i="55"/>
  <c r="J1196" i="55"/>
  <c r="I1196" i="55"/>
  <c r="H1196" i="55"/>
  <c r="D1196" i="55"/>
  <c r="B1196" i="55"/>
  <c r="A1196" i="55"/>
  <c r="W1195" i="55"/>
  <c r="V1195" i="55"/>
  <c r="U1195" i="55"/>
  <c r="T1195" i="55"/>
  <c r="S1195" i="55"/>
  <c r="J1195" i="55"/>
  <c r="I1195" i="55"/>
  <c r="H1195" i="55"/>
  <c r="D1195" i="55"/>
  <c r="B1195" i="55"/>
  <c r="A1195" i="55"/>
  <c r="W1194" i="55"/>
  <c r="V1194" i="55"/>
  <c r="U1194" i="55"/>
  <c r="T1194" i="55"/>
  <c r="S1194" i="55"/>
  <c r="J1194" i="55"/>
  <c r="I1194" i="55"/>
  <c r="H1194" i="55"/>
  <c r="D1194" i="55"/>
  <c r="B1194" i="55"/>
  <c r="A1194" i="55"/>
  <c r="W1193" i="55"/>
  <c r="V1193" i="55"/>
  <c r="U1193" i="55"/>
  <c r="T1193" i="55"/>
  <c r="S1193" i="55"/>
  <c r="J1193" i="55"/>
  <c r="I1193" i="55"/>
  <c r="H1193" i="55"/>
  <c r="D1193" i="55"/>
  <c r="B1193" i="55"/>
  <c r="A1193" i="55"/>
  <c r="W1192" i="55"/>
  <c r="V1192" i="55"/>
  <c r="U1192" i="55"/>
  <c r="T1192" i="55"/>
  <c r="S1192" i="55"/>
  <c r="J1192" i="55"/>
  <c r="I1192" i="55"/>
  <c r="H1192" i="55"/>
  <c r="D1192" i="55"/>
  <c r="B1192" i="55"/>
  <c r="A1192" i="55"/>
  <c r="W1191" i="55"/>
  <c r="V1191" i="55"/>
  <c r="U1191" i="55"/>
  <c r="T1191" i="55"/>
  <c r="S1191" i="55"/>
  <c r="J1191" i="55"/>
  <c r="I1191" i="55"/>
  <c r="H1191" i="55"/>
  <c r="D1191" i="55"/>
  <c r="B1191" i="55"/>
  <c r="A1191" i="55"/>
  <c r="W1190" i="55"/>
  <c r="V1190" i="55"/>
  <c r="U1190" i="55"/>
  <c r="T1190" i="55"/>
  <c r="S1190" i="55"/>
  <c r="J1190" i="55"/>
  <c r="I1190" i="55"/>
  <c r="H1190" i="55"/>
  <c r="D1190" i="55"/>
  <c r="B1190" i="55"/>
  <c r="A1190" i="55"/>
  <c r="W1189" i="55"/>
  <c r="V1189" i="55"/>
  <c r="U1189" i="55"/>
  <c r="T1189" i="55"/>
  <c r="S1189" i="55"/>
  <c r="J1189" i="55"/>
  <c r="I1189" i="55"/>
  <c r="H1189" i="55"/>
  <c r="D1189" i="55"/>
  <c r="B1189" i="55"/>
  <c r="A1189" i="55"/>
  <c r="W1188" i="55"/>
  <c r="V1188" i="55"/>
  <c r="U1188" i="55"/>
  <c r="T1188" i="55"/>
  <c r="S1188" i="55"/>
  <c r="J1188" i="55"/>
  <c r="I1188" i="55"/>
  <c r="H1188" i="55"/>
  <c r="D1188" i="55"/>
  <c r="B1188" i="55"/>
  <c r="A1188" i="55"/>
  <c r="W1187" i="55"/>
  <c r="V1187" i="55"/>
  <c r="U1187" i="55"/>
  <c r="T1187" i="55"/>
  <c r="S1187" i="55"/>
  <c r="J1187" i="55"/>
  <c r="I1187" i="55"/>
  <c r="H1187" i="55"/>
  <c r="D1187" i="55"/>
  <c r="B1187" i="55"/>
  <c r="A1187" i="55"/>
  <c r="W1186" i="55"/>
  <c r="V1186" i="55"/>
  <c r="U1186" i="55"/>
  <c r="T1186" i="55"/>
  <c r="S1186" i="55"/>
  <c r="J1186" i="55"/>
  <c r="I1186" i="55"/>
  <c r="H1186" i="55"/>
  <c r="D1186" i="55"/>
  <c r="B1186" i="55"/>
  <c r="A1186" i="55"/>
  <c r="W1185" i="55"/>
  <c r="V1185" i="55"/>
  <c r="U1185" i="55"/>
  <c r="T1185" i="55"/>
  <c r="S1185" i="55"/>
  <c r="J1185" i="55"/>
  <c r="I1185" i="55"/>
  <c r="H1185" i="55"/>
  <c r="D1185" i="55"/>
  <c r="B1185" i="55"/>
  <c r="A1185" i="55"/>
  <c r="W1184" i="55"/>
  <c r="V1184" i="55"/>
  <c r="U1184" i="55"/>
  <c r="T1184" i="55"/>
  <c r="S1184" i="55"/>
  <c r="J1184" i="55"/>
  <c r="I1184" i="55"/>
  <c r="H1184" i="55"/>
  <c r="D1184" i="55"/>
  <c r="B1184" i="55"/>
  <c r="A1184" i="55"/>
  <c r="W1183" i="55"/>
  <c r="V1183" i="55"/>
  <c r="U1183" i="55"/>
  <c r="T1183" i="55"/>
  <c r="S1183" i="55"/>
  <c r="J1183" i="55"/>
  <c r="I1183" i="55"/>
  <c r="H1183" i="55"/>
  <c r="D1183" i="55"/>
  <c r="B1183" i="55"/>
  <c r="A1183" i="55"/>
  <c r="W1182" i="55"/>
  <c r="V1182" i="55"/>
  <c r="U1182" i="55"/>
  <c r="T1182" i="55"/>
  <c r="S1182" i="55"/>
  <c r="J1182" i="55"/>
  <c r="I1182" i="55"/>
  <c r="H1182" i="55"/>
  <c r="D1182" i="55"/>
  <c r="B1182" i="55"/>
  <c r="A1182" i="55"/>
  <c r="W1181" i="55"/>
  <c r="V1181" i="55"/>
  <c r="U1181" i="55"/>
  <c r="T1181" i="55"/>
  <c r="S1181" i="55"/>
  <c r="J1181" i="55"/>
  <c r="I1181" i="55"/>
  <c r="H1181" i="55"/>
  <c r="D1181" i="55"/>
  <c r="B1181" i="55"/>
  <c r="A1181" i="55"/>
  <c r="W1180" i="55"/>
  <c r="V1180" i="55"/>
  <c r="U1180" i="55"/>
  <c r="T1180" i="55"/>
  <c r="S1180" i="55"/>
  <c r="J1180" i="55"/>
  <c r="I1180" i="55"/>
  <c r="H1180" i="55"/>
  <c r="D1180" i="55"/>
  <c r="B1180" i="55"/>
  <c r="A1180" i="55"/>
  <c r="W1179" i="55"/>
  <c r="V1179" i="55"/>
  <c r="U1179" i="55"/>
  <c r="T1179" i="55"/>
  <c r="S1179" i="55"/>
  <c r="J1179" i="55"/>
  <c r="I1179" i="55"/>
  <c r="H1179" i="55"/>
  <c r="D1179" i="55"/>
  <c r="B1179" i="55"/>
  <c r="A1179" i="55"/>
  <c r="W1178" i="55"/>
  <c r="V1178" i="55"/>
  <c r="U1178" i="55"/>
  <c r="T1178" i="55"/>
  <c r="S1178" i="55"/>
  <c r="J1178" i="55"/>
  <c r="I1178" i="55"/>
  <c r="H1178" i="55"/>
  <c r="D1178" i="55"/>
  <c r="B1178" i="55"/>
  <c r="A1178" i="55"/>
  <c r="W1177" i="55"/>
  <c r="V1177" i="55"/>
  <c r="U1177" i="55"/>
  <c r="T1177" i="55"/>
  <c r="S1177" i="55"/>
  <c r="J1177" i="55"/>
  <c r="I1177" i="55"/>
  <c r="H1177" i="55"/>
  <c r="D1177" i="55"/>
  <c r="B1177" i="55"/>
  <c r="A1177" i="55"/>
  <c r="W1176" i="55"/>
  <c r="V1176" i="55"/>
  <c r="U1176" i="55"/>
  <c r="T1176" i="55"/>
  <c r="S1176" i="55"/>
  <c r="J1176" i="55"/>
  <c r="I1176" i="55"/>
  <c r="H1176" i="55"/>
  <c r="D1176" i="55"/>
  <c r="B1176" i="55"/>
  <c r="A1176" i="55"/>
  <c r="W1175" i="55"/>
  <c r="V1175" i="55"/>
  <c r="U1175" i="55"/>
  <c r="T1175" i="55"/>
  <c r="S1175" i="55"/>
  <c r="J1175" i="55"/>
  <c r="I1175" i="55"/>
  <c r="H1175" i="55"/>
  <c r="D1175" i="55"/>
  <c r="B1175" i="55"/>
  <c r="A1175" i="55"/>
  <c r="W1174" i="55"/>
  <c r="V1174" i="55"/>
  <c r="U1174" i="55"/>
  <c r="T1174" i="55"/>
  <c r="S1174" i="55"/>
  <c r="J1174" i="55"/>
  <c r="I1174" i="55"/>
  <c r="H1174" i="55"/>
  <c r="D1174" i="55"/>
  <c r="B1174" i="55"/>
  <c r="A1174" i="55"/>
  <c r="W1173" i="55"/>
  <c r="V1173" i="55"/>
  <c r="U1173" i="55"/>
  <c r="T1173" i="55"/>
  <c r="S1173" i="55"/>
  <c r="J1173" i="55"/>
  <c r="I1173" i="55"/>
  <c r="H1173" i="55"/>
  <c r="D1173" i="55"/>
  <c r="B1173" i="55"/>
  <c r="A1173" i="55"/>
  <c r="W1172" i="55"/>
  <c r="V1172" i="55"/>
  <c r="U1172" i="55"/>
  <c r="T1172" i="55"/>
  <c r="S1172" i="55"/>
  <c r="J1172" i="55"/>
  <c r="I1172" i="55"/>
  <c r="H1172" i="55"/>
  <c r="D1172" i="55"/>
  <c r="B1172" i="55"/>
  <c r="A1172" i="55"/>
  <c r="W1171" i="55"/>
  <c r="V1171" i="55"/>
  <c r="U1171" i="55"/>
  <c r="T1171" i="55"/>
  <c r="S1171" i="55"/>
  <c r="J1171" i="55"/>
  <c r="I1171" i="55"/>
  <c r="H1171" i="55"/>
  <c r="D1171" i="55"/>
  <c r="B1171" i="55"/>
  <c r="A1171" i="55"/>
  <c r="W1170" i="55"/>
  <c r="V1170" i="55"/>
  <c r="U1170" i="55"/>
  <c r="T1170" i="55"/>
  <c r="S1170" i="55"/>
  <c r="J1170" i="55"/>
  <c r="I1170" i="55"/>
  <c r="H1170" i="55"/>
  <c r="D1170" i="55"/>
  <c r="B1170" i="55"/>
  <c r="A1170" i="55"/>
  <c r="W1169" i="55"/>
  <c r="V1169" i="55"/>
  <c r="U1169" i="55"/>
  <c r="T1169" i="55"/>
  <c r="S1169" i="55"/>
  <c r="J1169" i="55"/>
  <c r="I1169" i="55"/>
  <c r="H1169" i="55"/>
  <c r="D1169" i="55"/>
  <c r="B1169" i="55"/>
  <c r="A1169" i="55"/>
  <c r="W1168" i="55"/>
  <c r="V1168" i="55"/>
  <c r="U1168" i="55"/>
  <c r="T1168" i="55"/>
  <c r="S1168" i="55"/>
  <c r="J1168" i="55"/>
  <c r="I1168" i="55"/>
  <c r="H1168" i="55"/>
  <c r="D1168" i="55"/>
  <c r="B1168" i="55"/>
  <c r="A1168" i="55"/>
  <c r="W1167" i="55"/>
  <c r="V1167" i="55"/>
  <c r="U1167" i="55"/>
  <c r="T1167" i="55"/>
  <c r="S1167" i="55"/>
  <c r="J1167" i="55"/>
  <c r="I1167" i="55"/>
  <c r="H1167" i="55"/>
  <c r="D1167" i="55"/>
  <c r="B1167" i="55"/>
  <c r="A1167" i="55"/>
  <c r="W1166" i="55"/>
  <c r="V1166" i="55"/>
  <c r="U1166" i="55"/>
  <c r="T1166" i="55"/>
  <c r="S1166" i="55"/>
  <c r="J1166" i="55"/>
  <c r="I1166" i="55"/>
  <c r="H1166" i="55"/>
  <c r="D1166" i="55"/>
  <c r="B1166" i="55"/>
  <c r="A1166" i="55"/>
  <c r="W1165" i="55"/>
  <c r="V1165" i="55"/>
  <c r="U1165" i="55"/>
  <c r="T1165" i="55"/>
  <c r="S1165" i="55"/>
  <c r="J1165" i="55"/>
  <c r="I1165" i="55"/>
  <c r="H1165" i="55"/>
  <c r="D1165" i="55"/>
  <c r="B1165" i="55"/>
  <c r="A1165" i="55"/>
  <c r="W1164" i="55"/>
  <c r="V1164" i="55"/>
  <c r="U1164" i="55"/>
  <c r="T1164" i="55"/>
  <c r="S1164" i="55"/>
  <c r="J1164" i="55"/>
  <c r="I1164" i="55"/>
  <c r="H1164" i="55"/>
  <c r="D1164" i="55"/>
  <c r="B1164" i="55"/>
  <c r="A1164" i="55"/>
  <c r="W1163" i="55"/>
  <c r="V1163" i="55"/>
  <c r="U1163" i="55"/>
  <c r="T1163" i="55"/>
  <c r="S1163" i="55"/>
  <c r="J1163" i="55"/>
  <c r="I1163" i="55"/>
  <c r="H1163" i="55"/>
  <c r="D1163" i="55"/>
  <c r="B1163" i="55"/>
  <c r="A1163" i="55"/>
  <c r="W1162" i="55"/>
  <c r="V1162" i="55"/>
  <c r="U1162" i="55"/>
  <c r="T1162" i="55"/>
  <c r="S1162" i="55"/>
  <c r="J1162" i="55"/>
  <c r="I1162" i="55"/>
  <c r="H1162" i="55"/>
  <c r="D1162" i="55"/>
  <c r="B1162" i="55"/>
  <c r="A1162" i="55"/>
  <c r="W1161" i="55"/>
  <c r="V1161" i="55"/>
  <c r="U1161" i="55"/>
  <c r="T1161" i="55"/>
  <c r="S1161" i="55"/>
  <c r="J1161" i="55"/>
  <c r="I1161" i="55"/>
  <c r="H1161" i="55"/>
  <c r="D1161" i="55"/>
  <c r="B1161" i="55"/>
  <c r="A1161" i="55"/>
  <c r="W1160" i="55"/>
  <c r="V1160" i="55"/>
  <c r="U1160" i="55"/>
  <c r="T1160" i="55"/>
  <c r="S1160" i="55"/>
  <c r="J1160" i="55"/>
  <c r="I1160" i="55"/>
  <c r="H1160" i="55"/>
  <c r="D1160" i="55"/>
  <c r="B1160" i="55"/>
  <c r="A1160" i="55"/>
  <c r="W1159" i="55"/>
  <c r="V1159" i="55"/>
  <c r="U1159" i="55"/>
  <c r="T1159" i="55"/>
  <c r="S1159" i="55"/>
  <c r="J1159" i="55"/>
  <c r="I1159" i="55"/>
  <c r="H1159" i="55"/>
  <c r="D1159" i="55"/>
  <c r="B1159" i="55"/>
  <c r="A1159" i="55"/>
  <c r="W1158" i="55"/>
  <c r="V1158" i="55"/>
  <c r="U1158" i="55"/>
  <c r="T1158" i="55"/>
  <c r="S1158" i="55"/>
  <c r="J1158" i="55"/>
  <c r="I1158" i="55"/>
  <c r="H1158" i="55"/>
  <c r="D1158" i="55"/>
  <c r="B1158" i="55"/>
  <c r="A1158" i="55"/>
  <c r="W1157" i="55"/>
  <c r="V1157" i="55"/>
  <c r="U1157" i="55"/>
  <c r="T1157" i="55"/>
  <c r="S1157" i="55"/>
  <c r="J1157" i="55"/>
  <c r="I1157" i="55"/>
  <c r="H1157" i="55"/>
  <c r="D1157" i="55"/>
  <c r="B1157" i="55"/>
  <c r="A1157" i="55"/>
  <c r="W1156" i="55"/>
  <c r="V1156" i="55"/>
  <c r="U1156" i="55"/>
  <c r="T1156" i="55"/>
  <c r="S1156" i="55"/>
  <c r="J1156" i="55"/>
  <c r="I1156" i="55"/>
  <c r="H1156" i="55"/>
  <c r="D1156" i="55"/>
  <c r="B1156" i="55"/>
  <c r="A1156" i="55"/>
  <c r="W1155" i="55"/>
  <c r="V1155" i="55"/>
  <c r="U1155" i="55"/>
  <c r="T1155" i="55"/>
  <c r="S1155" i="55"/>
  <c r="J1155" i="55"/>
  <c r="I1155" i="55"/>
  <c r="H1155" i="55"/>
  <c r="D1155" i="55"/>
  <c r="B1155" i="55"/>
  <c r="A1155" i="55"/>
  <c r="W1154" i="55"/>
  <c r="V1154" i="55"/>
  <c r="U1154" i="55"/>
  <c r="T1154" i="55"/>
  <c r="S1154" i="55"/>
  <c r="J1154" i="55"/>
  <c r="I1154" i="55"/>
  <c r="H1154" i="55"/>
  <c r="D1154" i="55"/>
  <c r="B1154" i="55"/>
  <c r="A1154" i="55"/>
  <c r="W1153" i="55"/>
  <c r="V1153" i="55"/>
  <c r="U1153" i="55"/>
  <c r="T1153" i="55"/>
  <c r="S1153" i="55"/>
  <c r="J1153" i="55"/>
  <c r="I1153" i="55"/>
  <c r="H1153" i="55"/>
  <c r="D1153" i="55"/>
  <c r="B1153" i="55"/>
  <c r="A1153" i="55"/>
  <c r="W1152" i="55"/>
  <c r="V1152" i="55"/>
  <c r="U1152" i="55"/>
  <c r="T1152" i="55"/>
  <c r="S1152" i="55"/>
  <c r="J1152" i="55"/>
  <c r="I1152" i="55"/>
  <c r="H1152" i="55"/>
  <c r="D1152" i="55"/>
  <c r="B1152" i="55"/>
  <c r="A1152" i="55"/>
  <c r="W1151" i="55"/>
  <c r="V1151" i="55"/>
  <c r="U1151" i="55"/>
  <c r="T1151" i="55"/>
  <c r="S1151" i="55"/>
  <c r="J1151" i="55"/>
  <c r="I1151" i="55"/>
  <c r="H1151" i="55"/>
  <c r="D1151" i="55"/>
  <c r="B1151" i="55"/>
  <c r="A1151" i="55"/>
  <c r="W1150" i="55"/>
  <c r="V1150" i="55"/>
  <c r="U1150" i="55"/>
  <c r="T1150" i="55"/>
  <c r="S1150" i="55"/>
  <c r="J1150" i="55"/>
  <c r="I1150" i="55"/>
  <c r="H1150" i="55"/>
  <c r="D1150" i="55"/>
  <c r="B1150" i="55"/>
  <c r="A1150" i="55"/>
  <c r="W1149" i="55"/>
  <c r="V1149" i="55"/>
  <c r="U1149" i="55"/>
  <c r="T1149" i="55"/>
  <c r="S1149" i="55"/>
  <c r="J1149" i="55"/>
  <c r="I1149" i="55"/>
  <c r="H1149" i="55"/>
  <c r="D1149" i="55"/>
  <c r="B1149" i="55"/>
  <c r="A1149" i="55"/>
  <c r="W1148" i="55"/>
  <c r="V1148" i="55"/>
  <c r="U1148" i="55"/>
  <c r="T1148" i="55"/>
  <c r="S1148" i="55"/>
  <c r="J1148" i="55"/>
  <c r="I1148" i="55"/>
  <c r="H1148" i="55"/>
  <c r="D1148" i="55"/>
  <c r="B1148" i="55"/>
  <c r="A1148" i="55"/>
  <c r="W1147" i="55"/>
  <c r="V1147" i="55"/>
  <c r="U1147" i="55"/>
  <c r="T1147" i="55"/>
  <c r="S1147" i="55"/>
  <c r="J1147" i="55"/>
  <c r="I1147" i="55"/>
  <c r="H1147" i="55"/>
  <c r="D1147" i="55"/>
  <c r="B1147" i="55"/>
  <c r="A1147" i="55"/>
  <c r="W1146" i="55"/>
  <c r="V1146" i="55"/>
  <c r="U1146" i="55"/>
  <c r="T1146" i="55"/>
  <c r="S1146" i="55"/>
  <c r="J1146" i="55"/>
  <c r="I1146" i="55"/>
  <c r="H1146" i="55"/>
  <c r="D1146" i="55"/>
  <c r="B1146" i="55"/>
  <c r="A1146" i="55"/>
  <c r="W1145" i="55"/>
  <c r="V1145" i="55"/>
  <c r="U1145" i="55"/>
  <c r="T1145" i="55"/>
  <c r="S1145" i="55"/>
  <c r="J1145" i="55"/>
  <c r="I1145" i="55"/>
  <c r="H1145" i="55"/>
  <c r="D1145" i="55"/>
  <c r="B1145" i="55"/>
  <c r="A1145" i="55"/>
  <c r="W1144" i="55"/>
  <c r="V1144" i="55"/>
  <c r="U1144" i="55"/>
  <c r="T1144" i="55"/>
  <c r="S1144" i="55"/>
  <c r="J1144" i="55"/>
  <c r="I1144" i="55"/>
  <c r="H1144" i="55"/>
  <c r="D1144" i="55"/>
  <c r="B1144" i="55"/>
  <c r="A1144" i="55"/>
  <c r="W1143" i="55"/>
  <c r="V1143" i="55"/>
  <c r="U1143" i="55"/>
  <c r="T1143" i="55"/>
  <c r="S1143" i="55"/>
  <c r="J1143" i="55"/>
  <c r="I1143" i="55"/>
  <c r="H1143" i="55"/>
  <c r="D1143" i="55"/>
  <c r="B1143" i="55"/>
  <c r="A1143" i="55"/>
  <c r="W1142" i="55"/>
  <c r="V1142" i="55"/>
  <c r="U1142" i="55"/>
  <c r="T1142" i="55"/>
  <c r="S1142" i="55"/>
  <c r="J1142" i="55"/>
  <c r="I1142" i="55"/>
  <c r="H1142" i="55"/>
  <c r="D1142" i="55"/>
  <c r="B1142" i="55"/>
  <c r="A1142" i="55"/>
  <c r="W1141" i="55"/>
  <c r="V1141" i="55"/>
  <c r="U1141" i="55"/>
  <c r="T1141" i="55"/>
  <c r="S1141" i="55"/>
  <c r="J1141" i="55"/>
  <c r="I1141" i="55"/>
  <c r="H1141" i="55"/>
  <c r="D1141" i="55"/>
  <c r="B1141" i="55"/>
  <c r="A1141" i="55"/>
  <c r="W1140" i="55"/>
  <c r="V1140" i="55"/>
  <c r="U1140" i="55"/>
  <c r="T1140" i="55"/>
  <c r="S1140" i="55"/>
  <c r="J1140" i="55"/>
  <c r="I1140" i="55"/>
  <c r="H1140" i="55"/>
  <c r="D1140" i="55"/>
  <c r="B1140" i="55"/>
  <c r="A1140" i="55"/>
  <c r="W1139" i="55"/>
  <c r="V1139" i="55"/>
  <c r="U1139" i="55"/>
  <c r="T1139" i="55"/>
  <c r="S1139" i="55"/>
  <c r="J1139" i="55"/>
  <c r="I1139" i="55"/>
  <c r="H1139" i="55"/>
  <c r="D1139" i="55"/>
  <c r="B1139" i="55"/>
  <c r="A1139" i="55"/>
  <c r="W1138" i="55"/>
  <c r="V1138" i="55"/>
  <c r="U1138" i="55"/>
  <c r="T1138" i="55"/>
  <c r="S1138" i="55"/>
  <c r="J1138" i="55"/>
  <c r="I1138" i="55"/>
  <c r="H1138" i="55"/>
  <c r="D1138" i="55"/>
  <c r="B1138" i="55"/>
  <c r="A1138" i="55"/>
  <c r="W1137" i="55"/>
  <c r="V1137" i="55"/>
  <c r="U1137" i="55"/>
  <c r="T1137" i="55"/>
  <c r="S1137" i="55"/>
  <c r="J1137" i="55"/>
  <c r="I1137" i="55"/>
  <c r="H1137" i="55"/>
  <c r="D1137" i="55"/>
  <c r="B1137" i="55"/>
  <c r="A1137" i="55"/>
  <c r="W1136" i="55"/>
  <c r="V1136" i="55"/>
  <c r="U1136" i="55"/>
  <c r="T1136" i="55"/>
  <c r="S1136" i="55"/>
  <c r="J1136" i="55"/>
  <c r="I1136" i="55"/>
  <c r="H1136" i="55"/>
  <c r="D1136" i="55"/>
  <c r="B1136" i="55"/>
  <c r="A1136" i="55"/>
  <c r="W1135" i="55"/>
  <c r="V1135" i="55"/>
  <c r="U1135" i="55"/>
  <c r="T1135" i="55"/>
  <c r="S1135" i="55"/>
  <c r="J1135" i="55"/>
  <c r="I1135" i="55"/>
  <c r="H1135" i="55"/>
  <c r="D1135" i="55"/>
  <c r="B1135" i="55"/>
  <c r="A1135" i="55"/>
  <c r="W1134" i="55"/>
  <c r="V1134" i="55"/>
  <c r="U1134" i="55"/>
  <c r="T1134" i="55"/>
  <c r="S1134" i="55"/>
  <c r="J1134" i="55"/>
  <c r="I1134" i="55"/>
  <c r="H1134" i="55"/>
  <c r="D1134" i="55"/>
  <c r="B1134" i="55"/>
  <c r="A1134" i="55"/>
  <c r="W1133" i="55"/>
  <c r="V1133" i="55"/>
  <c r="U1133" i="55"/>
  <c r="T1133" i="55"/>
  <c r="S1133" i="55"/>
  <c r="J1133" i="55"/>
  <c r="I1133" i="55"/>
  <c r="H1133" i="55"/>
  <c r="D1133" i="55"/>
  <c r="B1133" i="55"/>
  <c r="A1133" i="55"/>
  <c r="W1132" i="55"/>
  <c r="V1132" i="55"/>
  <c r="U1132" i="55"/>
  <c r="T1132" i="55"/>
  <c r="S1132" i="55"/>
  <c r="J1132" i="55"/>
  <c r="I1132" i="55"/>
  <c r="H1132" i="55"/>
  <c r="D1132" i="55"/>
  <c r="B1132" i="55"/>
  <c r="A1132" i="55"/>
  <c r="W1131" i="55"/>
  <c r="V1131" i="55"/>
  <c r="U1131" i="55"/>
  <c r="T1131" i="55"/>
  <c r="S1131" i="55"/>
  <c r="J1131" i="55"/>
  <c r="I1131" i="55"/>
  <c r="H1131" i="55"/>
  <c r="D1131" i="55"/>
  <c r="B1131" i="55"/>
  <c r="A1131" i="55"/>
  <c r="W1130" i="55"/>
  <c r="V1130" i="55"/>
  <c r="U1130" i="55"/>
  <c r="T1130" i="55"/>
  <c r="S1130" i="55"/>
  <c r="J1130" i="55"/>
  <c r="I1130" i="55"/>
  <c r="H1130" i="55"/>
  <c r="D1130" i="55"/>
  <c r="B1130" i="55"/>
  <c r="A1130" i="55"/>
  <c r="W1129" i="55"/>
  <c r="V1129" i="55"/>
  <c r="U1129" i="55"/>
  <c r="T1129" i="55"/>
  <c r="S1129" i="55"/>
  <c r="J1129" i="55"/>
  <c r="I1129" i="55"/>
  <c r="H1129" i="55"/>
  <c r="D1129" i="55"/>
  <c r="B1129" i="55"/>
  <c r="A1129" i="55"/>
  <c r="W1128" i="55"/>
  <c r="V1128" i="55"/>
  <c r="U1128" i="55"/>
  <c r="T1128" i="55"/>
  <c r="S1128" i="55"/>
  <c r="J1128" i="55"/>
  <c r="I1128" i="55"/>
  <c r="H1128" i="55"/>
  <c r="D1128" i="55"/>
  <c r="B1128" i="55"/>
  <c r="A1128" i="55"/>
  <c r="W1127" i="55"/>
  <c r="V1127" i="55"/>
  <c r="U1127" i="55"/>
  <c r="T1127" i="55"/>
  <c r="S1127" i="55"/>
  <c r="J1127" i="55"/>
  <c r="I1127" i="55"/>
  <c r="H1127" i="55"/>
  <c r="D1127" i="55"/>
  <c r="B1127" i="55"/>
  <c r="A1127" i="55"/>
  <c r="W1126" i="55"/>
  <c r="V1126" i="55"/>
  <c r="U1126" i="55"/>
  <c r="T1126" i="55"/>
  <c r="S1126" i="55"/>
  <c r="J1126" i="55"/>
  <c r="I1126" i="55"/>
  <c r="H1126" i="55"/>
  <c r="D1126" i="55"/>
  <c r="B1126" i="55"/>
  <c r="A1126" i="55"/>
  <c r="W1125" i="55"/>
  <c r="V1125" i="55"/>
  <c r="U1125" i="55"/>
  <c r="T1125" i="55"/>
  <c r="S1125" i="55"/>
  <c r="J1125" i="55"/>
  <c r="I1125" i="55"/>
  <c r="H1125" i="55"/>
  <c r="D1125" i="55"/>
  <c r="B1125" i="55"/>
  <c r="A1125" i="55"/>
  <c r="W1124" i="55"/>
  <c r="V1124" i="55"/>
  <c r="U1124" i="55"/>
  <c r="T1124" i="55"/>
  <c r="S1124" i="55"/>
  <c r="J1124" i="55"/>
  <c r="I1124" i="55"/>
  <c r="H1124" i="55"/>
  <c r="D1124" i="55"/>
  <c r="B1124" i="55"/>
  <c r="A1124" i="55"/>
  <c r="W1123" i="55"/>
  <c r="V1123" i="55"/>
  <c r="U1123" i="55"/>
  <c r="T1123" i="55"/>
  <c r="S1123" i="55"/>
  <c r="J1123" i="55"/>
  <c r="I1123" i="55"/>
  <c r="H1123" i="55"/>
  <c r="D1123" i="55"/>
  <c r="B1123" i="55"/>
  <c r="A1123" i="55"/>
  <c r="W1122" i="55"/>
  <c r="V1122" i="55"/>
  <c r="U1122" i="55"/>
  <c r="T1122" i="55"/>
  <c r="S1122" i="55"/>
  <c r="J1122" i="55"/>
  <c r="I1122" i="55"/>
  <c r="H1122" i="55"/>
  <c r="D1122" i="55"/>
  <c r="B1122" i="55"/>
  <c r="A1122" i="55"/>
  <c r="W1121" i="55"/>
  <c r="V1121" i="55"/>
  <c r="U1121" i="55"/>
  <c r="T1121" i="55"/>
  <c r="S1121" i="55"/>
  <c r="J1121" i="55"/>
  <c r="I1121" i="55"/>
  <c r="H1121" i="55"/>
  <c r="D1121" i="55"/>
  <c r="B1121" i="55"/>
  <c r="A1121" i="55"/>
  <c r="W1120" i="55"/>
  <c r="V1120" i="55"/>
  <c r="U1120" i="55"/>
  <c r="T1120" i="55"/>
  <c r="S1120" i="55"/>
  <c r="J1120" i="55"/>
  <c r="I1120" i="55"/>
  <c r="H1120" i="55"/>
  <c r="D1120" i="55"/>
  <c r="B1120" i="55"/>
  <c r="A1120" i="55"/>
  <c r="W1119" i="55"/>
  <c r="V1119" i="55"/>
  <c r="U1119" i="55"/>
  <c r="T1119" i="55"/>
  <c r="S1119" i="55"/>
  <c r="J1119" i="55"/>
  <c r="I1119" i="55"/>
  <c r="H1119" i="55"/>
  <c r="D1119" i="55"/>
  <c r="B1119" i="55"/>
  <c r="A1119" i="55"/>
  <c r="W1118" i="55"/>
  <c r="V1118" i="55"/>
  <c r="U1118" i="55"/>
  <c r="T1118" i="55"/>
  <c r="S1118" i="55"/>
  <c r="J1118" i="55"/>
  <c r="I1118" i="55"/>
  <c r="H1118" i="55"/>
  <c r="D1118" i="55"/>
  <c r="B1118" i="55"/>
  <c r="A1118" i="55"/>
  <c r="W1117" i="55"/>
  <c r="V1117" i="55"/>
  <c r="U1117" i="55"/>
  <c r="T1117" i="55"/>
  <c r="S1117" i="55"/>
  <c r="J1117" i="55"/>
  <c r="I1117" i="55"/>
  <c r="H1117" i="55"/>
  <c r="D1117" i="55"/>
  <c r="B1117" i="55"/>
  <c r="A1117" i="55"/>
  <c r="W1116" i="55"/>
  <c r="V1116" i="55"/>
  <c r="U1116" i="55"/>
  <c r="T1116" i="55"/>
  <c r="S1116" i="55"/>
  <c r="J1116" i="55"/>
  <c r="I1116" i="55"/>
  <c r="H1116" i="55"/>
  <c r="D1116" i="55"/>
  <c r="B1116" i="55"/>
  <c r="A1116" i="55"/>
  <c r="W1115" i="55"/>
  <c r="V1115" i="55"/>
  <c r="U1115" i="55"/>
  <c r="T1115" i="55"/>
  <c r="S1115" i="55"/>
  <c r="J1115" i="55"/>
  <c r="I1115" i="55"/>
  <c r="H1115" i="55"/>
  <c r="D1115" i="55"/>
  <c r="B1115" i="55"/>
  <c r="A1115" i="55"/>
  <c r="W1114" i="55"/>
  <c r="V1114" i="55"/>
  <c r="U1114" i="55"/>
  <c r="T1114" i="55"/>
  <c r="S1114" i="55"/>
  <c r="J1114" i="55"/>
  <c r="I1114" i="55"/>
  <c r="H1114" i="55"/>
  <c r="D1114" i="55"/>
  <c r="B1114" i="55"/>
  <c r="A1114" i="55"/>
  <c r="W1113" i="55"/>
  <c r="V1113" i="55"/>
  <c r="U1113" i="55"/>
  <c r="T1113" i="55"/>
  <c r="S1113" i="55"/>
  <c r="J1113" i="55"/>
  <c r="I1113" i="55"/>
  <c r="H1113" i="55"/>
  <c r="D1113" i="55"/>
  <c r="B1113" i="55"/>
  <c r="A1113" i="55"/>
  <c r="W1112" i="55"/>
  <c r="V1112" i="55"/>
  <c r="U1112" i="55"/>
  <c r="T1112" i="55"/>
  <c r="S1112" i="55"/>
  <c r="J1112" i="55"/>
  <c r="I1112" i="55"/>
  <c r="H1112" i="55"/>
  <c r="D1112" i="55"/>
  <c r="B1112" i="55"/>
  <c r="A1112" i="55"/>
  <c r="W1111" i="55"/>
  <c r="V1111" i="55"/>
  <c r="U1111" i="55"/>
  <c r="T1111" i="55"/>
  <c r="S1111" i="55"/>
  <c r="J1111" i="55"/>
  <c r="I1111" i="55"/>
  <c r="H1111" i="55"/>
  <c r="D1111" i="55"/>
  <c r="B1111" i="55"/>
  <c r="A1111" i="55"/>
  <c r="W1110" i="55"/>
  <c r="V1110" i="55"/>
  <c r="U1110" i="55"/>
  <c r="T1110" i="55"/>
  <c r="S1110" i="55"/>
  <c r="J1110" i="55"/>
  <c r="I1110" i="55"/>
  <c r="H1110" i="55"/>
  <c r="D1110" i="55"/>
  <c r="B1110" i="55"/>
  <c r="A1110" i="55"/>
  <c r="W1109" i="55"/>
  <c r="V1109" i="55"/>
  <c r="U1109" i="55"/>
  <c r="T1109" i="55"/>
  <c r="S1109" i="55"/>
  <c r="J1109" i="55"/>
  <c r="I1109" i="55"/>
  <c r="H1109" i="55"/>
  <c r="D1109" i="55"/>
  <c r="B1109" i="55"/>
  <c r="A1109" i="55"/>
  <c r="W1108" i="55"/>
  <c r="V1108" i="55"/>
  <c r="U1108" i="55"/>
  <c r="T1108" i="55"/>
  <c r="S1108" i="55"/>
  <c r="J1108" i="55"/>
  <c r="I1108" i="55"/>
  <c r="H1108" i="55"/>
  <c r="D1108" i="55"/>
  <c r="B1108" i="55"/>
  <c r="A1108" i="55"/>
  <c r="W1107" i="55"/>
  <c r="V1107" i="55"/>
  <c r="U1107" i="55"/>
  <c r="T1107" i="55"/>
  <c r="S1107" i="55"/>
  <c r="J1107" i="55"/>
  <c r="I1107" i="55"/>
  <c r="H1107" i="55"/>
  <c r="D1107" i="55"/>
  <c r="B1107" i="55"/>
  <c r="A1107" i="55"/>
  <c r="W1106" i="55"/>
  <c r="V1106" i="55"/>
  <c r="U1106" i="55"/>
  <c r="T1106" i="55"/>
  <c r="S1106" i="55"/>
  <c r="J1106" i="55"/>
  <c r="I1106" i="55"/>
  <c r="H1106" i="55"/>
  <c r="D1106" i="55"/>
  <c r="B1106" i="55"/>
  <c r="A1106" i="55"/>
  <c r="W1105" i="55"/>
  <c r="V1105" i="55"/>
  <c r="U1105" i="55"/>
  <c r="T1105" i="55"/>
  <c r="S1105" i="55"/>
  <c r="J1105" i="55"/>
  <c r="I1105" i="55"/>
  <c r="H1105" i="55"/>
  <c r="D1105" i="55"/>
  <c r="B1105" i="55"/>
  <c r="A1105" i="55"/>
  <c r="W1104" i="55"/>
  <c r="V1104" i="55"/>
  <c r="U1104" i="55"/>
  <c r="T1104" i="55"/>
  <c r="S1104" i="55"/>
  <c r="J1104" i="55"/>
  <c r="I1104" i="55"/>
  <c r="H1104" i="55"/>
  <c r="D1104" i="55"/>
  <c r="B1104" i="55"/>
  <c r="A1104" i="55"/>
  <c r="W1103" i="55"/>
  <c r="V1103" i="55"/>
  <c r="U1103" i="55"/>
  <c r="T1103" i="55"/>
  <c r="S1103" i="55"/>
  <c r="J1103" i="55"/>
  <c r="I1103" i="55"/>
  <c r="H1103" i="55"/>
  <c r="D1103" i="55"/>
  <c r="B1103" i="55"/>
  <c r="A1103" i="55"/>
  <c r="W1102" i="55"/>
  <c r="V1102" i="55"/>
  <c r="U1102" i="55"/>
  <c r="T1102" i="55"/>
  <c r="S1102" i="55"/>
  <c r="J1102" i="55"/>
  <c r="I1102" i="55"/>
  <c r="H1102" i="55"/>
  <c r="D1102" i="55"/>
  <c r="B1102" i="55"/>
  <c r="A1102" i="55"/>
  <c r="W1101" i="55"/>
  <c r="V1101" i="55"/>
  <c r="U1101" i="55"/>
  <c r="T1101" i="55"/>
  <c r="S1101" i="55"/>
  <c r="J1101" i="55"/>
  <c r="I1101" i="55"/>
  <c r="H1101" i="55"/>
  <c r="D1101" i="55"/>
  <c r="B1101" i="55"/>
  <c r="A1101" i="55"/>
  <c r="W1100" i="55"/>
  <c r="V1100" i="55"/>
  <c r="U1100" i="55"/>
  <c r="T1100" i="55"/>
  <c r="S1100" i="55"/>
  <c r="J1100" i="55"/>
  <c r="I1100" i="55"/>
  <c r="H1100" i="55"/>
  <c r="D1100" i="55"/>
  <c r="B1100" i="55"/>
  <c r="A1100" i="55"/>
  <c r="W1099" i="55"/>
  <c r="V1099" i="55"/>
  <c r="U1099" i="55"/>
  <c r="T1099" i="55"/>
  <c r="S1099" i="55"/>
  <c r="J1099" i="55"/>
  <c r="I1099" i="55"/>
  <c r="H1099" i="55"/>
  <c r="D1099" i="55"/>
  <c r="B1099" i="55"/>
  <c r="A1099" i="55"/>
  <c r="W1098" i="55"/>
  <c r="V1098" i="55"/>
  <c r="U1098" i="55"/>
  <c r="T1098" i="55"/>
  <c r="S1098" i="55"/>
  <c r="J1098" i="55"/>
  <c r="I1098" i="55"/>
  <c r="H1098" i="55"/>
  <c r="D1098" i="55"/>
  <c r="B1098" i="55"/>
  <c r="A1098" i="55"/>
  <c r="W1097" i="55"/>
  <c r="V1097" i="55"/>
  <c r="U1097" i="55"/>
  <c r="T1097" i="55"/>
  <c r="S1097" i="55"/>
  <c r="J1097" i="55"/>
  <c r="I1097" i="55"/>
  <c r="H1097" i="55"/>
  <c r="D1097" i="55"/>
  <c r="B1097" i="55"/>
  <c r="A1097" i="55"/>
  <c r="W1096" i="55"/>
  <c r="V1096" i="55"/>
  <c r="U1096" i="55"/>
  <c r="T1096" i="55"/>
  <c r="S1096" i="55"/>
  <c r="J1096" i="55"/>
  <c r="I1096" i="55"/>
  <c r="H1096" i="55"/>
  <c r="D1096" i="55"/>
  <c r="B1096" i="55"/>
  <c r="A1096" i="55"/>
  <c r="W1095" i="55"/>
  <c r="V1095" i="55"/>
  <c r="U1095" i="55"/>
  <c r="T1095" i="55"/>
  <c r="S1095" i="55"/>
  <c r="J1095" i="55"/>
  <c r="I1095" i="55"/>
  <c r="H1095" i="55"/>
  <c r="D1095" i="55"/>
  <c r="B1095" i="55"/>
  <c r="A1095" i="55"/>
  <c r="W1094" i="55"/>
  <c r="V1094" i="55"/>
  <c r="U1094" i="55"/>
  <c r="T1094" i="55"/>
  <c r="S1094" i="55"/>
  <c r="J1094" i="55"/>
  <c r="I1094" i="55"/>
  <c r="H1094" i="55"/>
  <c r="D1094" i="55"/>
  <c r="B1094" i="55"/>
  <c r="A1094" i="55"/>
  <c r="W1093" i="55"/>
  <c r="V1093" i="55"/>
  <c r="U1093" i="55"/>
  <c r="T1093" i="55"/>
  <c r="S1093" i="55"/>
  <c r="J1093" i="55"/>
  <c r="I1093" i="55"/>
  <c r="H1093" i="55"/>
  <c r="D1093" i="55"/>
  <c r="B1093" i="55"/>
  <c r="A1093" i="55"/>
  <c r="W1092" i="55"/>
  <c r="V1092" i="55"/>
  <c r="U1092" i="55"/>
  <c r="T1092" i="55"/>
  <c r="S1092" i="55"/>
  <c r="J1092" i="55"/>
  <c r="I1092" i="55"/>
  <c r="H1092" i="55"/>
  <c r="D1092" i="55"/>
  <c r="B1092" i="55"/>
  <c r="A1092" i="55"/>
  <c r="W1091" i="55"/>
  <c r="V1091" i="55"/>
  <c r="U1091" i="55"/>
  <c r="T1091" i="55"/>
  <c r="S1091" i="55"/>
  <c r="J1091" i="55"/>
  <c r="I1091" i="55"/>
  <c r="H1091" i="55"/>
  <c r="D1091" i="55"/>
  <c r="B1091" i="55"/>
  <c r="A1091" i="55"/>
  <c r="W1090" i="55"/>
  <c r="V1090" i="55"/>
  <c r="U1090" i="55"/>
  <c r="T1090" i="55"/>
  <c r="S1090" i="55"/>
  <c r="J1090" i="55"/>
  <c r="I1090" i="55"/>
  <c r="H1090" i="55"/>
  <c r="D1090" i="55"/>
  <c r="B1090" i="55"/>
  <c r="A1090" i="55"/>
  <c r="W1089" i="55"/>
  <c r="V1089" i="55"/>
  <c r="U1089" i="55"/>
  <c r="T1089" i="55"/>
  <c r="S1089" i="55"/>
  <c r="J1089" i="55"/>
  <c r="I1089" i="55"/>
  <c r="H1089" i="55"/>
  <c r="D1089" i="55"/>
  <c r="B1089" i="55"/>
  <c r="A1089" i="55"/>
  <c r="W1088" i="55"/>
  <c r="V1088" i="55"/>
  <c r="U1088" i="55"/>
  <c r="T1088" i="55"/>
  <c r="S1088" i="55"/>
  <c r="J1088" i="55"/>
  <c r="I1088" i="55"/>
  <c r="H1088" i="55"/>
  <c r="D1088" i="55"/>
  <c r="B1088" i="55"/>
  <c r="A1088" i="55"/>
  <c r="W1087" i="55"/>
  <c r="V1087" i="55"/>
  <c r="U1087" i="55"/>
  <c r="T1087" i="55"/>
  <c r="S1087" i="55"/>
  <c r="J1087" i="55"/>
  <c r="I1087" i="55"/>
  <c r="H1087" i="55"/>
  <c r="D1087" i="55"/>
  <c r="B1087" i="55"/>
  <c r="A1087" i="55"/>
  <c r="W1086" i="55"/>
  <c r="V1086" i="55"/>
  <c r="U1086" i="55"/>
  <c r="T1086" i="55"/>
  <c r="S1086" i="55"/>
  <c r="J1086" i="55"/>
  <c r="I1086" i="55"/>
  <c r="H1086" i="55"/>
  <c r="D1086" i="55"/>
  <c r="B1086" i="55"/>
  <c r="A1086" i="55"/>
  <c r="W1085" i="55"/>
  <c r="V1085" i="55"/>
  <c r="U1085" i="55"/>
  <c r="T1085" i="55"/>
  <c r="S1085" i="55"/>
  <c r="J1085" i="55"/>
  <c r="I1085" i="55"/>
  <c r="H1085" i="55"/>
  <c r="D1085" i="55"/>
  <c r="B1085" i="55"/>
  <c r="A1085" i="55"/>
  <c r="W1084" i="55"/>
  <c r="V1084" i="55"/>
  <c r="U1084" i="55"/>
  <c r="T1084" i="55"/>
  <c r="S1084" i="55"/>
  <c r="J1084" i="55"/>
  <c r="I1084" i="55"/>
  <c r="H1084" i="55"/>
  <c r="D1084" i="55"/>
  <c r="B1084" i="55"/>
  <c r="A1084" i="55"/>
  <c r="W1083" i="55"/>
  <c r="V1083" i="55"/>
  <c r="U1083" i="55"/>
  <c r="T1083" i="55"/>
  <c r="S1083" i="55"/>
  <c r="J1083" i="55"/>
  <c r="I1083" i="55"/>
  <c r="H1083" i="55"/>
  <c r="D1083" i="55"/>
  <c r="B1083" i="55"/>
  <c r="A1083" i="55"/>
  <c r="W1082" i="55"/>
  <c r="V1082" i="55"/>
  <c r="U1082" i="55"/>
  <c r="T1082" i="55"/>
  <c r="S1082" i="55"/>
  <c r="J1082" i="55"/>
  <c r="I1082" i="55"/>
  <c r="H1082" i="55"/>
  <c r="D1082" i="55"/>
  <c r="B1082" i="55"/>
  <c r="A1082" i="55"/>
  <c r="W1081" i="55"/>
  <c r="V1081" i="55"/>
  <c r="U1081" i="55"/>
  <c r="T1081" i="55"/>
  <c r="S1081" i="55"/>
  <c r="J1081" i="55"/>
  <c r="I1081" i="55"/>
  <c r="H1081" i="55"/>
  <c r="D1081" i="55"/>
  <c r="B1081" i="55"/>
  <c r="A1081" i="55"/>
  <c r="W1080" i="55"/>
  <c r="V1080" i="55"/>
  <c r="U1080" i="55"/>
  <c r="T1080" i="55"/>
  <c r="S1080" i="55"/>
  <c r="J1080" i="55"/>
  <c r="I1080" i="55"/>
  <c r="H1080" i="55"/>
  <c r="D1080" i="55"/>
  <c r="B1080" i="55"/>
  <c r="A1080" i="55"/>
  <c r="W1079" i="55"/>
  <c r="V1079" i="55"/>
  <c r="U1079" i="55"/>
  <c r="T1079" i="55"/>
  <c r="S1079" i="55"/>
  <c r="J1079" i="55"/>
  <c r="I1079" i="55"/>
  <c r="H1079" i="55"/>
  <c r="D1079" i="55"/>
  <c r="B1079" i="55"/>
  <c r="A1079" i="55"/>
  <c r="W1078" i="55"/>
  <c r="V1078" i="55"/>
  <c r="U1078" i="55"/>
  <c r="T1078" i="55"/>
  <c r="S1078" i="55"/>
  <c r="J1078" i="55"/>
  <c r="I1078" i="55"/>
  <c r="H1078" i="55"/>
  <c r="D1078" i="55"/>
  <c r="B1078" i="55"/>
  <c r="A1078" i="55"/>
  <c r="W1077" i="55"/>
  <c r="V1077" i="55"/>
  <c r="U1077" i="55"/>
  <c r="T1077" i="55"/>
  <c r="S1077" i="55"/>
  <c r="J1077" i="55"/>
  <c r="I1077" i="55"/>
  <c r="H1077" i="55"/>
  <c r="D1077" i="55"/>
  <c r="B1077" i="55"/>
  <c r="A1077" i="55"/>
  <c r="W1076" i="55"/>
  <c r="V1076" i="55"/>
  <c r="U1076" i="55"/>
  <c r="T1076" i="55"/>
  <c r="S1076" i="55"/>
  <c r="J1076" i="55"/>
  <c r="I1076" i="55"/>
  <c r="H1076" i="55"/>
  <c r="D1076" i="55"/>
  <c r="B1076" i="55"/>
  <c r="A1076" i="55"/>
  <c r="W1075" i="55"/>
  <c r="V1075" i="55"/>
  <c r="U1075" i="55"/>
  <c r="T1075" i="55"/>
  <c r="S1075" i="55"/>
  <c r="J1075" i="55"/>
  <c r="I1075" i="55"/>
  <c r="H1075" i="55"/>
  <c r="D1075" i="55"/>
  <c r="B1075" i="55"/>
  <c r="A1075" i="55"/>
  <c r="W1074" i="55"/>
  <c r="V1074" i="55"/>
  <c r="U1074" i="55"/>
  <c r="T1074" i="55"/>
  <c r="S1074" i="55"/>
  <c r="J1074" i="55"/>
  <c r="I1074" i="55"/>
  <c r="H1074" i="55"/>
  <c r="D1074" i="55"/>
  <c r="B1074" i="55"/>
  <c r="A1074" i="55"/>
  <c r="W1073" i="55"/>
  <c r="V1073" i="55"/>
  <c r="U1073" i="55"/>
  <c r="T1073" i="55"/>
  <c r="S1073" i="55"/>
  <c r="J1073" i="55"/>
  <c r="I1073" i="55"/>
  <c r="H1073" i="55"/>
  <c r="D1073" i="55"/>
  <c r="B1073" i="55"/>
  <c r="A1073" i="55"/>
  <c r="W1072" i="55"/>
  <c r="V1072" i="55"/>
  <c r="U1072" i="55"/>
  <c r="T1072" i="55"/>
  <c r="S1072" i="55"/>
  <c r="J1072" i="55"/>
  <c r="I1072" i="55"/>
  <c r="H1072" i="55"/>
  <c r="D1072" i="55"/>
  <c r="B1072" i="55"/>
  <c r="A1072" i="55"/>
  <c r="W1071" i="55"/>
  <c r="V1071" i="55"/>
  <c r="U1071" i="55"/>
  <c r="T1071" i="55"/>
  <c r="S1071" i="55"/>
  <c r="J1071" i="55"/>
  <c r="I1071" i="55"/>
  <c r="H1071" i="55"/>
  <c r="D1071" i="55"/>
  <c r="B1071" i="55"/>
  <c r="A1071" i="55"/>
  <c r="W1070" i="55"/>
  <c r="V1070" i="55"/>
  <c r="U1070" i="55"/>
  <c r="T1070" i="55"/>
  <c r="S1070" i="55"/>
  <c r="J1070" i="55"/>
  <c r="I1070" i="55"/>
  <c r="H1070" i="55"/>
  <c r="D1070" i="55"/>
  <c r="B1070" i="55"/>
  <c r="A1070" i="55"/>
  <c r="W1069" i="55"/>
  <c r="V1069" i="55"/>
  <c r="U1069" i="55"/>
  <c r="T1069" i="55"/>
  <c r="S1069" i="55"/>
  <c r="J1069" i="55"/>
  <c r="I1069" i="55"/>
  <c r="H1069" i="55"/>
  <c r="D1069" i="55"/>
  <c r="B1069" i="55"/>
  <c r="A1069" i="55"/>
  <c r="W1068" i="55"/>
  <c r="V1068" i="55"/>
  <c r="U1068" i="55"/>
  <c r="T1068" i="55"/>
  <c r="S1068" i="55"/>
  <c r="J1068" i="55"/>
  <c r="I1068" i="55"/>
  <c r="H1068" i="55"/>
  <c r="D1068" i="55"/>
  <c r="B1068" i="55"/>
  <c r="A1068" i="55"/>
  <c r="W1067" i="55"/>
  <c r="V1067" i="55"/>
  <c r="U1067" i="55"/>
  <c r="T1067" i="55"/>
  <c r="S1067" i="55"/>
  <c r="J1067" i="55"/>
  <c r="I1067" i="55"/>
  <c r="H1067" i="55"/>
  <c r="D1067" i="55"/>
  <c r="B1067" i="55"/>
  <c r="A1067" i="55"/>
  <c r="W1066" i="55"/>
  <c r="V1066" i="55"/>
  <c r="U1066" i="55"/>
  <c r="T1066" i="55"/>
  <c r="S1066" i="55"/>
  <c r="J1066" i="55"/>
  <c r="I1066" i="55"/>
  <c r="H1066" i="55"/>
  <c r="D1066" i="55"/>
  <c r="B1066" i="55"/>
  <c r="A1066" i="55"/>
  <c r="W1065" i="55"/>
  <c r="V1065" i="55"/>
  <c r="U1065" i="55"/>
  <c r="T1065" i="55"/>
  <c r="S1065" i="55"/>
  <c r="J1065" i="55"/>
  <c r="I1065" i="55"/>
  <c r="H1065" i="55"/>
  <c r="D1065" i="55"/>
  <c r="B1065" i="55"/>
  <c r="A1065" i="55"/>
  <c r="W1064" i="55"/>
  <c r="V1064" i="55"/>
  <c r="U1064" i="55"/>
  <c r="T1064" i="55"/>
  <c r="S1064" i="55"/>
  <c r="J1064" i="55"/>
  <c r="I1064" i="55"/>
  <c r="H1064" i="55"/>
  <c r="D1064" i="55"/>
  <c r="B1064" i="55"/>
  <c r="A1064" i="55"/>
  <c r="W1063" i="55"/>
  <c r="V1063" i="55"/>
  <c r="U1063" i="55"/>
  <c r="T1063" i="55"/>
  <c r="S1063" i="55"/>
  <c r="J1063" i="55"/>
  <c r="I1063" i="55"/>
  <c r="H1063" i="55"/>
  <c r="D1063" i="55"/>
  <c r="B1063" i="55"/>
  <c r="A1063" i="55"/>
  <c r="W1062" i="55"/>
  <c r="V1062" i="55"/>
  <c r="U1062" i="55"/>
  <c r="T1062" i="55"/>
  <c r="S1062" i="55"/>
  <c r="J1062" i="55"/>
  <c r="I1062" i="55"/>
  <c r="H1062" i="55"/>
  <c r="D1062" i="55"/>
  <c r="B1062" i="55"/>
  <c r="A1062" i="55"/>
  <c r="W1061" i="55"/>
  <c r="V1061" i="55"/>
  <c r="U1061" i="55"/>
  <c r="T1061" i="55"/>
  <c r="S1061" i="55"/>
  <c r="J1061" i="55"/>
  <c r="I1061" i="55"/>
  <c r="H1061" i="55"/>
  <c r="D1061" i="55"/>
  <c r="B1061" i="55"/>
  <c r="A1061" i="55"/>
  <c r="W1060" i="55"/>
  <c r="V1060" i="55"/>
  <c r="U1060" i="55"/>
  <c r="T1060" i="55"/>
  <c r="S1060" i="55"/>
  <c r="J1060" i="55"/>
  <c r="I1060" i="55"/>
  <c r="H1060" i="55"/>
  <c r="D1060" i="55"/>
  <c r="B1060" i="55"/>
  <c r="A1060" i="55"/>
  <c r="W1059" i="55"/>
  <c r="V1059" i="55"/>
  <c r="U1059" i="55"/>
  <c r="T1059" i="55"/>
  <c r="S1059" i="55"/>
  <c r="J1059" i="55"/>
  <c r="I1059" i="55"/>
  <c r="H1059" i="55"/>
  <c r="D1059" i="55"/>
  <c r="B1059" i="55"/>
  <c r="A1059" i="55"/>
  <c r="W1058" i="55"/>
  <c r="V1058" i="55"/>
  <c r="U1058" i="55"/>
  <c r="T1058" i="55"/>
  <c r="S1058" i="55"/>
  <c r="J1058" i="55"/>
  <c r="I1058" i="55"/>
  <c r="H1058" i="55"/>
  <c r="D1058" i="55"/>
  <c r="B1058" i="55"/>
  <c r="A1058" i="55"/>
  <c r="W1057" i="55"/>
  <c r="V1057" i="55"/>
  <c r="U1057" i="55"/>
  <c r="T1057" i="55"/>
  <c r="S1057" i="55"/>
  <c r="J1057" i="55"/>
  <c r="I1057" i="55"/>
  <c r="H1057" i="55"/>
  <c r="D1057" i="55"/>
  <c r="B1057" i="55"/>
  <c r="A1057" i="55"/>
  <c r="W1056" i="55"/>
  <c r="V1056" i="55"/>
  <c r="U1056" i="55"/>
  <c r="T1056" i="55"/>
  <c r="S1056" i="55"/>
  <c r="J1056" i="55"/>
  <c r="I1056" i="55"/>
  <c r="H1056" i="55"/>
  <c r="D1056" i="55"/>
  <c r="B1056" i="55"/>
  <c r="A1056" i="55"/>
  <c r="W1055" i="55"/>
  <c r="V1055" i="55"/>
  <c r="U1055" i="55"/>
  <c r="T1055" i="55"/>
  <c r="S1055" i="55"/>
  <c r="J1055" i="55"/>
  <c r="I1055" i="55"/>
  <c r="H1055" i="55"/>
  <c r="D1055" i="55"/>
  <c r="B1055" i="55"/>
  <c r="A1055" i="55"/>
  <c r="W1054" i="55"/>
  <c r="V1054" i="55"/>
  <c r="U1054" i="55"/>
  <c r="T1054" i="55"/>
  <c r="S1054" i="55"/>
  <c r="J1054" i="55"/>
  <c r="I1054" i="55"/>
  <c r="H1054" i="55"/>
  <c r="D1054" i="55"/>
  <c r="B1054" i="55"/>
  <c r="A1054" i="55"/>
  <c r="W1053" i="55"/>
  <c r="V1053" i="55"/>
  <c r="U1053" i="55"/>
  <c r="T1053" i="55"/>
  <c r="S1053" i="55"/>
  <c r="J1053" i="55"/>
  <c r="I1053" i="55"/>
  <c r="H1053" i="55"/>
  <c r="D1053" i="55"/>
  <c r="B1053" i="55"/>
  <c r="A1053" i="55"/>
  <c r="W1052" i="55"/>
  <c r="V1052" i="55"/>
  <c r="U1052" i="55"/>
  <c r="T1052" i="55"/>
  <c r="S1052" i="55"/>
  <c r="J1052" i="55"/>
  <c r="I1052" i="55"/>
  <c r="H1052" i="55"/>
  <c r="D1052" i="55"/>
  <c r="B1052" i="55"/>
  <c r="A1052" i="55"/>
  <c r="W1051" i="55"/>
  <c r="V1051" i="55"/>
  <c r="U1051" i="55"/>
  <c r="T1051" i="55"/>
  <c r="S1051" i="55"/>
  <c r="J1051" i="55"/>
  <c r="I1051" i="55"/>
  <c r="H1051" i="55"/>
  <c r="D1051" i="55"/>
  <c r="B1051" i="55"/>
  <c r="A1051" i="55"/>
  <c r="W1050" i="55"/>
  <c r="V1050" i="55"/>
  <c r="U1050" i="55"/>
  <c r="T1050" i="55"/>
  <c r="S1050" i="55"/>
  <c r="J1050" i="55"/>
  <c r="I1050" i="55"/>
  <c r="H1050" i="55"/>
  <c r="D1050" i="55"/>
  <c r="B1050" i="55"/>
  <c r="A1050" i="55"/>
  <c r="W1049" i="55"/>
  <c r="V1049" i="55"/>
  <c r="U1049" i="55"/>
  <c r="T1049" i="55"/>
  <c r="S1049" i="55"/>
  <c r="J1049" i="55"/>
  <c r="I1049" i="55"/>
  <c r="H1049" i="55"/>
  <c r="D1049" i="55"/>
  <c r="B1049" i="55"/>
  <c r="A1049" i="55"/>
  <c r="W1048" i="55"/>
  <c r="V1048" i="55"/>
  <c r="U1048" i="55"/>
  <c r="T1048" i="55"/>
  <c r="S1048" i="55"/>
  <c r="J1048" i="55"/>
  <c r="I1048" i="55"/>
  <c r="H1048" i="55"/>
  <c r="D1048" i="55"/>
  <c r="B1048" i="55"/>
  <c r="A1048" i="55"/>
  <c r="W1047" i="55"/>
  <c r="V1047" i="55"/>
  <c r="U1047" i="55"/>
  <c r="T1047" i="55"/>
  <c r="S1047" i="55"/>
  <c r="J1047" i="55"/>
  <c r="I1047" i="55"/>
  <c r="H1047" i="55"/>
  <c r="D1047" i="55"/>
  <c r="B1047" i="55"/>
  <c r="A1047" i="55"/>
  <c r="W1046" i="55"/>
  <c r="V1046" i="55"/>
  <c r="U1046" i="55"/>
  <c r="T1046" i="55"/>
  <c r="S1046" i="55"/>
  <c r="J1046" i="55"/>
  <c r="I1046" i="55"/>
  <c r="H1046" i="55"/>
  <c r="D1046" i="55"/>
  <c r="B1046" i="55"/>
  <c r="A1046" i="55"/>
  <c r="W1045" i="55"/>
  <c r="V1045" i="55"/>
  <c r="U1045" i="55"/>
  <c r="T1045" i="55"/>
  <c r="S1045" i="55"/>
  <c r="J1045" i="55"/>
  <c r="I1045" i="55"/>
  <c r="H1045" i="55"/>
  <c r="D1045" i="55"/>
  <c r="B1045" i="55"/>
  <c r="A1045" i="55"/>
  <c r="W1044" i="55"/>
  <c r="V1044" i="55"/>
  <c r="U1044" i="55"/>
  <c r="T1044" i="55"/>
  <c r="S1044" i="55"/>
  <c r="J1044" i="55"/>
  <c r="I1044" i="55"/>
  <c r="H1044" i="55"/>
  <c r="D1044" i="55"/>
  <c r="B1044" i="55"/>
  <c r="A1044" i="55"/>
  <c r="W1043" i="55"/>
  <c r="V1043" i="55"/>
  <c r="U1043" i="55"/>
  <c r="T1043" i="55"/>
  <c r="S1043" i="55"/>
  <c r="J1043" i="55"/>
  <c r="I1043" i="55"/>
  <c r="H1043" i="55"/>
  <c r="D1043" i="55"/>
  <c r="B1043" i="55"/>
  <c r="A1043" i="55"/>
  <c r="W1042" i="55"/>
  <c r="V1042" i="55"/>
  <c r="U1042" i="55"/>
  <c r="T1042" i="55"/>
  <c r="S1042" i="55"/>
  <c r="J1042" i="55"/>
  <c r="I1042" i="55"/>
  <c r="H1042" i="55"/>
  <c r="D1042" i="55"/>
  <c r="B1042" i="55"/>
  <c r="A1042" i="55"/>
  <c r="W1041" i="55"/>
  <c r="V1041" i="55"/>
  <c r="U1041" i="55"/>
  <c r="T1041" i="55"/>
  <c r="S1041" i="55"/>
  <c r="J1041" i="55"/>
  <c r="I1041" i="55"/>
  <c r="H1041" i="55"/>
  <c r="D1041" i="55"/>
  <c r="B1041" i="55"/>
  <c r="A1041" i="55"/>
  <c r="W1040" i="55"/>
  <c r="V1040" i="55"/>
  <c r="U1040" i="55"/>
  <c r="T1040" i="55"/>
  <c r="S1040" i="55"/>
  <c r="J1040" i="55"/>
  <c r="I1040" i="55"/>
  <c r="H1040" i="55"/>
  <c r="D1040" i="55"/>
  <c r="B1040" i="55"/>
  <c r="A1040" i="55"/>
  <c r="W1039" i="55"/>
  <c r="V1039" i="55"/>
  <c r="U1039" i="55"/>
  <c r="T1039" i="55"/>
  <c r="S1039" i="55"/>
  <c r="J1039" i="55"/>
  <c r="I1039" i="55"/>
  <c r="H1039" i="55"/>
  <c r="D1039" i="55"/>
  <c r="B1039" i="55"/>
  <c r="A1039" i="55"/>
  <c r="W1038" i="55"/>
  <c r="V1038" i="55"/>
  <c r="U1038" i="55"/>
  <c r="T1038" i="55"/>
  <c r="S1038" i="55"/>
  <c r="J1038" i="55"/>
  <c r="I1038" i="55"/>
  <c r="H1038" i="55"/>
  <c r="D1038" i="55"/>
  <c r="B1038" i="55"/>
  <c r="A1038" i="55"/>
  <c r="W1037" i="55"/>
  <c r="V1037" i="55"/>
  <c r="U1037" i="55"/>
  <c r="T1037" i="55"/>
  <c r="S1037" i="55"/>
  <c r="J1037" i="55"/>
  <c r="I1037" i="55"/>
  <c r="H1037" i="55"/>
  <c r="D1037" i="55"/>
  <c r="B1037" i="55"/>
  <c r="A1037" i="55"/>
  <c r="W1036" i="55"/>
  <c r="V1036" i="55"/>
  <c r="U1036" i="55"/>
  <c r="T1036" i="55"/>
  <c r="S1036" i="55"/>
  <c r="J1036" i="55"/>
  <c r="I1036" i="55"/>
  <c r="H1036" i="55"/>
  <c r="D1036" i="55"/>
  <c r="B1036" i="55"/>
  <c r="A1036" i="55"/>
  <c r="W1035" i="55"/>
  <c r="V1035" i="55"/>
  <c r="U1035" i="55"/>
  <c r="T1035" i="55"/>
  <c r="S1035" i="55"/>
  <c r="J1035" i="55"/>
  <c r="I1035" i="55"/>
  <c r="H1035" i="55"/>
  <c r="D1035" i="55"/>
  <c r="B1035" i="55"/>
  <c r="A1035" i="55"/>
  <c r="W1034" i="55"/>
  <c r="V1034" i="55"/>
  <c r="U1034" i="55"/>
  <c r="T1034" i="55"/>
  <c r="S1034" i="55"/>
  <c r="J1034" i="55"/>
  <c r="I1034" i="55"/>
  <c r="H1034" i="55"/>
  <c r="D1034" i="55"/>
  <c r="B1034" i="55"/>
  <c r="A1034" i="55"/>
  <c r="W1033" i="55"/>
  <c r="V1033" i="55"/>
  <c r="U1033" i="55"/>
  <c r="T1033" i="55"/>
  <c r="S1033" i="55"/>
  <c r="J1033" i="55"/>
  <c r="I1033" i="55"/>
  <c r="H1033" i="55"/>
  <c r="D1033" i="55"/>
  <c r="B1033" i="55"/>
  <c r="A1033" i="55"/>
  <c r="W1032" i="55"/>
  <c r="V1032" i="55"/>
  <c r="U1032" i="55"/>
  <c r="T1032" i="55"/>
  <c r="S1032" i="55"/>
  <c r="J1032" i="55"/>
  <c r="I1032" i="55"/>
  <c r="H1032" i="55"/>
  <c r="D1032" i="55"/>
  <c r="B1032" i="55"/>
  <c r="A1032" i="55"/>
  <c r="W1031" i="55"/>
  <c r="V1031" i="55"/>
  <c r="U1031" i="55"/>
  <c r="T1031" i="55"/>
  <c r="S1031" i="55"/>
  <c r="J1031" i="55"/>
  <c r="I1031" i="55"/>
  <c r="H1031" i="55"/>
  <c r="D1031" i="55"/>
  <c r="B1031" i="55"/>
  <c r="A1031" i="55"/>
  <c r="W1030" i="55"/>
  <c r="V1030" i="55"/>
  <c r="U1030" i="55"/>
  <c r="T1030" i="55"/>
  <c r="S1030" i="55"/>
  <c r="J1030" i="55"/>
  <c r="I1030" i="55"/>
  <c r="H1030" i="55"/>
  <c r="D1030" i="55"/>
  <c r="B1030" i="55"/>
  <c r="A1030" i="55"/>
  <c r="W1029" i="55"/>
  <c r="V1029" i="55"/>
  <c r="U1029" i="55"/>
  <c r="T1029" i="55"/>
  <c r="S1029" i="55"/>
  <c r="J1029" i="55"/>
  <c r="I1029" i="55"/>
  <c r="H1029" i="55"/>
  <c r="D1029" i="55"/>
  <c r="B1029" i="55"/>
  <c r="A1029" i="55"/>
  <c r="W1028" i="55"/>
  <c r="V1028" i="55"/>
  <c r="U1028" i="55"/>
  <c r="T1028" i="55"/>
  <c r="S1028" i="55"/>
  <c r="J1028" i="55"/>
  <c r="I1028" i="55"/>
  <c r="H1028" i="55"/>
  <c r="D1028" i="55"/>
  <c r="B1028" i="55"/>
  <c r="A1028" i="55"/>
  <c r="W1027" i="55"/>
  <c r="V1027" i="55"/>
  <c r="U1027" i="55"/>
  <c r="T1027" i="55"/>
  <c r="S1027" i="55"/>
  <c r="J1027" i="55"/>
  <c r="I1027" i="55"/>
  <c r="H1027" i="55"/>
  <c r="D1027" i="55"/>
  <c r="B1027" i="55"/>
  <c r="A1027" i="55"/>
  <c r="W1026" i="55"/>
  <c r="V1026" i="55"/>
  <c r="U1026" i="55"/>
  <c r="T1026" i="55"/>
  <c r="S1026" i="55"/>
  <c r="J1026" i="55"/>
  <c r="I1026" i="55"/>
  <c r="H1026" i="55"/>
  <c r="D1026" i="55"/>
  <c r="B1026" i="55"/>
  <c r="A1026" i="55"/>
  <c r="W1025" i="55"/>
  <c r="V1025" i="55"/>
  <c r="U1025" i="55"/>
  <c r="T1025" i="55"/>
  <c r="S1025" i="55"/>
  <c r="J1025" i="55"/>
  <c r="I1025" i="55"/>
  <c r="H1025" i="55"/>
  <c r="D1025" i="55"/>
  <c r="B1025" i="55"/>
  <c r="A1025" i="55"/>
  <c r="W1024" i="55"/>
  <c r="V1024" i="55"/>
  <c r="U1024" i="55"/>
  <c r="T1024" i="55"/>
  <c r="S1024" i="55"/>
  <c r="J1024" i="55"/>
  <c r="I1024" i="55"/>
  <c r="H1024" i="55"/>
  <c r="D1024" i="55"/>
  <c r="B1024" i="55"/>
  <c r="A1024" i="55"/>
  <c r="W1023" i="55"/>
  <c r="V1023" i="55"/>
  <c r="U1023" i="55"/>
  <c r="T1023" i="55"/>
  <c r="S1023" i="55"/>
  <c r="J1023" i="55"/>
  <c r="I1023" i="55"/>
  <c r="H1023" i="55"/>
  <c r="D1023" i="55"/>
  <c r="B1023" i="55"/>
  <c r="A1023" i="55"/>
  <c r="W1022" i="55"/>
  <c r="V1022" i="55"/>
  <c r="U1022" i="55"/>
  <c r="T1022" i="55"/>
  <c r="S1022" i="55"/>
  <c r="J1022" i="55"/>
  <c r="I1022" i="55"/>
  <c r="H1022" i="55"/>
  <c r="D1022" i="55"/>
  <c r="B1022" i="55"/>
  <c r="A1022" i="55"/>
  <c r="W1021" i="55"/>
  <c r="V1021" i="55"/>
  <c r="U1021" i="55"/>
  <c r="T1021" i="55"/>
  <c r="S1021" i="55"/>
  <c r="J1021" i="55"/>
  <c r="I1021" i="55"/>
  <c r="H1021" i="55"/>
  <c r="D1021" i="55"/>
  <c r="B1021" i="55"/>
  <c r="A1021" i="55"/>
  <c r="W1020" i="55"/>
  <c r="V1020" i="55"/>
  <c r="U1020" i="55"/>
  <c r="T1020" i="55"/>
  <c r="S1020" i="55"/>
  <c r="J1020" i="55"/>
  <c r="I1020" i="55"/>
  <c r="H1020" i="55"/>
  <c r="D1020" i="55"/>
  <c r="B1020" i="55"/>
  <c r="A1020" i="55"/>
  <c r="W1019" i="55"/>
  <c r="V1019" i="55"/>
  <c r="U1019" i="55"/>
  <c r="T1019" i="55"/>
  <c r="S1019" i="55"/>
  <c r="J1019" i="55"/>
  <c r="I1019" i="55"/>
  <c r="H1019" i="55"/>
  <c r="D1019" i="55"/>
  <c r="B1019" i="55"/>
  <c r="A1019" i="55"/>
  <c r="W1018" i="55"/>
  <c r="V1018" i="55"/>
  <c r="U1018" i="55"/>
  <c r="T1018" i="55"/>
  <c r="S1018" i="55"/>
  <c r="J1018" i="55"/>
  <c r="I1018" i="55"/>
  <c r="H1018" i="55"/>
  <c r="D1018" i="55"/>
  <c r="B1018" i="55"/>
  <c r="A1018" i="55"/>
  <c r="W1017" i="55"/>
  <c r="V1017" i="55"/>
  <c r="U1017" i="55"/>
  <c r="T1017" i="55"/>
  <c r="S1017" i="55"/>
  <c r="J1017" i="55"/>
  <c r="I1017" i="55"/>
  <c r="H1017" i="55"/>
  <c r="D1017" i="55"/>
  <c r="B1017" i="55"/>
  <c r="A1017" i="55"/>
  <c r="W1016" i="55"/>
  <c r="V1016" i="55"/>
  <c r="U1016" i="55"/>
  <c r="T1016" i="55"/>
  <c r="S1016" i="55"/>
  <c r="J1016" i="55"/>
  <c r="I1016" i="55"/>
  <c r="H1016" i="55"/>
  <c r="D1016" i="55"/>
  <c r="B1016" i="55"/>
  <c r="A1016" i="55"/>
  <c r="W1015" i="55"/>
  <c r="V1015" i="55"/>
  <c r="U1015" i="55"/>
  <c r="T1015" i="55"/>
  <c r="S1015" i="55"/>
  <c r="J1015" i="55"/>
  <c r="I1015" i="55"/>
  <c r="H1015" i="55"/>
  <c r="D1015" i="55"/>
  <c r="B1015" i="55"/>
  <c r="A1015" i="55"/>
  <c r="W1014" i="55"/>
  <c r="V1014" i="55"/>
  <c r="U1014" i="55"/>
  <c r="T1014" i="55"/>
  <c r="S1014" i="55"/>
  <c r="J1014" i="55"/>
  <c r="I1014" i="55"/>
  <c r="H1014" i="55"/>
  <c r="D1014" i="55"/>
  <c r="B1014" i="55"/>
  <c r="A1014" i="55"/>
  <c r="W1013" i="55"/>
  <c r="V1013" i="55"/>
  <c r="U1013" i="55"/>
  <c r="T1013" i="55"/>
  <c r="S1013" i="55"/>
  <c r="J1013" i="55"/>
  <c r="I1013" i="55"/>
  <c r="H1013" i="55"/>
  <c r="D1013" i="55"/>
  <c r="B1013" i="55"/>
  <c r="A1013" i="55"/>
  <c r="W1012" i="55"/>
  <c r="V1012" i="55"/>
  <c r="U1012" i="55"/>
  <c r="T1012" i="55"/>
  <c r="S1012" i="55"/>
  <c r="J1012" i="55"/>
  <c r="I1012" i="55"/>
  <c r="H1012" i="55"/>
  <c r="D1012" i="55"/>
  <c r="B1012" i="55"/>
  <c r="A1012" i="55"/>
  <c r="W1011" i="55"/>
  <c r="V1011" i="55"/>
  <c r="U1011" i="55"/>
  <c r="T1011" i="55"/>
  <c r="S1011" i="55"/>
  <c r="J1011" i="55"/>
  <c r="I1011" i="55"/>
  <c r="H1011" i="55"/>
  <c r="D1011" i="55"/>
  <c r="B1011" i="55"/>
  <c r="A1011" i="55"/>
  <c r="W1010" i="55"/>
  <c r="V1010" i="55"/>
  <c r="U1010" i="55"/>
  <c r="T1010" i="55"/>
  <c r="S1010" i="55"/>
  <c r="J1010" i="55"/>
  <c r="I1010" i="55"/>
  <c r="H1010" i="55"/>
  <c r="D1010" i="55"/>
  <c r="B1010" i="55"/>
  <c r="A1010" i="55"/>
  <c r="W1009" i="55"/>
  <c r="V1009" i="55"/>
  <c r="U1009" i="55"/>
  <c r="T1009" i="55"/>
  <c r="S1009" i="55"/>
  <c r="J1009" i="55"/>
  <c r="I1009" i="55"/>
  <c r="H1009" i="55"/>
  <c r="D1009" i="55"/>
  <c r="B1009" i="55"/>
  <c r="A1009" i="55"/>
  <c r="W1008" i="55"/>
  <c r="V1008" i="55"/>
  <c r="U1008" i="55"/>
  <c r="T1008" i="55"/>
  <c r="S1008" i="55"/>
  <c r="J1008" i="55"/>
  <c r="I1008" i="55"/>
  <c r="H1008" i="55"/>
  <c r="D1008" i="55"/>
  <c r="B1008" i="55"/>
  <c r="A1008" i="55"/>
  <c r="W1007" i="55"/>
  <c r="V1007" i="55"/>
  <c r="U1007" i="55"/>
  <c r="T1007" i="55"/>
  <c r="S1007" i="55"/>
  <c r="J1007" i="55"/>
  <c r="I1007" i="55"/>
  <c r="H1007" i="55"/>
  <c r="D1007" i="55"/>
  <c r="B1007" i="55"/>
  <c r="A1007" i="55"/>
  <c r="W1006" i="55"/>
  <c r="V1006" i="55"/>
  <c r="U1006" i="55"/>
  <c r="T1006" i="55"/>
  <c r="S1006" i="55"/>
  <c r="J1006" i="55"/>
  <c r="I1006" i="55"/>
  <c r="H1006" i="55"/>
  <c r="D1006" i="55"/>
  <c r="B1006" i="55"/>
  <c r="A1006" i="55"/>
  <c r="W1005" i="55"/>
  <c r="V1005" i="55"/>
  <c r="U1005" i="55"/>
  <c r="T1005" i="55"/>
  <c r="S1005" i="55"/>
  <c r="J1005" i="55"/>
  <c r="I1005" i="55"/>
  <c r="H1005" i="55"/>
  <c r="D1005" i="55"/>
  <c r="B1005" i="55"/>
  <c r="A1005" i="55"/>
  <c r="W1004" i="55"/>
  <c r="V1004" i="55"/>
  <c r="U1004" i="55"/>
  <c r="T1004" i="55"/>
  <c r="S1004" i="55"/>
  <c r="J1004" i="55"/>
  <c r="I1004" i="55"/>
  <c r="H1004" i="55"/>
  <c r="D1004" i="55"/>
  <c r="B1004" i="55"/>
  <c r="A1004" i="55"/>
  <c r="W1003" i="55"/>
  <c r="V1003" i="55"/>
  <c r="U1003" i="55"/>
  <c r="T1003" i="55"/>
  <c r="S1003" i="55"/>
  <c r="J1003" i="55"/>
  <c r="I1003" i="55"/>
  <c r="H1003" i="55"/>
  <c r="D1003" i="55"/>
  <c r="B1003" i="55"/>
  <c r="A1003" i="55"/>
  <c r="W1002" i="55"/>
  <c r="V1002" i="55"/>
  <c r="U1002" i="55"/>
  <c r="T1002" i="55"/>
  <c r="S1002" i="55"/>
  <c r="J1002" i="55"/>
  <c r="I1002" i="55"/>
  <c r="H1002" i="55"/>
  <c r="D1002" i="55"/>
  <c r="B1002" i="55"/>
  <c r="A1002" i="55"/>
  <c r="W1001" i="55"/>
  <c r="V1001" i="55"/>
  <c r="U1001" i="55"/>
  <c r="T1001" i="55"/>
  <c r="S1001" i="55"/>
  <c r="J1001" i="55"/>
  <c r="I1001" i="55"/>
  <c r="H1001" i="55"/>
  <c r="D1001" i="55"/>
  <c r="B1001" i="55"/>
  <c r="A1001" i="55"/>
  <c r="W1000" i="55"/>
  <c r="V1000" i="55"/>
  <c r="U1000" i="55"/>
  <c r="T1000" i="55"/>
  <c r="S1000" i="55"/>
  <c r="J1000" i="55"/>
  <c r="I1000" i="55"/>
  <c r="H1000" i="55"/>
  <c r="D1000" i="55"/>
  <c r="B1000" i="55"/>
  <c r="A1000" i="55"/>
  <c r="W999" i="55"/>
  <c r="V999" i="55"/>
  <c r="U999" i="55"/>
  <c r="T999" i="55"/>
  <c r="S999" i="55"/>
  <c r="J999" i="55"/>
  <c r="I999" i="55"/>
  <c r="H999" i="55"/>
  <c r="D999" i="55"/>
  <c r="B999" i="55"/>
  <c r="A999" i="55"/>
  <c r="W998" i="55"/>
  <c r="V998" i="55"/>
  <c r="U998" i="55"/>
  <c r="T998" i="55"/>
  <c r="S998" i="55"/>
  <c r="J998" i="55"/>
  <c r="I998" i="55"/>
  <c r="H998" i="55"/>
  <c r="D998" i="55"/>
  <c r="B998" i="55"/>
  <c r="A998" i="55"/>
  <c r="W997" i="55"/>
  <c r="V997" i="55"/>
  <c r="U997" i="55"/>
  <c r="T997" i="55"/>
  <c r="S997" i="55"/>
  <c r="J997" i="55"/>
  <c r="I997" i="55"/>
  <c r="H997" i="55"/>
  <c r="D997" i="55"/>
  <c r="B997" i="55"/>
  <c r="A997" i="55"/>
  <c r="W996" i="55"/>
  <c r="V996" i="55"/>
  <c r="U996" i="55"/>
  <c r="T996" i="55"/>
  <c r="S996" i="55"/>
  <c r="J996" i="55"/>
  <c r="I996" i="55"/>
  <c r="H996" i="55"/>
  <c r="D996" i="55"/>
  <c r="B996" i="55"/>
  <c r="A996" i="55"/>
  <c r="W995" i="55"/>
  <c r="V995" i="55"/>
  <c r="U995" i="55"/>
  <c r="T995" i="55"/>
  <c r="S995" i="55"/>
  <c r="J995" i="55"/>
  <c r="I995" i="55"/>
  <c r="H995" i="55"/>
  <c r="D995" i="55"/>
  <c r="B995" i="55"/>
  <c r="A995" i="55"/>
  <c r="W994" i="55"/>
  <c r="V994" i="55"/>
  <c r="U994" i="55"/>
  <c r="T994" i="55"/>
  <c r="S994" i="55"/>
  <c r="J994" i="55"/>
  <c r="I994" i="55"/>
  <c r="H994" i="55"/>
  <c r="D994" i="55"/>
  <c r="B994" i="55"/>
  <c r="A994" i="55"/>
  <c r="W993" i="55"/>
  <c r="V993" i="55"/>
  <c r="U993" i="55"/>
  <c r="T993" i="55"/>
  <c r="S993" i="55"/>
  <c r="J993" i="55"/>
  <c r="I993" i="55"/>
  <c r="H993" i="55"/>
  <c r="D993" i="55"/>
  <c r="B993" i="55"/>
  <c r="A993" i="55"/>
  <c r="W992" i="55"/>
  <c r="V992" i="55"/>
  <c r="U992" i="55"/>
  <c r="T992" i="55"/>
  <c r="S992" i="55"/>
  <c r="J992" i="55"/>
  <c r="I992" i="55"/>
  <c r="H992" i="55"/>
  <c r="D992" i="55"/>
  <c r="B992" i="55"/>
  <c r="A992" i="55"/>
  <c r="W991" i="55"/>
  <c r="V991" i="55"/>
  <c r="U991" i="55"/>
  <c r="T991" i="55"/>
  <c r="S991" i="55"/>
  <c r="J991" i="55"/>
  <c r="I991" i="55"/>
  <c r="H991" i="55"/>
  <c r="D991" i="55"/>
  <c r="B991" i="55"/>
  <c r="A991" i="55"/>
  <c r="W990" i="55"/>
  <c r="V990" i="55"/>
  <c r="U990" i="55"/>
  <c r="T990" i="55"/>
  <c r="S990" i="55"/>
  <c r="J990" i="55"/>
  <c r="I990" i="55"/>
  <c r="H990" i="55"/>
  <c r="D990" i="55"/>
  <c r="B990" i="55"/>
  <c r="A990" i="55"/>
  <c r="W989" i="55"/>
  <c r="V989" i="55"/>
  <c r="U989" i="55"/>
  <c r="T989" i="55"/>
  <c r="S989" i="55"/>
  <c r="J989" i="55"/>
  <c r="I989" i="55"/>
  <c r="H989" i="55"/>
  <c r="D989" i="55"/>
  <c r="B989" i="55"/>
  <c r="A989" i="55"/>
  <c r="W988" i="55"/>
  <c r="V988" i="55"/>
  <c r="U988" i="55"/>
  <c r="T988" i="55"/>
  <c r="S988" i="55"/>
  <c r="J988" i="55"/>
  <c r="I988" i="55"/>
  <c r="H988" i="55"/>
  <c r="D988" i="55"/>
  <c r="B988" i="55"/>
  <c r="A988" i="55"/>
  <c r="W987" i="55"/>
  <c r="V987" i="55"/>
  <c r="U987" i="55"/>
  <c r="T987" i="55"/>
  <c r="S987" i="55"/>
  <c r="J987" i="55"/>
  <c r="I987" i="55"/>
  <c r="H987" i="55"/>
  <c r="D987" i="55"/>
  <c r="B987" i="55"/>
  <c r="A987" i="55"/>
  <c r="W986" i="55"/>
  <c r="V986" i="55"/>
  <c r="U986" i="55"/>
  <c r="T986" i="55"/>
  <c r="S986" i="55"/>
  <c r="J986" i="55"/>
  <c r="I986" i="55"/>
  <c r="H986" i="55"/>
  <c r="D986" i="55"/>
  <c r="B986" i="55"/>
  <c r="A986" i="55"/>
  <c r="W985" i="55"/>
  <c r="V985" i="55"/>
  <c r="U985" i="55"/>
  <c r="T985" i="55"/>
  <c r="S985" i="55"/>
  <c r="J985" i="55"/>
  <c r="I985" i="55"/>
  <c r="H985" i="55"/>
  <c r="D985" i="55"/>
  <c r="B985" i="55"/>
  <c r="A985" i="55"/>
  <c r="W984" i="55"/>
  <c r="V984" i="55"/>
  <c r="U984" i="55"/>
  <c r="T984" i="55"/>
  <c r="S984" i="55"/>
  <c r="J984" i="55"/>
  <c r="I984" i="55"/>
  <c r="H984" i="55"/>
  <c r="D984" i="55"/>
  <c r="B984" i="55"/>
  <c r="A984" i="55"/>
  <c r="W983" i="55"/>
  <c r="V983" i="55"/>
  <c r="U983" i="55"/>
  <c r="T983" i="55"/>
  <c r="S983" i="55"/>
  <c r="J983" i="55"/>
  <c r="I983" i="55"/>
  <c r="H983" i="55"/>
  <c r="D983" i="55"/>
  <c r="B983" i="55"/>
  <c r="A983" i="55"/>
  <c r="W982" i="55"/>
  <c r="V982" i="55"/>
  <c r="U982" i="55"/>
  <c r="T982" i="55"/>
  <c r="S982" i="55"/>
  <c r="J982" i="55"/>
  <c r="I982" i="55"/>
  <c r="H982" i="55"/>
  <c r="D982" i="55"/>
  <c r="B982" i="55"/>
  <c r="A982" i="55"/>
  <c r="W981" i="55"/>
  <c r="V981" i="55"/>
  <c r="U981" i="55"/>
  <c r="T981" i="55"/>
  <c r="S981" i="55"/>
  <c r="J981" i="55"/>
  <c r="I981" i="55"/>
  <c r="H981" i="55"/>
  <c r="D981" i="55"/>
  <c r="B981" i="55"/>
  <c r="A981" i="55"/>
  <c r="W980" i="55"/>
  <c r="V980" i="55"/>
  <c r="U980" i="55"/>
  <c r="T980" i="55"/>
  <c r="S980" i="55"/>
  <c r="J980" i="55"/>
  <c r="I980" i="55"/>
  <c r="H980" i="55"/>
  <c r="D980" i="55"/>
  <c r="B980" i="55"/>
  <c r="A980" i="55"/>
  <c r="W979" i="55"/>
  <c r="V979" i="55"/>
  <c r="U979" i="55"/>
  <c r="T979" i="55"/>
  <c r="S979" i="55"/>
  <c r="J979" i="55"/>
  <c r="I979" i="55"/>
  <c r="H979" i="55"/>
  <c r="D979" i="55"/>
  <c r="B979" i="55"/>
  <c r="A979" i="55"/>
  <c r="W978" i="55"/>
  <c r="V978" i="55"/>
  <c r="U978" i="55"/>
  <c r="T978" i="55"/>
  <c r="S978" i="55"/>
  <c r="J978" i="55"/>
  <c r="I978" i="55"/>
  <c r="H978" i="55"/>
  <c r="D978" i="55"/>
  <c r="B978" i="55"/>
  <c r="A978" i="55"/>
  <c r="W977" i="55"/>
  <c r="V977" i="55"/>
  <c r="U977" i="55"/>
  <c r="T977" i="55"/>
  <c r="S977" i="55"/>
  <c r="J977" i="55"/>
  <c r="I977" i="55"/>
  <c r="H977" i="55"/>
  <c r="D977" i="55"/>
  <c r="B977" i="55"/>
  <c r="A977" i="55"/>
  <c r="W976" i="55"/>
  <c r="V976" i="55"/>
  <c r="U976" i="55"/>
  <c r="T976" i="55"/>
  <c r="S976" i="55"/>
  <c r="J976" i="55"/>
  <c r="I976" i="55"/>
  <c r="H976" i="55"/>
  <c r="D976" i="55"/>
  <c r="B976" i="55"/>
  <c r="A976" i="55"/>
  <c r="W975" i="55"/>
  <c r="V975" i="55"/>
  <c r="U975" i="55"/>
  <c r="T975" i="55"/>
  <c r="S975" i="55"/>
  <c r="J975" i="55"/>
  <c r="I975" i="55"/>
  <c r="H975" i="55"/>
  <c r="D975" i="55"/>
  <c r="B975" i="55"/>
  <c r="A975" i="55"/>
  <c r="W974" i="55"/>
  <c r="V974" i="55"/>
  <c r="U974" i="55"/>
  <c r="T974" i="55"/>
  <c r="S974" i="55"/>
  <c r="J974" i="55"/>
  <c r="I974" i="55"/>
  <c r="H974" i="55"/>
  <c r="D974" i="55"/>
  <c r="B974" i="55"/>
  <c r="A974" i="55"/>
  <c r="W973" i="55"/>
  <c r="V973" i="55"/>
  <c r="U973" i="55"/>
  <c r="T973" i="55"/>
  <c r="S973" i="55"/>
  <c r="J973" i="55"/>
  <c r="I973" i="55"/>
  <c r="H973" i="55"/>
  <c r="D973" i="55"/>
  <c r="B973" i="55"/>
  <c r="A973" i="55"/>
  <c r="W972" i="55"/>
  <c r="V972" i="55"/>
  <c r="U972" i="55"/>
  <c r="T972" i="55"/>
  <c r="S972" i="55"/>
  <c r="J972" i="55"/>
  <c r="I972" i="55"/>
  <c r="H972" i="55"/>
  <c r="D972" i="55"/>
  <c r="B972" i="55"/>
  <c r="A972" i="55"/>
  <c r="W971" i="55"/>
  <c r="V971" i="55"/>
  <c r="U971" i="55"/>
  <c r="T971" i="55"/>
  <c r="S971" i="55"/>
  <c r="J971" i="55"/>
  <c r="I971" i="55"/>
  <c r="H971" i="55"/>
  <c r="D971" i="55"/>
  <c r="B971" i="55"/>
  <c r="A971" i="55"/>
  <c r="W970" i="55"/>
  <c r="V970" i="55"/>
  <c r="U970" i="55"/>
  <c r="T970" i="55"/>
  <c r="S970" i="55"/>
  <c r="J970" i="55"/>
  <c r="I970" i="55"/>
  <c r="H970" i="55"/>
  <c r="D970" i="55"/>
  <c r="B970" i="55"/>
  <c r="A970" i="55"/>
  <c r="W969" i="55"/>
  <c r="V969" i="55"/>
  <c r="U969" i="55"/>
  <c r="T969" i="55"/>
  <c r="S969" i="55"/>
  <c r="J969" i="55"/>
  <c r="I969" i="55"/>
  <c r="H969" i="55"/>
  <c r="D969" i="55"/>
  <c r="B969" i="55"/>
  <c r="A969" i="55"/>
  <c r="W968" i="55"/>
  <c r="V968" i="55"/>
  <c r="U968" i="55"/>
  <c r="T968" i="55"/>
  <c r="S968" i="55"/>
  <c r="J968" i="55"/>
  <c r="I968" i="55"/>
  <c r="H968" i="55"/>
  <c r="D968" i="55"/>
  <c r="B968" i="55"/>
  <c r="A968" i="55"/>
  <c r="W967" i="55"/>
  <c r="V967" i="55"/>
  <c r="U967" i="55"/>
  <c r="T967" i="55"/>
  <c r="S967" i="55"/>
  <c r="J967" i="55"/>
  <c r="I967" i="55"/>
  <c r="H967" i="55"/>
  <c r="D967" i="55"/>
  <c r="B967" i="55"/>
  <c r="A967" i="55"/>
  <c r="W966" i="55"/>
  <c r="V966" i="55"/>
  <c r="U966" i="55"/>
  <c r="T966" i="55"/>
  <c r="S966" i="55"/>
  <c r="J966" i="55"/>
  <c r="I966" i="55"/>
  <c r="H966" i="55"/>
  <c r="D966" i="55"/>
  <c r="B966" i="55"/>
  <c r="A966" i="55"/>
  <c r="W965" i="55"/>
  <c r="V965" i="55"/>
  <c r="U965" i="55"/>
  <c r="T965" i="55"/>
  <c r="S965" i="55"/>
  <c r="J965" i="55"/>
  <c r="I965" i="55"/>
  <c r="H965" i="55"/>
  <c r="D965" i="55"/>
  <c r="B965" i="55"/>
  <c r="A965" i="55"/>
  <c r="W964" i="55"/>
  <c r="V964" i="55"/>
  <c r="U964" i="55"/>
  <c r="T964" i="55"/>
  <c r="S964" i="55"/>
  <c r="J964" i="55"/>
  <c r="I964" i="55"/>
  <c r="H964" i="55"/>
  <c r="D964" i="55"/>
  <c r="B964" i="55"/>
  <c r="A964" i="55"/>
  <c r="W963" i="55"/>
  <c r="V963" i="55"/>
  <c r="U963" i="55"/>
  <c r="T963" i="55"/>
  <c r="S963" i="55"/>
  <c r="J963" i="55"/>
  <c r="I963" i="55"/>
  <c r="H963" i="55"/>
  <c r="D963" i="55"/>
  <c r="B963" i="55"/>
  <c r="A963" i="55"/>
  <c r="W962" i="55"/>
  <c r="V962" i="55"/>
  <c r="U962" i="55"/>
  <c r="T962" i="55"/>
  <c r="S962" i="55"/>
  <c r="J962" i="55"/>
  <c r="I962" i="55"/>
  <c r="H962" i="55"/>
  <c r="D962" i="55"/>
  <c r="B962" i="55"/>
  <c r="A962" i="55"/>
  <c r="W961" i="55"/>
  <c r="V961" i="55"/>
  <c r="U961" i="55"/>
  <c r="T961" i="55"/>
  <c r="S961" i="55"/>
  <c r="J961" i="55"/>
  <c r="I961" i="55"/>
  <c r="H961" i="55"/>
  <c r="D961" i="55"/>
  <c r="B961" i="55"/>
  <c r="A961" i="55"/>
  <c r="W960" i="55"/>
  <c r="V960" i="55"/>
  <c r="U960" i="55"/>
  <c r="T960" i="55"/>
  <c r="S960" i="55"/>
  <c r="J960" i="55"/>
  <c r="I960" i="55"/>
  <c r="H960" i="55"/>
  <c r="D960" i="55"/>
  <c r="B960" i="55"/>
  <c r="A960" i="55"/>
  <c r="W959" i="55"/>
  <c r="V959" i="55"/>
  <c r="U959" i="55"/>
  <c r="T959" i="55"/>
  <c r="S959" i="55"/>
  <c r="J959" i="55"/>
  <c r="I959" i="55"/>
  <c r="H959" i="55"/>
  <c r="D959" i="55"/>
  <c r="B959" i="55"/>
  <c r="A959" i="55"/>
  <c r="W958" i="55"/>
  <c r="V958" i="55"/>
  <c r="U958" i="55"/>
  <c r="T958" i="55"/>
  <c r="S958" i="55"/>
  <c r="J958" i="55"/>
  <c r="I958" i="55"/>
  <c r="H958" i="55"/>
  <c r="D958" i="55"/>
  <c r="B958" i="55"/>
  <c r="A958" i="55"/>
  <c r="W957" i="55"/>
  <c r="V957" i="55"/>
  <c r="U957" i="55"/>
  <c r="T957" i="55"/>
  <c r="S957" i="55"/>
  <c r="J957" i="55"/>
  <c r="I957" i="55"/>
  <c r="H957" i="55"/>
  <c r="D957" i="55"/>
  <c r="B957" i="55"/>
  <c r="A957" i="55"/>
  <c r="W956" i="55"/>
  <c r="V956" i="55"/>
  <c r="U956" i="55"/>
  <c r="T956" i="55"/>
  <c r="S956" i="55"/>
  <c r="J956" i="55"/>
  <c r="I956" i="55"/>
  <c r="H956" i="55"/>
  <c r="D956" i="55"/>
  <c r="B956" i="55"/>
  <c r="A956" i="55"/>
  <c r="W955" i="55"/>
  <c r="V955" i="55"/>
  <c r="U955" i="55"/>
  <c r="T955" i="55"/>
  <c r="S955" i="55"/>
  <c r="J955" i="55"/>
  <c r="I955" i="55"/>
  <c r="H955" i="55"/>
  <c r="D955" i="55"/>
  <c r="B955" i="55"/>
  <c r="A955" i="55"/>
  <c r="W954" i="55"/>
  <c r="V954" i="55"/>
  <c r="U954" i="55"/>
  <c r="T954" i="55"/>
  <c r="S954" i="55"/>
  <c r="J954" i="55"/>
  <c r="I954" i="55"/>
  <c r="H954" i="55"/>
  <c r="D954" i="55"/>
  <c r="B954" i="55"/>
  <c r="A954" i="55"/>
  <c r="W953" i="55"/>
  <c r="V953" i="55"/>
  <c r="U953" i="55"/>
  <c r="T953" i="55"/>
  <c r="S953" i="55"/>
  <c r="J953" i="55"/>
  <c r="I953" i="55"/>
  <c r="H953" i="55"/>
  <c r="D953" i="55"/>
  <c r="B953" i="55"/>
  <c r="A953" i="55"/>
  <c r="W952" i="55"/>
  <c r="V952" i="55"/>
  <c r="U952" i="55"/>
  <c r="T952" i="55"/>
  <c r="S952" i="55"/>
  <c r="J952" i="55"/>
  <c r="I952" i="55"/>
  <c r="H952" i="55"/>
  <c r="D952" i="55"/>
  <c r="B952" i="55"/>
  <c r="A952" i="55"/>
  <c r="W951" i="55"/>
  <c r="V951" i="55"/>
  <c r="U951" i="55"/>
  <c r="T951" i="55"/>
  <c r="S951" i="55"/>
  <c r="J951" i="55"/>
  <c r="I951" i="55"/>
  <c r="H951" i="55"/>
  <c r="D951" i="55"/>
  <c r="B951" i="55"/>
  <c r="A951" i="55"/>
  <c r="W950" i="55"/>
  <c r="V950" i="55"/>
  <c r="U950" i="55"/>
  <c r="T950" i="55"/>
  <c r="S950" i="55"/>
  <c r="J950" i="55"/>
  <c r="I950" i="55"/>
  <c r="H950" i="55"/>
  <c r="D950" i="55"/>
  <c r="B950" i="55"/>
  <c r="A950" i="55"/>
  <c r="W949" i="55"/>
  <c r="V949" i="55"/>
  <c r="U949" i="55"/>
  <c r="T949" i="55"/>
  <c r="S949" i="55"/>
  <c r="J949" i="55"/>
  <c r="I949" i="55"/>
  <c r="H949" i="55"/>
  <c r="D949" i="55"/>
  <c r="B949" i="55"/>
  <c r="A949" i="55"/>
  <c r="W948" i="55"/>
  <c r="V948" i="55"/>
  <c r="U948" i="55"/>
  <c r="T948" i="55"/>
  <c r="S948" i="55"/>
  <c r="J948" i="55"/>
  <c r="I948" i="55"/>
  <c r="H948" i="55"/>
  <c r="D948" i="55"/>
  <c r="B948" i="55"/>
  <c r="A948" i="55"/>
  <c r="W947" i="55"/>
  <c r="V947" i="55"/>
  <c r="U947" i="55"/>
  <c r="T947" i="55"/>
  <c r="S947" i="55"/>
  <c r="J947" i="55"/>
  <c r="I947" i="55"/>
  <c r="H947" i="55"/>
  <c r="D947" i="55"/>
  <c r="B947" i="55"/>
  <c r="A947" i="55"/>
  <c r="W946" i="55"/>
  <c r="V946" i="55"/>
  <c r="U946" i="55"/>
  <c r="T946" i="55"/>
  <c r="S946" i="55"/>
  <c r="J946" i="55"/>
  <c r="I946" i="55"/>
  <c r="H946" i="55"/>
  <c r="D946" i="55"/>
  <c r="B946" i="55"/>
  <c r="A946" i="55"/>
  <c r="W945" i="55"/>
  <c r="V945" i="55"/>
  <c r="U945" i="55"/>
  <c r="T945" i="55"/>
  <c r="S945" i="55"/>
  <c r="J945" i="55"/>
  <c r="I945" i="55"/>
  <c r="H945" i="55"/>
  <c r="D945" i="55"/>
  <c r="B945" i="55"/>
  <c r="A945" i="55"/>
  <c r="W944" i="55"/>
  <c r="V944" i="55"/>
  <c r="U944" i="55"/>
  <c r="T944" i="55"/>
  <c r="S944" i="55"/>
  <c r="J944" i="55"/>
  <c r="I944" i="55"/>
  <c r="H944" i="55"/>
  <c r="D944" i="55"/>
  <c r="B944" i="55"/>
  <c r="A944" i="55"/>
  <c r="W943" i="55"/>
  <c r="V943" i="55"/>
  <c r="U943" i="55"/>
  <c r="T943" i="55"/>
  <c r="S943" i="55"/>
  <c r="J943" i="55"/>
  <c r="I943" i="55"/>
  <c r="H943" i="55"/>
  <c r="D943" i="55"/>
  <c r="B943" i="55"/>
  <c r="A943" i="55"/>
  <c r="W942" i="55"/>
  <c r="V942" i="55"/>
  <c r="U942" i="55"/>
  <c r="T942" i="55"/>
  <c r="S942" i="55"/>
  <c r="J942" i="55"/>
  <c r="I942" i="55"/>
  <c r="H942" i="55"/>
  <c r="D942" i="55"/>
  <c r="B942" i="55"/>
  <c r="A942" i="55"/>
  <c r="W941" i="55"/>
  <c r="V941" i="55"/>
  <c r="U941" i="55"/>
  <c r="T941" i="55"/>
  <c r="S941" i="55"/>
  <c r="J941" i="55"/>
  <c r="I941" i="55"/>
  <c r="H941" i="55"/>
  <c r="D941" i="55"/>
  <c r="B941" i="55"/>
  <c r="A941" i="55"/>
  <c r="W940" i="55"/>
  <c r="V940" i="55"/>
  <c r="U940" i="55"/>
  <c r="T940" i="55"/>
  <c r="S940" i="55"/>
  <c r="J940" i="55"/>
  <c r="I940" i="55"/>
  <c r="H940" i="55"/>
  <c r="D940" i="55"/>
  <c r="B940" i="55"/>
  <c r="A940" i="55"/>
  <c r="W939" i="55"/>
  <c r="V939" i="55"/>
  <c r="U939" i="55"/>
  <c r="T939" i="55"/>
  <c r="S939" i="55"/>
  <c r="J939" i="55"/>
  <c r="I939" i="55"/>
  <c r="H939" i="55"/>
  <c r="D939" i="55"/>
  <c r="B939" i="55"/>
  <c r="A939" i="55"/>
  <c r="W938" i="55"/>
  <c r="V938" i="55"/>
  <c r="U938" i="55"/>
  <c r="T938" i="55"/>
  <c r="S938" i="55"/>
  <c r="J938" i="55"/>
  <c r="I938" i="55"/>
  <c r="H938" i="55"/>
  <c r="D938" i="55"/>
  <c r="B938" i="55"/>
  <c r="A938" i="55"/>
  <c r="W937" i="55"/>
  <c r="V937" i="55"/>
  <c r="U937" i="55"/>
  <c r="T937" i="55"/>
  <c r="S937" i="55"/>
  <c r="J937" i="55"/>
  <c r="I937" i="55"/>
  <c r="H937" i="55"/>
  <c r="D937" i="55"/>
  <c r="B937" i="55"/>
  <c r="A937" i="55"/>
  <c r="W936" i="55"/>
  <c r="V936" i="55"/>
  <c r="U936" i="55"/>
  <c r="T936" i="55"/>
  <c r="S936" i="55"/>
  <c r="J936" i="55"/>
  <c r="I936" i="55"/>
  <c r="H936" i="55"/>
  <c r="D936" i="55"/>
  <c r="B936" i="55"/>
  <c r="A936" i="55"/>
  <c r="W935" i="55"/>
  <c r="V935" i="55"/>
  <c r="U935" i="55"/>
  <c r="T935" i="55"/>
  <c r="S935" i="55"/>
  <c r="J935" i="55"/>
  <c r="I935" i="55"/>
  <c r="H935" i="55"/>
  <c r="D935" i="55"/>
  <c r="B935" i="55"/>
  <c r="A935" i="55"/>
  <c r="W934" i="55"/>
  <c r="V934" i="55"/>
  <c r="U934" i="55"/>
  <c r="T934" i="55"/>
  <c r="S934" i="55"/>
  <c r="J934" i="55"/>
  <c r="I934" i="55"/>
  <c r="H934" i="55"/>
  <c r="D934" i="55"/>
  <c r="B934" i="55"/>
  <c r="A934" i="55"/>
  <c r="W933" i="55"/>
  <c r="V933" i="55"/>
  <c r="U933" i="55"/>
  <c r="T933" i="55"/>
  <c r="S933" i="55"/>
  <c r="J933" i="55"/>
  <c r="I933" i="55"/>
  <c r="H933" i="55"/>
  <c r="D933" i="55"/>
  <c r="B933" i="55"/>
  <c r="A933" i="55"/>
  <c r="W932" i="55"/>
  <c r="V932" i="55"/>
  <c r="U932" i="55"/>
  <c r="T932" i="55"/>
  <c r="S932" i="55"/>
  <c r="J932" i="55"/>
  <c r="I932" i="55"/>
  <c r="H932" i="55"/>
  <c r="D932" i="55"/>
  <c r="B932" i="55"/>
  <c r="A932" i="55"/>
  <c r="W931" i="55"/>
  <c r="V931" i="55"/>
  <c r="U931" i="55"/>
  <c r="T931" i="55"/>
  <c r="S931" i="55"/>
  <c r="J931" i="55"/>
  <c r="I931" i="55"/>
  <c r="H931" i="55"/>
  <c r="D931" i="55"/>
  <c r="B931" i="55"/>
  <c r="A931" i="55"/>
  <c r="W930" i="55"/>
  <c r="V930" i="55"/>
  <c r="U930" i="55"/>
  <c r="T930" i="55"/>
  <c r="S930" i="55"/>
  <c r="J930" i="55"/>
  <c r="I930" i="55"/>
  <c r="H930" i="55"/>
  <c r="D930" i="55"/>
  <c r="B930" i="55"/>
  <c r="A930" i="55"/>
  <c r="W929" i="55"/>
  <c r="V929" i="55"/>
  <c r="U929" i="55"/>
  <c r="T929" i="55"/>
  <c r="S929" i="55"/>
  <c r="J929" i="55"/>
  <c r="I929" i="55"/>
  <c r="H929" i="55"/>
  <c r="D929" i="55"/>
  <c r="B929" i="55"/>
  <c r="A929" i="55"/>
  <c r="W928" i="55"/>
  <c r="V928" i="55"/>
  <c r="U928" i="55"/>
  <c r="T928" i="55"/>
  <c r="S928" i="55"/>
  <c r="J928" i="55"/>
  <c r="I928" i="55"/>
  <c r="H928" i="55"/>
  <c r="D928" i="55"/>
  <c r="B928" i="55"/>
  <c r="A928" i="55"/>
  <c r="W927" i="55"/>
  <c r="V927" i="55"/>
  <c r="U927" i="55"/>
  <c r="T927" i="55"/>
  <c r="S927" i="55"/>
  <c r="J927" i="55"/>
  <c r="I927" i="55"/>
  <c r="H927" i="55"/>
  <c r="D927" i="55"/>
  <c r="B927" i="55"/>
  <c r="A927" i="55"/>
  <c r="W926" i="55"/>
  <c r="V926" i="55"/>
  <c r="U926" i="55"/>
  <c r="T926" i="55"/>
  <c r="S926" i="55"/>
  <c r="J926" i="55"/>
  <c r="I926" i="55"/>
  <c r="H926" i="55"/>
  <c r="D926" i="55"/>
  <c r="B926" i="55"/>
  <c r="A926" i="55"/>
  <c r="W925" i="55"/>
  <c r="V925" i="55"/>
  <c r="U925" i="55"/>
  <c r="T925" i="55"/>
  <c r="S925" i="55"/>
  <c r="J925" i="55"/>
  <c r="I925" i="55"/>
  <c r="H925" i="55"/>
  <c r="D925" i="55"/>
  <c r="B925" i="55"/>
  <c r="A925" i="55"/>
  <c r="W924" i="55"/>
  <c r="V924" i="55"/>
  <c r="U924" i="55"/>
  <c r="T924" i="55"/>
  <c r="S924" i="55"/>
  <c r="J924" i="55"/>
  <c r="I924" i="55"/>
  <c r="H924" i="55"/>
  <c r="D924" i="55"/>
  <c r="B924" i="55"/>
  <c r="A924" i="55"/>
  <c r="W923" i="55"/>
  <c r="V923" i="55"/>
  <c r="U923" i="55"/>
  <c r="T923" i="55"/>
  <c r="S923" i="55"/>
  <c r="J923" i="55"/>
  <c r="I923" i="55"/>
  <c r="H923" i="55"/>
  <c r="D923" i="55"/>
  <c r="B923" i="55"/>
  <c r="A923" i="55"/>
  <c r="W922" i="55"/>
  <c r="V922" i="55"/>
  <c r="U922" i="55"/>
  <c r="T922" i="55"/>
  <c r="S922" i="55"/>
  <c r="J922" i="55"/>
  <c r="I922" i="55"/>
  <c r="H922" i="55"/>
  <c r="D922" i="55"/>
  <c r="B922" i="55"/>
  <c r="A922" i="55"/>
  <c r="W921" i="55"/>
  <c r="V921" i="55"/>
  <c r="U921" i="55"/>
  <c r="T921" i="55"/>
  <c r="S921" i="55"/>
  <c r="J921" i="55"/>
  <c r="I921" i="55"/>
  <c r="H921" i="55"/>
  <c r="D921" i="55"/>
  <c r="B921" i="55"/>
  <c r="A921" i="55"/>
  <c r="W920" i="55"/>
  <c r="V920" i="55"/>
  <c r="U920" i="55"/>
  <c r="T920" i="55"/>
  <c r="S920" i="55"/>
  <c r="J920" i="55"/>
  <c r="I920" i="55"/>
  <c r="H920" i="55"/>
  <c r="D920" i="55"/>
  <c r="B920" i="55"/>
  <c r="A920" i="55"/>
  <c r="W919" i="55"/>
  <c r="V919" i="55"/>
  <c r="U919" i="55"/>
  <c r="T919" i="55"/>
  <c r="S919" i="55"/>
  <c r="J919" i="55"/>
  <c r="I919" i="55"/>
  <c r="H919" i="55"/>
  <c r="D919" i="55"/>
  <c r="B919" i="55"/>
  <c r="A919" i="55"/>
  <c r="W918" i="55"/>
  <c r="V918" i="55"/>
  <c r="U918" i="55"/>
  <c r="T918" i="55"/>
  <c r="S918" i="55"/>
  <c r="J918" i="55"/>
  <c r="I918" i="55"/>
  <c r="H918" i="55"/>
  <c r="D918" i="55"/>
  <c r="B918" i="55"/>
  <c r="A918" i="55"/>
  <c r="W917" i="55"/>
  <c r="V917" i="55"/>
  <c r="U917" i="55"/>
  <c r="T917" i="55"/>
  <c r="S917" i="55"/>
  <c r="J917" i="55"/>
  <c r="I917" i="55"/>
  <c r="H917" i="55"/>
  <c r="D917" i="55"/>
  <c r="B917" i="55"/>
  <c r="A917" i="55"/>
  <c r="W916" i="55"/>
  <c r="V916" i="55"/>
  <c r="U916" i="55"/>
  <c r="T916" i="55"/>
  <c r="S916" i="55"/>
  <c r="J916" i="55"/>
  <c r="I916" i="55"/>
  <c r="H916" i="55"/>
  <c r="D916" i="55"/>
  <c r="B916" i="55"/>
  <c r="A916" i="55"/>
  <c r="W915" i="55"/>
  <c r="V915" i="55"/>
  <c r="U915" i="55"/>
  <c r="T915" i="55"/>
  <c r="S915" i="55"/>
  <c r="J915" i="55"/>
  <c r="I915" i="55"/>
  <c r="H915" i="55"/>
  <c r="D915" i="55"/>
  <c r="B915" i="55"/>
  <c r="A915" i="55"/>
  <c r="W914" i="55"/>
  <c r="V914" i="55"/>
  <c r="U914" i="55"/>
  <c r="T914" i="55"/>
  <c r="S914" i="55"/>
  <c r="J914" i="55"/>
  <c r="I914" i="55"/>
  <c r="H914" i="55"/>
  <c r="D914" i="55"/>
  <c r="B914" i="55"/>
  <c r="A914" i="55"/>
  <c r="W913" i="55"/>
  <c r="V913" i="55"/>
  <c r="U913" i="55"/>
  <c r="T913" i="55"/>
  <c r="S913" i="55"/>
  <c r="J913" i="55"/>
  <c r="I913" i="55"/>
  <c r="H913" i="55"/>
  <c r="D913" i="55"/>
  <c r="B913" i="55"/>
  <c r="A913" i="55"/>
  <c r="W912" i="55"/>
  <c r="V912" i="55"/>
  <c r="U912" i="55"/>
  <c r="T912" i="55"/>
  <c r="S912" i="55"/>
  <c r="J912" i="55"/>
  <c r="I912" i="55"/>
  <c r="H912" i="55"/>
  <c r="D912" i="55"/>
  <c r="B912" i="55"/>
  <c r="A912" i="55"/>
  <c r="W911" i="55"/>
  <c r="V911" i="55"/>
  <c r="U911" i="55"/>
  <c r="T911" i="55"/>
  <c r="S911" i="55"/>
  <c r="J911" i="55"/>
  <c r="I911" i="55"/>
  <c r="H911" i="55"/>
  <c r="D911" i="55"/>
  <c r="B911" i="55"/>
  <c r="A911" i="55"/>
  <c r="W910" i="55"/>
  <c r="V910" i="55"/>
  <c r="U910" i="55"/>
  <c r="T910" i="55"/>
  <c r="S910" i="55"/>
  <c r="J910" i="55"/>
  <c r="I910" i="55"/>
  <c r="H910" i="55"/>
  <c r="D910" i="55"/>
  <c r="B910" i="55"/>
  <c r="A910" i="55"/>
  <c r="W909" i="55"/>
  <c r="V909" i="55"/>
  <c r="U909" i="55"/>
  <c r="T909" i="55"/>
  <c r="S909" i="55"/>
  <c r="J909" i="55"/>
  <c r="I909" i="55"/>
  <c r="H909" i="55"/>
  <c r="D909" i="55"/>
  <c r="B909" i="55"/>
  <c r="A909" i="55"/>
  <c r="W908" i="55"/>
  <c r="V908" i="55"/>
  <c r="U908" i="55"/>
  <c r="T908" i="55"/>
  <c r="S908" i="55"/>
  <c r="J908" i="55"/>
  <c r="I908" i="55"/>
  <c r="H908" i="55"/>
  <c r="D908" i="55"/>
  <c r="B908" i="55"/>
  <c r="A908" i="55"/>
  <c r="W907" i="55"/>
  <c r="V907" i="55"/>
  <c r="U907" i="55"/>
  <c r="T907" i="55"/>
  <c r="S907" i="55"/>
  <c r="J907" i="55"/>
  <c r="I907" i="55"/>
  <c r="H907" i="55"/>
  <c r="D907" i="55"/>
  <c r="B907" i="55"/>
  <c r="A907" i="55"/>
  <c r="W906" i="55"/>
  <c r="V906" i="55"/>
  <c r="U906" i="55"/>
  <c r="T906" i="55"/>
  <c r="S906" i="55"/>
  <c r="J906" i="55"/>
  <c r="I906" i="55"/>
  <c r="H906" i="55"/>
  <c r="D906" i="55"/>
  <c r="B906" i="55"/>
  <c r="A906" i="55"/>
  <c r="W905" i="55"/>
  <c r="V905" i="55"/>
  <c r="U905" i="55"/>
  <c r="T905" i="55"/>
  <c r="S905" i="55"/>
  <c r="J905" i="55"/>
  <c r="I905" i="55"/>
  <c r="H905" i="55"/>
  <c r="D905" i="55"/>
  <c r="B905" i="55"/>
  <c r="A905" i="55"/>
  <c r="W904" i="55"/>
  <c r="V904" i="55"/>
  <c r="U904" i="55"/>
  <c r="T904" i="55"/>
  <c r="S904" i="55"/>
  <c r="J904" i="55"/>
  <c r="I904" i="55"/>
  <c r="H904" i="55"/>
  <c r="D904" i="55"/>
  <c r="B904" i="55"/>
  <c r="A904" i="55"/>
  <c r="W903" i="55"/>
  <c r="V903" i="55"/>
  <c r="U903" i="55"/>
  <c r="T903" i="55"/>
  <c r="S903" i="55"/>
  <c r="J903" i="55"/>
  <c r="I903" i="55"/>
  <c r="H903" i="55"/>
  <c r="D903" i="55"/>
  <c r="B903" i="55"/>
  <c r="A903" i="55"/>
  <c r="W902" i="55"/>
  <c r="V902" i="55"/>
  <c r="U902" i="55"/>
  <c r="T902" i="55"/>
  <c r="S902" i="55"/>
  <c r="J902" i="55"/>
  <c r="I902" i="55"/>
  <c r="H902" i="55"/>
  <c r="D902" i="55"/>
  <c r="B902" i="55"/>
  <c r="A902" i="55"/>
  <c r="W901" i="55"/>
  <c r="V901" i="55"/>
  <c r="U901" i="55"/>
  <c r="T901" i="55"/>
  <c r="S901" i="55"/>
  <c r="J901" i="55"/>
  <c r="I901" i="55"/>
  <c r="H901" i="55"/>
  <c r="D901" i="55"/>
  <c r="B901" i="55"/>
  <c r="A901" i="55"/>
  <c r="W900" i="55"/>
  <c r="V900" i="55"/>
  <c r="U900" i="55"/>
  <c r="T900" i="55"/>
  <c r="S900" i="55"/>
  <c r="J900" i="55"/>
  <c r="I900" i="55"/>
  <c r="H900" i="55"/>
  <c r="D900" i="55"/>
  <c r="B900" i="55"/>
  <c r="A900" i="55"/>
  <c r="W899" i="55"/>
  <c r="V899" i="55"/>
  <c r="U899" i="55"/>
  <c r="T899" i="55"/>
  <c r="S899" i="55"/>
  <c r="J899" i="55"/>
  <c r="I899" i="55"/>
  <c r="H899" i="55"/>
  <c r="D899" i="55"/>
  <c r="B899" i="55"/>
  <c r="A899" i="55"/>
  <c r="W898" i="55"/>
  <c r="V898" i="55"/>
  <c r="U898" i="55"/>
  <c r="T898" i="55"/>
  <c r="S898" i="55"/>
  <c r="J898" i="55"/>
  <c r="I898" i="55"/>
  <c r="H898" i="55"/>
  <c r="D898" i="55"/>
  <c r="B898" i="55"/>
  <c r="A898" i="55"/>
  <c r="W897" i="55"/>
  <c r="V897" i="55"/>
  <c r="U897" i="55"/>
  <c r="T897" i="55"/>
  <c r="S897" i="55"/>
  <c r="J897" i="55"/>
  <c r="I897" i="55"/>
  <c r="H897" i="55"/>
  <c r="D897" i="55"/>
  <c r="B897" i="55"/>
  <c r="A897" i="55"/>
  <c r="W896" i="55"/>
  <c r="V896" i="55"/>
  <c r="U896" i="55"/>
  <c r="T896" i="55"/>
  <c r="S896" i="55"/>
  <c r="J896" i="55"/>
  <c r="I896" i="55"/>
  <c r="H896" i="55"/>
  <c r="D896" i="55"/>
  <c r="B896" i="55"/>
  <c r="A896" i="55"/>
  <c r="W895" i="55"/>
  <c r="V895" i="55"/>
  <c r="U895" i="55"/>
  <c r="T895" i="55"/>
  <c r="S895" i="55"/>
  <c r="J895" i="55"/>
  <c r="I895" i="55"/>
  <c r="H895" i="55"/>
  <c r="D895" i="55"/>
  <c r="B895" i="55"/>
  <c r="A895" i="55"/>
  <c r="W894" i="55"/>
  <c r="V894" i="55"/>
  <c r="U894" i="55"/>
  <c r="T894" i="55"/>
  <c r="S894" i="55"/>
  <c r="J894" i="55"/>
  <c r="I894" i="55"/>
  <c r="H894" i="55"/>
  <c r="D894" i="55"/>
  <c r="B894" i="55"/>
  <c r="A894" i="55"/>
  <c r="W893" i="55"/>
  <c r="V893" i="55"/>
  <c r="U893" i="55"/>
  <c r="T893" i="55"/>
  <c r="S893" i="55"/>
  <c r="J893" i="55"/>
  <c r="I893" i="55"/>
  <c r="H893" i="55"/>
  <c r="D893" i="55"/>
  <c r="B893" i="55"/>
  <c r="A893" i="55"/>
  <c r="W892" i="55"/>
  <c r="V892" i="55"/>
  <c r="U892" i="55"/>
  <c r="T892" i="55"/>
  <c r="S892" i="55"/>
  <c r="J892" i="55"/>
  <c r="I892" i="55"/>
  <c r="H892" i="55"/>
  <c r="D892" i="55"/>
  <c r="B892" i="55"/>
  <c r="A892" i="55"/>
  <c r="W891" i="55"/>
  <c r="V891" i="55"/>
  <c r="U891" i="55"/>
  <c r="T891" i="55"/>
  <c r="S891" i="55"/>
  <c r="J891" i="55"/>
  <c r="I891" i="55"/>
  <c r="H891" i="55"/>
  <c r="D891" i="55"/>
  <c r="B891" i="55"/>
  <c r="A891" i="55"/>
  <c r="W890" i="55"/>
  <c r="V890" i="55"/>
  <c r="U890" i="55"/>
  <c r="T890" i="55"/>
  <c r="S890" i="55"/>
  <c r="J890" i="55"/>
  <c r="I890" i="55"/>
  <c r="H890" i="55"/>
  <c r="D890" i="55"/>
  <c r="B890" i="55"/>
  <c r="A890" i="55"/>
  <c r="W889" i="55"/>
  <c r="V889" i="55"/>
  <c r="U889" i="55"/>
  <c r="T889" i="55"/>
  <c r="S889" i="55"/>
  <c r="J889" i="55"/>
  <c r="I889" i="55"/>
  <c r="H889" i="55"/>
  <c r="D889" i="55"/>
  <c r="B889" i="55"/>
  <c r="A889" i="55"/>
  <c r="W888" i="55"/>
  <c r="V888" i="55"/>
  <c r="U888" i="55"/>
  <c r="T888" i="55"/>
  <c r="S888" i="55"/>
  <c r="J888" i="55"/>
  <c r="I888" i="55"/>
  <c r="H888" i="55"/>
  <c r="D888" i="55"/>
  <c r="B888" i="55"/>
  <c r="A888" i="55"/>
  <c r="W887" i="55"/>
  <c r="V887" i="55"/>
  <c r="U887" i="55"/>
  <c r="T887" i="55"/>
  <c r="S887" i="55"/>
  <c r="J887" i="55"/>
  <c r="I887" i="55"/>
  <c r="H887" i="55"/>
  <c r="D887" i="55"/>
  <c r="B887" i="55"/>
  <c r="A887" i="55"/>
  <c r="W886" i="55"/>
  <c r="V886" i="55"/>
  <c r="U886" i="55"/>
  <c r="T886" i="55"/>
  <c r="S886" i="55"/>
  <c r="J886" i="55"/>
  <c r="I886" i="55"/>
  <c r="H886" i="55"/>
  <c r="D886" i="55"/>
  <c r="B886" i="55"/>
  <c r="A886" i="55"/>
  <c r="W885" i="55"/>
  <c r="V885" i="55"/>
  <c r="U885" i="55"/>
  <c r="T885" i="55"/>
  <c r="S885" i="55"/>
  <c r="J885" i="55"/>
  <c r="I885" i="55"/>
  <c r="H885" i="55"/>
  <c r="D885" i="55"/>
  <c r="B885" i="55"/>
  <c r="A885" i="55"/>
  <c r="W884" i="55"/>
  <c r="V884" i="55"/>
  <c r="U884" i="55"/>
  <c r="T884" i="55"/>
  <c r="S884" i="55"/>
  <c r="J884" i="55"/>
  <c r="I884" i="55"/>
  <c r="H884" i="55"/>
  <c r="D884" i="55"/>
  <c r="B884" i="55"/>
  <c r="A884" i="55"/>
  <c r="W883" i="55"/>
  <c r="V883" i="55"/>
  <c r="U883" i="55"/>
  <c r="T883" i="55"/>
  <c r="S883" i="55"/>
  <c r="J883" i="55"/>
  <c r="I883" i="55"/>
  <c r="H883" i="55"/>
  <c r="D883" i="55"/>
  <c r="B883" i="55"/>
  <c r="A883" i="55"/>
  <c r="W882" i="55"/>
  <c r="V882" i="55"/>
  <c r="U882" i="55"/>
  <c r="T882" i="55"/>
  <c r="S882" i="55"/>
  <c r="J882" i="55"/>
  <c r="I882" i="55"/>
  <c r="H882" i="55"/>
  <c r="D882" i="55"/>
  <c r="B882" i="55"/>
  <c r="A882" i="55"/>
  <c r="W881" i="55"/>
  <c r="V881" i="55"/>
  <c r="U881" i="55"/>
  <c r="T881" i="55"/>
  <c r="S881" i="55"/>
  <c r="J881" i="55"/>
  <c r="I881" i="55"/>
  <c r="H881" i="55"/>
  <c r="D881" i="55"/>
  <c r="B881" i="55"/>
  <c r="A881" i="55"/>
  <c r="W880" i="55"/>
  <c r="V880" i="55"/>
  <c r="U880" i="55"/>
  <c r="T880" i="55"/>
  <c r="S880" i="55"/>
  <c r="J880" i="55"/>
  <c r="I880" i="55"/>
  <c r="H880" i="55"/>
  <c r="D880" i="55"/>
  <c r="B880" i="55"/>
  <c r="A880" i="55"/>
  <c r="W879" i="55"/>
  <c r="V879" i="55"/>
  <c r="U879" i="55"/>
  <c r="T879" i="55"/>
  <c r="S879" i="55"/>
  <c r="J879" i="55"/>
  <c r="I879" i="55"/>
  <c r="H879" i="55"/>
  <c r="D879" i="55"/>
  <c r="B879" i="55"/>
  <c r="A879" i="55"/>
  <c r="W878" i="55"/>
  <c r="V878" i="55"/>
  <c r="U878" i="55"/>
  <c r="T878" i="55"/>
  <c r="S878" i="55"/>
  <c r="J878" i="55"/>
  <c r="I878" i="55"/>
  <c r="H878" i="55"/>
  <c r="D878" i="55"/>
  <c r="B878" i="55"/>
  <c r="A878" i="55"/>
  <c r="W877" i="55"/>
  <c r="V877" i="55"/>
  <c r="U877" i="55"/>
  <c r="T877" i="55"/>
  <c r="S877" i="55"/>
  <c r="J877" i="55"/>
  <c r="I877" i="55"/>
  <c r="H877" i="55"/>
  <c r="D877" i="55"/>
  <c r="B877" i="55"/>
  <c r="A877" i="55"/>
  <c r="W876" i="55"/>
  <c r="V876" i="55"/>
  <c r="U876" i="55"/>
  <c r="T876" i="55"/>
  <c r="S876" i="55"/>
  <c r="J876" i="55"/>
  <c r="I876" i="55"/>
  <c r="H876" i="55"/>
  <c r="D876" i="55"/>
  <c r="B876" i="55"/>
  <c r="A876" i="55"/>
  <c r="W875" i="55"/>
  <c r="V875" i="55"/>
  <c r="U875" i="55"/>
  <c r="T875" i="55"/>
  <c r="S875" i="55"/>
  <c r="J875" i="55"/>
  <c r="I875" i="55"/>
  <c r="H875" i="55"/>
  <c r="D875" i="55"/>
  <c r="B875" i="55"/>
  <c r="A875" i="55"/>
  <c r="W874" i="55"/>
  <c r="V874" i="55"/>
  <c r="U874" i="55"/>
  <c r="T874" i="55"/>
  <c r="S874" i="55"/>
  <c r="J874" i="55"/>
  <c r="I874" i="55"/>
  <c r="H874" i="55"/>
  <c r="D874" i="55"/>
  <c r="B874" i="55"/>
  <c r="A874" i="55"/>
  <c r="W873" i="55"/>
  <c r="V873" i="55"/>
  <c r="U873" i="55"/>
  <c r="T873" i="55"/>
  <c r="S873" i="55"/>
  <c r="J873" i="55"/>
  <c r="I873" i="55"/>
  <c r="H873" i="55"/>
  <c r="D873" i="55"/>
  <c r="B873" i="55"/>
  <c r="A873" i="55"/>
  <c r="W872" i="55"/>
  <c r="V872" i="55"/>
  <c r="U872" i="55"/>
  <c r="T872" i="55"/>
  <c r="S872" i="55"/>
  <c r="J872" i="55"/>
  <c r="I872" i="55"/>
  <c r="H872" i="55"/>
  <c r="D872" i="55"/>
  <c r="B872" i="55"/>
  <c r="A872" i="55"/>
  <c r="W871" i="55"/>
  <c r="V871" i="55"/>
  <c r="U871" i="55"/>
  <c r="T871" i="55"/>
  <c r="S871" i="55"/>
  <c r="J871" i="55"/>
  <c r="I871" i="55"/>
  <c r="H871" i="55"/>
  <c r="D871" i="55"/>
  <c r="B871" i="55"/>
  <c r="A871" i="55"/>
  <c r="W870" i="55"/>
  <c r="V870" i="55"/>
  <c r="U870" i="55"/>
  <c r="T870" i="55"/>
  <c r="S870" i="55"/>
  <c r="J870" i="55"/>
  <c r="I870" i="55"/>
  <c r="H870" i="55"/>
  <c r="D870" i="55"/>
  <c r="B870" i="55"/>
  <c r="A870" i="55"/>
  <c r="W869" i="55"/>
  <c r="V869" i="55"/>
  <c r="U869" i="55"/>
  <c r="T869" i="55"/>
  <c r="S869" i="55"/>
  <c r="J869" i="55"/>
  <c r="I869" i="55"/>
  <c r="H869" i="55"/>
  <c r="D869" i="55"/>
  <c r="B869" i="55"/>
  <c r="A869" i="55"/>
  <c r="W868" i="55"/>
  <c r="V868" i="55"/>
  <c r="U868" i="55"/>
  <c r="T868" i="55"/>
  <c r="S868" i="55"/>
  <c r="J868" i="55"/>
  <c r="I868" i="55"/>
  <c r="H868" i="55"/>
  <c r="D868" i="55"/>
  <c r="B868" i="55"/>
  <c r="A868" i="55"/>
  <c r="W867" i="55"/>
  <c r="V867" i="55"/>
  <c r="U867" i="55"/>
  <c r="T867" i="55"/>
  <c r="S867" i="55"/>
  <c r="J867" i="55"/>
  <c r="I867" i="55"/>
  <c r="H867" i="55"/>
  <c r="D867" i="55"/>
  <c r="B867" i="55"/>
  <c r="A867" i="55"/>
  <c r="W866" i="55"/>
  <c r="V866" i="55"/>
  <c r="U866" i="55"/>
  <c r="T866" i="55"/>
  <c r="S866" i="55"/>
  <c r="J866" i="55"/>
  <c r="I866" i="55"/>
  <c r="H866" i="55"/>
  <c r="D866" i="55"/>
  <c r="B866" i="55"/>
  <c r="A866" i="55"/>
  <c r="W865" i="55"/>
  <c r="V865" i="55"/>
  <c r="U865" i="55"/>
  <c r="T865" i="55"/>
  <c r="S865" i="55"/>
  <c r="J865" i="55"/>
  <c r="I865" i="55"/>
  <c r="H865" i="55"/>
  <c r="D865" i="55"/>
  <c r="B865" i="55"/>
  <c r="A865" i="55"/>
  <c r="W864" i="55"/>
  <c r="V864" i="55"/>
  <c r="U864" i="55"/>
  <c r="T864" i="55"/>
  <c r="S864" i="55"/>
  <c r="J864" i="55"/>
  <c r="I864" i="55"/>
  <c r="H864" i="55"/>
  <c r="D864" i="55"/>
  <c r="B864" i="55"/>
  <c r="A864" i="55"/>
  <c r="W863" i="55"/>
  <c r="V863" i="55"/>
  <c r="U863" i="55"/>
  <c r="T863" i="55"/>
  <c r="S863" i="55"/>
  <c r="J863" i="55"/>
  <c r="I863" i="55"/>
  <c r="H863" i="55"/>
  <c r="D863" i="55"/>
  <c r="B863" i="55"/>
  <c r="A863" i="55"/>
  <c r="W862" i="55"/>
  <c r="V862" i="55"/>
  <c r="U862" i="55"/>
  <c r="T862" i="55"/>
  <c r="S862" i="55"/>
  <c r="J862" i="55"/>
  <c r="I862" i="55"/>
  <c r="H862" i="55"/>
  <c r="D862" i="55"/>
  <c r="B862" i="55"/>
  <c r="A862" i="55"/>
  <c r="W861" i="55"/>
  <c r="V861" i="55"/>
  <c r="U861" i="55"/>
  <c r="T861" i="55"/>
  <c r="S861" i="55"/>
  <c r="J861" i="55"/>
  <c r="I861" i="55"/>
  <c r="H861" i="55"/>
  <c r="D861" i="55"/>
  <c r="B861" i="55"/>
  <c r="A861" i="55"/>
  <c r="W860" i="55"/>
  <c r="V860" i="55"/>
  <c r="U860" i="55"/>
  <c r="T860" i="55"/>
  <c r="S860" i="55"/>
  <c r="J860" i="55"/>
  <c r="I860" i="55"/>
  <c r="H860" i="55"/>
  <c r="D860" i="55"/>
  <c r="B860" i="55"/>
  <c r="A860" i="55"/>
  <c r="W859" i="55"/>
  <c r="V859" i="55"/>
  <c r="U859" i="55"/>
  <c r="T859" i="55"/>
  <c r="S859" i="55"/>
  <c r="J859" i="55"/>
  <c r="I859" i="55"/>
  <c r="H859" i="55"/>
  <c r="D859" i="55"/>
  <c r="B859" i="55"/>
  <c r="A859" i="55"/>
  <c r="W858" i="55"/>
  <c r="V858" i="55"/>
  <c r="U858" i="55"/>
  <c r="T858" i="55"/>
  <c r="S858" i="55"/>
  <c r="J858" i="55"/>
  <c r="I858" i="55"/>
  <c r="H858" i="55"/>
  <c r="D858" i="55"/>
  <c r="B858" i="55"/>
  <c r="A858" i="55"/>
  <c r="W857" i="55"/>
  <c r="V857" i="55"/>
  <c r="U857" i="55"/>
  <c r="T857" i="55"/>
  <c r="S857" i="55"/>
  <c r="J857" i="55"/>
  <c r="I857" i="55"/>
  <c r="H857" i="55"/>
  <c r="D857" i="55"/>
  <c r="B857" i="55"/>
  <c r="A857" i="55"/>
  <c r="W856" i="55"/>
  <c r="V856" i="55"/>
  <c r="U856" i="55"/>
  <c r="T856" i="55"/>
  <c r="S856" i="55"/>
  <c r="J856" i="55"/>
  <c r="I856" i="55"/>
  <c r="H856" i="55"/>
  <c r="D856" i="55"/>
  <c r="B856" i="55"/>
  <c r="A856" i="55"/>
  <c r="W855" i="55"/>
  <c r="V855" i="55"/>
  <c r="U855" i="55"/>
  <c r="T855" i="55"/>
  <c r="S855" i="55"/>
  <c r="J855" i="55"/>
  <c r="I855" i="55"/>
  <c r="H855" i="55"/>
  <c r="D855" i="55"/>
  <c r="B855" i="55"/>
  <c r="A855" i="55"/>
  <c r="W854" i="55"/>
  <c r="V854" i="55"/>
  <c r="U854" i="55"/>
  <c r="T854" i="55"/>
  <c r="S854" i="55"/>
  <c r="J854" i="55"/>
  <c r="I854" i="55"/>
  <c r="H854" i="55"/>
  <c r="D854" i="55"/>
  <c r="B854" i="55"/>
  <c r="A854" i="55"/>
  <c r="W853" i="55"/>
  <c r="V853" i="55"/>
  <c r="U853" i="55"/>
  <c r="T853" i="55"/>
  <c r="S853" i="55"/>
  <c r="J853" i="55"/>
  <c r="I853" i="55"/>
  <c r="H853" i="55"/>
  <c r="D853" i="55"/>
  <c r="B853" i="55"/>
  <c r="A853" i="55"/>
  <c r="W852" i="55"/>
  <c r="V852" i="55"/>
  <c r="U852" i="55"/>
  <c r="T852" i="55"/>
  <c r="S852" i="55"/>
  <c r="J852" i="55"/>
  <c r="I852" i="55"/>
  <c r="H852" i="55"/>
  <c r="D852" i="55"/>
  <c r="B852" i="55"/>
  <c r="A852" i="55"/>
  <c r="W851" i="55"/>
  <c r="V851" i="55"/>
  <c r="U851" i="55"/>
  <c r="T851" i="55"/>
  <c r="S851" i="55"/>
  <c r="J851" i="55"/>
  <c r="I851" i="55"/>
  <c r="H851" i="55"/>
  <c r="D851" i="55"/>
  <c r="B851" i="55"/>
  <c r="A851" i="55"/>
  <c r="W850" i="55"/>
  <c r="V850" i="55"/>
  <c r="U850" i="55"/>
  <c r="T850" i="55"/>
  <c r="S850" i="55"/>
  <c r="J850" i="55"/>
  <c r="I850" i="55"/>
  <c r="H850" i="55"/>
  <c r="D850" i="55"/>
  <c r="B850" i="55"/>
  <c r="A850" i="55"/>
  <c r="W849" i="55"/>
  <c r="V849" i="55"/>
  <c r="U849" i="55"/>
  <c r="T849" i="55"/>
  <c r="S849" i="55"/>
  <c r="J849" i="55"/>
  <c r="I849" i="55"/>
  <c r="H849" i="55"/>
  <c r="D849" i="55"/>
  <c r="B849" i="55"/>
  <c r="A849" i="55"/>
  <c r="W848" i="55"/>
  <c r="V848" i="55"/>
  <c r="U848" i="55"/>
  <c r="T848" i="55"/>
  <c r="S848" i="55"/>
  <c r="J848" i="55"/>
  <c r="I848" i="55"/>
  <c r="H848" i="55"/>
  <c r="D848" i="55"/>
  <c r="B848" i="55"/>
  <c r="A848" i="55"/>
  <c r="W847" i="55"/>
  <c r="V847" i="55"/>
  <c r="U847" i="55"/>
  <c r="T847" i="55"/>
  <c r="S847" i="55"/>
  <c r="J847" i="55"/>
  <c r="I847" i="55"/>
  <c r="H847" i="55"/>
  <c r="D847" i="55"/>
  <c r="B847" i="55"/>
  <c r="A847" i="55"/>
  <c r="W846" i="55"/>
  <c r="V846" i="55"/>
  <c r="U846" i="55"/>
  <c r="T846" i="55"/>
  <c r="S846" i="55"/>
  <c r="J846" i="55"/>
  <c r="I846" i="55"/>
  <c r="H846" i="55"/>
  <c r="D846" i="55"/>
  <c r="B846" i="55"/>
  <c r="A846" i="55"/>
  <c r="W845" i="55"/>
  <c r="V845" i="55"/>
  <c r="U845" i="55"/>
  <c r="T845" i="55"/>
  <c r="S845" i="55"/>
  <c r="J845" i="55"/>
  <c r="I845" i="55"/>
  <c r="H845" i="55"/>
  <c r="D845" i="55"/>
  <c r="B845" i="55"/>
  <c r="A845" i="55"/>
  <c r="W844" i="55"/>
  <c r="V844" i="55"/>
  <c r="U844" i="55"/>
  <c r="T844" i="55"/>
  <c r="S844" i="55"/>
  <c r="J844" i="55"/>
  <c r="I844" i="55"/>
  <c r="H844" i="55"/>
  <c r="D844" i="55"/>
  <c r="B844" i="55"/>
  <c r="A844" i="55"/>
  <c r="W843" i="55"/>
  <c r="V843" i="55"/>
  <c r="U843" i="55"/>
  <c r="T843" i="55"/>
  <c r="S843" i="55"/>
  <c r="J843" i="55"/>
  <c r="I843" i="55"/>
  <c r="H843" i="55"/>
  <c r="D843" i="55"/>
  <c r="B843" i="55"/>
  <c r="A843" i="55"/>
  <c r="W842" i="55"/>
  <c r="V842" i="55"/>
  <c r="U842" i="55"/>
  <c r="T842" i="55"/>
  <c r="S842" i="55"/>
  <c r="J842" i="55"/>
  <c r="I842" i="55"/>
  <c r="H842" i="55"/>
  <c r="D842" i="55"/>
  <c r="B842" i="55"/>
  <c r="A842" i="55"/>
  <c r="W841" i="55"/>
  <c r="V841" i="55"/>
  <c r="U841" i="55"/>
  <c r="T841" i="55"/>
  <c r="S841" i="55"/>
  <c r="J841" i="55"/>
  <c r="I841" i="55"/>
  <c r="H841" i="55"/>
  <c r="D841" i="55"/>
  <c r="B841" i="55"/>
  <c r="A841" i="55"/>
  <c r="W840" i="55"/>
  <c r="V840" i="55"/>
  <c r="U840" i="55"/>
  <c r="T840" i="55"/>
  <c r="S840" i="55"/>
  <c r="J840" i="55"/>
  <c r="I840" i="55"/>
  <c r="H840" i="55"/>
  <c r="D840" i="55"/>
  <c r="B840" i="55"/>
  <c r="A840" i="55"/>
  <c r="W839" i="55"/>
  <c r="V839" i="55"/>
  <c r="U839" i="55"/>
  <c r="T839" i="55"/>
  <c r="S839" i="55"/>
  <c r="J839" i="55"/>
  <c r="I839" i="55"/>
  <c r="H839" i="55"/>
  <c r="D839" i="55"/>
  <c r="B839" i="55"/>
  <c r="A839" i="55"/>
  <c r="W838" i="55"/>
  <c r="V838" i="55"/>
  <c r="U838" i="55"/>
  <c r="T838" i="55"/>
  <c r="S838" i="55"/>
  <c r="J838" i="55"/>
  <c r="I838" i="55"/>
  <c r="H838" i="55"/>
  <c r="D838" i="55"/>
  <c r="B838" i="55"/>
  <c r="A838" i="55"/>
  <c r="W837" i="55"/>
  <c r="V837" i="55"/>
  <c r="U837" i="55"/>
  <c r="T837" i="55"/>
  <c r="S837" i="55"/>
  <c r="J837" i="55"/>
  <c r="I837" i="55"/>
  <c r="H837" i="55"/>
  <c r="D837" i="55"/>
  <c r="B837" i="55"/>
  <c r="A837" i="55"/>
  <c r="W836" i="55"/>
  <c r="V836" i="55"/>
  <c r="U836" i="55"/>
  <c r="T836" i="55"/>
  <c r="S836" i="55"/>
  <c r="J836" i="55"/>
  <c r="I836" i="55"/>
  <c r="H836" i="55"/>
  <c r="D836" i="55"/>
  <c r="B836" i="55"/>
  <c r="A836" i="55"/>
  <c r="W835" i="55"/>
  <c r="V835" i="55"/>
  <c r="U835" i="55"/>
  <c r="T835" i="55"/>
  <c r="S835" i="55"/>
  <c r="J835" i="55"/>
  <c r="I835" i="55"/>
  <c r="H835" i="55"/>
  <c r="D835" i="55"/>
  <c r="B835" i="55"/>
  <c r="A835" i="55"/>
  <c r="W834" i="55"/>
  <c r="V834" i="55"/>
  <c r="U834" i="55"/>
  <c r="T834" i="55"/>
  <c r="S834" i="55"/>
  <c r="J834" i="55"/>
  <c r="I834" i="55"/>
  <c r="H834" i="55"/>
  <c r="D834" i="55"/>
  <c r="B834" i="55"/>
  <c r="A834" i="55"/>
  <c r="W833" i="55"/>
  <c r="V833" i="55"/>
  <c r="U833" i="55"/>
  <c r="T833" i="55"/>
  <c r="S833" i="55"/>
  <c r="J833" i="55"/>
  <c r="I833" i="55"/>
  <c r="H833" i="55"/>
  <c r="D833" i="55"/>
  <c r="B833" i="55"/>
  <c r="A833" i="55"/>
  <c r="W832" i="55"/>
  <c r="V832" i="55"/>
  <c r="U832" i="55"/>
  <c r="T832" i="55"/>
  <c r="S832" i="55"/>
  <c r="J832" i="55"/>
  <c r="I832" i="55"/>
  <c r="H832" i="55"/>
  <c r="D832" i="55"/>
  <c r="B832" i="55"/>
  <c r="A832" i="55"/>
  <c r="W831" i="55"/>
  <c r="V831" i="55"/>
  <c r="U831" i="55"/>
  <c r="T831" i="55"/>
  <c r="S831" i="55"/>
  <c r="J831" i="55"/>
  <c r="I831" i="55"/>
  <c r="H831" i="55"/>
  <c r="D831" i="55"/>
  <c r="B831" i="55"/>
  <c r="A831" i="55"/>
  <c r="W830" i="55"/>
  <c r="V830" i="55"/>
  <c r="U830" i="55"/>
  <c r="T830" i="55"/>
  <c r="S830" i="55"/>
  <c r="J830" i="55"/>
  <c r="I830" i="55"/>
  <c r="H830" i="55"/>
  <c r="D830" i="55"/>
  <c r="B830" i="55"/>
  <c r="A830" i="55"/>
  <c r="W829" i="55"/>
  <c r="V829" i="55"/>
  <c r="U829" i="55"/>
  <c r="T829" i="55"/>
  <c r="S829" i="55"/>
  <c r="J829" i="55"/>
  <c r="I829" i="55"/>
  <c r="H829" i="55"/>
  <c r="D829" i="55"/>
  <c r="B829" i="55"/>
  <c r="A829" i="55"/>
  <c r="W828" i="55"/>
  <c r="V828" i="55"/>
  <c r="U828" i="55"/>
  <c r="T828" i="55"/>
  <c r="S828" i="55"/>
  <c r="J828" i="55"/>
  <c r="I828" i="55"/>
  <c r="H828" i="55"/>
  <c r="D828" i="55"/>
  <c r="B828" i="55"/>
  <c r="A828" i="55"/>
  <c r="W827" i="55"/>
  <c r="V827" i="55"/>
  <c r="U827" i="55"/>
  <c r="T827" i="55"/>
  <c r="S827" i="55"/>
  <c r="J827" i="55"/>
  <c r="I827" i="55"/>
  <c r="H827" i="55"/>
  <c r="D827" i="55"/>
  <c r="B827" i="55"/>
  <c r="A827" i="55"/>
  <c r="W826" i="55"/>
  <c r="V826" i="55"/>
  <c r="U826" i="55"/>
  <c r="T826" i="55"/>
  <c r="S826" i="55"/>
  <c r="J826" i="55"/>
  <c r="I826" i="55"/>
  <c r="H826" i="55"/>
  <c r="D826" i="55"/>
  <c r="B826" i="55"/>
  <c r="A826" i="55"/>
  <c r="W825" i="55"/>
  <c r="V825" i="55"/>
  <c r="U825" i="55"/>
  <c r="T825" i="55"/>
  <c r="S825" i="55"/>
  <c r="J825" i="55"/>
  <c r="I825" i="55"/>
  <c r="H825" i="55"/>
  <c r="D825" i="55"/>
  <c r="B825" i="55"/>
  <c r="A825" i="55"/>
  <c r="W824" i="55"/>
  <c r="V824" i="55"/>
  <c r="U824" i="55"/>
  <c r="T824" i="55"/>
  <c r="S824" i="55"/>
  <c r="J824" i="55"/>
  <c r="I824" i="55"/>
  <c r="H824" i="55"/>
  <c r="D824" i="55"/>
  <c r="B824" i="55"/>
  <c r="A824" i="55"/>
  <c r="W823" i="55"/>
  <c r="V823" i="55"/>
  <c r="U823" i="55"/>
  <c r="T823" i="55"/>
  <c r="S823" i="55"/>
  <c r="J823" i="55"/>
  <c r="I823" i="55"/>
  <c r="H823" i="55"/>
  <c r="D823" i="55"/>
  <c r="B823" i="55"/>
  <c r="A823" i="55"/>
  <c r="W822" i="55"/>
  <c r="V822" i="55"/>
  <c r="U822" i="55"/>
  <c r="T822" i="55"/>
  <c r="S822" i="55"/>
  <c r="J822" i="55"/>
  <c r="I822" i="55"/>
  <c r="H822" i="55"/>
  <c r="D822" i="55"/>
  <c r="B822" i="55"/>
  <c r="A822" i="55"/>
  <c r="W821" i="55"/>
  <c r="V821" i="55"/>
  <c r="U821" i="55"/>
  <c r="T821" i="55"/>
  <c r="S821" i="55"/>
  <c r="J821" i="55"/>
  <c r="I821" i="55"/>
  <c r="H821" i="55"/>
  <c r="D821" i="55"/>
  <c r="B821" i="55"/>
  <c r="A821" i="55"/>
  <c r="W820" i="55"/>
  <c r="V820" i="55"/>
  <c r="U820" i="55"/>
  <c r="T820" i="55"/>
  <c r="S820" i="55"/>
  <c r="J820" i="55"/>
  <c r="I820" i="55"/>
  <c r="H820" i="55"/>
  <c r="D820" i="55"/>
  <c r="B820" i="55"/>
  <c r="A820" i="55"/>
  <c r="W819" i="55"/>
  <c r="V819" i="55"/>
  <c r="U819" i="55"/>
  <c r="T819" i="55"/>
  <c r="S819" i="55"/>
  <c r="J819" i="55"/>
  <c r="I819" i="55"/>
  <c r="H819" i="55"/>
  <c r="D819" i="55"/>
  <c r="B819" i="55"/>
  <c r="A819" i="55"/>
  <c r="W818" i="55"/>
  <c r="V818" i="55"/>
  <c r="U818" i="55"/>
  <c r="T818" i="55"/>
  <c r="S818" i="55"/>
  <c r="J818" i="55"/>
  <c r="I818" i="55"/>
  <c r="H818" i="55"/>
  <c r="D818" i="55"/>
  <c r="B818" i="55"/>
  <c r="A818" i="55"/>
  <c r="W817" i="55"/>
  <c r="V817" i="55"/>
  <c r="U817" i="55"/>
  <c r="T817" i="55"/>
  <c r="S817" i="55"/>
  <c r="J817" i="55"/>
  <c r="I817" i="55"/>
  <c r="H817" i="55"/>
  <c r="D817" i="55"/>
  <c r="B817" i="55"/>
  <c r="A817" i="55"/>
  <c r="W816" i="55"/>
  <c r="V816" i="55"/>
  <c r="U816" i="55"/>
  <c r="T816" i="55"/>
  <c r="S816" i="55"/>
  <c r="J816" i="55"/>
  <c r="I816" i="55"/>
  <c r="H816" i="55"/>
  <c r="D816" i="55"/>
  <c r="B816" i="55"/>
  <c r="A816" i="55"/>
  <c r="W815" i="55"/>
  <c r="V815" i="55"/>
  <c r="U815" i="55"/>
  <c r="T815" i="55"/>
  <c r="S815" i="55"/>
  <c r="J815" i="55"/>
  <c r="I815" i="55"/>
  <c r="H815" i="55"/>
  <c r="D815" i="55"/>
  <c r="B815" i="55"/>
  <c r="A815" i="55"/>
  <c r="W814" i="55"/>
  <c r="V814" i="55"/>
  <c r="U814" i="55"/>
  <c r="T814" i="55"/>
  <c r="S814" i="55"/>
  <c r="J814" i="55"/>
  <c r="I814" i="55"/>
  <c r="H814" i="55"/>
  <c r="D814" i="55"/>
  <c r="B814" i="55"/>
  <c r="A814" i="55"/>
  <c r="W813" i="55"/>
  <c r="V813" i="55"/>
  <c r="U813" i="55"/>
  <c r="T813" i="55"/>
  <c r="S813" i="55"/>
  <c r="J813" i="55"/>
  <c r="I813" i="55"/>
  <c r="H813" i="55"/>
  <c r="D813" i="55"/>
  <c r="B813" i="55"/>
  <c r="A813" i="55"/>
  <c r="W812" i="55"/>
  <c r="V812" i="55"/>
  <c r="U812" i="55"/>
  <c r="T812" i="55"/>
  <c r="S812" i="55"/>
  <c r="J812" i="55"/>
  <c r="I812" i="55"/>
  <c r="H812" i="55"/>
  <c r="D812" i="55"/>
  <c r="B812" i="55"/>
  <c r="A812" i="55"/>
  <c r="W811" i="55"/>
  <c r="V811" i="55"/>
  <c r="U811" i="55"/>
  <c r="T811" i="55"/>
  <c r="S811" i="55"/>
  <c r="J811" i="55"/>
  <c r="I811" i="55"/>
  <c r="H811" i="55"/>
  <c r="D811" i="55"/>
  <c r="B811" i="55"/>
  <c r="A811" i="55"/>
  <c r="W810" i="55"/>
  <c r="V810" i="55"/>
  <c r="U810" i="55"/>
  <c r="T810" i="55"/>
  <c r="S810" i="55"/>
  <c r="J810" i="55"/>
  <c r="I810" i="55"/>
  <c r="H810" i="55"/>
  <c r="D810" i="55"/>
  <c r="B810" i="55"/>
  <c r="A810" i="55"/>
  <c r="W809" i="55"/>
  <c r="V809" i="55"/>
  <c r="U809" i="55"/>
  <c r="T809" i="55"/>
  <c r="S809" i="55"/>
  <c r="J809" i="55"/>
  <c r="I809" i="55"/>
  <c r="H809" i="55"/>
  <c r="D809" i="55"/>
  <c r="B809" i="55"/>
  <c r="A809" i="55"/>
  <c r="W808" i="55"/>
  <c r="V808" i="55"/>
  <c r="U808" i="55"/>
  <c r="T808" i="55"/>
  <c r="S808" i="55"/>
  <c r="J808" i="55"/>
  <c r="I808" i="55"/>
  <c r="H808" i="55"/>
  <c r="D808" i="55"/>
  <c r="B808" i="55"/>
  <c r="A808" i="55"/>
  <c r="W807" i="55"/>
  <c r="V807" i="55"/>
  <c r="U807" i="55"/>
  <c r="T807" i="55"/>
  <c r="S807" i="55"/>
  <c r="J807" i="55"/>
  <c r="I807" i="55"/>
  <c r="H807" i="55"/>
  <c r="D807" i="55"/>
  <c r="B807" i="55"/>
  <c r="A807" i="55"/>
  <c r="W806" i="55"/>
  <c r="V806" i="55"/>
  <c r="U806" i="55"/>
  <c r="T806" i="55"/>
  <c r="S806" i="55"/>
  <c r="J806" i="55"/>
  <c r="I806" i="55"/>
  <c r="H806" i="55"/>
  <c r="D806" i="55"/>
  <c r="B806" i="55"/>
  <c r="A806" i="55"/>
  <c r="W805" i="55"/>
  <c r="V805" i="55"/>
  <c r="U805" i="55"/>
  <c r="T805" i="55"/>
  <c r="S805" i="55"/>
  <c r="J805" i="55"/>
  <c r="I805" i="55"/>
  <c r="H805" i="55"/>
  <c r="D805" i="55"/>
  <c r="B805" i="55"/>
  <c r="A805" i="55"/>
  <c r="W804" i="55"/>
  <c r="V804" i="55"/>
  <c r="U804" i="55"/>
  <c r="T804" i="55"/>
  <c r="S804" i="55"/>
  <c r="J804" i="55"/>
  <c r="I804" i="55"/>
  <c r="H804" i="55"/>
  <c r="D804" i="55"/>
  <c r="B804" i="55"/>
  <c r="A804" i="55"/>
  <c r="W803" i="55"/>
  <c r="V803" i="55"/>
  <c r="U803" i="55"/>
  <c r="T803" i="55"/>
  <c r="S803" i="55"/>
  <c r="J803" i="55"/>
  <c r="I803" i="55"/>
  <c r="H803" i="55"/>
  <c r="D803" i="55"/>
  <c r="B803" i="55"/>
  <c r="A803" i="55"/>
  <c r="W802" i="55"/>
  <c r="V802" i="55"/>
  <c r="U802" i="55"/>
  <c r="T802" i="55"/>
  <c r="S802" i="55"/>
  <c r="J802" i="55"/>
  <c r="I802" i="55"/>
  <c r="H802" i="55"/>
  <c r="D802" i="55"/>
  <c r="B802" i="55"/>
  <c r="A802" i="55"/>
  <c r="W801" i="55"/>
  <c r="V801" i="55"/>
  <c r="U801" i="55"/>
  <c r="T801" i="55"/>
  <c r="S801" i="55"/>
  <c r="J801" i="55"/>
  <c r="I801" i="55"/>
  <c r="H801" i="55"/>
  <c r="D801" i="55"/>
  <c r="B801" i="55"/>
  <c r="A801" i="55"/>
  <c r="W800" i="55"/>
  <c r="V800" i="55"/>
  <c r="U800" i="55"/>
  <c r="T800" i="55"/>
  <c r="S800" i="55"/>
  <c r="J800" i="55"/>
  <c r="I800" i="55"/>
  <c r="H800" i="55"/>
  <c r="D800" i="55"/>
  <c r="B800" i="55"/>
  <c r="A800" i="55"/>
  <c r="W799" i="55"/>
  <c r="V799" i="55"/>
  <c r="U799" i="55"/>
  <c r="T799" i="55"/>
  <c r="S799" i="55"/>
  <c r="J799" i="55"/>
  <c r="I799" i="55"/>
  <c r="H799" i="55"/>
  <c r="D799" i="55"/>
  <c r="B799" i="55"/>
  <c r="A799" i="55"/>
  <c r="W798" i="55"/>
  <c r="V798" i="55"/>
  <c r="U798" i="55"/>
  <c r="T798" i="55"/>
  <c r="S798" i="55"/>
  <c r="J798" i="55"/>
  <c r="I798" i="55"/>
  <c r="H798" i="55"/>
  <c r="D798" i="55"/>
  <c r="B798" i="55"/>
  <c r="A798" i="55"/>
  <c r="W797" i="55"/>
  <c r="V797" i="55"/>
  <c r="U797" i="55"/>
  <c r="T797" i="55"/>
  <c r="S797" i="55"/>
  <c r="J797" i="55"/>
  <c r="I797" i="55"/>
  <c r="H797" i="55"/>
  <c r="D797" i="55"/>
  <c r="B797" i="55"/>
  <c r="A797" i="55"/>
  <c r="W796" i="55"/>
  <c r="V796" i="55"/>
  <c r="U796" i="55"/>
  <c r="T796" i="55"/>
  <c r="S796" i="55"/>
  <c r="J796" i="55"/>
  <c r="I796" i="55"/>
  <c r="H796" i="55"/>
  <c r="D796" i="55"/>
  <c r="B796" i="55"/>
  <c r="A796" i="55"/>
  <c r="W795" i="55"/>
  <c r="V795" i="55"/>
  <c r="U795" i="55"/>
  <c r="T795" i="55"/>
  <c r="S795" i="55"/>
  <c r="J795" i="55"/>
  <c r="I795" i="55"/>
  <c r="H795" i="55"/>
  <c r="D795" i="55"/>
  <c r="B795" i="55"/>
  <c r="A795" i="55"/>
  <c r="W794" i="55"/>
  <c r="V794" i="55"/>
  <c r="U794" i="55"/>
  <c r="T794" i="55"/>
  <c r="S794" i="55"/>
  <c r="J794" i="55"/>
  <c r="I794" i="55"/>
  <c r="H794" i="55"/>
  <c r="D794" i="55"/>
  <c r="B794" i="55"/>
  <c r="A794" i="55"/>
  <c r="W793" i="55"/>
  <c r="V793" i="55"/>
  <c r="U793" i="55"/>
  <c r="T793" i="55"/>
  <c r="S793" i="55"/>
  <c r="J793" i="55"/>
  <c r="I793" i="55"/>
  <c r="H793" i="55"/>
  <c r="D793" i="55"/>
  <c r="B793" i="55"/>
  <c r="A793" i="55"/>
  <c r="W792" i="55"/>
  <c r="V792" i="55"/>
  <c r="U792" i="55"/>
  <c r="T792" i="55"/>
  <c r="S792" i="55"/>
  <c r="J792" i="55"/>
  <c r="I792" i="55"/>
  <c r="H792" i="55"/>
  <c r="D792" i="55"/>
  <c r="B792" i="55"/>
  <c r="A792" i="55"/>
  <c r="W791" i="55"/>
  <c r="V791" i="55"/>
  <c r="U791" i="55"/>
  <c r="T791" i="55"/>
  <c r="S791" i="55"/>
  <c r="J791" i="55"/>
  <c r="I791" i="55"/>
  <c r="H791" i="55"/>
  <c r="D791" i="55"/>
  <c r="B791" i="55"/>
  <c r="A791" i="55"/>
  <c r="W790" i="55"/>
  <c r="V790" i="55"/>
  <c r="U790" i="55"/>
  <c r="T790" i="55"/>
  <c r="S790" i="55"/>
  <c r="J790" i="55"/>
  <c r="I790" i="55"/>
  <c r="H790" i="55"/>
  <c r="D790" i="55"/>
  <c r="B790" i="55"/>
  <c r="A790" i="55"/>
  <c r="W789" i="55"/>
  <c r="V789" i="55"/>
  <c r="U789" i="55"/>
  <c r="T789" i="55"/>
  <c r="S789" i="55"/>
  <c r="J789" i="55"/>
  <c r="I789" i="55"/>
  <c r="H789" i="55"/>
  <c r="D789" i="55"/>
  <c r="B789" i="55"/>
  <c r="A789" i="55"/>
  <c r="W788" i="55"/>
  <c r="V788" i="55"/>
  <c r="U788" i="55"/>
  <c r="T788" i="55"/>
  <c r="S788" i="55"/>
  <c r="J788" i="55"/>
  <c r="I788" i="55"/>
  <c r="H788" i="55"/>
  <c r="D788" i="55"/>
  <c r="B788" i="55"/>
  <c r="A788" i="55"/>
  <c r="W787" i="55"/>
  <c r="V787" i="55"/>
  <c r="U787" i="55"/>
  <c r="T787" i="55"/>
  <c r="S787" i="55"/>
  <c r="J787" i="55"/>
  <c r="I787" i="55"/>
  <c r="H787" i="55"/>
  <c r="D787" i="55"/>
  <c r="B787" i="55"/>
  <c r="A787" i="55"/>
  <c r="W786" i="55"/>
  <c r="V786" i="55"/>
  <c r="U786" i="55"/>
  <c r="T786" i="55"/>
  <c r="S786" i="55"/>
  <c r="J786" i="55"/>
  <c r="I786" i="55"/>
  <c r="H786" i="55"/>
  <c r="D786" i="55"/>
  <c r="B786" i="55"/>
  <c r="A786" i="55"/>
  <c r="W785" i="55"/>
  <c r="V785" i="55"/>
  <c r="U785" i="55"/>
  <c r="T785" i="55"/>
  <c r="S785" i="55"/>
  <c r="J785" i="55"/>
  <c r="I785" i="55"/>
  <c r="H785" i="55"/>
  <c r="D785" i="55"/>
  <c r="B785" i="55"/>
  <c r="A785" i="55"/>
  <c r="W784" i="55"/>
  <c r="V784" i="55"/>
  <c r="U784" i="55"/>
  <c r="T784" i="55"/>
  <c r="S784" i="55"/>
  <c r="J784" i="55"/>
  <c r="I784" i="55"/>
  <c r="H784" i="55"/>
  <c r="D784" i="55"/>
  <c r="B784" i="55"/>
  <c r="A784" i="55"/>
  <c r="W783" i="55"/>
  <c r="V783" i="55"/>
  <c r="U783" i="55"/>
  <c r="T783" i="55"/>
  <c r="S783" i="55"/>
  <c r="J783" i="55"/>
  <c r="I783" i="55"/>
  <c r="H783" i="55"/>
  <c r="D783" i="55"/>
  <c r="B783" i="55"/>
  <c r="A783" i="55"/>
  <c r="W782" i="55"/>
  <c r="V782" i="55"/>
  <c r="U782" i="55"/>
  <c r="T782" i="55"/>
  <c r="S782" i="55"/>
  <c r="J782" i="55"/>
  <c r="I782" i="55"/>
  <c r="H782" i="55"/>
  <c r="D782" i="55"/>
  <c r="B782" i="55"/>
  <c r="A782" i="55"/>
  <c r="W781" i="55"/>
  <c r="V781" i="55"/>
  <c r="U781" i="55"/>
  <c r="T781" i="55"/>
  <c r="S781" i="55"/>
  <c r="J781" i="55"/>
  <c r="I781" i="55"/>
  <c r="H781" i="55"/>
  <c r="D781" i="55"/>
  <c r="B781" i="55"/>
  <c r="A781" i="55"/>
  <c r="W780" i="55"/>
  <c r="V780" i="55"/>
  <c r="U780" i="55"/>
  <c r="T780" i="55"/>
  <c r="S780" i="55"/>
  <c r="J780" i="55"/>
  <c r="I780" i="55"/>
  <c r="H780" i="55"/>
  <c r="D780" i="55"/>
  <c r="B780" i="55"/>
  <c r="A780" i="55"/>
  <c r="W779" i="55"/>
  <c r="V779" i="55"/>
  <c r="U779" i="55"/>
  <c r="T779" i="55"/>
  <c r="S779" i="55"/>
  <c r="J779" i="55"/>
  <c r="I779" i="55"/>
  <c r="H779" i="55"/>
  <c r="D779" i="55"/>
  <c r="B779" i="55"/>
  <c r="A779" i="55"/>
  <c r="W778" i="55"/>
  <c r="V778" i="55"/>
  <c r="U778" i="55"/>
  <c r="T778" i="55"/>
  <c r="S778" i="55"/>
  <c r="J778" i="55"/>
  <c r="I778" i="55"/>
  <c r="H778" i="55"/>
  <c r="D778" i="55"/>
  <c r="B778" i="55"/>
  <c r="A778" i="55"/>
  <c r="W777" i="55"/>
  <c r="V777" i="55"/>
  <c r="U777" i="55"/>
  <c r="T777" i="55"/>
  <c r="S777" i="55"/>
  <c r="J777" i="55"/>
  <c r="I777" i="55"/>
  <c r="H777" i="55"/>
  <c r="D777" i="55"/>
  <c r="B777" i="55"/>
  <c r="A777" i="55"/>
  <c r="W776" i="55"/>
  <c r="V776" i="55"/>
  <c r="U776" i="55"/>
  <c r="T776" i="55"/>
  <c r="S776" i="55"/>
  <c r="J776" i="55"/>
  <c r="I776" i="55"/>
  <c r="H776" i="55"/>
  <c r="D776" i="55"/>
  <c r="B776" i="55"/>
  <c r="A776" i="55"/>
  <c r="W775" i="55"/>
  <c r="V775" i="55"/>
  <c r="U775" i="55"/>
  <c r="T775" i="55"/>
  <c r="S775" i="55"/>
  <c r="J775" i="55"/>
  <c r="I775" i="55"/>
  <c r="H775" i="55"/>
  <c r="D775" i="55"/>
  <c r="B775" i="55"/>
  <c r="A775" i="55"/>
  <c r="W774" i="55"/>
  <c r="V774" i="55"/>
  <c r="U774" i="55"/>
  <c r="T774" i="55"/>
  <c r="S774" i="55"/>
  <c r="J774" i="55"/>
  <c r="I774" i="55"/>
  <c r="H774" i="55"/>
  <c r="D774" i="55"/>
  <c r="B774" i="55"/>
  <c r="A774" i="55"/>
  <c r="W773" i="55"/>
  <c r="V773" i="55"/>
  <c r="U773" i="55"/>
  <c r="T773" i="55"/>
  <c r="S773" i="55"/>
  <c r="J773" i="55"/>
  <c r="I773" i="55"/>
  <c r="H773" i="55"/>
  <c r="D773" i="55"/>
  <c r="B773" i="55"/>
  <c r="A773" i="55"/>
  <c r="W772" i="55"/>
  <c r="V772" i="55"/>
  <c r="U772" i="55"/>
  <c r="T772" i="55"/>
  <c r="S772" i="55"/>
  <c r="J772" i="55"/>
  <c r="I772" i="55"/>
  <c r="H772" i="55"/>
  <c r="D772" i="55"/>
  <c r="B772" i="55"/>
  <c r="A772" i="55"/>
  <c r="W771" i="55"/>
  <c r="V771" i="55"/>
  <c r="U771" i="55"/>
  <c r="T771" i="55"/>
  <c r="S771" i="55"/>
  <c r="J771" i="55"/>
  <c r="I771" i="55"/>
  <c r="H771" i="55"/>
  <c r="D771" i="55"/>
  <c r="B771" i="55"/>
  <c r="A771" i="55"/>
  <c r="W770" i="55"/>
  <c r="V770" i="55"/>
  <c r="U770" i="55"/>
  <c r="T770" i="55"/>
  <c r="S770" i="55"/>
  <c r="J770" i="55"/>
  <c r="I770" i="55"/>
  <c r="H770" i="55"/>
  <c r="D770" i="55"/>
  <c r="B770" i="55"/>
  <c r="A770" i="55"/>
  <c r="W769" i="55"/>
  <c r="V769" i="55"/>
  <c r="U769" i="55"/>
  <c r="T769" i="55"/>
  <c r="S769" i="55"/>
  <c r="J769" i="55"/>
  <c r="I769" i="55"/>
  <c r="H769" i="55"/>
  <c r="D769" i="55"/>
  <c r="B769" i="55"/>
  <c r="A769" i="55"/>
  <c r="W768" i="55"/>
  <c r="V768" i="55"/>
  <c r="U768" i="55"/>
  <c r="T768" i="55"/>
  <c r="S768" i="55"/>
  <c r="J768" i="55"/>
  <c r="I768" i="55"/>
  <c r="H768" i="55"/>
  <c r="D768" i="55"/>
  <c r="B768" i="55"/>
  <c r="A768" i="55"/>
  <c r="W767" i="55"/>
  <c r="V767" i="55"/>
  <c r="U767" i="55"/>
  <c r="T767" i="55"/>
  <c r="S767" i="55"/>
  <c r="J767" i="55"/>
  <c r="I767" i="55"/>
  <c r="H767" i="55"/>
  <c r="D767" i="55"/>
  <c r="B767" i="55"/>
  <c r="A767" i="55"/>
  <c r="W766" i="55"/>
  <c r="V766" i="55"/>
  <c r="U766" i="55"/>
  <c r="T766" i="55"/>
  <c r="S766" i="55"/>
  <c r="J766" i="55"/>
  <c r="I766" i="55"/>
  <c r="H766" i="55"/>
  <c r="D766" i="55"/>
  <c r="B766" i="55"/>
  <c r="A766" i="55"/>
  <c r="W765" i="55"/>
  <c r="V765" i="55"/>
  <c r="U765" i="55"/>
  <c r="T765" i="55"/>
  <c r="S765" i="55"/>
  <c r="J765" i="55"/>
  <c r="I765" i="55"/>
  <c r="H765" i="55"/>
  <c r="D765" i="55"/>
  <c r="B765" i="55"/>
  <c r="A765" i="55"/>
  <c r="W764" i="55"/>
  <c r="V764" i="55"/>
  <c r="U764" i="55"/>
  <c r="T764" i="55"/>
  <c r="S764" i="55"/>
  <c r="J764" i="55"/>
  <c r="I764" i="55"/>
  <c r="H764" i="55"/>
  <c r="D764" i="55"/>
  <c r="B764" i="55"/>
  <c r="A764" i="55"/>
  <c r="W763" i="55"/>
  <c r="V763" i="55"/>
  <c r="U763" i="55"/>
  <c r="T763" i="55"/>
  <c r="S763" i="55"/>
  <c r="J763" i="55"/>
  <c r="I763" i="55"/>
  <c r="H763" i="55"/>
  <c r="D763" i="55"/>
  <c r="B763" i="55"/>
  <c r="A763" i="55"/>
  <c r="W762" i="55"/>
  <c r="V762" i="55"/>
  <c r="U762" i="55"/>
  <c r="T762" i="55"/>
  <c r="S762" i="55"/>
  <c r="J762" i="55"/>
  <c r="I762" i="55"/>
  <c r="H762" i="55"/>
  <c r="D762" i="55"/>
  <c r="B762" i="55"/>
  <c r="A762" i="55"/>
  <c r="W761" i="55"/>
  <c r="V761" i="55"/>
  <c r="U761" i="55"/>
  <c r="T761" i="55"/>
  <c r="S761" i="55"/>
  <c r="J761" i="55"/>
  <c r="I761" i="55"/>
  <c r="H761" i="55"/>
  <c r="D761" i="55"/>
  <c r="B761" i="55"/>
  <c r="A761" i="55"/>
  <c r="W760" i="55"/>
  <c r="V760" i="55"/>
  <c r="U760" i="55"/>
  <c r="T760" i="55"/>
  <c r="S760" i="55"/>
  <c r="J760" i="55"/>
  <c r="I760" i="55"/>
  <c r="H760" i="55"/>
  <c r="D760" i="55"/>
  <c r="B760" i="55"/>
  <c r="A760" i="55"/>
  <c r="W759" i="55"/>
  <c r="V759" i="55"/>
  <c r="U759" i="55"/>
  <c r="T759" i="55"/>
  <c r="S759" i="55"/>
  <c r="J759" i="55"/>
  <c r="I759" i="55"/>
  <c r="H759" i="55"/>
  <c r="D759" i="55"/>
  <c r="B759" i="55"/>
  <c r="A759" i="55"/>
  <c r="W758" i="55"/>
  <c r="V758" i="55"/>
  <c r="U758" i="55"/>
  <c r="T758" i="55"/>
  <c r="S758" i="55"/>
  <c r="J758" i="55"/>
  <c r="I758" i="55"/>
  <c r="H758" i="55"/>
  <c r="D758" i="55"/>
  <c r="B758" i="55"/>
  <c r="A758" i="55"/>
  <c r="W757" i="55"/>
  <c r="V757" i="55"/>
  <c r="U757" i="55"/>
  <c r="T757" i="55"/>
  <c r="S757" i="55"/>
  <c r="J757" i="55"/>
  <c r="I757" i="55"/>
  <c r="H757" i="55"/>
  <c r="D757" i="55"/>
  <c r="B757" i="55"/>
  <c r="A757" i="55"/>
  <c r="W756" i="55"/>
  <c r="V756" i="55"/>
  <c r="U756" i="55"/>
  <c r="T756" i="55"/>
  <c r="S756" i="55"/>
  <c r="J756" i="55"/>
  <c r="I756" i="55"/>
  <c r="H756" i="55"/>
  <c r="D756" i="55"/>
  <c r="B756" i="55"/>
  <c r="A756" i="55"/>
  <c r="W755" i="55"/>
  <c r="V755" i="55"/>
  <c r="U755" i="55"/>
  <c r="T755" i="55"/>
  <c r="S755" i="55"/>
  <c r="J755" i="55"/>
  <c r="I755" i="55"/>
  <c r="H755" i="55"/>
  <c r="D755" i="55"/>
  <c r="B755" i="55"/>
  <c r="A755" i="55"/>
  <c r="W754" i="55"/>
  <c r="V754" i="55"/>
  <c r="U754" i="55"/>
  <c r="T754" i="55"/>
  <c r="S754" i="55"/>
  <c r="J754" i="55"/>
  <c r="I754" i="55"/>
  <c r="H754" i="55"/>
  <c r="D754" i="55"/>
  <c r="B754" i="55"/>
  <c r="A754" i="55"/>
  <c r="W753" i="55"/>
  <c r="V753" i="55"/>
  <c r="U753" i="55"/>
  <c r="T753" i="55"/>
  <c r="S753" i="55"/>
  <c r="J753" i="55"/>
  <c r="I753" i="55"/>
  <c r="H753" i="55"/>
  <c r="D753" i="55"/>
  <c r="B753" i="55"/>
  <c r="A753" i="55"/>
  <c r="W752" i="55"/>
  <c r="V752" i="55"/>
  <c r="U752" i="55"/>
  <c r="T752" i="55"/>
  <c r="S752" i="55"/>
  <c r="J752" i="55"/>
  <c r="I752" i="55"/>
  <c r="H752" i="55"/>
  <c r="D752" i="55"/>
  <c r="B752" i="55"/>
  <c r="A752" i="55"/>
  <c r="W751" i="55"/>
  <c r="V751" i="55"/>
  <c r="U751" i="55"/>
  <c r="T751" i="55"/>
  <c r="S751" i="55"/>
  <c r="J751" i="55"/>
  <c r="I751" i="55"/>
  <c r="H751" i="55"/>
  <c r="D751" i="55"/>
  <c r="B751" i="55"/>
  <c r="A751" i="55"/>
  <c r="W750" i="55"/>
  <c r="V750" i="55"/>
  <c r="U750" i="55"/>
  <c r="T750" i="55"/>
  <c r="S750" i="55"/>
  <c r="J750" i="55"/>
  <c r="I750" i="55"/>
  <c r="H750" i="55"/>
  <c r="D750" i="55"/>
  <c r="B750" i="55"/>
  <c r="A750" i="55"/>
  <c r="W749" i="55"/>
  <c r="V749" i="55"/>
  <c r="U749" i="55"/>
  <c r="T749" i="55"/>
  <c r="S749" i="55"/>
  <c r="J749" i="55"/>
  <c r="I749" i="55"/>
  <c r="H749" i="55"/>
  <c r="D749" i="55"/>
  <c r="B749" i="55"/>
  <c r="A749" i="55"/>
  <c r="W748" i="55"/>
  <c r="V748" i="55"/>
  <c r="U748" i="55"/>
  <c r="T748" i="55"/>
  <c r="S748" i="55"/>
  <c r="J748" i="55"/>
  <c r="I748" i="55"/>
  <c r="H748" i="55"/>
  <c r="D748" i="55"/>
  <c r="B748" i="55"/>
  <c r="A748" i="55"/>
  <c r="W747" i="55"/>
  <c r="V747" i="55"/>
  <c r="U747" i="55"/>
  <c r="T747" i="55"/>
  <c r="S747" i="55"/>
  <c r="J747" i="55"/>
  <c r="I747" i="55"/>
  <c r="H747" i="55"/>
  <c r="D747" i="55"/>
  <c r="B747" i="55"/>
  <c r="A747" i="55"/>
  <c r="W746" i="55"/>
  <c r="V746" i="55"/>
  <c r="U746" i="55"/>
  <c r="T746" i="55"/>
  <c r="S746" i="55"/>
  <c r="J746" i="55"/>
  <c r="I746" i="55"/>
  <c r="H746" i="55"/>
  <c r="D746" i="55"/>
  <c r="B746" i="55"/>
  <c r="A746" i="55"/>
  <c r="W745" i="55"/>
  <c r="V745" i="55"/>
  <c r="U745" i="55"/>
  <c r="T745" i="55"/>
  <c r="S745" i="55"/>
  <c r="J745" i="55"/>
  <c r="I745" i="55"/>
  <c r="H745" i="55"/>
  <c r="D745" i="55"/>
  <c r="B745" i="55"/>
  <c r="A745" i="55"/>
  <c r="W744" i="55"/>
  <c r="V744" i="55"/>
  <c r="U744" i="55"/>
  <c r="T744" i="55"/>
  <c r="S744" i="55"/>
  <c r="J744" i="55"/>
  <c r="I744" i="55"/>
  <c r="H744" i="55"/>
  <c r="D744" i="55"/>
  <c r="B744" i="55"/>
  <c r="A744" i="55"/>
  <c r="W743" i="55"/>
  <c r="V743" i="55"/>
  <c r="U743" i="55"/>
  <c r="T743" i="55"/>
  <c r="S743" i="55"/>
  <c r="J743" i="55"/>
  <c r="I743" i="55"/>
  <c r="H743" i="55"/>
  <c r="D743" i="55"/>
  <c r="B743" i="55"/>
  <c r="A743" i="55"/>
  <c r="W742" i="55"/>
  <c r="V742" i="55"/>
  <c r="U742" i="55"/>
  <c r="T742" i="55"/>
  <c r="S742" i="55"/>
  <c r="J742" i="55"/>
  <c r="I742" i="55"/>
  <c r="H742" i="55"/>
  <c r="D742" i="55"/>
  <c r="B742" i="55"/>
  <c r="A742" i="55"/>
  <c r="W741" i="55"/>
  <c r="V741" i="55"/>
  <c r="U741" i="55"/>
  <c r="T741" i="55"/>
  <c r="S741" i="55"/>
  <c r="J741" i="55"/>
  <c r="I741" i="55"/>
  <c r="H741" i="55"/>
  <c r="D741" i="55"/>
  <c r="B741" i="55"/>
  <c r="A741" i="55"/>
  <c r="W740" i="55"/>
  <c r="V740" i="55"/>
  <c r="U740" i="55"/>
  <c r="T740" i="55"/>
  <c r="S740" i="55"/>
  <c r="J740" i="55"/>
  <c r="I740" i="55"/>
  <c r="H740" i="55"/>
  <c r="D740" i="55"/>
  <c r="B740" i="55"/>
  <c r="A740" i="55"/>
  <c r="W739" i="55"/>
  <c r="V739" i="55"/>
  <c r="U739" i="55"/>
  <c r="T739" i="55"/>
  <c r="S739" i="55"/>
  <c r="J739" i="55"/>
  <c r="I739" i="55"/>
  <c r="H739" i="55"/>
  <c r="D739" i="55"/>
  <c r="B739" i="55"/>
  <c r="A739" i="55"/>
  <c r="W738" i="55"/>
  <c r="V738" i="55"/>
  <c r="U738" i="55"/>
  <c r="T738" i="55"/>
  <c r="S738" i="55"/>
  <c r="J738" i="55"/>
  <c r="I738" i="55"/>
  <c r="H738" i="55"/>
  <c r="D738" i="55"/>
  <c r="B738" i="55"/>
  <c r="A738" i="55"/>
  <c r="W737" i="55"/>
  <c r="V737" i="55"/>
  <c r="U737" i="55"/>
  <c r="T737" i="55"/>
  <c r="S737" i="55"/>
  <c r="J737" i="55"/>
  <c r="I737" i="55"/>
  <c r="H737" i="55"/>
  <c r="D737" i="55"/>
  <c r="B737" i="55"/>
  <c r="A737" i="55"/>
  <c r="W736" i="55"/>
  <c r="V736" i="55"/>
  <c r="U736" i="55"/>
  <c r="T736" i="55"/>
  <c r="S736" i="55"/>
  <c r="J736" i="55"/>
  <c r="I736" i="55"/>
  <c r="H736" i="55"/>
  <c r="D736" i="55"/>
  <c r="B736" i="55"/>
  <c r="A736" i="55"/>
  <c r="W735" i="55"/>
  <c r="V735" i="55"/>
  <c r="U735" i="55"/>
  <c r="T735" i="55"/>
  <c r="S735" i="55"/>
  <c r="J735" i="55"/>
  <c r="I735" i="55"/>
  <c r="H735" i="55"/>
  <c r="D735" i="55"/>
  <c r="B735" i="55"/>
  <c r="A735" i="55"/>
  <c r="W734" i="55"/>
  <c r="V734" i="55"/>
  <c r="U734" i="55"/>
  <c r="T734" i="55"/>
  <c r="S734" i="55"/>
  <c r="J734" i="55"/>
  <c r="I734" i="55"/>
  <c r="H734" i="55"/>
  <c r="D734" i="55"/>
  <c r="B734" i="55"/>
  <c r="A734" i="55"/>
  <c r="W733" i="55"/>
  <c r="V733" i="55"/>
  <c r="U733" i="55"/>
  <c r="T733" i="55"/>
  <c r="S733" i="55"/>
  <c r="J733" i="55"/>
  <c r="I733" i="55"/>
  <c r="H733" i="55"/>
  <c r="D733" i="55"/>
  <c r="B733" i="55"/>
  <c r="A733" i="55"/>
  <c r="W732" i="55"/>
  <c r="V732" i="55"/>
  <c r="U732" i="55"/>
  <c r="T732" i="55"/>
  <c r="S732" i="55"/>
  <c r="J732" i="55"/>
  <c r="I732" i="55"/>
  <c r="H732" i="55"/>
  <c r="D732" i="55"/>
  <c r="B732" i="55"/>
  <c r="A732" i="55"/>
  <c r="W731" i="55"/>
  <c r="V731" i="55"/>
  <c r="U731" i="55"/>
  <c r="T731" i="55"/>
  <c r="S731" i="55"/>
  <c r="J731" i="55"/>
  <c r="I731" i="55"/>
  <c r="H731" i="55"/>
  <c r="D731" i="55"/>
  <c r="B731" i="55"/>
  <c r="A731" i="55"/>
  <c r="W730" i="55"/>
  <c r="V730" i="55"/>
  <c r="U730" i="55"/>
  <c r="T730" i="55"/>
  <c r="S730" i="55"/>
  <c r="J730" i="55"/>
  <c r="I730" i="55"/>
  <c r="H730" i="55"/>
  <c r="D730" i="55"/>
  <c r="B730" i="55"/>
  <c r="A730" i="55"/>
  <c r="W729" i="55"/>
  <c r="V729" i="55"/>
  <c r="U729" i="55"/>
  <c r="T729" i="55"/>
  <c r="S729" i="55"/>
  <c r="J729" i="55"/>
  <c r="I729" i="55"/>
  <c r="H729" i="55"/>
  <c r="D729" i="55"/>
  <c r="B729" i="55"/>
  <c r="A729" i="55"/>
  <c r="W728" i="55"/>
  <c r="V728" i="55"/>
  <c r="U728" i="55"/>
  <c r="T728" i="55"/>
  <c r="S728" i="55"/>
  <c r="J728" i="55"/>
  <c r="I728" i="55"/>
  <c r="H728" i="55"/>
  <c r="D728" i="55"/>
  <c r="B728" i="55"/>
  <c r="A728" i="55"/>
  <c r="W727" i="55"/>
  <c r="V727" i="55"/>
  <c r="U727" i="55"/>
  <c r="T727" i="55"/>
  <c r="S727" i="55"/>
  <c r="J727" i="55"/>
  <c r="I727" i="55"/>
  <c r="H727" i="55"/>
  <c r="D727" i="55"/>
  <c r="B727" i="55"/>
  <c r="A727" i="55"/>
  <c r="W726" i="55"/>
  <c r="V726" i="55"/>
  <c r="U726" i="55"/>
  <c r="T726" i="55"/>
  <c r="S726" i="55"/>
  <c r="J726" i="55"/>
  <c r="I726" i="55"/>
  <c r="H726" i="55"/>
  <c r="D726" i="55"/>
  <c r="B726" i="55"/>
  <c r="A726" i="55"/>
  <c r="W725" i="55"/>
  <c r="V725" i="55"/>
  <c r="U725" i="55"/>
  <c r="T725" i="55"/>
  <c r="S725" i="55"/>
  <c r="J725" i="55"/>
  <c r="I725" i="55"/>
  <c r="H725" i="55"/>
  <c r="D725" i="55"/>
  <c r="B725" i="55"/>
  <c r="A725" i="55"/>
  <c r="W724" i="55"/>
  <c r="V724" i="55"/>
  <c r="U724" i="55"/>
  <c r="T724" i="55"/>
  <c r="S724" i="55"/>
  <c r="J724" i="55"/>
  <c r="I724" i="55"/>
  <c r="H724" i="55"/>
  <c r="D724" i="55"/>
  <c r="B724" i="55"/>
  <c r="A724" i="55"/>
  <c r="W723" i="55"/>
  <c r="V723" i="55"/>
  <c r="U723" i="55"/>
  <c r="T723" i="55"/>
  <c r="S723" i="55"/>
  <c r="J723" i="55"/>
  <c r="I723" i="55"/>
  <c r="H723" i="55"/>
  <c r="D723" i="55"/>
  <c r="B723" i="55"/>
  <c r="A723" i="55"/>
  <c r="W722" i="55"/>
  <c r="V722" i="55"/>
  <c r="U722" i="55"/>
  <c r="T722" i="55"/>
  <c r="S722" i="55"/>
  <c r="J722" i="55"/>
  <c r="I722" i="55"/>
  <c r="H722" i="55"/>
  <c r="D722" i="55"/>
  <c r="B722" i="55"/>
  <c r="A722" i="55"/>
  <c r="W721" i="55"/>
  <c r="V721" i="55"/>
  <c r="U721" i="55"/>
  <c r="T721" i="55"/>
  <c r="S721" i="55"/>
  <c r="J721" i="55"/>
  <c r="I721" i="55"/>
  <c r="H721" i="55"/>
  <c r="D721" i="55"/>
  <c r="B721" i="55"/>
  <c r="A721" i="55"/>
  <c r="W720" i="55"/>
  <c r="V720" i="55"/>
  <c r="U720" i="55"/>
  <c r="T720" i="55"/>
  <c r="S720" i="55"/>
  <c r="J720" i="55"/>
  <c r="I720" i="55"/>
  <c r="H720" i="55"/>
  <c r="D720" i="55"/>
  <c r="B720" i="55"/>
  <c r="A720" i="55"/>
  <c r="W719" i="55"/>
  <c r="V719" i="55"/>
  <c r="U719" i="55"/>
  <c r="T719" i="55"/>
  <c r="S719" i="55"/>
  <c r="J719" i="55"/>
  <c r="I719" i="55"/>
  <c r="H719" i="55"/>
  <c r="D719" i="55"/>
  <c r="B719" i="55"/>
  <c r="A719" i="55"/>
  <c r="W718" i="55"/>
  <c r="V718" i="55"/>
  <c r="U718" i="55"/>
  <c r="T718" i="55"/>
  <c r="S718" i="55"/>
  <c r="J718" i="55"/>
  <c r="I718" i="55"/>
  <c r="H718" i="55"/>
  <c r="D718" i="55"/>
  <c r="B718" i="55"/>
  <c r="A718" i="55"/>
  <c r="W717" i="55"/>
  <c r="V717" i="55"/>
  <c r="U717" i="55"/>
  <c r="T717" i="55"/>
  <c r="S717" i="55"/>
  <c r="J717" i="55"/>
  <c r="I717" i="55"/>
  <c r="H717" i="55"/>
  <c r="D717" i="55"/>
  <c r="B717" i="55"/>
  <c r="A717" i="55"/>
  <c r="W716" i="55"/>
  <c r="V716" i="55"/>
  <c r="U716" i="55"/>
  <c r="T716" i="55"/>
  <c r="S716" i="55"/>
  <c r="J716" i="55"/>
  <c r="I716" i="55"/>
  <c r="H716" i="55"/>
  <c r="D716" i="55"/>
  <c r="B716" i="55"/>
  <c r="A716" i="55"/>
  <c r="W715" i="55"/>
  <c r="V715" i="55"/>
  <c r="U715" i="55"/>
  <c r="T715" i="55"/>
  <c r="S715" i="55"/>
  <c r="J715" i="55"/>
  <c r="I715" i="55"/>
  <c r="H715" i="55"/>
  <c r="D715" i="55"/>
  <c r="B715" i="55"/>
  <c r="A715" i="55"/>
  <c r="W714" i="55"/>
  <c r="V714" i="55"/>
  <c r="U714" i="55"/>
  <c r="T714" i="55"/>
  <c r="S714" i="55"/>
  <c r="J714" i="55"/>
  <c r="I714" i="55"/>
  <c r="H714" i="55"/>
  <c r="D714" i="55"/>
  <c r="B714" i="55"/>
  <c r="A714" i="55"/>
  <c r="W713" i="55"/>
  <c r="V713" i="55"/>
  <c r="U713" i="55"/>
  <c r="T713" i="55"/>
  <c r="S713" i="55"/>
  <c r="J713" i="55"/>
  <c r="I713" i="55"/>
  <c r="H713" i="55"/>
  <c r="D713" i="55"/>
  <c r="B713" i="55"/>
  <c r="A713" i="55"/>
  <c r="W712" i="55"/>
  <c r="V712" i="55"/>
  <c r="U712" i="55"/>
  <c r="T712" i="55"/>
  <c r="S712" i="55"/>
  <c r="J712" i="55"/>
  <c r="I712" i="55"/>
  <c r="H712" i="55"/>
  <c r="D712" i="55"/>
  <c r="B712" i="55"/>
  <c r="A712" i="55"/>
  <c r="W711" i="55"/>
  <c r="V711" i="55"/>
  <c r="U711" i="55"/>
  <c r="T711" i="55"/>
  <c r="S711" i="55"/>
  <c r="J711" i="55"/>
  <c r="I711" i="55"/>
  <c r="H711" i="55"/>
  <c r="D711" i="55"/>
  <c r="B711" i="55"/>
  <c r="A711" i="55"/>
  <c r="W710" i="55"/>
  <c r="V710" i="55"/>
  <c r="U710" i="55"/>
  <c r="T710" i="55"/>
  <c r="S710" i="55"/>
  <c r="J710" i="55"/>
  <c r="I710" i="55"/>
  <c r="H710" i="55"/>
  <c r="D710" i="55"/>
  <c r="B710" i="55"/>
  <c r="A710" i="55"/>
  <c r="W709" i="55"/>
  <c r="V709" i="55"/>
  <c r="U709" i="55"/>
  <c r="T709" i="55"/>
  <c r="S709" i="55"/>
  <c r="J709" i="55"/>
  <c r="I709" i="55"/>
  <c r="H709" i="55"/>
  <c r="D709" i="55"/>
  <c r="B709" i="55"/>
  <c r="A709" i="55"/>
  <c r="W708" i="55"/>
  <c r="V708" i="55"/>
  <c r="U708" i="55"/>
  <c r="T708" i="55"/>
  <c r="S708" i="55"/>
  <c r="J708" i="55"/>
  <c r="I708" i="55"/>
  <c r="H708" i="55"/>
  <c r="D708" i="55"/>
  <c r="B708" i="55"/>
  <c r="A708" i="55"/>
  <c r="W707" i="55"/>
  <c r="V707" i="55"/>
  <c r="U707" i="55"/>
  <c r="T707" i="55"/>
  <c r="S707" i="55"/>
  <c r="J707" i="55"/>
  <c r="I707" i="55"/>
  <c r="H707" i="55"/>
  <c r="D707" i="55"/>
  <c r="B707" i="55"/>
  <c r="A707" i="55"/>
  <c r="W706" i="55"/>
  <c r="V706" i="55"/>
  <c r="U706" i="55"/>
  <c r="T706" i="55"/>
  <c r="S706" i="55"/>
  <c r="J706" i="55"/>
  <c r="I706" i="55"/>
  <c r="H706" i="55"/>
  <c r="D706" i="55"/>
  <c r="B706" i="55"/>
  <c r="A706" i="55"/>
  <c r="W705" i="55"/>
  <c r="V705" i="55"/>
  <c r="U705" i="55"/>
  <c r="T705" i="55"/>
  <c r="S705" i="55"/>
  <c r="J705" i="55"/>
  <c r="I705" i="55"/>
  <c r="H705" i="55"/>
  <c r="D705" i="55"/>
  <c r="B705" i="55"/>
  <c r="A705" i="55"/>
  <c r="W704" i="55"/>
  <c r="V704" i="55"/>
  <c r="U704" i="55"/>
  <c r="T704" i="55"/>
  <c r="S704" i="55"/>
  <c r="J704" i="55"/>
  <c r="I704" i="55"/>
  <c r="H704" i="55"/>
  <c r="D704" i="55"/>
  <c r="B704" i="55"/>
  <c r="A704" i="55"/>
  <c r="W703" i="55"/>
  <c r="V703" i="55"/>
  <c r="U703" i="55"/>
  <c r="T703" i="55"/>
  <c r="S703" i="55"/>
  <c r="J703" i="55"/>
  <c r="I703" i="55"/>
  <c r="H703" i="55"/>
  <c r="D703" i="55"/>
  <c r="B703" i="55"/>
  <c r="A703" i="55"/>
  <c r="W702" i="55"/>
  <c r="V702" i="55"/>
  <c r="U702" i="55"/>
  <c r="T702" i="55"/>
  <c r="S702" i="55"/>
  <c r="J702" i="55"/>
  <c r="I702" i="55"/>
  <c r="H702" i="55"/>
  <c r="D702" i="55"/>
  <c r="B702" i="55"/>
  <c r="A702" i="55"/>
  <c r="W701" i="55"/>
  <c r="V701" i="55"/>
  <c r="U701" i="55"/>
  <c r="T701" i="55"/>
  <c r="S701" i="55"/>
  <c r="J701" i="55"/>
  <c r="I701" i="55"/>
  <c r="H701" i="55"/>
  <c r="D701" i="55"/>
  <c r="B701" i="55"/>
  <c r="A701" i="55"/>
  <c r="W700" i="55"/>
  <c r="V700" i="55"/>
  <c r="U700" i="55"/>
  <c r="T700" i="55"/>
  <c r="S700" i="55"/>
  <c r="J700" i="55"/>
  <c r="I700" i="55"/>
  <c r="H700" i="55"/>
  <c r="D700" i="55"/>
  <c r="B700" i="55"/>
  <c r="A700" i="55"/>
  <c r="W699" i="55"/>
  <c r="V699" i="55"/>
  <c r="U699" i="55"/>
  <c r="T699" i="55"/>
  <c r="S699" i="55"/>
  <c r="J699" i="55"/>
  <c r="I699" i="55"/>
  <c r="H699" i="55"/>
  <c r="D699" i="55"/>
  <c r="B699" i="55"/>
  <c r="A699" i="55"/>
  <c r="W698" i="55"/>
  <c r="V698" i="55"/>
  <c r="U698" i="55"/>
  <c r="T698" i="55"/>
  <c r="S698" i="55"/>
  <c r="J698" i="55"/>
  <c r="I698" i="55"/>
  <c r="H698" i="55"/>
  <c r="D698" i="55"/>
  <c r="B698" i="55"/>
  <c r="A698" i="55"/>
  <c r="W697" i="55"/>
  <c r="V697" i="55"/>
  <c r="U697" i="55"/>
  <c r="T697" i="55"/>
  <c r="S697" i="55"/>
  <c r="J697" i="55"/>
  <c r="I697" i="55"/>
  <c r="H697" i="55"/>
  <c r="D697" i="55"/>
  <c r="B697" i="55"/>
  <c r="A697" i="55"/>
  <c r="W696" i="55"/>
  <c r="V696" i="55"/>
  <c r="U696" i="55"/>
  <c r="T696" i="55"/>
  <c r="S696" i="55"/>
  <c r="J696" i="55"/>
  <c r="I696" i="55"/>
  <c r="H696" i="55"/>
  <c r="D696" i="55"/>
  <c r="B696" i="55"/>
  <c r="A696" i="55"/>
  <c r="W695" i="55"/>
  <c r="V695" i="55"/>
  <c r="U695" i="55"/>
  <c r="T695" i="55"/>
  <c r="S695" i="55"/>
  <c r="J695" i="55"/>
  <c r="I695" i="55"/>
  <c r="H695" i="55"/>
  <c r="D695" i="55"/>
  <c r="B695" i="55"/>
  <c r="A695" i="55"/>
  <c r="W694" i="55"/>
  <c r="V694" i="55"/>
  <c r="U694" i="55"/>
  <c r="T694" i="55"/>
  <c r="S694" i="55"/>
  <c r="J694" i="55"/>
  <c r="I694" i="55"/>
  <c r="H694" i="55"/>
  <c r="D694" i="55"/>
  <c r="B694" i="55"/>
  <c r="A694" i="55"/>
  <c r="W693" i="55"/>
  <c r="V693" i="55"/>
  <c r="U693" i="55"/>
  <c r="T693" i="55"/>
  <c r="S693" i="55"/>
  <c r="J693" i="55"/>
  <c r="I693" i="55"/>
  <c r="H693" i="55"/>
  <c r="D693" i="55"/>
  <c r="B693" i="55"/>
  <c r="A693" i="55"/>
  <c r="W692" i="55"/>
  <c r="V692" i="55"/>
  <c r="U692" i="55"/>
  <c r="T692" i="55"/>
  <c r="S692" i="55"/>
  <c r="J692" i="55"/>
  <c r="I692" i="55"/>
  <c r="H692" i="55"/>
  <c r="D692" i="55"/>
  <c r="B692" i="55"/>
  <c r="A692" i="55"/>
  <c r="W691" i="55"/>
  <c r="V691" i="55"/>
  <c r="U691" i="55"/>
  <c r="T691" i="55"/>
  <c r="S691" i="55"/>
  <c r="J691" i="55"/>
  <c r="I691" i="55"/>
  <c r="H691" i="55"/>
  <c r="D691" i="55"/>
  <c r="B691" i="55"/>
  <c r="A691" i="55"/>
  <c r="W690" i="55"/>
  <c r="V690" i="55"/>
  <c r="U690" i="55"/>
  <c r="T690" i="55"/>
  <c r="S690" i="55"/>
  <c r="J690" i="55"/>
  <c r="I690" i="55"/>
  <c r="H690" i="55"/>
  <c r="D690" i="55"/>
  <c r="B690" i="55"/>
  <c r="A690" i="55"/>
  <c r="W689" i="55"/>
  <c r="V689" i="55"/>
  <c r="U689" i="55"/>
  <c r="T689" i="55"/>
  <c r="S689" i="55"/>
  <c r="J689" i="55"/>
  <c r="I689" i="55"/>
  <c r="H689" i="55"/>
  <c r="D689" i="55"/>
  <c r="B689" i="55"/>
  <c r="A689" i="55"/>
  <c r="W688" i="55"/>
  <c r="V688" i="55"/>
  <c r="U688" i="55"/>
  <c r="T688" i="55"/>
  <c r="S688" i="55"/>
  <c r="J688" i="55"/>
  <c r="I688" i="55"/>
  <c r="H688" i="55"/>
  <c r="D688" i="55"/>
  <c r="B688" i="55"/>
  <c r="A688" i="55"/>
  <c r="W687" i="55"/>
  <c r="V687" i="55"/>
  <c r="U687" i="55"/>
  <c r="T687" i="55"/>
  <c r="S687" i="55"/>
  <c r="J687" i="55"/>
  <c r="I687" i="55"/>
  <c r="H687" i="55"/>
  <c r="D687" i="55"/>
  <c r="B687" i="55"/>
  <c r="A687" i="55"/>
  <c r="W686" i="55"/>
  <c r="V686" i="55"/>
  <c r="U686" i="55"/>
  <c r="T686" i="55"/>
  <c r="S686" i="55"/>
  <c r="J686" i="55"/>
  <c r="I686" i="55"/>
  <c r="H686" i="55"/>
  <c r="D686" i="55"/>
  <c r="B686" i="55"/>
  <c r="A686" i="55"/>
  <c r="W685" i="55"/>
  <c r="V685" i="55"/>
  <c r="U685" i="55"/>
  <c r="T685" i="55"/>
  <c r="S685" i="55"/>
  <c r="J685" i="55"/>
  <c r="I685" i="55"/>
  <c r="H685" i="55"/>
  <c r="D685" i="55"/>
  <c r="B685" i="55"/>
  <c r="A685" i="55"/>
  <c r="W684" i="55"/>
  <c r="V684" i="55"/>
  <c r="U684" i="55"/>
  <c r="T684" i="55"/>
  <c r="S684" i="55"/>
  <c r="J684" i="55"/>
  <c r="I684" i="55"/>
  <c r="H684" i="55"/>
  <c r="D684" i="55"/>
  <c r="B684" i="55"/>
  <c r="A684" i="55"/>
  <c r="W683" i="55"/>
  <c r="V683" i="55"/>
  <c r="U683" i="55"/>
  <c r="T683" i="55"/>
  <c r="S683" i="55"/>
  <c r="J683" i="55"/>
  <c r="I683" i="55"/>
  <c r="H683" i="55"/>
  <c r="D683" i="55"/>
  <c r="B683" i="55"/>
  <c r="A683" i="55"/>
  <c r="W682" i="55"/>
  <c r="V682" i="55"/>
  <c r="U682" i="55"/>
  <c r="T682" i="55"/>
  <c r="S682" i="55"/>
  <c r="J682" i="55"/>
  <c r="I682" i="55"/>
  <c r="H682" i="55"/>
  <c r="D682" i="55"/>
  <c r="B682" i="55"/>
  <c r="A682" i="55"/>
  <c r="W681" i="55"/>
  <c r="V681" i="55"/>
  <c r="U681" i="55"/>
  <c r="T681" i="55"/>
  <c r="S681" i="55"/>
  <c r="J681" i="55"/>
  <c r="I681" i="55"/>
  <c r="H681" i="55"/>
  <c r="D681" i="55"/>
  <c r="B681" i="55"/>
  <c r="A681" i="55"/>
  <c r="W680" i="55"/>
  <c r="V680" i="55"/>
  <c r="U680" i="55"/>
  <c r="T680" i="55"/>
  <c r="S680" i="55"/>
  <c r="J680" i="55"/>
  <c r="I680" i="55"/>
  <c r="H680" i="55"/>
  <c r="D680" i="55"/>
  <c r="B680" i="55"/>
  <c r="A680" i="55"/>
  <c r="W679" i="55"/>
  <c r="V679" i="55"/>
  <c r="U679" i="55"/>
  <c r="T679" i="55"/>
  <c r="S679" i="55"/>
  <c r="J679" i="55"/>
  <c r="I679" i="55"/>
  <c r="H679" i="55"/>
  <c r="D679" i="55"/>
  <c r="B679" i="55"/>
  <c r="A679" i="55"/>
  <c r="W678" i="55"/>
  <c r="V678" i="55"/>
  <c r="U678" i="55"/>
  <c r="T678" i="55"/>
  <c r="S678" i="55"/>
  <c r="J678" i="55"/>
  <c r="I678" i="55"/>
  <c r="H678" i="55"/>
  <c r="D678" i="55"/>
  <c r="B678" i="55"/>
  <c r="A678" i="55"/>
  <c r="W677" i="55"/>
  <c r="V677" i="55"/>
  <c r="U677" i="55"/>
  <c r="T677" i="55"/>
  <c r="S677" i="55"/>
  <c r="J677" i="55"/>
  <c r="I677" i="55"/>
  <c r="H677" i="55"/>
  <c r="D677" i="55"/>
  <c r="B677" i="55"/>
  <c r="A677" i="55"/>
  <c r="W676" i="55"/>
  <c r="V676" i="55"/>
  <c r="U676" i="55"/>
  <c r="T676" i="55"/>
  <c r="S676" i="55"/>
  <c r="J676" i="55"/>
  <c r="I676" i="55"/>
  <c r="H676" i="55"/>
  <c r="D676" i="55"/>
  <c r="B676" i="55"/>
  <c r="A676" i="55"/>
  <c r="W675" i="55"/>
  <c r="V675" i="55"/>
  <c r="U675" i="55"/>
  <c r="T675" i="55"/>
  <c r="S675" i="55"/>
  <c r="J675" i="55"/>
  <c r="I675" i="55"/>
  <c r="H675" i="55"/>
  <c r="D675" i="55"/>
  <c r="B675" i="55"/>
  <c r="A675" i="55"/>
  <c r="W674" i="55"/>
  <c r="V674" i="55"/>
  <c r="U674" i="55"/>
  <c r="T674" i="55"/>
  <c r="S674" i="55"/>
  <c r="J674" i="55"/>
  <c r="I674" i="55"/>
  <c r="H674" i="55"/>
  <c r="D674" i="55"/>
  <c r="B674" i="55"/>
  <c r="A674" i="55"/>
  <c r="W673" i="55"/>
  <c r="V673" i="55"/>
  <c r="U673" i="55"/>
  <c r="T673" i="55"/>
  <c r="S673" i="55"/>
  <c r="J673" i="55"/>
  <c r="I673" i="55"/>
  <c r="H673" i="55"/>
  <c r="D673" i="55"/>
  <c r="B673" i="55"/>
  <c r="A673" i="55"/>
  <c r="W672" i="55"/>
  <c r="V672" i="55"/>
  <c r="U672" i="55"/>
  <c r="T672" i="55"/>
  <c r="S672" i="55"/>
  <c r="J672" i="55"/>
  <c r="I672" i="55"/>
  <c r="H672" i="55"/>
  <c r="D672" i="55"/>
  <c r="B672" i="55"/>
  <c r="A672" i="55"/>
  <c r="W671" i="55"/>
  <c r="V671" i="55"/>
  <c r="U671" i="55"/>
  <c r="T671" i="55"/>
  <c r="S671" i="55"/>
  <c r="J671" i="55"/>
  <c r="I671" i="55"/>
  <c r="H671" i="55"/>
  <c r="D671" i="55"/>
  <c r="B671" i="55"/>
  <c r="A671" i="55"/>
  <c r="W670" i="55"/>
  <c r="V670" i="55"/>
  <c r="U670" i="55"/>
  <c r="T670" i="55"/>
  <c r="S670" i="55"/>
  <c r="J670" i="55"/>
  <c r="I670" i="55"/>
  <c r="H670" i="55"/>
  <c r="D670" i="55"/>
  <c r="B670" i="55"/>
  <c r="A670" i="55"/>
  <c r="W669" i="55"/>
  <c r="V669" i="55"/>
  <c r="U669" i="55"/>
  <c r="T669" i="55"/>
  <c r="S669" i="55"/>
  <c r="J669" i="55"/>
  <c r="I669" i="55"/>
  <c r="H669" i="55"/>
  <c r="D669" i="55"/>
  <c r="B669" i="55"/>
  <c r="A669" i="55"/>
  <c r="W668" i="55"/>
  <c r="V668" i="55"/>
  <c r="U668" i="55"/>
  <c r="T668" i="55"/>
  <c r="S668" i="55"/>
  <c r="J668" i="55"/>
  <c r="I668" i="55"/>
  <c r="H668" i="55"/>
  <c r="D668" i="55"/>
  <c r="B668" i="55"/>
  <c r="A668" i="55"/>
  <c r="W667" i="55"/>
  <c r="V667" i="55"/>
  <c r="U667" i="55"/>
  <c r="T667" i="55"/>
  <c r="S667" i="55"/>
  <c r="J667" i="55"/>
  <c r="I667" i="55"/>
  <c r="H667" i="55"/>
  <c r="D667" i="55"/>
  <c r="B667" i="55"/>
  <c r="A667" i="55"/>
  <c r="W666" i="55"/>
  <c r="V666" i="55"/>
  <c r="U666" i="55"/>
  <c r="T666" i="55"/>
  <c r="S666" i="55"/>
  <c r="J666" i="55"/>
  <c r="I666" i="55"/>
  <c r="H666" i="55"/>
  <c r="D666" i="55"/>
  <c r="B666" i="55"/>
  <c r="A666" i="55"/>
  <c r="W665" i="55"/>
  <c r="V665" i="55"/>
  <c r="U665" i="55"/>
  <c r="T665" i="55"/>
  <c r="S665" i="55"/>
  <c r="J665" i="55"/>
  <c r="I665" i="55"/>
  <c r="H665" i="55"/>
  <c r="D665" i="55"/>
  <c r="B665" i="55"/>
  <c r="A665" i="55"/>
  <c r="W664" i="55"/>
  <c r="V664" i="55"/>
  <c r="U664" i="55"/>
  <c r="T664" i="55"/>
  <c r="S664" i="55"/>
  <c r="J664" i="55"/>
  <c r="I664" i="55"/>
  <c r="H664" i="55"/>
  <c r="D664" i="55"/>
  <c r="B664" i="55"/>
  <c r="A664" i="55"/>
  <c r="W663" i="55"/>
  <c r="V663" i="55"/>
  <c r="U663" i="55"/>
  <c r="T663" i="55"/>
  <c r="S663" i="55"/>
  <c r="J663" i="55"/>
  <c r="I663" i="55"/>
  <c r="H663" i="55"/>
  <c r="D663" i="55"/>
  <c r="B663" i="55"/>
  <c r="A663" i="55"/>
  <c r="W662" i="55"/>
  <c r="V662" i="55"/>
  <c r="U662" i="55"/>
  <c r="T662" i="55"/>
  <c r="S662" i="55"/>
  <c r="J662" i="55"/>
  <c r="I662" i="55"/>
  <c r="H662" i="55"/>
  <c r="D662" i="55"/>
  <c r="B662" i="55"/>
  <c r="A662" i="55"/>
  <c r="W661" i="55"/>
  <c r="V661" i="55"/>
  <c r="U661" i="55"/>
  <c r="T661" i="55"/>
  <c r="S661" i="55"/>
  <c r="J661" i="55"/>
  <c r="I661" i="55"/>
  <c r="H661" i="55"/>
  <c r="D661" i="55"/>
  <c r="B661" i="55"/>
  <c r="A661" i="55"/>
  <c r="W660" i="55"/>
  <c r="V660" i="55"/>
  <c r="U660" i="55"/>
  <c r="T660" i="55"/>
  <c r="S660" i="55"/>
  <c r="J660" i="55"/>
  <c r="I660" i="55"/>
  <c r="H660" i="55"/>
  <c r="D660" i="55"/>
  <c r="B660" i="55"/>
  <c r="A660" i="55"/>
  <c r="W659" i="55"/>
  <c r="V659" i="55"/>
  <c r="U659" i="55"/>
  <c r="T659" i="55"/>
  <c r="S659" i="55"/>
  <c r="J659" i="55"/>
  <c r="I659" i="55"/>
  <c r="H659" i="55"/>
  <c r="D659" i="55"/>
  <c r="B659" i="55"/>
  <c r="A659" i="55"/>
  <c r="W658" i="55"/>
  <c r="V658" i="55"/>
  <c r="U658" i="55"/>
  <c r="T658" i="55"/>
  <c r="S658" i="55"/>
  <c r="J658" i="55"/>
  <c r="I658" i="55"/>
  <c r="H658" i="55"/>
  <c r="D658" i="55"/>
  <c r="B658" i="55"/>
  <c r="A658" i="55"/>
  <c r="W657" i="55"/>
  <c r="V657" i="55"/>
  <c r="U657" i="55"/>
  <c r="T657" i="55"/>
  <c r="S657" i="55"/>
  <c r="J657" i="55"/>
  <c r="I657" i="55"/>
  <c r="H657" i="55"/>
  <c r="D657" i="55"/>
  <c r="B657" i="55"/>
  <c r="A657" i="55"/>
  <c r="W656" i="55"/>
  <c r="V656" i="55"/>
  <c r="U656" i="55"/>
  <c r="T656" i="55"/>
  <c r="S656" i="55"/>
  <c r="J656" i="55"/>
  <c r="I656" i="55"/>
  <c r="H656" i="55"/>
  <c r="D656" i="55"/>
  <c r="B656" i="55"/>
  <c r="A656" i="55"/>
  <c r="W655" i="55"/>
  <c r="V655" i="55"/>
  <c r="U655" i="55"/>
  <c r="T655" i="55"/>
  <c r="S655" i="55"/>
  <c r="J655" i="55"/>
  <c r="I655" i="55"/>
  <c r="H655" i="55"/>
  <c r="D655" i="55"/>
  <c r="B655" i="55"/>
  <c r="A655" i="55"/>
  <c r="W654" i="55"/>
  <c r="V654" i="55"/>
  <c r="U654" i="55"/>
  <c r="T654" i="55"/>
  <c r="S654" i="55"/>
  <c r="J654" i="55"/>
  <c r="I654" i="55"/>
  <c r="H654" i="55"/>
  <c r="D654" i="55"/>
  <c r="B654" i="55"/>
  <c r="A654" i="55"/>
  <c r="W653" i="55"/>
  <c r="V653" i="55"/>
  <c r="U653" i="55"/>
  <c r="T653" i="55"/>
  <c r="S653" i="55"/>
  <c r="J653" i="55"/>
  <c r="I653" i="55"/>
  <c r="H653" i="55"/>
  <c r="D653" i="55"/>
  <c r="B653" i="55"/>
  <c r="A653" i="55"/>
  <c r="W652" i="55"/>
  <c r="V652" i="55"/>
  <c r="U652" i="55"/>
  <c r="T652" i="55"/>
  <c r="S652" i="55"/>
  <c r="J652" i="55"/>
  <c r="I652" i="55"/>
  <c r="H652" i="55"/>
  <c r="D652" i="55"/>
  <c r="B652" i="55"/>
  <c r="A652" i="55"/>
  <c r="W651" i="55"/>
  <c r="V651" i="55"/>
  <c r="U651" i="55"/>
  <c r="T651" i="55"/>
  <c r="S651" i="55"/>
  <c r="J651" i="55"/>
  <c r="I651" i="55"/>
  <c r="H651" i="55"/>
  <c r="D651" i="55"/>
  <c r="B651" i="55"/>
  <c r="A651" i="55"/>
  <c r="W650" i="55"/>
  <c r="V650" i="55"/>
  <c r="U650" i="55"/>
  <c r="T650" i="55"/>
  <c r="S650" i="55"/>
  <c r="J650" i="55"/>
  <c r="I650" i="55"/>
  <c r="H650" i="55"/>
  <c r="D650" i="55"/>
  <c r="B650" i="55"/>
  <c r="A650" i="55"/>
  <c r="W649" i="55"/>
  <c r="V649" i="55"/>
  <c r="U649" i="55"/>
  <c r="T649" i="55"/>
  <c r="S649" i="55"/>
  <c r="J649" i="55"/>
  <c r="I649" i="55"/>
  <c r="H649" i="55"/>
  <c r="D649" i="55"/>
  <c r="B649" i="55"/>
  <c r="A649" i="55"/>
  <c r="W648" i="55"/>
  <c r="V648" i="55"/>
  <c r="U648" i="55"/>
  <c r="T648" i="55"/>
  <c r="S648" i="55"/>
  <c r="J648" i="55"/>
  <c r="I648" i="55"/>
  <c r="H648" i="55"/>
  <c r="D648" i="55"/>
  <c r="B648" i="55"/>
  <c r="A648" i="55"/>
  <c r="W647" i="55"/>
  <c r="V647" i="55"/>
  <c r="U647" i="55"/>
  <c r="T647" i="55"/>
  <c r="S647" i="55"/>
  <c r="J647" i="55"/>
  <c r="I647" i="55"/>
  <c r="H647" i="55"/>
  <c r="D647" i="55"/>
  <c r="B647" i="55"/>
  <c r="A647" i="55"/>
  <c r="W646" i="55"/>
  <c r="V646" i="55"/>
  <c r="U646" i="55"/>
  <c r="T646" i="55"/>
  <c r="S646" i="55"/>
  <c r="J646" i="55"/>
  <c r="I646" i="55"/>
  <c r="H646" i="55"/>
  <c r="D646" i="55"/>
  <c r="B646" i="55"/>
  <c r="A646" i="55"/>
  <c r="W645" i="55"/>
  <c r="V645" i="55"/>
  <c r="U645" i="55"/>
  <c r="T645" i="55"/>
  <c r="S645" i="55"/>
  <c r="J645" i="55"/>
  <c r="I645" i="55"/>
  <c r="H645" i="55"/>
  <c r="D645" i="55"/>
  <c r="B645" i="55"/>
  <c r="A645" i="55"/>
  <c r="W644" i="55"/>
  <c r="V644" i="55"/>
  <c r="U644" i="55"/>
  <c r="T644" i="55"/>
  <c r="S644" i="55"/>
  <c r="J644" i="55"/>
  <c r="I644" i="55"/>
  <c r="H644" i="55"/>
  <c r="D644" i="55"/>
  <c r="B644" i="55"/>
  <c r="A644" i="55"/>
  <c r="W643" i="55"/>
  <c r="V643" i="55"/>
  <c r="U643" i="55"/>
  <c r="T643" i="55"/>
  <c r="S643" i="55"/>
  <c r="J643" i="55"/>
  <c r="I643" i="55"/>
  <c r="H643" i="55"/>
  <c r="D643" i="55"/>
  <c r="B643" i="55"/>
  <c r="A643" i="55"/>
  <c r="W642" i="55"/>
  <c r="V642" i="55"/>
  <c r="U642" i="55"/>
  <c r="T642" i="55"/>
  <c r="S642" i="55"/>
  <c r="J642" i="55"/>
  <c r="I642" i="55"/>
  <c r="H642" i="55"/>
  <c r="D642" i="55"/>
  <c r="B642" i="55"/>
  <c r="A642" i="55"/>
  <c r="W641" i="55"/>
  <c r="V641" i="55"/>
  <c r="U641" i="55"/>
  <c r="T641" i="55"/>
  <c r="S641" i="55"/>
  <c r="J641" i="55"/>
  <c r="I641" i="55"/>
  <c r="H641" i="55"/>
  <c r="D641" i="55"/>
  <c r="B641" i="55"/>
  <c r="A641" i="55"/>
  <c r="W640" i="55"/>
  <c r="V640" i="55"/>
  <c r="U640" i="55"/>
  <c r="T640" i="55"/>
  <c r="S640" i="55"/>
  <c r="J640" i="55"/>
  <c r="I640" i="55"/>
  <c r="H640" i="55"/>
  <c r="D640" i="55"/>
  <c r="B640" i="55"/>
  <c r="A640" i="55"/>
  <c r="W639" i="55"/>
  <c r="V639" i="55"/>
  <c r="U639" i="55"/>
  <c r="T639" i="55"/>
  <c r="S639" i="55"/>
  <c r="J639" i="55"/>
  <c r="I639" i="55"/>
  <c r="H639" i="55"/>
  <c r="D639" i="55"/>
  <c r="B639" i="55"/>
  <c r="A639" i="55"/>
  <c r="W638" i="55"/>
  <c r="V638" i="55"/>
  <c r="U638" i="55"/>
  <c r="T638" i="55"/>
  <c r="S638" i="55"/>
  <c r="J638" i="55"/>
  <c r="I638" i="55"/>
  <c r="H638" i="55"/>
  <c r="D638" i="55"/>
  <c r="B638" i="55"/>
  <c r="A638" i="55"/>
  <c r="W637" i="55"/>
  <c r="V637" i="55"/>
  <c r="U637" i="55"/>
  <c r="T637" i="55"/>
  <c r="S637" i="55"/>
  <c r="J637" i="55"/>
  <c r="I637" i="55"/>
  <c r="H637" i="55"/>
  <c r="D637" i="55"/>
  <c r="B637" i="55"/>
  <c r="A637" i="55"/>
  <c r="W636" i="55"/>
  <c r="V636" i="55"/>
  <c r="U636" i="55"/>
  <c r="T636" i="55"/>
  <c r="S636" i="55"/>
  <c r="J636" i="55"/>
  <c r="I636" i="55"/>
  <c r="H636" i="55"/>
  <c r="D636" i="55"/>
  <c r="B636" i="55"/>
  <c r="A636" i="55"/>
  <c r="W635" i="55"/>
  <c r="V635" i="55"/>
  <c r="U635" i="55"/>
  <c r="T635" i="55"/>
  <c r="S635" i="55"/>
  <c r="J635" i="55"/>
  <c r="I635" i="55"/>
  <c r="H635" i="55"/>
  <c r="D635" i="55"/>
  <c r="B635" i="55"/>
  <c r="A635" i="55"/>
  <c r="W634" i="55"/>
  <c r="V634" i="55"/>
  <c r="U634" i="55"/>
  <c r="T634" i="55"/>
  <c r="S634" i="55"/>
  <c r="J634" i="55"/>
  <c r="I634" i="55"/>
  <c r="H634" i="55"/>
  <c r="D634" i="55"/>
  <c r="B634" i="55"/>
  <c r="A634" i="55"/>
  <c r="W633" i="55"/>
  <c r="V633" i="55"/>
  <c r="U633" i="55"/>
  <c r="T633" i="55"/>
  <c r="S633" i="55"/>
  <c r="J633" i="55"/>
  <c r="I633" i="55"/>
  <c r="H633" i="55"/>
  <c r="D633" i="55"/>
  <c r="B633" i="55"/>
  <c r="A633" i="55"/>
  <c r="W632" i="55"/>
  <c r="V632" i="55"/>
  <c r="U632" i="55"/>
  <c r="T632" i="55"/>
  <c r="S632" i="55"/>
  <c r="J632" i="55"/>
  <c r="I632" i="55"/>
  <c r="H632" i="55"/>
  <c r="D632" i="55"/>
  <c r="B632" i="55"/>
  <c r="A632" i="55"/>
  <c r="W631" i="55"/>
  <c r="V631" i="55"/>
  <c r="U631" i="55"/>
  <c r="T631" i="55"/>
  <c r="S631" i="55"/>
  <c r="J631" i="55"/>
  <c r="I631" i="55"/>
  <c r="H631" i="55"/>
  <c r="D631" i="55"/>
  <c r="B631" i="55"/>
  <c r="A631" i="55"/>
  <c r="W630" i="55"/>
  <c r="V630" i="55"/>
  <c r="U630" i="55"/>
  <c r="T630" i="55"/>
  <c r="S630" i="55"/>
  <c r="J630" i="55"/>
  <c r="I630" i="55"/>
  <c r="H630" i="55"/>
  <c r="D630" i="55"/>
  <c r="B630" i="55"/>
  <c r="A630" i="55"/>
  <c r="W629" i="55"/>
  <c r="V629" i="55"/>
  <c r="U629" i="55"/>
  <c r="T629" i="55"/>
  <c r="S629" i="55"/>
  <c r="J629" i="55"/>
  <c r="I629" i="55"/>
  <c r="H629" i="55"/>
  <c r="D629" i="55"/>
  <c r="B629" i="55"/>
  <c r="A629" i="55"/>
  <c r="W628" i="55"/>
  <c r="V628" i="55"/>
  <c r="U628" i="55"/>
  <c r="T628" i="55"/>
  <c r="S628" i="55"/>
  <c r="J628" i="55"/>
  <c r="I628" i="55"/>
  <c r="H628" i="55"/>
  <c r="D628" i="55"/>
  <c r="B628" i="55"/>
  <c r="A628" i="55"/>
  <c r="W627" i="55"/>
  <c r="V627" i="55"/>
  <c r="U627" i="55"/>
  <c r="T627" i="55"/>
  <c r="S627" i="55"/>
  <c r="J627" i="55"/>
  <c r="I627" i="55"/>
  <c r="H627" i="55"/>
  <c r="D627" i="55"/>
  <c r="B627" i="55"/>
  <c r="A627" i="55"/>
  <c r="W626" i="55"/>
  <c r="V626" i="55"/>
  <c r="U626" i="55"/>
  <c r="T626" i="55"/>
  <c r="S626" i="55"/>
  <c r="J626" i="55"/>
  <c r="I626" i="55"/>
  <c r="H626" i="55"/>
  <c r="D626" i="55"/>
  <c r="B626" i="55"/>
  <c r="A626" i="55"/>
  <c r="W625" i="55"/>
  <c r="V625" i="55"/>
  <c r="U625" i="55"/>
  <c r="T625" i="55"/>
  <c r="S625" i="55"/>
  <c r="J625" i="55"/>
  <c r="I625" i="55"/>
  <c r="H625" i="55"/>
  <c r="D625" i="55"/>
  <c r="B625" i="55"/>
  <c r="A625" i="55"/>
  <c r="W624" i="55"/>
  <c r="V624" i="55"/>
  <c r="U624" i="55"/>
  <c r="T624" i="55"/>
  <c r="S624" i="55"/>
  <c r="J624" i="55"/>
  <c r="I624" i="55"/>
  <c r="H624" i="55"/>
  <c r="D624" i="55"/>
  <c r="B624" i="55"/>
  <c r="A624" i="55"/>
  <c r="W623" i="55"/>
  <c r="V623" i="55"/>
  <c r="U623" i="55"/>
  <c r="T623" i="55"/>
  <c r="S623" i="55"/>
  <c r="J623" i="55"/>
  <c r="I623" i="55"/>
  <c r="H623" i="55"/>
  <c r="D623" i="55"/>
  <c r="B623" i="55"/>
  <c r="A623" i="55"/>
  <c r="W622" i="55"/>
  <c r="V622" i="55"/>
  <c r="U622" i="55"/>
  <c r="T622" i="55"/>
  <c r="S622" i="55"/>
  <c r="J622" i="55"/>
  <c r="I622" i="55"/>
  <c r="H622" i="55"/>
  <c r="D622" i="55"/>
  <c r="B622" i="55"/>
  <c r="A622" i="55"/>
  <c r="W621" i="55"/>
  <c r="V621" i="55"/>
  <c r="U621" i="55"/>
  <c r="T621" i="55"/>
  <c r="S621" i="55"/>
  <c r="J621" i="55"/>
  <c r="I621" i="55"/>
  <c r="H621" i="55"/>
  <c r="D621" i="55"/>
  <c r="B621" i="55"/>
  <c r="A621" i="55"/>
  <c r="W620" i="55"/>
  <c r="V620" i="55"/>
  <c r="U620" i="55"/>
  <c r="T620" i="55"/>
  <c r="S620" i="55"/>
  <c r="J620" i="55"/>
  <c r="I620" i="55"/>
  <c r="H620" i="55"/>
  <c r="D620" i="55"/>
  <c r="B620" i="55"/>
  <c r="A620" i="55"/>
  <c r="W619" i="55"/>
  <c r="V619" i="55"/>
  <c r="U619" i="55"/>
  <c r="T619" i="55"/>
  <c r="S619" i="55"/>
  <c r="J619" i="55"/>
  <c r="I619" i="55"/>
  <c r="H619" i="55"/>
  <c r="D619" i="55"/>
  <c r="B619" i="55"/>
  <c r="A619" i="55"/>
  <c r="W618" i="55"/>
  <c r="V618" i="55"/>
  <c r="U618" i="55"/>
  <c r="T618" i="55"/>
  <c r="S618" i="55"/>
  <c r="J618" i="55"/>
  <c r="I618" i="55"/>
  <c r="H618" i="55"/>
  <c r="D618" i="55"/>
  <c r="B618" i="55"/>
  <c r="A618" i="55"/>
  <c r="W617" i="55"/>
  <c r="V617" i="55"/>
  <c r="U617" i="55"/>
  <c r="T617" i="55"/>
  <c r="S617" i="55"/>
  <c r="J617" i="55"/>
  <c r="I617" i="55"/>
  <c r="H617" i="55"/>
  <c r="D617" i="55"/>
  <c r="B617" i="55"/>
  <c r="A617" i="55"/>
  <c r="W616" i="55"/>
  <c r="V616" i="55"/>
  <c r="U616" i="55"/>
  <c r="T616" i="55"/>
  <c r="S616" i="55"/>
  <c r="J616" i="55"/>
  <c r="I616" i="55"/>
  <c r="H616" i="55"/>
  <c r="D616" i="55"/>
  <c r="B616" i="55"/>
  <c r="A616" i="55"/>
  <c r="W615" i="55"/>
  <c r="V615" i="55"/>
  <c r="U615" i="55"/>
  <c r="T615" i="55"/>
  <c r="S615" i="55"/>
  <c r="J615" i="55"/>
  <c r="I615" i="55"/>
  <c r="H615" i="55"/>
  <c r="D615" i="55"/>
  <c r="B615" i="55"/>
  <c r="A615" i="55"/>
  <c r="W614" i="55"/>
  <c r="V614" i="55"/>
  <c r="U614" i="55"/>
  <c r="T614" i="55"/>
  <c r="S614" i="55"/>
  <c r="J614" i="55"/>
  <c r="I614" i="55"/>
  <c r="H614" i="55"/>
  <c r="D614" i="55"/>
  <c r="B614" i="55"/>
  <c r="A614" i="55"/>
  <c r="W613" i="55"/>
  <c r="V613" i="55"/>
  <c r="U613" i="55"/>
  <c r="T613" i="55"/>
  <c r="S613" i="55"/>
  <c r="J613" i="55"/>
  <c r="I613" i="55"/>
  <c r="H613" i="55"/>
  <c r="D613" i="55"/>
  <c r="B613" i="55"/>
  <c r="A613" i="55"/>
  <c r="W612" i="55"/>
  <c r="V612" i="55"/>
  <c r="U612" i="55"/>
  <c r="T612" i="55"/>
  <c r="S612" i="55"/>
  <c r="J612" i="55"/>
  <c r="I612" i="55"/>
  <c r="H612" i="55"/>
  <c r="D612" i="55"/>
  <c r="B612" i="55"/>
  <c r="A612" i="55"/>
  <c r="W611" i="55"/>
  <c r="V611" i="55"/>
  <c r="U611" i="55"/>
  <c r="T611" i="55"/>
  <c r="S611" i="55"/>
  <c r="J611" i="55"/>
  <c r="I611" i="55"/>
  <c r="H611" i="55"/>
  <c r="D611" i="55"/>
  <c r="B611" i="55"/>
  <c r="A611" i="55"/>
  <c r="W610" i="55"/>
  <c r="V610" i="55"/>
  <c r="U610" i="55"/>
  <c r="T610" i="55"/>
  <c r="S610" i="55"/>
  <c r="J610" i="55"/>
  <c r="I610" i="55"/>
  <c r="H610" i="55"/>
  <c r="D610" i="55"/>
  <c r="B610" i="55"/>
  <c r="A610" i="55"/>
  <c r="W609" i="55"/>
  <c r="V609" i="55"/>
  <c r="U609" i="55"/>
  <c r="T609" i="55"/>
  <c r="S609" i="55"/>
  <c r="J609" i="55"/>
  <c r="I609" i="55"/>
  <c r="H609" i="55"/>
  <c r="D609" i="55"/>
  <c r="B609" i="55"/>
  <c r="A609" i="55"/>
  <c r="W608" i="55"/>
  <c r="V608" i="55"/>
  <c r="U608" i="55"/>
  <c r="T608" i="55"/>
  <c r="S608" i="55"/>
  <c r="J608" i="55"/>
  <c r="I608" i="55"/>
  <c r="H608" i="55"/>
  <c r="D608" i="55"/>
  <c r="B608" i="55"/>
  <c r="A608" i="55"/>
  <c r="W607" i="55"/>
  <c r="V607" i="55"/>
  <c r="U607" i="55"/>
  <c r="T607" i="55"/>
  <c r="S607" i="55"/>
  <c r="J607" i="55"/>
  <c r="I607" i="55"/>
  <c r="H607" i="55"/>
  <c r="D607" i="55"/>
  <c r="B607" i="55"/>
  <c r="A607" i="55"/>
  <c r="W606" i="55"/>
  <c r="V606" i="55"/>
  <c r="U606" i="55"/>
  <c r="T606" i="55"/>
  <c r="S606" i="55"/>
  <c r="J606" i="55"/>
  <c r="I606" i="55"/>
  <c r="H606" i="55"/>
  <c r="D606" i="55"/>
  <c r="B606" i="55"/>
  <c r="A606" i="55"/>
  <c r="W605" i="55"/>
  <c r="V605" i="55"/>
  <c r="U605" i="55"/>
  <c r="T605" i="55"/>
  <c r="S605" i="55"/>
  <c r="J605" i="55"/>
  <c r="I605" i="55"/>
  <c r="H605" i="55"/>
  <c r="D605" i="55"/>
  <c r="B605" i="55"/>
  <c r="A605" i="55"/>
  <c r="W604" i="55"/>
  <c r="V604" i="55"/>
  <c r="U604" i="55"/>
  <c r="T604" i="55"/>
  <c r="S604" i="55"/>
  <c r="J604" i="55"/>
  <c r="I604" i="55"/>
  <c r="H604" i="55"/>
  <c r="D604" i="55"/>
  <c r="B604" i="55"/>
  <c r="A604" i="55"/>
  <c r="W603" i="55"/>
  <c r="V603" i="55"/>
  <c r="U603" i="55"/>
  <c r="T603" i="55"/>
  <c r="S603" i="55"/>
  <c r="J603" i="55"/>
  <c r="I603" i="55"/>
  <c r="H603" i="55"/>
  <c r="D603" i="55"/>
  <c r="B603" i="55"/>
  <c r="A603" i="55"/>
  <c r="W602" i="55"/>
  <c r="V602" i="55"/>
  <c r="U602" i="55"/>
  <c r="T602" i="55"/>
  <c r="S602" i="55"/>
  <c r="J602" i="55"/>
  <c r="I602" i="55"/>
  <c r="H602" i="55"/>
  <c r="D602" i="55"/>
  <c r="B602" i="55"/>
  <c r="A602" i="55"/>
  <c r="W601" i="55"/>
  <c r="V601" i="55"/>
  <c r="U601" i="55"/>
  <c r="T601" i="55"/>
  <c r="S601" i="55"/>
  <c r="J601" i="55"/>
  <c r="I601" i="55"/>
  <c r="H601" i="55"/>
  <c r="D601" i="55"/>
  <c r="B601" i="55"/>
  <c r="A601" i="55"/>
  <c r="W600" i="55"/>
  <c r="V600" i="55"/>
  <c r="U600" i="55"/>
  <c r="T600" i="55"/>
  <c r="S600" i="55"/>
  <c r="J600" i="55"/>
  <c r="I600" i="55"/>
  <c r="H600" i="55"/>
  <c r="D600" i="55"/>
  <c r="B600" i="55"/>
  <c r="A600" i="55"/>
  <c r="W599" i="55"/>
  <c r="V599" i="55"/>
  <c r="U599" i="55"/>
  <c r="T599" i="55"/>
  <c r="S599" i="55"/>
  <c r="J599" i="55"/>
  <c r="I599" i="55"/>
  <c r="H599" i="55"/>
  <c r="D599" i="55"/>
  <c r="B599" i="55"/>
  <c r="A599" i="55"/>
  <c r="W598" i="55"/>
  <c r="V598" i="55"/>
  <c r="U598" i="55"/>
  <c r="T598" i="55"/>
  <c r="S598" i="55"/>
  <c r="J598" i="55"/>
  <c r="I598" i="55"/>
  <c r="H598" i="55"/>
  <c r="D598" i="55"/>
  <c r="B598" i="55"/>
  <c r="A598" i="55"/>
  <c r="W597" i="55"/>
  <c r="V597" i="55"/>
  <c r="U597" i="55"/>
  <c r="T597" i="55"/>
  <c r="S597" i="55"/>
  <c r="J597" i="55"/>
  <c r="I597" i="55"/>
  <c r="H597" i="55"/>
  <c r="D597" i="55"/>
  <c r="B597" i="55"/>
  <c r="A597" i="55"/>
  <c r="W596" i="55"/>
  <c r="V596" i="55"/>
  <c r="U596" i="55"/>
  <c r="T596" i="55"/>
  <c r="S596" i="55"/>
  <c r="J596" i="55"/>
  <c r="I596" i="55"/>
  <c r="H596" i="55"/>
  <c r="D596" i="55"/>
  <c r="B596" i="55"/>
  <c r="A596" i="55"/>
  <c r="W595" i="55"/>
  <c r="V595" i="55"/>
  <c r="U595" i="55"/>
  <c r="T595" i="55"/>
  <c r="S595" i="55"/>
  <c r="J595" i="55"/>
  <c r="I595" i="55"/>
  <c r="H595" i="55"/>
  <c r="D595" i="55"/>
  <c r="B595" i="55"/>
  <c r="A595" i="55"/>
  <c r="W594" i="55"/>
  <c r="V594" i="55"/>
  <c r="U594" i="55"/>
  <c r="T594" i="55"/>
  <c r="S594" i="55"/>
  <c r="J594" i="55"/>
  <c r="I594" i="55"/>
  <c r="H594" i="55"/>
  <c r="D594" i="55"/>
  <c r="B594" i="55"/>
  <c r="A594" i="55"/>
  <c r="W593" i="55"/>
  <c r="V593" i="55"/>
  <c r="U593" i="55"/>
  <c r="T593" i="55"/>
  <c r="S593" i="55"/>
  <c r="J593" i="55"/>
  <c r="I593" i="55"/>
  <c r="H593" i="55"/>
  <c r="D593" i="55"/>
  <c r="B593" i="55"/>
  <c r="A593" i="55"/>
  <c r="W592" i="55"/>
  <c r="V592" i="55"/>
  <c r="U592" i="55"/>
  <c r="T592" i="55"/>
  <c r="S592" i="55"/>
  <c r="J592" i="55"/>
  <c r="I592" i="55"/>
  <c r="H592" i="55"/>
  <c r="D592" i="55"/>
  <c r="B592" i="55"/>
  <c r="A592" i="55"/>
  <c r="W591" i="55"/>
  <c r="V591" i="55"/>
  <c r="U591" i="55"/>
  <c r="T591" i="55"/>
  <c r="S591" i="55"/>
  <c r="J591" i="55"/>
  <c r="I591" i="55"/>
  <c r="H591" i="55"/>
  <c r="D591" i="55"/>
  <c r="B591" i="55"/>
  <c r="A591" i="55"/>
  <c r="W590" i="55"/>
  <c r="V590" i="55"/>
  <c r="U590" i="55"/>
  <c r="T590" i="55"/>
  <c r="S590" i="55"/>
  <c r="J590" i="55"/>
  <c r="I590" i="55"/>
  <c r="H590" i="55"/>
  <c r="D590" i="55"/>
  <c r="B590" i="55"/>
  <c r="A590" i="55"/>
  <c r="W589" i="55"/>
  <c r="V589" i="55"/>
  <c r="U589" i="55"/>
  <c r="T589" i="55"/>
  <c r="S589" i="55"/>
  <c r="J589" i="55"/>
  <c r="I589" i="55"/>
  <c r="H589" i="55"/>
  <c r="D589" i="55"/>
  <c r="B589" i="55"/>
  <c r="A589" i="55"/>
  <c r="W588" i="55"/>
  <c r="V588" i="55"/>
  <c r="U588" i="55"/>
  <c r="T588" i="55"/>
  <c r="S588" i="55"/>
  <c r="J588" i="55"/>
  <c r="I588" i="55"/>
  <c r="H588" i="55"/>
  <c r="D588" i="55"/>
  <c r="B588" i="55"/>
  <c r="A588" i="55"/>
  <c r="W587" i="55"/>
  <c r="V587" i="55"/>
  <c r="U587" i="55"/>
  <c r="T587" i="55"/>
  <c r="S587" i="55"/>
  <c r="J587" i="55"/>
  <c r="I587" i="55"/>
  <c r="H587" i="55"/>
  <c r="D587" i="55"/>
  <c r="B587" i="55"/>
  <c r="A587" i="55"/>
  <c r="W586" i="55"/>
  <c r="V586" i="55"/>
  <c r="U586" i="55"/>
  <c r="T586" i="55"/>
  <c r="S586" i="55"/>
  <c r="J586" i="55"/>
  <c r="I586" i="55"/>
  <c r="H586" i="55"/>
  <c r="D586" i="55"/>
  <c r="B586" i="55"/>
  <c r="A586" i="55"/>
  <c r="W585" i="55"/>
  <c r="V585" i="55"/>
  <c r="U585" i="55"/>
  <c r="T585" i="55"/>
  <c r="S585" i="55"/>
  <c r="J585" i="55"/>
  <c r="I585" i="55"/>
  <c r="H585" i="55"/>
  <c r="D585" i="55"/>
  <c r="B585" i="55"/>
  <c r="A585" i="55"/>
  <c r="W584" i="55"/>
  <c r="V584" i="55"/>
  <c r="U584" i="55"/>
  <c r="T584" i="55"/>
  <c r="S584" i="55"/>
  <c r="J584" i="55"/>
  <c r="I584" i="55"/>
  <c r="H584" i="55"/>
  <c r="D584" i="55"/>
  <c r="B584" i="55"/>
  <c r="A584" i="55"/>
  <c r="W583" i="55"/>
  <c r="V583" i="55"/>
  <c r="U583" i="55"/>
  <c r="T583" i="55"/>
  <c r="S583" i="55"/>
  <c r="J583" i="55"/>
  <c r="I583" i="55"/>
  <c r="H583" i="55"/>
  <c r="D583" i="55"/>
  <c r="B583" i="55"/>
  <c r="A583" i="55"/>
  <c r="W582" i="55"/>
  <c r="V582" i="55"/>
  <c r="U582" i="55"/>
  <c r="T582" i="55"/>
  <c r="S582" i="55"/>
  <c r="J582" i="55"/>
  <c r="I582" i="55"/>
  <c r="H582" i="55"/>
  <c r="D582" i="55"/>
  <c r="B582" i="55"/>
  <c r="A582" i="55"/>
  <c r="W581" i="55"/>
  <c r="V581" i="55"/>
  <c r="U581" i="55"/>
  <c r="T581" i="55"/>
  <c r="S581" i="55"/>
  <c r="J581" i="55"/>
  <c r="I581" i="55"/>
  <c r="H581" i="55"/>
  <c r="D581" i="55"/>
  <c r="B581" i="55"/>
  <c r="A581" i="55"/>
  <c r="W580" i="55"/>
  <c r="V580" i="55"/>
  <c r="U580" i="55"/>
  <c r="T580" i="55"/>
  <c r="S580" i="55"/>
  <c r="J580" i="55"/>
  <c r="I580" i="55"/>
  <c r="H580" i="55"/>
  <c r="D580" i="55"/>
  <c r="B580" i="55"/>
  <c r="A580" i="55"/>
  <c r="W579" i="55"/>
  <c r="V579" i="55"/>
  <c r="U579" i="55"/>
  <c r="T579" i="55"/>
  <c r="S579" i="55"/>
  <c r="J579" i="55"/>
  <c r="I579" i="55"/>
  <c r="H579" i="55"/>
  <c r="D579" i="55"/>
  <c r="B579" i="55"/>
  <c r="A579" i="55"/>
  <c r="W578" i="55"/>
  <c r="V578" i="55"/>
  <c r="U578" i="55"/>
  <c r="T578" i="55"/>
  <c r="S578" i="55"/>
  <c r="J578" i="55"/>
  <c r="I578" i="55"/>
  <c r="H578" i="55"/>
  <c r="D578" i="55"/>
  <c r="B578" i="55"/>
  <c r="A578" i="55"/>
  <c r="W577" i="55"/>
  <c r="V577" i="55"/>
  <c r="U577" i="55"/>
  <c r="T577" i="55"/>
  <c r="S577" i="55"/>
  <c r="J577" i="55"/>
  <c r="I577" i="55"/>
  <c r="H577" i="55"/>
  <c r="D577" i="55"/>
  <c r="B577" i="55"/>
  <c r="A577" i="55"/>
  <c r="W576" i="55"/>
  <c r="V576" i="55"/>
  <c r="U576" i="55"/>
  <c r="T576" i="55"/>
  <c r="S576" i="55"/>
  <c r="J576" i="55"/>
  <c r="I576" i="55"/>
  <c r="H576" i="55"/>
  <c r="D576" i="55"/>
  <c r="B576" i="55"/>
  <c r="A576" i="55"/>
  <c r="W575" i="55"/>
  <c r="V575" i="55"/>
  <c r="U575" i="55"/>
  <c r="T575" i="55"/>
  <c r="S575" i="55"/>
  <c r="J575" i="55"/>
  <c r="I575" i="55"/>
  <c r="H575" i="55"/>
  <c r="D575" i="55"/>
  <c r="B575" i="55"/>
  <c r="A575" i="55"/>
  <c r="W574" i="55"/>
  <c r="V574" i="55"/>
  <c r="U574" i="55"/>
  <c r="T574" i="55"/>
  <c r="S574" i="55"/>
  <c r="J574" i="55"/>
  <c r="I574" i="55"/>
  <c r="H574" i="55"/>
  <c r="D574" i="55"/>
  <c r="B574" i="55"/>
  <c r="A574" i="55"/>
  <c r="W573" i="55"/>
  <c r="V573" i="55"/>
  <c r="U573" i="55"/>
  <c r="T573" i="55"/>
  <c r="S573" i="55"/>
  <c r="J573" i="55"/>
  <c r="I573" i="55"/>
  <c r="H573" i="55"/>
  <c r="D573" i="55"/>
  <c r="B573" i="55"/>
  <c r="A573" i="55"/>
  <c r="W572" i="55"/>
  <c r="V572" i="55"/>
  <c r="U572" i="55"/>
  <c r="T572" i="55"/>
  <c r="S572" i="55"/>
  <c r="J572" i="55"/>
  <c r="I572" i="55"/>
  <c r="H572" i="55"/>
  <c r="D572" i="55"/>
  <c r="B572" i="55"/>
  <c r="A572" i="55"/>
  <c r="W571" i="55"/>
  <c r="V571" i="55"/>
  <c r="U571" i="55"/>
  <c r="T571" i="55"/>
  <c r="S571" i="55"/>
  <c r="J571" i="55"/>
  <c r="I571" i="55"/>
  <c r="H571" i="55"/>
  <c r="D571" i="55"/>
  <c r="B571" i="55"/>
  <c r="A571" i="55"/>
  <c r="W570" i="55"/>
  <c r="V570" i="55"/>
  <c r="U570" i="55"/>
  <c r="T570" i="55"/>
  <c r="S570" i="55"/>
  <c r="J570" i="55"/>
  <c r="I570" i="55"/>
  <c r="H570" i="55"/>
  <c r="D570" i="55"/>
  <c r="B570" i="55"/>
  <c r="A570" i="55"/>
  <c r="W569" i="55"/>
  <c r="V569" i="55"/>
  <c r="U569" i="55"/>
  <c r="T569" i="55"/>
  <c r="S569" i="55"/>
  <c r="J569" i="55"/>
  <c r="I569" i="55"/>
  <c r="H569" i="55"/>
  <c r="D569" i="55"/>
  <c r="B569" i="55"/>
  <c r="A569" i="55"/>
  <c r="W568" i="55"/>
  <c r="V568" i="55"/>
  <c r="U568" i="55"/>
  <c r="T568" i="55"/>
  <c r="S568" i="55"/>
  <c r="J568" i="55"/>
  <c r="I568" i="55"/>
  <c r="H568" i="55"/>
  <c r="D568" i="55"/>
  <c r="B568" i="55"/>
  <c r="A568" i="55"/>
  <c r="W567" i="55"/>
  <c r="V567" i="55"/>
  <c r="U567" i="55"/>
  <c r="T567" i="55"/>
  <c r="S567" i="55"/>
  <c r="J567" i="55"/>
  <c r="I567" i="55"/>
  <c r="H567" i="55"/>
  <c r="D567" i="55"/>
  <c r="B567" i="55"/>
  <c r="A567" i="55"/>
  <c r="W566" i="55"/>
  <c r="V566" i="55"/>
  <c r="U566" i="55"/>
  <c r="T566" i="55"/>
  <c r="S566" i="55"/>
  <c r="J566" i="55"/>
  <c r="I566" i="55"/>
  <c r="H566" i="55"/>
  <c r="D566" i="55"/>
  <c r="B566" i="55"/>
  <c r="A566" i="55"/>
  <c r="W565" i="55"/>
  <c r="V565" i="55"/>
  <c r="U565" i="55"/>
  <c r="T565" i="55"/>
  <c r="S565" i="55"/>
  <c r="J565" i="55"/>
  <c r="I565" i="55"/>
  <c r="H565" i="55"/>
  <c r="D565" i="55"/>
  <c r="B565" i="55"/>
  <c r="A565" i="55"/>
  <c r="W564" i="55"/>
  <c r="V564" i="55"/>
  <c r="U564" i="55"/>
  <c r="T564" i="55"/>
  <c r="S564" i="55"/>
  <c r="J564" i="55"/>
  <c r="I564" i="55"/>
  <c r="H564" i="55"/>
  <c r="D564" i="55"/>
  <c r="B564" i="55"/>
  <c r="A564" i="55"/>
  <c r="W563" i="55"/>
  <c r="V563" i="55"/>
  <c r="U563" i="55"/>
  <c r="T563" i="55"/>
  <c r="S563" i="55"/>
  <c r="J563" i="55"/>
  <c r="I563" i="55"/>
  <c r="H563" i="55"/>
  <c r="D563" i="55"/>
  <c r="B563" i="55"/>
  <c r="A563" i="55"/>
  <c r="W562" i="55"/>
  <c r="V562" i="55"/>
  <c r="U562" i="55"/>
  <c r="T562" i="55"/>
  <c r="S562" i="55"/>
  <c r="J562" i="55"/>
  <c r="I562" i="55"/>
  <c r="H562" i="55"/>
  <c r="D562" i="55"/>
  <c r="B562" i="55"/>
  <c r="A562" i="55"/>
  <c r="W561" i="55"/>
  <c r="V561" i="55"/>
  <c r="U561" i="55"/>
  <c r="T561" i="55"/>
  <c r="S561" i="55"/>
  <c r="J561" i="55"/>
  <c r="I561" i="55"/>
  <c r="H561" i="55"/>
  <c r="D561" i="55"/>
  <c r="B561" i="55"/>
  <c r="A561" i="55"/>
  <c r="W560" i="55"/>
  <c r="V560" i="55"/>
  <c r="U560" i="55"/>
  <c r="T560" i="55"/>
  <c r="S560" i="55"/>
  <c r="J560" i="55"/>
  <c r="I560" i="55"/>
  <c r="H560" i="55"/>
  <c r="D560" i="55"/>
  <c r="B560" i="55"/>
  <c r="A560" i="55"/>
  <c r="W559" i="55"/>
  <c r="V559" i="55"/>
  <c r="U559" i="55"/>
  <c r="T559" i="55"/>
  <c r="S559" i="55"/>
  <c r="J559" i="55"/>
  <c r="I559" i="55"/>
  <c r="H559" i="55"/>
  <c r="D559" i="55"/>
  <c r="B559" i="55"/>
  <c r="A559" i="55"/>
  <c r="W558" i="55"/>
  <c r="V558" i="55"/>
  <c r="U558" i="55"/>
  <c r="T558" i="55"/>
  <c r="S558" i="55"/>
  <c r="J558" i="55"/>
  <c r="I558" i="55"/>
  <c r="H558" i="55"/>
  <c r="D558" i="55"/>
  <c r="B558" i="55"/>
  <c r="A558" i="55"/>
  <c r="W557" i="55"/>
  <c r="V557" i="55"/>
  <c r="U557" i="55"/>
  <c r="T557" i="55"/>
  <c r="S557" i="55"/>
  <c r="J557" i="55"/>
  <c r="I557" i="55"/>
  <c r="H557" i="55"/>
  <c r="D557" i="55"/>
  <c r="B557" i="55"/>
  <c r="A557" i="55"/>
  <c r="W556" i="55"/>
  <c r="V556" i="55"/>
  <c r="U556" i="55"/>
  <c r="T556" i="55"/>
  <c r="S556" i="55"/>
  <c r="J556" i="55"/>
  <c r="I556" i="55"/>
  <c r="H556" i="55"/>
  <c r="D556" i="55"/>
  <c r="B556" i="55"/>
  <c r="A556" i="55"/>
  <c r="W555" i="55"/>
  <c r="V555" i="55"/>
  <c r="U555" i="55"/>
  <c r="T555" i="55"/>
  <c r="S555" i="55"/>
  <c r="J555" i="55"/>
  <c r="I555" i="55"/>
  <c r="H555" i="55"/>
  <c r="D555" i="55"/>
  <c r="B555" i="55"/>
  <c r="A555" i="55"/>
  <c r="W554" i="55"/>
  <c r="V554" i="55"/>
  <c r="U554" i="55"/>
  <c r="T554" i="55"/>
  <c r="S554" i="55"/>
  <c r="J554" i="55"/>
  <c r="I554" i="55"/>
  <c r="H554" i="55"/>
  <c r="D554" i="55"/>
  <c r="B554" i="55"/>
  <c r="A554" i="55"/>
  <c r="W553" i="55"/>
  <c r="V553" i="55"/>
  <c r="U553" i="55"/>
  <c r="T553" i="55"/>
  <c r="S553" i="55"/>
  <c r="J553" i="55"/>
  <c r="I553" i="55"/>
  <c r="H553" i="55"/>
  <c r="D553" i="55"/>
  <c r="B553" i="55"/>
  <c r="A553" i="55"/>
  <c r="W552" i="55"/>
  <c r="V552" i="55"/>
  <c r="U552" i="55"/>
  <c r="T552" i="55"/>
  <c r="S552" i="55"/>
  <c r="J552" i="55"/>
  <c r="I552" i="55"/>
  <c r="H552" i="55"/>
  <c r="D552" i="55"/>
  <c r="B552" i="55"/>
  <c r="A552" i="55"/>
  <c r="W551" i="55"/>
  <c r="V551" i="55"/>
  <c r="U551" i="55"/>
  <c r="T551" i="55"/>
  <c r="S551" i="55"/>
  <c r="J551" i="55"/>
  <c r="I551" i="55"/>
  <c r="H551" i="55"/>
  <c r="D551" i="55"/>
  <c r="B551" i="55"/>
  <c r="A551" i="55"/>
  <c r="W550" i="55"/>
  <c r="V550" i="55"/>
  <c r="U550" i="55"/>
  <c r="T550" i="55"/>
  <c r="S550" i="55"/>
  <c r="J550" i="55"/>
  <c r="I550" i="55"/>
  <c r="H550" i="55"/>
  <c r="D550" i="55"/>
  <c r="B550" i="55"/>
  <c r="A550" i="55"/>
  <c r="W549" i="55"/>
  <c r="V549" i="55"/>
  <c r="U549" i="55"/>
  <c r="T549" i="55"/>
  <c r="S549" i="55"/>
  <c r="J549" i="55"/>
  <c r="I549" i="55"/>
  <c r="H549" i="55"/>
  <c r="D549" i="55"/>
  <c r="B549" i="55"/>
  <c r="A549" i="55"/>
  <c r="W548" i="55"/>
  <c r="V548" i="55"/>
  <c r="U548" i="55"/>
  <c r="T548" i="55"/>
  <c r="S548" i="55"/>
  <c r="J548" i="55"/>
  <c r="I548" i="55"/>
  <c r="H548" i="55"/>
  <c r="D548" i="55"/>
  <c r="B548" i="55"/>
  <c r="A548" i="55"/>
  <c r="W547" i="55"/>
  <c r="V547" i="55"/>
  <c r="U547" i="55"/>
  <c r="T547" i="55"/>
  <c r="S547" i="55"/>
  <c r="J547" i="55"/>
  <c r="I547" i="55"/>
  <c r="H547" i="55"/>
  <c r="D547" i="55"/>
  <c r="B547" i="55"/>
  <c r="A547" i="55"/>
  <c r="W546" i="55"/>
  <c r="V546" i="55"/>
  <c r="U546" i="55"/>
  <c r="T546" i="55"/>
  <c r="S546" i="55"/>
  <c r="J546" i="55"/>
  <c r="I546" i="55"/>
  <c r="H546" i="55"/>
  <c r="D546" i="55"/>
  <c r="B546" i="55"/>
  <c r="A546" i="55"/>
  <c r="W545" i="55"/>
  <c r="V545" i="55"/>
  <c r="U545" i="55"/>
  <c r="T545" i="55"/>
  <c r="S545" i="55"/>
  <c r="J545" i="55"/>
  <c r="I545" i="55"/>
  <c r="H545" i="55"/>
  <c r="D545" i="55"/>
  <c r="B545" i="55"/>
  <c r="A545" i="55"/>
  <c r="W544" i="55"/>
  <c r="V544" i="55"/>
  <c r="U544" i="55"/>
  <c r="T544" i="55"/>
  <c r="S544" i="55"/>
  <c r="J544" i="55"/>
  <c r="I544" i="55"/>
  <c r="H544" i="55"/>
  <c r="D544" i="55"/>
  <c r="B544" i="55"/>
  <c r="A544" i="55"/>
  <c r="W543" i="55"/>
  <c r="V543" i="55"/>
  <c r="U543" i="55"/>
  <c r="T543" i="55"/>
  <c r="S543" i="55"/>
  <c r="J543" i="55"/>
  <c r="I543" i="55"/>
  <c r="H543" i="55"/>
  <c r="D543" i="55"/>
  <c r="B543" i="55"/>
  <c r="A543" i="55"/>
  <c r="W542" i="55"/>
  <c r="V542" i="55"/>
  <c r="U542" i="55"/>
  <c r="T542" i="55"/>
  <c r="S542" i="55"/>
  <c r="J542" i="55"/>
  <c r="I542" i="55"/>
  <c r="H542" i="55"/>
  <c r="D542" i="55"/>
  <c r="B542" i="55"/>
  <c r="A542" i="55"/>
  <c r="W541" i="55"/>
  <c r="V541" i="55"/>
  <c r="U541" i="55"/>
  <c r="T541" i="55"/>
  <c r="S541" i="55"/>
  <c r="J541" i="55"/>
  <c r="I541" i="55"/>
  <c r="H541" i="55"/>
  <c r="D541" i="55"/>
  <c r="B541" i="55"/>
  <c r="A541" i="55"/>
  <c r="W540" i="55"/>
  <c r="V540" i="55"/>
  <c r="U540" i="55"/>
  <c r="T540" i="55"/>
  <c r="S540" i="55"/>
  <c r="J540" i="55"/>
  <c r="I540" i="55"/>
  <c r="H540" i="55"/>
  <c r="D540" i="55"/>
  <c r="B540" i="55"/>
  <c r="A540" i="55"/>
  <c r="W539" i="55"/>
  <c r="V539" i="55"/>
  <c r="U539" i="55"/>
  <c r="T539" i="55"/>
  <c r="S539" i="55"/>
  <c r="J539" i="55"/>
  <c r="I539" i="55"/>
  <c r="H539" i="55"/>
  <c r="D539" i="55"/>
  <c r="B539" i="55"/>
  <c r="A539" i="55"/>
  <c r="W538" i="55"/>
  <c r="V538" i="55"/>
  <c r="U538" i="55"/>
  <c r="T538" i="55"/>
  <c r="S538" i="55"/>
  <c r="J538" i="55"/>
  <c r="I538" i="55"/>
  <c r="H538" i="55"/>
  <c r="D538" i="55"/>
  <c r="B538" i="55"/>
  <c r="A538" i="55"/>
  <c r="W537" i="55"/>
  <c r="V537" i="55"/>
  <c r="U537" i="55"/>
  <c r="T537" i="55"/>
  <c r="S537" i="55"/>
  <c r="J537" i="55"/>
  <c r="I537" i="55"/>
  <c r="H537" i="55"/>
  <c r="D537" i="55"/>
  <c r="B537" i="55"/>
  <c r="A537" i="55"/>
  <c r="W536" i="55"/>
  <c r="V536" i="55"/>
  <c r="U536" i="55"/>
  <c r="T536" i="55"/>
  <c r="S536" i="55"/>
  <c r="J536" i="55"/>
  <c r="I536" i="55"/>
  <c r="H536" i="55"/>
  <c r="D536" i="55"/>
  <c r="B536" i="55"/>
  <c r="A536" i="55"/>
  <c r="W535" i="55"/>
  <c r="V535" i="55"/>
  <c r="U535" i="55"/>
  <c r="T535" i="55"/>
  <c r="S535" i="55"/>
  <c r="J535" i="55"/>
  <c r="I535" i="55"/>
  <c r="H535" i="55"/>
  <c r="D535" i="55"/>
  <c r="B535" i="55"/>
  <c r="A535" i="55"/>
  <c r="W534" i="55"/>
  <c r="V534" i="55"/>
  <c r="U534" i="55"/>
  <c r="T534" i="55"/>
  <c r="S534" i="55"/>
  <c r="J534" i="55"/>
  <c r="I534" i="55"/>
  <c r="H534" i="55"/>
  <c r="D534" i="55"/>
  <c r="B534" i="55"/>
  <c r="A534" i="55"/>
  <c r="W533" i="55"/>
  <c r="V533" i="55"/>
  <c r="U533" i="55"/>
  <c r="T533" i="55"/>
  <c r="S533" i="55"/>
  <c r="J533" i="55"/>
  <c r="I533" i="55"/>
  <c r="H533" i="55"/>
  <c r="D533" i="55"/>
  <c r="B533" i="55"/>
  <c r="A533" i="55"/>
  <c r="W532" i="55"/>
  <c r="V532" i="55"/>
  <c r="U532" i="55"/>
  <c r="T532" i="55"/>
  <c r="S532" i="55"/>
  <c r="J532" i="55"/>
  <c r="I532" i="55"/>
  <c r="H532" i="55"/>
  <c r="D532" i="55"/>
  <c r="B532" i="55"/>
  <c r="A532" i="55"/>
  <c r="W531" i="55"/>
  <c r="V531" i="55"/>
  <c r="U531" i="55"/>
  <c r="T531" i="55"/>
  <c r="S531" i="55"/>
  <c r="J531" i="55"/>
  <c r="I531" i="55"/>
  <c r="H531" i="55"/>
  <c r="D531" i="55"/>
  <c r="B531" i="55"/>
  <c r="A531" i="55"/>
  <c r="W530" i="55"/>
  <c r="V530" i="55"/>
  <c r="U530" i="55"/>
  <c r="T530" i="55"/>
  <c r="S530" i="55"/>
  <c r="J530" i="55"/>
  <c r="I530" i="55"/>
  <c r="H530" i="55"/>
  <c r="D530" i="55"/>
  <c r="B530" i="55"/>
  <c r="A530" i="55"/>
  <c r="W529" i="55"/>
  <c r="V529" i="55"/>
  <c r="U529" i="55"/>
  <c r="T529" i="55"/>
  <c r="S529" i="55"/>
  <c r="J529" i="55"/>
  <c r="I529" i="55"/>
  <c r="H529" i="55"/>
  <c r="D529" i="55"/>
  <c r="B529" i="55"/>
  <c r="A529" i="55"/>
  <c r="W528" i="55"/>
  <c r="V528" i="55"/>
  <c r="U528" i="55"/>
  <c r="T528" i="55"/>
  <c r="S528" i="55"/>
  <c r="J528" i="55"/>
  <c r="I528" i="55"/>
  <c r="H528" i="55"/>
  <c r="D528" i="55"/>
  <c r="B528" i="55"/>
  <c r="A528" i="55"/>
  <c r="W527" i="55"/>
  <c r="V527" i="55"/>
  <c r="U527" i="55"/>
  <c r="T527" i="55"/>
  <c r="S527" i="55"/>
  <c r="J527" i="55"/>
  <c r="I527" i="55"/>
  <c r="H527" i="55"/>
  <c r="D527" i="55"/>
  <c r="B527" i="55"/>
  <c r="A527" i="55"/>
  <c r="W526" i="55"/>
  <c r="V526" i="55"/>
  <c r="U526" i="55"/>
  <c r="T526" i="55"/>
  <c r="S526" i="55"/>
  <c r="J526" i="55"/>
  <c r="I526" i="55"/>
  <c r="H526" i="55"/>
  <c r="D526" i="55"/>
  <c r="B526" i="55"/>
  <c r="A526" i="55"/>
  <c r="W525" i="55"/>
  <c r="V525" i="55"/>
  <c r="U525" i="55"/>
  <c r="T525" i="55"/>
  <c r="S525" i="55"/>
  <c r="J525" i="55"/>
  <c r="I525" i="55"/>
  <c r="H525" i="55"/>
  <c r="D525" i="55"/>
  <c r="B525" i="55"/>
  <c r="A525" i="55"/>
  <c r="W524" i="55"/>
  <c r="V524" i="55"/>
  <c r="U524" i="55"/>
  <c r="T524" i="55"/>
  <c r="S524" i="55"/>
  <c r="J524" i="55"/>
  <c r="I524" i="55"/>
  <c r="H524" i="55"/>
  <c r="D524" i="55"/>
  <c r="B524" i="55"/>
  <c r="A524" i="55"/>
  <c r="W523" i="55"/>
  <c r="V523" i="55"/>
  <c r="U523" i="55"/>
  <c r="T523" i="55"/>
  <c r="S523" i="55"/>
  <c r="J523" i="55"/>
  <c r="I523" i="55"/>
  <c r="H523" i="55"/>
  <c r="D523" i="55"/>
  <c r="B523" i="55"/>
  <c r="A523" i="55"/>
  <c r="W522" i="55"/>
  <c r="V522" i="55"/>
  <c r="U522" i="55"/>
  <c r="T522" i="55"/>
  <c r="S522" i="55"/>
  <c r="J522" i="55"/>
  <c r="I522" i="55"/>
  <c r="H522" i="55"/>
  <c r="D522" i="55"/>
  <c r="B522" i="55"/>
  <c r="A522" i="55"/>
  <c r="W521" i="55"/>
  <c r="V521" i="55"/>
  <c r="U521" i="55"/>
  <c r="T521" i="55"/>
  <c r="S521" i="55"/>
  <c r="J521" i="55"/>
  <c r="I521" i="55"/>
  <c r="H521" i="55"/>
  <c r="D521" i="55"/>
  <c r="B521" i="55"/>
  <c r="A521" i="55"/>
  <c r="W520" i="55"/>
  <c r="V520" i="55"/>
  <c r="U520" i="55"/>
  <c r="T520" i="55"/>
  <c r="S520" i="55"/>
  <c r="J520" i="55"/>
  <c r="I520" i="55"/>
  <c r="H520" i="55"/>
  <c r="D520" i="55"/>
  <c r="B520" i="55"/>
  <c r="A520" i="55"/>
  <c r="W519" i="55"/>
  <c r="V519" i="55"/>
  <c r="U519" i="55"/>
  <c r="T519" i="55"/>
  <c r="S519" i="55"/>
  <c r="J519" i="55"/>
  <c r="I519" i="55"/>
  <c r="H519" i="55"/>
  <c r="D519" i="55"/>
  <c r="B519" i="55"/>
  <c r="A519" i="55"/>
  <c r="W518" i="55"/>
  <c r="V518" i="55"/>
  <c r="U518" i="55"/>
  <c r="T518" i="55"/>
  <c r="S518" i="55"/>
  <c r="J518" i="55"/>
  <c r="I518" i="55"/>
  <c r="H518" i="55"/>
  <c r="D518" i="55"/>
  <c r="B518" i="55"/>
  <c r="A518" i="55"/>
  <c r="W517" i="55"/>
  <c r="V517" i="55"/>
  <c r="U517" i="55"/>
  <c r="T517" i="55"/>
  <c r="S517" i="55"/>
  <c r="J517" i="55"/>
  <c r="I517" i="55"/>
  <c r="H517" i="55"/>
  <c r="D517" i="55"/>
  <c r="B517" i="55"/>
  <c r="A517" i="55"/>
  <c r="W516" i="55"/>
  <c r="V516" i="55"/>
  <c r="U516" i="55"/>
  <c r="T516" i="55"/>
  <c r="S516" i="55"/>
  <c r="J516" i="55"/>
  <c r="I516" i="55"/>
  <c r="H516" i="55"/>
  <c r="D516" i="55"/>
  <c r="B516" i="55"/>
  <c r="A516" i="55"/>
  <c r="W515" i="55"/>
  <c r="V515" i="55"/>
  <c r="U515" i="55"/>
  <c r="T515" i="55"/>
  <c r="S515" i="55"/>
  <c r="J515" i="55"/>
  <c r="I515" i="55"/>
  <c r="H515" i="55"/>
  <c r="D515" i="55"/>
  <c r="B515" i="55"/>
  <c r="A515" i="55"/>
  <c r="W514" i="55"/>
  <c r="V514" i="55"/>
  <c r="U514" i="55"/>
  <c r="T514" i="55"/>
  <c r="S514" i="55"/>
  <c r="J514" i="55"/>
  <c r="I514" i="55"/>
  <c r="H514" i="55"/>
  <c r="D514" i="55"/>
  <c r="B514" i="55"/>
  <c r="A514" i="55"/>
  <c r="W513" i="55"/>
  <c r="V513" i="55"/>
  <c r="U513" i="55"/>
  <c r="T513" i="55"/>
  <c r="S513" i="55"/>
  <c r="J513" i="55"/>
  <c r="I513" i="55"/>
  <c r="H513" i="55"/>
  <c r="D513" i="55"/>
  <c r="B513" i="55"/>
  <c r="A513" i="55"/>
  <c r="W512" i="55"/>
  <c r="V512" i="55"/>
  <c r="U512" i="55"/>
  <c r="T512" i="55"/>
  <c r="S512" i="55"/>
  <c r="J512" i="55"/>
  <c r="I512" i="55"/>
  <c r="H512" i="55"/>
  <c r="D512" i="55"/>
  <c r="B512" i="55"/>
  <c r="A512" i="55"/>
  <c r="W511" i="55"/>
  <c r="V511" i="55"/>
  <c r="U511" i="55"/>
  <c r="T511" i="55"/>
  <c r="S511" i="55"/>
  <c r="J511" i="55"/>
  <c r="I511" i="55"/>
  <c r="H511" i="55"/>
  <c r="D511" i="55"/>
  <c r="B511" i="55"/>
  <c r="A511" i="55"/>
  <c r="W510" i="55"/>
  <c r="V510" i="55"/>
  <c r="U510" i="55"/>
  <c r="T510" i="55"/>
  <c r="S510" i="55"/>
  <c r="J510" i="55"/>
  <c r="I510" i="55"/>
  <c r="H510" i="55"/>
  <c r="D510" i="55"/>
  <c r="B510" i="55"/>
  <c r="A510" i="55"/>
  <c r="W509" i="55"/>
  <c r="V509" i="55"/>
  <c r="U509" i="55"/>
  <c r="T509" i="55"/>
  <c r="S509" i="55"/>
  <c r="J509" i="55"/>
  <c r="I509" i="55"/>
  <c r="H509" i="55"/>
  <c r="D509" i="55"/>
  <c r="B509" i="55"/>
  <c r="A509" i="55"/>
  <c r="W508" i="55"/>
  <c r="V508" i="55"/>
  <c r="U508" i="55"/>
  <c r="T508" i="55"/>
  <c r="S508" i="55"/>
  <c r="J508" i="55"/>
  <c r="I508" i="55"/>
  <c r="H508" i="55"/>
  <c r="D508" i="55"/>
  <c r="B508" i="55"/>
  <c r="A508" i="55"/>
  <c r="W507" i="55"/>
  <c r="V507" i="55"/>
  <c r="U507" i="55"/>
  <c r="T507" i="55"/>
  <c r="S507" i="55"/>
  <c r="J507" i="55"/>
  <c r="I507" i="55"/>
  <c r="H507" i="55"/>
  <c r="D507" i="55"/>
  <c r="B507" i="55"/>
  <c r="A507" i="55"/>
  <c r="W506" i="55"/>
  <c r="V506" i="55"/>
  <c r="U506" i="55"/>
  <c r="T506" i="55"/>
  <c r="S506" i="55"/>
  <c r="J506" i="55"/>
  <c r="I506" i="55"/>
  <c r="H506" i="55"/>
  <c r="D506" i="55"/>
  <c r="B506" i="55"/>
  <c r="A506" i="55"/>
  <c r="W505" i="55"/>
  <c r="V505" i="55"/>
  <c r="U505" i="55"/>
  <c r="T505" i="55"/>
  <c r="S505" i="55"/>
  <c r="J505" i="55"/>
  <c r="I505" i="55"/>
  <c r="H505" i="55"/>
  <c r="D505" i="55"/>
  <c r="B505" i="55"/>
  <c r="A505" i="55"/>
  <c r="W504" i="55"/>
  <c r="V504" i="55"/>
  <c r="U504" i="55"/>
  <c r="T504" i="55"/>
  <c r="S504" i="55"/>
  <c r="J504" i="55"/>
  <c r="I504" i="55"/>
  <c r="H504" i="55"/>
  <c r="D504" i="55"/>
  <c r="B504" i="55"/>
  <c r="A504" i="55"/>
  <c r="W503" i="55"/>
  <c r="V503" i="55"/>
  <c r="U503" i="55"/>
  <c r="T503" i="55"/>
  <c r="S503" i="55"/>
  <c r="J503" i="55"/>
  <c r="I503" i="55"/>
  <c r="H503" i="55"/>
  <c r="D503" i="55"/>
  <c r="B503" i="55"/>
  <c r="A503" i="55"/>
  <c r="W502" i="55"/>
  <c r="V502" i="55"/>
  <c r="U502" i="55"/>
  <c r="T502" i="55"/>
  <c r="S502" i="55"/>
  <c r="J502" i="55"/>
  <c r="I502" i="55"/>
  <c r="H502" i="55"/>
  <c r="D502" i="55"/>
  <c r="B502" i="55"/>
  <c r="A502" i="55"/>
  <c r="W501" i="55"/>
  <c r="V501" i="55"/>
  <c r="U501" i="55"/>
  <c r="T501" i="55"/>
  <c r="S501" i="55"/>
  <c r="J501" i="55"/>
  <c r="I501" i="55"/>
  <c r="H501" i="55"/>
  <c r="D501" i="55"/>
  <c r="B501" i="55"/>
  <c r="A501" i="55"/>
  <c r="W500" i="55"/>
  <c r="V500" i="55"/>
  <c r="U500" i="55"/>
  <c r="T500" i="55"/>
  <c r="S500" i="55"/>
  <c r="J500" i="55"/>
  <c r="I500" i="55"/>
  <c r="H500" i="55"/>
  <c r="D500" i="55"/>
  <c r="B500" i="55"/>
  <c r="A500" i="55"/>
  <c r="W499" i="55"/>
  <c r="V499" i="55"/>
  <c r="U499" i="55"/>
  <c r="T499" i="55"/>
  <c r="S499" i="55"/>
  <c r="J499" i="55"/>
  <c r="I499" i="55"/>
  <c r="H499" i="55"/>
  <c r="D499" i="55"/>
  <c r="B499" i="55"/>
  <c r="A499" i="55"/>
  <c r="W498" i="55"/>
  <c r="V498" i="55"/>
  <c r="U498" i="55"/>
  <c r="T498" i="55"/>
  <c r="S498" i="55"/>
  <c r="J498" i="55"/>
  <c r="I498" i="55"/>
  <c r="H498" i="55"/>
  <c r="D498" i="55"/>
  <c r="B498" i="55"/>
  <c r="A498" i="55"/>
  <c r="W497" i="55"/>
  <c r="V497" i="55"/>
  <c r="U497" i="55"/>
  <c r="T497" i="55"/>
  <c r="S497" i="55"/>
  <c r="J497" i="55"/>
  <c r="I497" i="55"/>
  <c r="H497" i="55"/>
  <c r="D497" i="55"/>
  <c r="B497" i="55"/>
  <c r="A497" i="55"/>
  <c r="W496" i="55"/>
  <c r="V496" i="55"/>
  <c r="U496" i="55"/>
  <c r="T496" i="55"/>
  <c r="S496" i="55"/>
  <c r="J496" i="55"/>
  <c r="I496" i="55"/>
  <c r="H496" i="55"/>
  <c r="D496" i="55"/>
  <c r="B496" i="55"/>
  <c r="A496" i="55"/>
  <c r="W495" i="55"/>
  <c r="V495" i="55"/>
  <c r="U495" i="55"/>
  <c r="T495" i="55"/>
  <c r="S495" i="55"/>
  <c r="J495" i="55"/>
  <c r="I495" i="55"/>
  <c r="H495" i="55"/>
  <c r="D495" i="55"/>
  <c r="B495" i="55"/>
  <c r="A495" i="55"/>
  <c r="W494" i="55"/>
  <c r="V494" i="55"/>
  <c r="U494" i="55"/>
  <c r="T494" i="55"/>
  <c r="S494" i="55"/>
  <c r="J494" i="55"/>
  <c r="I494" i="55"/>
  <c r="H494" i="55"/>
  <c r="D494" i="55"/>
  <c r="B494" i="55"/>
  <c r="A494" i="55"/>
  <c r="W493" i="55"/>
  <c r="V493" i="55"/>
  <c r="U493" i="55"/>
  <c r="T493" i="55"/>
  <c r="S493" i="55"/>
  <c r="J493" i="55"/>
  <c r="I493" i="55"/>
  <c r="H493" i="55"/>
  <c r="D493" i="55"/>
  <c r="B493" i="55"/>
  <c r="A493" i="55"/>
  <c r="W492" i="55"/>
  <c r="V492" i="55"/>
  <c r="U492" i="55"/>
  <c r="T492" i="55"/>
  <c r="S492" i="55"/>
  <c r="J492" i="55"/>
  <c r="I492" i="55"/>
  <c r="H492" i="55"/>
  <c r="D492" i="55"/>
  <c r="B492" i="55"/>
  <c r="A492" i="55"/>
  <c r="W491" i="55"/>
  <c r="V491" i="55"/>
  <c r="U491" i="55"/>
  <c r="T491" i="55"/>
  <c r="S491" i="55"/>
  <c r="J491" i="55"/>
  <c r="I491" i="55"/>
  <c r="H491" i="55"/>
  <c r="D491" i="55"/>
  <c r="B491" i="55"/>
  <c r="A491" i="55"/>
  <c r="W490" i="55"/>
  <c r="V490" i="55"/>
  <c r="U490" i="55"/>
  <c r="T490" i="55"/>
  <c r="S490" i="55"/>
  <c r="J490" i="55"/>
  <c r="I490" i="55"/>
  <c r="H490" i="55"/>
  <c r="D490" i="55"/>
  <c r="B490" i="55"/>
  <c r="A490" i="55"/>
  <c r="W489" i="55"/>
  <c r="V489" i="55"/>
  <c r="U489" i="55"/>
  <c r="T489" i="55"/>
  <c r="S489" i="55"/>
  <c r="J489" i="55"/>
  <c r="I489" i="55"/>
  <c r="H489" i="55"/>
  <c r="D489" i="55"/>
  <c r="B489" i="55"/>
  <c r="A489" i="55"/>
  <c r="W488" i="55"/>
  <c r="V488" i="55"/>
  <c r="U488" i="55"/>
  <c r="T488" i="55"/>
  <c r="S488" i="55"/>
  <c r="J488" i="55"/>
  <c r="I488" i="55"/>
  <c r="H488" i="55"/>
  <c r="D488" i="55"/>
  <c r="B488" i="55"/>
  <c r="A488" i="55"/>
  <c r="W487" i="55"/>
  <c r="V487" i="55"/>
  <c r="U487" i="55"/>
  <c r="T487" i="55"/>
  <c r="S487" i="55"/>
  <c r="J487" i="55"/>
  <c r="I487" i="55"/>
  <c r="H487" i="55"/>
  <c r="D487" i="55"/>
  <c r="B487" i="55"/>
  <c r="A487" i="55"/>
  <c r="W486" i="55"/>
  <c r="V486" i="55"/>
  <c r="U486" i="55"/>
  <c r="T486" i="55"/>
  <c r="S486" i="55"/>
  <c r="J486" i="55"/>
  <c r="I486" i="55"/>
  <c r="H486" i="55"/>
  <c r="D486" i="55"/>
  <c r="B486" i="55"/>
  <c r="A486" i="55"/>
  <c r="W485" i="55"/>
  <c r="V485" i="55"/>
  <c r="U485" i="55"/>
  <c r="T485" i="55"/>
  <c r="S485" i="55"/>
  <c r="J485" i="55"/>
  <c r="I485" i="55"/>
  <c r="H485" i="55"/>
  <c r="D485" i="55"/>
  <c r="B485" i="55"/>
  <c r="A485" i="55"/>
  <c r="W484" i="55"/>
  <c r="V484" i="55"/>
  <c r="U484" i="55"/>
  <c r="T484" i="55"/>
  <c r="S484" i="55"/>
  <c r="J484" i="55"/>
  <c r="I484" i="55"/>
  <c r="H484" i="55"/>
  <c r="D484" i="55"/>
  <c r="B484" i="55"/>
  <c r="A484" i="55"/>
  <c r="W483" i="55"/>
  <c r="V483" i="55"/>
  <c r="U483" i="55"/>
  <c r="T483" i="55"/>
  <c r="S483" i="55"/>
  <c r="J483" i="55"/>
  <c r="I483" i="55"/>
  <c r="H483" i="55"/>
  <c r="D483" i="55"/>
  <c r="B483" i="55"/>
  <c r="A483" i="55"/>
  <c r="W482" i="55"/>
  <c r="V482" i="55"/>
  <c r="U482" i="55"/>
  <c r="T482" i="55"/>
  <c r="S482" i="55"/>
  <c r="J482" i="55"/>
  <c r="I482" i="55"/>
  <c r="H482" i="55"/>
  <c r="D482" i="55"/>
  <c r="B482" i="55"/>
  <c r="A482" i="55"/>
  <c r="W481" i="55"/>
  <c r="V481" i="55"/>
  <c r="U481" i="55"/>
  <c r="T481" i="55"/>
  <c r="S481" i="55"/>
  <c r="J481" i="55"/>
  <c r="I481" i="55"/>
  <c r="H481" i="55"/>
  <c r="D481" i="55"/>
  <c r="B481" i="55"/>
  <c r="A481" i="55"/>
  <c r="W480" i="55"/>
  <c r="V480" i="55"/>
  <c r="U480" i="55"/>
  <c r="T480" i="55"/>
  <c r="S480" i="55"/>
  <c r="J480" i="55"/>
  <c r="I480" i="55"/>
  <c r="H480" i="55"/>
  <c r="D480" i="55"/>
  <c r="B480" i="55"/>
  <c r="A480" i="55"/>
  <c r="W479" i="55"/>
  <c r="V479" i="55"/>
  <c r="U479" i="55"/>
  <c r="T479" i="55"/>
  <c r="S479" i="55"/>
  <c r="J479" i="55"/>
  <c r="I479" i="55"/>
  <c r="H479" i="55"/>
  <c r="D479" i="55"/>
  <c r="B479" i="55"/>
  <c r="A479" i="55"/>
  <c r="W478" i="55"/>
  <c r="V478" i="55"/>
  <c r="U478" i="55"/>
  <c r="T478" i="55"/>
  <c r="S478" i="55"/>
  <c r="J478" i="55"/>
  <c r="I478" i="55"/>
  <c r="H478" i="55"/>
  <c r="D478" i="55"/>
  <c r="B478" i="55"/>
  <c r="A478" i="55"/>
  <c r="W477" i="55"/>
  <c r="V477" i="55"/>
  <c r="U477" i="55"/>
  <c r="T477" i="55"/>
  <c r="S477" i="55"/>
  <c r="J477" i="55"/>
  <c r="I477" i="55"/>
  <c r="H477" i="55"/>
  <c r="D477" i="55"/>
  <c r="B477" i="55"/>
  <c r="A477" i="55"/>
  <c r="W476" i="55"/>
  <c r="V476" i="55"/>
  <c r="U476" i="55"/>
  <c r="T476" i="55"/>
  <c r="S476" i="55"/>
  <c r="J476" i="55"/>
  <c r="I476" i="55"/>
  <c r="H476" i="55"/>
  <c r="D476" i="55"/>
  <c r="B476" i="55"/>
  <c r="A476" i="55"/>
  <c r="W475" i="55"/>
  <c r="V475" i="55"/>
  <c r="U475" i="55"/>
  <c r="T475" i="55"/>
  <c r="S475" i="55"/>
  <c r="J475" i="55"/>
  <c r="I475" i="55"/>
  <c r="H475" i="55"/>
  <c r="D475" i="55"/>
  <c r="B475" i="55"/>
  <c r="A475" i="55"/>
  <c r="W474" i="55"/>
  <c r="V474" i="55"/>
  <c r="U474" i="55"/>
  <c r="T474" i="55"/>
  <c r="S474" i="55"/>
  <c r="J474" i="55"/>
  <c r="I474" i="55"/>
  <c r="H474" i="55"/>
  <c r="D474" i="55"/>
  <c r="B474" i="55"/>
  <c r="A474" i="55"/>
  <c r="W473" i="55"/>
  <c r="V473" i="55"/>
  <c r="U473" i="55"/>
  <c r="T473" i="55"/>
  <c r="S473" i="55"/>
  <c r="J473" i="55"/>
  <c r="I473" i="55"/>
  <c r="H473" i="55"/>
  <c r="D473" i="55"/>
  <c r="B473" i="55"/>
  <c r="A473" i="55"/>
  <c r="W472" i="55"/>
  <c r="V472" i="55"/>
  <c r="U472" i="55"/>
  <c r="T472" i="55"/>
  <c r="S472" i="55"/>
  <c r="J472" i="55"/>
  <c r="I472" i="55"/>
  <c r="H472" i="55"/>
  <c r="D472" i="55"/>
  <c r="B472" i="55"/>
  <c r="A472" i="55"/>
  <c r="W471" i="55"/>
  <c r="V471" i="55"/>
  <c r="U471" i="55"/>
  <c r="T471" i="55"/>
  <c r="S471" i="55"/>
  <c r="J471" i="55"/>
  <c r="I471" i="55"/>
  <c r="H471" i="55"/>
  <c r="D471" i="55"/>
  <c r="B471" i="55"/>
  <c r="A471" i="55"/>
  <c r="W470" i="55"/>
  <c r="V470" i="55"/>
  <c r="U470" i="55"/>
  <c r="T470" i="55"/>
  <c r="S470" i="55"/>
  <c r="J470" i="55"/>
  <c r="I470" i="55"/>
  <c r="H470" i="55"/>
  <c r="D470" i="55"/>
  <c r="B470" i="55"/>
  <c r="A470" i="55"/>
  <c r="W469" i="55"/>
  <c r="V469" i="55"/>
  <c r="U469" i="55"/>
  <c r="T469" i="55"/>
  <c r="S469" i="55"/>
  <c r="J469" i="55"/>
  <c r="I469" i="55"/>
  <c r="H469" i="55"/>
  <c r="D469" i="55"/>
  <c r="B469" i="55"/>
  <c r="A469" i="55"/>
  <c r="W468" i="55"/>
  <c r="V468" i="55"/>
  <c r="U468" i="55"/>
  <c r="T468" i="55"/>
  <c r="S468" i="55"/>
  <c r="J468" i="55"/>
  <c r="I468" i="55"/>
  <c r="H468" i="55"/>
  <c r="D468" i="55"/>
  <c r="B468" i="55"/>
  <c r="A468" i="55"/>
  <c r="W467" i="55"/>
  <c r="V467" i="55"/>
  <c r="U467" i="55"/>
  <c r="T467" i="55"/>
  <c r="S467" i="55"/>
  <c r="J467" i="55"/>
  <c r="I467" i="55"/>
  <c r="H467" i="55"/>
  <c r="D467" i="55"/>
  <c r="B467" i="55"/>
  <c r="A467" i="55"/>
  <c r="W466" i="55"/>
  <c r="V466" i="55"/>
  <c r="U466" i="55"/>
  <c r="T466" i="55"/>
  <c r="S466" i="55"/>
  <c r="J466" i="55"/>
  <c r="I466" i="55"/>
  <c r="H466" i="55"/>
  <c r="D466" i="55"/>
  <c r="B466" i="55"/>
  <c r="A466" i="55"/>
  <c r="W465" i="55"/>
  <c r="V465" i="55"/>
  <c r="U465" i="55"/>
  <c r="T465" i="55"/>
  <c r="S465" i="55"/>
  <c r="J465" i="55"/>
  <c r="I465" i="55"/>
  <c r="H465" i="55"/>
  <c r="D465" i="55"/>
  <c r="B465" i="55"/>
  <c r="A465" i="55"/>
  <c r="W464" i="55"/>
  <c r="V464" i="55"/>
  <c r="U464" i="55"/>
  <c r="T464" i="55"/>
  <c r="S464" i="55"/>
  <c r="J464" i="55"/>
  <c r="I464" i="55"/>
  <c r="H464" i="55"/>
  <c r="D464" i="55"/>
  <c r="B464" i="55"/>
  <c r="A464" i="55"/>
  <c r="W463" i="55"/>
  <c r="V463" i="55"/>
  <c r="U463" i="55"/>
  <c r="T463" i="55"/>
  <c r="S463" i="55"/>
  <c r="J463" i="55"/>
  <c r="I463" i="55"/>
  <c r="H463" i="55"/>
  <c r="D463" i="55"/>
  <c r="B463" i="55"/>
  <c r="A463" i="55"/>
  <c r="W462" i="55"/>
  <c r="V462" i="55"/>
  <c r="U462" i="55"/>
  <c r="T462" i="55"/>
  <c r="S462" i="55"/>
  <c r="J462" i="55"/>
  <c r="I462" i="55"/>
  <c r="H462" i="55"/>
  <c r="D462" i="55"/>
  <c r="B462" i="55"/>
  <c r="A462" i="55"/>
  <c r="W461" i="55"/>
  <c r="V461" i="55"/>
  <c r="U461" i="55"/>
  <c r="T461" i="55"/>
  <c r="S461" i="55"/>
  <c r="J461" i="55"/>
  <c r="I461" i="55"/>
  <c r="H461" i="55"/>
  <c r="D461" i="55"/>
  <c r="B461" i="55"/>
  <c r="A461" i="55"/>
  <c r="W460" i="55"/>
  <c r="V460" i="55"/>
  <c r="U460" i="55"/>
  <c r="T460" i="55"/>
  <c r="S460" i="55"/>
  <c r="J460" i="55"/>
  <c r="I460" i="55"/>
  <c r="H460" i="55"/>
  <c r="D460" i="55"/>
  <c r="B460" i="55"/>
  <c r="A460" i="55"/>
  <c r="W459" i="55"/>
  <c r="V459" i="55"/>
  <c r="U459" i="55"/>
  <c r="T459" i="55"/>
  <c r="S459" i="55"/>
  <c r="J459" i="55"/>
  <c r="I459" i="55"/>
  <c r="H459" i="55"/>
  <c r="D459" i="55"/>
  <c r="B459" i="55"/>
  <c r="A459" i="55"/>
  <c r="W458" i="55"/>
  <c r="V458" i="55"/>
  <c r="U458" i="55"/>
  <c r="T458" i="55"/>
  <c r="S458" i="55"/>
  <c r="J458" i="55"/>
  <c r="I458" i="55"/>
  <c r="H458" i="55"/>
  <c r="D458" i="55"/>
  <c r="B458" i="55"/>
  <c r="A458" i="55"/>
  <c r="W457" i="55"/>
  <c r="V457" i="55"/>
  <c r="U457" i="55"/>
  <c r="T457" i="55"/>
  <c r="S457" i="55"/>
  <c r="J457" i="55"/>
  <c r="I457" i="55"/>
  <c r="H457" i="55"/>
  <c r="D457" i="55"/>
  <c r="B457" i="55"/>
  <c r="A457" i="55"/>
  <c r="W456" i="55"/>
  <c r="V456" i="55"/>
  <c r="U456" i="55"/>
  <c r="T456" i="55"/>
  <c r="S456" i="55"/>
  <c r="J456" i="55"/>
  <c r="I456" i="55"/>
  <c r="H456" i="55"/>
  <c r="D456" i="55"/>
  <c r="B456" i="55"/>
  <c r="A456" i="55"/>
  <c r="W455" i="55"/>
  <c r="V455" i="55"/>
  <c r="U455" i="55"/>
  <c r="T455" i="55"/>
  <c r="S455" i="55"/>
  <c r="J455" i="55"/>
  <c r="I455" i="55"/>
  <c r="H455" i="55"/>
  <c r="D455" i="55"/>
  <c r="B455" i="55"/>
  <c r="A455" i="55"/>
  <c r="W454" i="55"/>
  <c r="V454" i="55"/>
  <c r="U454" i="55"/>
  <c r="T454" i="55"/>
  <c r="S454" i="55"/>
  <c r="J454" i="55"/>
  <c r="I454" i="55"/>
  <c r="H454" i="55"/>
  <c r="D454" i="55"/>
  <c r="B454" i="55"/>
  <c r="A454" i="55"/>
  <c r="W453" i="55"/>
  <c r="V453" i="55"/>
  <c r="U453" i="55"/>
  <c r="T453" i="55"/>
  <c r="S453" i="55"/>
  <c r="J453" i="55"/>
  <c r="I453" i="55"/>
  <c r="H453" i="55"/>
  <c r="D453" i="55"/>
  <c r="B453" i="55"/>
  <c r="A453" i="55"/>
  <c r="W452" i="55"/>
  <c r="V452" i="55"/>
  <c r="U452" i="55"/>
  <c r="T452" i="55"/>
  <c r="S452" i="55"/>
  <c r="J452" i="55"/>
  <c r="I452" i="55"/>
  <c r="H452" i="55"/>
  <c r="D452" i="55"/>
  <c r="B452" i="55"/>
  <c r="A452" i="55"/>
  <c r="W451" i="55"/>
  <c r="V451" i="55"/>
  <c r="U451" i="55"/>
  <c r="T451" i="55"/>
  <c r="S451" i="55"/>
  <c r="J451" i="55"/>
  <c r="I451" i="55"/>
  <c r="H451" i="55"/>
  <c r="D451" i="55"/>
  <c r="B451" i="55"/>
  <c r="A451" i="55"/>
  <c r="W450" i="55"/>
  <c r="V450" i="55"/>
  <c r="U450" i="55"/>
  <c r="T450" i="55"/>
  <c r="S450" i="55"/>
  <c r="J450" i="55"/>
  <c r="I450" i="55"/>
  <c r="H450" i="55"/>
  <c r="D450" i="55"/>
  <c r="B450" i="55"/>
  <c r="A450" i="55"/>
  <c r="W449" i="55"/>
  <c r="V449" i="55"/>
  <c r="U449" i="55"/>
  <c r="T449" i="55"/>
  <c r="S449" i="55"/>
  <c r="J449" i="55"/>
  <c r="I449" i="55"/>
  <c r="H449" i="55"/>
  <c r="D449" i="55"/>
  <c r="B449" i="55"/>
  <c r="A449" i="55"/>
  <c r="W448" i="55"/>
  <c r="V448" i="55"/>
  <c r="U448" i="55"/>
  <c r="T448" i="55"/>
  <c r="S448" i="55"/>
  <c r="J448" i="55"/>
  <c r="I448" i="55"/>
  <c r="H448" i="55"/>
  <c r="D448" i="55"/>
  <c r="B448" i="55"/>
  <c r="A448" i="55"/>
  <c r="W447" i="55"/>
  <c r="V447" i="55"/>
  <c r="U447" i="55"/>
  <c r="T447" i="55"/>
  <c r="S447" i="55"/>
  <c r="J447" i="55"/>
  <c r="I447" i="55"/>
  <c r="H447" i="55"/>
  <c r="D447" i="55"/>
  <c r="B447" i="55"/>
  <c r="A447" i="55"/>
  <c r="W446" i="55"/>
  <c r="V446" i="55"/>
  <c r="U446" i="55"/>
  <c r="T446" i="55"/>
  <c r="S446" i="55"/>
  <c r="J446" i="55"/>
  <c r="I446" i="55"/>
  <c r="H446" i="55"/>
  <c r="D446" i="55"/>
  <c r="B446" i="55"/>
  <c r="A446" i="55"/>
  <c r="W445" i="55"/>
  <c r="V445" i="55"/>
  <c r="U445" i="55"/>
  <c r="T445" i="55"/>
  <c r="S445" i="55"/>
  <c r="J445" i="55"/>
  <c r="I445" i="55"/>
  <c r="H445" i="55"/>
  <c r="D445" i="55"/>
  <c r="B445" i="55"/>
  <c r="A445" i="55"/>
  <c r="W444" i="55"/>
  <c r="V444" i="55"/>
  <c r="U444" i="55"/>
  <c r="T444" i="55"/>
  <c r="S444" i="55"/>
  <c r="J444" i="55"/>
  <c r="I444" i="55"/>
  <c r="H444" i="55"/>
  <c r="D444" i="55"/>
  <c r="B444" i="55"/>
  <c r="A444" i="55"/>
  <c r="W443" i="55"/>
  <c r="V443" i="55"/>
  <c r="U443" i="55"/>
  <c r="T443" i="55"/>
  <c r="S443" i="55"/>
  <c r="J443" i="55"/>
  <c r="I443" i="55"/>
  <c r="H443" i="55"/>
  <c r="D443" i="55"/>
  <c r="B443" i="55"/>
  <c r="A443" i="55"/>
  <c r="W442" i="55"/>
  <c r="V442" i="55"/>
  <c r="U442" i="55"/>
  <c r="T442" i="55"/>
  <c r="S442" i="55"/>
  <c r="J442" i="55"/>
  <c r="I442" i="55"/>
  <c r="H442" i="55"/>
  <c r="D442" i="55"/>
  <c r="B442" i="55"/>
  <c r="A442" i="55"/>
  <c r="W441" i="55"/>
  <c r="V441" i="55"/>
  <c r="U441" i="55"/>
  <c r="T441" i="55"/>
  <c r="S441" i="55"/>
  <c r="J441" i="55"/>
  <c r="I441" i="55"/>
  <c r="H441" i="55"/>
  <c r="D441" i="55"/>
  <c r="B441" i="55"/>
  <c r="A441" i="55"/>
  <c r="W440" i="55"/>
  <c r="V440" i="55"/>
  <c r="U440" i="55"/>
  <c r="T440" i="55"/>
  <c r="S440" i="55"/>
  <c r="J440" i="55"/>
  <c r="I440" i="55"/>
  <c r="H440" i="55"/>
  <c r="D440" i="55"/>
  <c r="B440" i="55"/>
  <c r="A440" i="55"/>
  <c r="W439" i="55"/>
  <c r="V439" i="55"/>
  <c r="U439" i="55"/>
  <c r="T439" i="55"/>
  <c r="S439" i="55"/>
  <c r="J439" i="55"/>
  <c r="I439" i="55"/>
  <c r="H439" i="55"/>
  <c r="D439" i="55"/>
  <c r="B439" i="55"/>
  <c r="A439" i="55"/>
  <c r="W438" i="55"/>
  <c r="V438" i="55"/>
  <c r="U438" i="55"/>
  <c r="T438" i="55"/>
  <c r="S438" i="55"/>
  <c r="J438" i="55"/>
  <c r="I438" i="55"/>
  <c r="H438" i="55"/>
  <c r="D438" i="55"/>
  <c r="B438" i="55"/>
  <c r="A438" i="55"/>
  <c r="W437" i="55"/>
  <c r="V437" i="55"/>
  <c r="U437" i="55"/>
  <c r="T437" i="55"/>
  <c r="S437" i="55"/>
  <c r="J437" i="55"/>
  <c r="I437" i="55"/>
  <c r="H437" i="55"/>
  <c r="D437" i="55"/>
  <c r="B437" i="55"/>
  <c r="A437" i="55"/>
  <c r="W436" i="55"/>
  <c r="V436" i="55"/>
  <c r="U436" i="55"/>
  <c r="T436" i="55"/>
  <c r="S436" i="55"/>
  <c r="J436" i="55"/>
  <c r="I436" i="55"/>
  <c r="H436" i="55"/>
  <c r="D436" i="55"/>
  <c r="B436" i="55"/>
  <c r="A436" i="55"/>
  <c r="W435" i="55"/>
  <c r="V435" i="55"/>
  <c r="U435" i="55"/>
  <c r="T435" i="55"/>
  <c r="S435" i="55"/>
  <c r="J435" i="55"/>
  <c r="I435" i="55"/>
  <c r="H435" i="55"/>
  <c r="D435" i="55"/>
  <c r="B435" i="55"/>
  <c r="A435" i="55"/>
  <c r="W434" i="55"/>
  <c r="V434" i="55"/>
  <c r="U434" i="55"/>
  <c r="T434" i="55"/>
  <c r="S434" i="55"/>
  <c r="J434" i="55"/>
  <c r="I434" i="55"/>
  <c r="H434" i="55"/>
  <c r="D434" i="55"/>
  <c r="B434" i="55"/>
  <c r="A434" i="55"/>
  <c r="W433" i="55"/>
  <c r="V433" i="55"/>
  <c r="U433" i="55"/>
  <c r="T433" i="55"/>
  <c r="S433" i="55"/>
  <c r="J433" i="55"/>
  <c r="I433" i="55"/>
  <c r="H433" i="55"/>
  <c r="D433" i="55"/>
  <c r="B433" i="55"/>
  <c r="A433" i="55"/>
  <c r="W432" i="55"/>
  <c r="V432" i="55"/>
  <c r="U432" i="55"/>
  <c r="T432" i="55"/>
  <c r="S432" i="55"/>
  <c r="J432" i="55"/>
  <c r="I432" i="55"/>
  <c r="H432" i="55"/>
  <c r="D432" i="55"/>
  <c r="B432" i="55"/>
  <c r="A432" i="55"/>
  <c r="W431" i="55"/>
  <c r="V431" i="55"/>
  <c r="U431" i="55"/>
  <c r="T431" i="55"/>
  <c r="S431" i="55"/>
  <c r="J431" i="55"/>
  <c r="I431" i="55"/>
  <c r="H431" i="55"/>
  <c r="D431" i="55"/>
  <c r="B431" i="55"/>
  <c r="A431" i="55"/>
  <c r="W430" i="55"/>
  <c r="V430" i="55"/>
  <c r="U430" i="55"/>
  <c r="T430" i="55"/>
  <c r="S430" i="55"/>
  <c r="J430" i="55"/>
  <c r="I430" i="55"/>
  <c r="H430" i="55"/>
  <c r="D430" i="55"/>
  <c r="B430" i="55"/>
  <c r="A430" i="55"/>
  <c r="W429" i="55"/>
  <c r="V429" i="55"/>
  <c r="U429" i="55"/>
  <c r="T429" i="55"/>
  <c r="S429" i="55"/>
  <c r="J429" i="55"/>
  <c r="I429" i="55"/>
  <c r="H429" i="55"/>
  <c r="D429" i="55"/>
  <c r="B429" i="55"/>
  <c r="A429" i="55"/>
  <c r="W428" i="55"/>
  <c r="V428" i="55"/>
  <c r="U428" i="55"/>
  <c r="T428" i="55"/>
  <c r="S428" i="55"/>
  <c r="J428" i="55"/>
  <c r="I428" i="55"/>
  <c r="H428" i="55"/>
  <c r="D428" i="55"/>
  <c r="B428" i="55"/>
  <c r="A428" i="55"/>
  <c r="W427" i="55"/>
  <c r="V427" i="55"/>
  <c r="U427" i="55"/>
  <c r="T427" i="55"/>
  <c r="S427" i="55"/>
  <c r="J427" i="55"/>
  <c r="I427" i="55"/>
  <c r="H427" i="55"/>
  <c r="D427" i="55"/>
  <c r="B427" i="55"/>
  <c r="A427" i="55"/>
  <c r="W426" i="55"/>
  <c r="V426" i="55"/>
  <c r="U426" i="55"/>
  <c r="T426" i="55"/>
  <c r="S426" i="55"/>
  <c r="J426" i="55"/>
  <c r="I426" i="55"/>
  <c r="H426" i="55"/>
  <c r="D426" i="55"/>
  <c r="B426" i="55"/>
  <c r="A426" i="55"/>
  <c r="W425" i="55"/>
  <c r="V425" i="55"/>
  <c r="U425" i="55"/>
  <c r="T425" i="55"/>
  <c r="S425" i="55"/>
  <c r="J425" i="55"/>
  <c r="I425" i="55"/>
  <c r="H425" i="55"/>
  <c r="D425" i="55"/>
  <c r="B425" i="55"/>
  <c r="A425" i="55"/>
  <c r="W424" i="55"/>
  <c r="V424" i="55"/>
  <c r="U424" i="55"/>
  <c r="T424" i="55"/>
  <c r="S424" i="55"/>
  <c r="J424" i="55"/>
  <c r="I424" i="55"/>
  <c r="H424" i="55"/>
  <c r="D424" i="55"/>
  <c r="B424" i="55"/>
  <c r="A424" i="55"/>
  <c r="W423" i="55"/>
  <c r="V423" i="55"/>
  <c r="U423" i="55"/>
  <c r="T423" i="55"/>
  <c r="S423" i="55"/>
  <c r="J423" i="55"/>
  <c r="I423" i="55"/>
  <c r="H423" i="55"/>
  <c r="D423" i="55"/>
  <c r="B423" i="55"/>
  <c r="A423" i="55"/>
  <c r="W422" i="55"/>
  <c r="V422" i="55"/>
  <c r="U422" i="55"/>
  <c r="T422" i="55"/>
  <c r="S422" i="55"/>
  <c r="J422" i="55"/>
  <c r="I422" i="55"/>
  <c r="H422" i="55"/>
  <c r="D422" i="55"/>
  <c r="B422" i="55"/>
  <c r="A422" i="55"/>
  <c r="W421" i="55"/>
  <c r="V421" i="55"/>
  <c r="U421" i="55"/>
  <c r="T421" i="55"/>
  <c r="S421" i="55"/>
  <c r="J421" i="55"/>
  <c r="I421" i="55"/>
  <c r="H421" i="55"/>
  <c r="D421" i="55"/>
  <c r="B421" i="55"/>
  <c r="A421" i="55"/>
  <c r="W420" i="55"/>
  <c r="V420" i="55"/>
  <c r="U420" i="55"/>
  <c r="T420" i="55"/>
  <c r="S420" i="55"/>
  <c r="J420" i="55"/>
  <c r="I420" i="55"/>
  <c r="H420" i="55"/>
  <c r="D420" i="55"/>
  <c r="B420" i="55"/>
  <c r="A420" i="55"/>
  <c r="W419" i="55"/>
  <c r="V419" i="55"/>
  <c r="U419" i="55"/>
  <c r="T419" i="55"/>
  <c r="S419" i="55"/>
  <c r="J419" i="55"/>
  <c r="I419" i="55"/>
  <c r="H419" i="55"/>
  <c r="D419" i="55"/>
  <c r="B419" i="55"/>
  <c r="A419" i="55"/>
  <c r="W418" i="55"/>
  <c r="V418" i="55"/>
  <c r="U418" i="55"/>
  <c r="T418" i="55"/>
  <c r="S418" i="55"/>
  <c r="J418" i="55"/>
  <c r="I418" i="55"/>
  <c r="H418" i="55"/>
  <c r="D418" i="55"/>
  <c r="B418" i="55"/>
  <c r="A418" i="55"/>
  <c r="W417" i="55"/>
  <c r="V417" i="55"/>
  <c r="U417" i="55"/>
  <c r="T417" i="55"/>
  <c r="S417" i="55"/>
  <c r="J417" i="55"/>
  <c r="I417" i="55"/>
  <c r="H417" i="55"/>
  <c r="D417" i="55"/>
  <c r="B417" i="55"/>
  <c r="A417" i="55"/>
  <c r="W416" i="55"/>
  <c r="V416" i="55"/>
  <c r="U416" i="55"/>
  <c r="T416" i="55"/>
  <c r="S416" i="55"/>
  <c r="J416" i="55"/>
  <c r="I416" i="55"/>
  <c r="H416" i="55"/>
  <c r="D416" i="55"/>
  <c r="B416" i="55"/>
  <c r="A416" i="55"/>
  <c r="W415" i="55"/>
  <c r="V415" i="55"/>
  <c r="U415" i="55"/>
  <c r="T415" i="55"/>
  <c r="S415" i="55"/>
  <c r="J415" i="55"/>
  <c r="I415" i="55"/>
  <c r="H415" i="55"/>
  <c r="D415" i="55"/>
  <c r="B415" i="55"/>
  <c r="A415" i="55"/>
  <c r="W414" i="55"/>
  <c r="V414" i="55"/>
  <c r="U414" i="55"/>
  <c r="T414" i="55"/>
  <c r="S414" i="55"/>
  <c r="J414" i="55"/>
  <c r="I414" i="55"/>
  <c r="H414" i="55"/>
  <c r="D414" i="55"/>
  <c r="B414" i="55"/>
  <c r="A414" i="55"/>
  <c r="W413" i="55"/>
  <c r="V413" i="55"/>
  <c r="U413" i="55"/>
  <c r="T413" i="55"/>
  <c r="S413" i="55"/>
  <c r="J413" i="55"/>
  <c r="I413" i="55"/>
  <c r="H413" i="55"/>
  <c r="D413" i="55"/>
  <c r="B413" i="55"/>
  <c r="A413" i="55"/>
  <c r="W412" i="55"/>
  <c r="V412" i="55"/>
  <c r="U412" i="55"/>
  <c r="T412" i="55"/>
  <c r="S412" i="55"/>
  <c r="J412" i="55"/>
  <c r="I412" i="55"/>
  <c r="H412" i="55"/>
  <c r="D412" i="55"/>
  <c r="B412" i="55"/>
  <c r="A412" i="55"/>
  <c r="W411" i="55"/>
  <c r="V411" i="55"/>
  <c r="U411" i="55"/>
  <c r="T411" i="55"/>
  <c r="S411" i="55"/>
  <c r="J411" i="55"/>
  <c r="I411" i="55"/>
  <c r="H411" i="55"/>
  <c r="D411" i="55"/>
  <c r="B411" i="55"/>
  <c r="A411" i="55"/>
  <c r="W410" i="55"/>
  <c r="V410" i="55"/>
  <c r="U410" i="55"/>
  <c r="T410" i="55"/>
  <c r="S410" i="55"/>
  <c r="J410" i="55"/>
  <c r="I410" i="55"/>
  <c r="H410" i="55"/>
  <c r="D410" i="55"/>
  <c r="B410" i="55"/>
  <c r="A410" i="55"/>
  <c r="W409" i="55"/>
  <c r="V409" i="55"/>
  <c r="U409" i="55"/>
  <c r="T409" i="55"/>
  <c r="S409" i="55"/>
  <c r="J409" i="55"/>
  <c r="I409" i="55"/>
  <c r="H409" i="55"/>
  <c r="D409" i="55"/>
  <c r="B409" i="55"/>
  <c r="A409" i="55"/>
  <c r="W408" i="55"/>
  <c r="V408" i="55"/>
  <c r="U408" i="55"/>
  <c r="T408" i="55"/>
  <c r="S408" i="55"/>
  <c r="J408" i="55"/>
  <c r="I408" i="55"/>
  <c r="H408" i="55"/>
  <c r="D408" i="55"/>
  <c r="B408" i="55"/>
  <c r="A408" i="55"/>
  <c r="W407" i="55"/>
  <c r="V407" i="55"/>
  <c r="U407" i="55"/>
  <c r="T407" i="55"/>
  <c r="S407" i="55"/>
  <c r="J407" i="55"/>
  <c r="I407" i="55"/>
  <c r="H407" i="55"/>
  <c r="D407" i="55"/>
  <c r="B407" i="55"/>
  <c r="A407" i="55"/>
  <c r="W406" i="55"/>
  <c r="V406" i="55"/>
  <c r="U406" i="55"/>
  <c r="T406" i="55"/>
  <c r="S406" i="55"/>
  <c r="J406" i="55"/>
  <c r="I406" i="55"/>
  <c r="H406" i="55"/>
  <c r="D406" i="55"/>
  <c r="B406" i="55"/>
  <c r="A406" i="55"/>
  <c r="W405" i="55"/>
  <c r="V405" i="55"/>
  <c r="U405" i="55"/>
  <c r="T405" i="55"/>
  <c r="S405" i="55"/>
  <c r="J405" i="55"/>
  <c r="I405" i="55"/>
  <c r="H405" i="55"/>
  <c r="D405" i="55"/>
  <c r="B405" i="55"/>
  <c r="A405" i="55"/>
  <c r="W404" i="55"/>
  <c r="V404" i="55"/>
  <c r="U404" i="55"/>
  <c r="T404" i="55"/>
  <c r="S404" i="55"/>
  <c r="J404" i="55"/>
  <c r="I404" i="55"/>
  <c r="H404" i="55"/>
  <c r="D404" i="55"/>
  <c r="B404" i="55"/>
  <c r="A404" i="55"/>
  <c r="W403" i="55"/>
  <c r="V403" i="55"/>
  <c r="U403" i="55"/>
  <c r="T403" i="55"/>
  <c r="S403" i="55"/>
  <c r="J403" i="55"/>
  <c r="I403" i="55"/>
  <c r="H403" i="55"/>
  <c r="D403" i="55"/>
  <c r="B403" i="55"/>
  <c r="A403" i="55"/>
  <c r="W402" i="55"/>
  <c r="V402" i="55"/>
  <c r="U402" i="55"/>
  <c r="T402" i="55"/>
  <c r="S402" i="55"/>
  <c r="J402" i="55"/>
  <c r="I402" i="55"/>
  <c r="H402" i="55"/>
  <c r="D402" i="55"/>
  <c r="B402" i="55"/>
  <c r="A402" i="55"/>
  <c r="W401" i="55"/>
  <c r="V401" i="55"/>
  <c r="U401" i="55"/>
  <c r="T401" i="55"/>
  <c r="S401" i="55"/>
  <c r="J401" i="55"/>
  <c r="I401" i="55"/>
  <c r="H401" i="55"/>
  <c r="D401" i="55"/>
  <c r="B401" i="55"/>
  <c r="A401" i="55"/>
  <c r="W400" i="55"/>
  <c r="V400" i="55"/>
  <c r="U400" i="55"/>
  <c r="T400" i="55"/>
  <c r="S400" i="55"/>
  <c r="J400" i="55"/>
  <c r="I400" i="55"/>
  <c r="H400" i="55"/>
  <c r="D400" i="55"/>
  <c r="B400" i="55"/>
  <c r="A400" i="55"/>
  <c r="W399" i="55"/>
  <c r="V399" i="55"/>
  <c r="U399" i="55"/>
  <c r="T399" i="55"/>
  <c r="S399" i="55"/>
  <c r="J399" i="55"/>
  <c r="I399" i="55"/>
  <c r="H399" i="55"/>
  <c r="D399" i="55"/>
  <c r="B399" i="55"/>
  <c r="A399" i="55"/>
  <c r="W398" i="55"/>
  <c r="V398" i="55"/>
  <c r="U398" i="55"/>
  <c r="T398" i="55"/>
  <c r="S398" i="55"/>
  <c r="J398" i="55"/>
  <c r="I398" i="55"/>
  <c r="H398" i="55"/>
  <c r="D398" i="55"/>
  <c r="B398" i="55"/>
  <c r="A398" i="55"/>
  <c r="W397" i="55"/>
  <c r="V397" i="55"/>
  <c r="U397" i="55"/>
  <c r="T397" i="55"/>
  <c r="S397" i="55"/>
  <c r="J397" i="55"/>
  <c r="I397" i="55"/>
  <c r="H397" i="55"/>
  <c r="D397" i="55"/>
  <c r="B397" i="55"/>
  <c r="A397" i="55"/>
  <c r="W396" i="55"/>
  <c r="V396" i="55"/>
  <c r="U396" i="55"/>
  <c r="T396" i="55"/>
  <c r="S396" i="55"/>
  <c r="J396" i="55"/>
  <c r="I396" i="55"/>
  <c r="H396" i="55"/>
  <c r="D396" i="55"/>
  <c r="B396" i="55"/>
  <c r="A396" i="55"/>
  <c r="W395" i="55"/>
  <c r="V395" i="55"/>
  <c r="U395" i="55"/>
  <c r="T395" i="55"/>
  <c r="S395" i="55"/>
  <c r="J395" i="55"/>
  <c r="I395" i="55"/>
  <c r="H395" i="55"/>
  <c r="D395" i="55"/>
  <c r="B395" i="55"/>
  <c r="A395" i="55"/>
  <c r="W394" i="55"/>
  <c r="V394" i="55"/>
  <c r="U394" i="55"/>
  <c r="T394" i="55"/>
  <c r="S394" i="55"/>
  <c r="J394" i="55"/>
  <c r="I394" i="55"/>
  <c r="H394" i="55"/>
  <c r="D394" i="55"/>
  <c r="B394" i="55"/>
  <c r="A394" i="55"/>
  <c r="W393" i="55"/>
  <c r="V393" i="55"/>
  <c r="U393" i="55"/>
  <c r="T393" i="55"/>
  <c r="S393" i="55"/>
  <c r="J393" i="55"/>
  <c r="I393" i="55"/>
  <c r="H393" i="55"/>
  <c r="D393" i="55"/>
  <c r="B393" i="55"/>
  <c r="A393" i="55"/>
  <c r="W392" i="55"/>
  <c r="V392" i="55"/>
  <c r="U392" i="55"/>
  <c r="T392" i="55"/>
  <c r="S392" i="55"/>
  <c r="J392" i="55"/>
  <c r="I392" i="55"/>
  <c r="H392" i="55"/>
  <c r="D392" i="55"/>
  <c r="B392" i="55"/>
  <c r="A392" i="55"/>
  <c r="W391" i="55"/>
  <c r="V391" i="55"/>
  <c r="U391" i="55"/>
  <c r="T391" i="55"/>
  <c r="S391" i="55"/>
  <c r="J391" i="55"/>
  <c r="I391" i="55"/>
  <c r="H391" i="55"/>
  <c r="D391" i="55"/>
  <c r="B391" i="55"/>
  <c r="A391" i="55"/>
  <c r="W390" i="55"/>
  <c r="V390" i="55"/>
  <c r="U390" i="55"/>
  <c r="T390" i="55"/>
  <c r="S390" i="55"/>
  <c r="J390" i="55"/>
  <c r="I390" i="55"/>
  <c r="H390" i="55"/>
  <c r="D390" i="55"/>
  <c r="B390" i="55"/>
  <c r="A390" i="55"/>
  <c r="W389" i="55"/>
  <c r="V389" i="55"/>
  <c r="U389" i="55"/>
  <c r="T389" i="55"/>
  <c r="S389" i="55"/>
  <c r="J389" i="55"/>
  <c r="I389" i="55"/>
  <c r="H389" i="55"/>
  <c r="D389" i="55"/>
  <c r="B389" i="55"/>
  <c r="A389" i="55"/>
  <c r="W388" i="55"/>
  <c r="V388" i="55"/>
  <c r="U388" i="55"/>
  <c r="T388" i="55"/>
  <c r="S388" i="55"/>
  <c r="J388" i="55"/>
  <c r="I388" i="55"/>
  <c r="H388" i="55"/>
  <c r="D388" i="55"/>
  <c r="B388" i="55"/>
  <c r="A388" i="55"/>
  <c r="W387" i="55"/>
  <c r="V387" i="55"/>
  <c r="U387" i="55"/>
  <c r="T387" i="55"/>
  <c r="S387" i="55"/>
  <c r="J387" i="55"/>
  <c r="I387" i="55"/>
  <c r="H387" i="55"/>
  <c r="D387" i="55"/>
  <c r="B387" i="55"/>
  <c r="A387" i="55"/>
  <c r="W386" i="55"/>
  <c r="V386" i="55"/>
  <c r="U386" i="55"/>
  <c r="T386" i="55"/>
  <c r="S386" i="55"/>
  <c r="J386" i="55"/>
  <c r="I386" i="55"/>
  <c r="H386" i="55"/>
  <c r="D386" i="55"/>
  <c r="B386" i="55"/>
  <c r="A386" i="55"/>
  <c r="W385" i="55"/>
  <c r="V385" i="55"/>
  <c r="U385" i="55"/>
  <c r="T385" i="55"/>
  <c r="S385" i="55"/>
  <c r="J385" i="55"/>
  <c r="I385" i="55"/>
  <c r="H385" i="55"/>
  <c r="D385" i="55"/>
  <c r="B385" i="55"/>
  <c r="A385" i="55"/>
  <c r="W384" i="55"/>
  <c r="V384" i="55"/>
  <c r="U384" i="55"/>
  <c r="T384" i="55"/>
  <c r="S384" i="55"/>
  <c r="J384" i="55"/>
  <c r="I384" i="55"/>
  <c r="H384" i="55"/>
  <c r="D384" i="55"/>
  <c r="B384" i="55"/>
  <c r="A384" i="55"/>
  <c r="W383" i="55"/>
  <c r="V383" i="55"/>
  <c r="U383" i="55"/>
  <c r="T383" i="55"/>
  <c r="S383" i="55"/>
  <c r="J383" i="55"/>
  <c r="I383" i="55"/>
  <c r="H383" i="55"/>
  <c r="D383" i="55"/>
  <c r="B383" i="55"/>
  <c r="A383" i="55"/>
  <c r="W382" i="55"/>
  <c r="V382" i="55"/>
  <c r="U382" i="55"/>
  <c r="T382" i="55"/>
  <c r="S382" i="55"/>
  <c r="J382" i="55"/>
  <c r="I382" i="55"/>
  <c r="H382" i="55"/>
  <c r="D382" i="55"/>
  <c r="B382" i="55"/>
  <c r="A382" i="55"/>
  <c r="W381" i="55"/>
  <c r="V381" i="55"/>
  <c r="U381" i="55"/>
  <c r="T381" i="55"/>
  <c r="S381" i="55"/>
  <c r="J381" i="55"/>
  <c r="I381" i="55"/>
  <c r="H381" i="55"/>
  <c r="D381" i="55"/>
  <c r="B381" i="55"/>
  <c r="A381" i="55"/>
  <c r="W380" i="55"/>
  <c r="V380" i="55"/>
  <c r="U380" i="55"/>
  <c r="T380" i="55"/>
  <c r="S380" i="55"/>
  <c r="J380" i="55"/>
  <c r="I380" i="55"/>
  <c r="H380" i="55"/>
  <c r="D380" i="55"/>
  <c r="B380" i="55"/>
  <c r="A380" i="55"/>
  <c r="W379" i="55"/>
  <c r="V379" i="55"/>
  <c r="U379" i="55"/>
  <c r="T379" i="55"/>
  <c r="S379" i="55"/>
  <c r="J379" i="55"/>
  <c r="I379" i="55"/>
  <c r="H379" i="55"/>
  <c r="D379" i="55"/>
  <c r="B379" i="55"/>
  <c r="A379" i="55"/>
  <c r="W378" i="55"/>
  <c r="V378" i="55"/>
  <c r="U378" i="55"/>
  <c r="T378" i="55"/>
  <c r="S378" i="55"/>
  <c r="J378" i="55"/>
  <c r="I378" i="55"/>
  <c r="H378" i="55"/>
  <c r="D378" i="55"/>
  <c r="B378" i="55"/>
  <c r="A378" i="55"/>
  <c r="W377" i="55"/>
  <c r="V377" i="55"/>
  <c r="U377" i="55"/>
  <c r="T377" i="55"/>
  <c r="S377" i="55"/>
  <c r="J377" i="55"/>
  <c r="I377" i="55"/>
  <c r="H377" i="55"/>
  <c r="D377" i="55"/>
  <c r="B377" i="55"/>
  <c r="A377" i="55"/>
  <c r="W376" i="55"/>
  <c r="V376" i="55"/>
  <c r="U376" i="55"/>
  <c r="T376" i="55"/>
  <c r="S376" i="55"/>
  <c r="J376" i="55"/>
  <c r="I376" i="55"/>
  <c r="H376" i="55"/>
  <c r="D376" i="55"/>
  <c r="B376" i="55"/>
  <c r="A376" i="55"/>
  <c r="W375" i="55"/>
  <c r="V375" i="55"/>
  <c r="U375" i="55"/>
  <c r="T375" i="55"/>
  <c r="S375" i="55"/>
  <c r="J375" i="55"/>
  <c r="I375" i="55"/>
  <c r="H375" i="55"/>
  <c r="D375" i="55"/>
  <c r="B375" i="55"/>
  <c r="A375" i="55"/>
  <c r="W374" i="55"/>
  <c r="V374" i="55"/>
  <c r="U374" i="55"/>
  <c r="T374" i="55"/>
  <c r="S374" i="55"/>
  <c r="J374" i="55"/>
  <c r="I374" i="55"/>
  <c r="H374" i="55"/>
  <c r="D374" i="55"/>
  <c r="B374" i="55"/>
  <c r="A374" i="55"/>
  <c r="W373" i="55"/>
  <c r="V373" i="55"/>
  <c r="U373" i="55"/>
  <c r="T373" i="55"/>
  <c r="S373" i="55"/>
  <c r="J373" i="55"/>
  <c r="I373" i="55"/>
  <c r="H373" i="55"/>
  <c r="D373" i="55"/>
  <c r="B373" i="55"/>
  <c r="A373" i="55"/>
  <c r="W372" i="55"/>
  <c r="V372" i="55"/>
  <c r="U372" i="55"/>
  <c r="T372" i="55"/>
  <c r="S372" i="55"/>
  <c r="J372" i="55"/>
  <c r="I372" i="55"/>
  <c r="H372" i="55"/>
  <c r="D372" i="55"/>
  <c r="B372" i="55"/>
  <c r="A372" i="55"/>
  <c r="W371" i="55"/>
  <c r="V371" i="55"/>
  <c r="U371" i="55"/>
  <c r="T371" i="55"/>
  <c r="S371" i="55"/>
  <c r="J371" i="55"/>
  <c r="I371" i="55"/>
  <c r="H371" i="55"/>
  <c r="D371" i="55"/>
  <c r="B371" i="55"/>
  <c r="A371" i="55"/>
  <c r="W370" i="55"/>
  <c r="V370" i="55"/>
  <c r="U370" i="55"/>
  <c r="T370" i="55"/>
  <c r="S370" i="55"/>
  <c r="J370" i="55"/>
  <c r="I370" i="55"/>
  <c r="H370" i="55"/>
  <c r="D370" i="55"/>
  <c r="B370" i="55"/>
  <c r="A370" i="55"/>
  <c r="W369" i="55"/>
  <c r="V369" i="55"/>
  <c r="U369" i="55"/>
  <c r="T369" i="55"/>
  <c r="S369" i="55"/>
  <c r="J369" i="55"/>
  <c r="I369" i="55"/>
  <c r="H369" i="55"/>
  <c r="D369" i="55"/>
  <c r="B369" i="55"/>
  <c r="A369" i="55"/>
  <c r="W368" i="55"/>
  <c r="V368" i="55"/>
  <c r="U368" i="55"/>
  <c r="T368" i="55"/>
  <c r="S368" i="55"/>
  <c r="J368" i="55"/>
  <c r="I368" i="55"/>
  <c r="H368" i="55"/>
  <c r="D368" i="55"/>
  <c r="B368" i="55"/>
  <c r="A368" i="55"/>
  <c r="W367" i="55"/>
  <c r="V367" i="55"/>
  <c r="U367" i="55"/>
  <c r="T367" i="55"/>
  <c r="S367" i="55"/>
  <c r="J367" i="55"/>
  <c r="I367" i="55"/>
  <c r="H367" i="55"/>
  <c r="D367" i="55"/>
  <c r="B367" i="55"/>
  <c r="A367" i="55"/>
  <c r="W366" i="55"/>
  <c r="V366" i="55"/>
  <c r="U366" i="55"/>
  <c r="T366" i="55"/>
  <c r="S366" i="55"/>
  <c r="J366" i="55"/>
  <c r="I366" i="55"/>
  <c r="H366" i="55"/>
  <c r="D366" i="55"/>
  <c r="B366" i="55"/>
  <c r="A366" i="55"/>
  <c r="W365" i="55"/>
  <c r="V365" i="55"/>
  <c r="U365" i="55"/>
  <c r="T365" i="55"/>
  <c r="S365" i="55"/>
  <c r="J365" i="55"/>
  <c r="I365" i="55"/>
  <c r="H365" i="55"/>
  <c r="D365" i="55"/>
  <c r="B365" i="55"/>
  <c r="A365" i="55"/>
  <c r="W364" i="55"/>
  <c r="V364" i="55"/>
  <c r="U364" i="55"/>
  <c r="T364" i="55"/>
  <c r="S364" i="55"/>
  <c r="J364" i="55"/>
  <c r="I364" i="55"/>
  <c r="H364" i="55"/>
  <c r="D364" i="55"/>
  <c r="B364" i="55"/>
  <c r="A364" i="55"/>
  <c r="W363" i="55"/>
  <c r="V363" i="55"/>
  <c r="U363" i="55"/>
  <c r="T363" i="55"/>
  <c r="S363" i="55"/>
  <c r="J363" i="55"/>
  <c r="I363" i="55"/>
  <c r="H363" i="55"/>
  <c r="D363" i="55"/>
  <c r="B363" i="55"/>
  <c r="A363" i="55"/>
  <c r="W362" i="55"/>
  <c r="V362" i="55"/>
  <c r="U362" i="55"/>
  <c r="T362" i="55"/>
  <c r="S362" i="55"/>
  <c r="J362" i="55"/>
  <c r="I362" i="55"/>
  <c r="H362" i="55"/>
  <c r="D362" i="55"/>
  <c r="B362" i="55"/>
  <c r="A362" i="55"/>
  <c r="W361" i="55"/>
  <c r="V361" i="55"/>
  <c r="U361" i="55"/>
  <c r="T361" i="55"/>
  <c r="S361" i="55"/>
  <c r="J361" i="55"/>
  <c r="I361" i="55"/>
  <c r="H361" i="55"/>
  <c r="D361" i="55"/>
  <c r="B361" i="55"/>
  <c r="A361" i="55"/>
  <c r="W360" i="55"/>
  <c r="V360" i="55"/>
  <c r="U360" i="55"/>
  <c r="T360" i="55"/>
  <c r="S360" i="55"/>
  <c r="J360" i="55"/>
  <c r="I360" i="55"/>
  <c r="H360" i="55"/>
  <c r="D360" i="55"/>
  <c r="B360" i="55"/>
  <c r="A360" i="55"/>
  <c r="W359" i="55"/>
  <c r="V359" i="55"/>
  <c r="U359" i="55"/>
  <c r="T359" i="55"/>
  <c r="S359" i="55"/>
  <c r="J359" i="55"/>
  <c r="I359" i="55"/>
  <c r="H359" i="55"/>
  <c r="D359" i="55"/>
  <c r="B359" i="55"/>
  <c r="A359" i="55"/>
  <c r="W358" i="55"/>
  <c r="V358" i="55"/>
  <c r="U358" i="55"/>
  <c r="T358" i="55"/>
  <c r="S358" i="55"/>
  <c r="J358" i="55"/>
  <c r="I358" i="55"/>
  <c r="H358" i="55"/>
  <c r="D358" i="55"/>
  <c r="B358" i="55"/>
  <c r="A358" i="55"/>
  <c r="W357" i="55"/>
  <c r="V357" i="55"/>
  <c r="U357" i="55"/>
  <c r="T357" i="55"/>
  <c r="S357" i="55"/>
  <c r="J357" i="55"/>
  <c r="I357" i="55"/>
  <c r="H357" i="55"/>
  <c r="D357" i="55"/>
  <c r="B357" i="55"/>
  <c r="A357" i="55"/>
  <c r="W356" i="55"/>
  <c r="V356" i="55"/>
  <c r="U356" i="55"/>
  <c r="T356" i="55"/>
  <c r="S356" i="55"/>
  <c r="J356" i="55"/>
  <c r="I356" i="55"/>
  <c r="H356" i="55"/>
  <c r="D356" i="55"/>
  <c r="B356" i="55"/>
  <c r="A356" i="55"/>
  <c r="W355" i="55"/>
  <c r="V355" i="55"/>
  <c r="U355" i="55"/>
  <c r="T355" i="55"/>
  <c r="S355" i="55"/>
  <c r="J355" i="55"/>
  <c r="I355" i="55"/>
  <c r="H355" i="55"/>
  <c r="D355" i="55"/>
  <c r="B355" i="55"/>
  <c r="A355" i="55"/>
  <c r="W354" i="55"/>
  <c r="V354" i="55"/>
  <c r="U354" i="55"/>
  <c r="T354" i="55"/>
  <c r="S354" i="55"/>
  <c r="J354" i="55"/>
  <c r="I354" i="55"/>
  <c r="H354" i="55"/>
  <c r="D354" i="55"/>
  <c r="B354" i="55"/>
  <c r="A354" i="55"/>
  <c r="W353" i="55"/>
  <c r="V353" i="55"/>
  <c r="U353" i="55"/>
  <c r="T353" i="55"/>
  <c r="S353" i="55"/>
  <c r="J353" i="55"/>
  <c r="I353" i="55"/>
  <c r="H353" i="55"/>
  <c r="D353" i="55"/>
  <c r="B353" i="55"/>
  <c r="A353" i="55"/>
  <c r="W352" i="55"/>
  <c r="V352" i="55"/>
  <c r="U352" i="55"/>
  <c r="T352" i="55"/>
  <c r="S352" i="55"/>
  <c r="J352" i="55"/>
  <c r="I352" i="55"/>
  <c r="H352" i="55"/>
  <c r="D352" i="55"/>
  <c r="B352" i="55"/>
  <c r="A352" i="55"/>
  <c r="W351" i="55"/>
  <c r="V351" i="55"/>
  <c r="U351" i="55"/>
  <c r="T351" i="55"/>
  <c r="S351" i="55"/>
  <c r="J351" i="55"/>
  <c r="I351" i="55"/>
  <c r="H351" i="55"/>
  <c r="D351" i="55"/>
  <c r="B351" i="55"/>
  <c r="A351" i="55"/>
  <c r="W350" i="55"/>
  <c r="V350" i="55"/>
  <c r="U350" i="55"/>
  <c r="T350" i="55"/>
  <c r="S350" i="55"/>
  <c r="J350" i="55"/>
  <c r="I350" i="55"/>
  <c r="H350" i="55"/>
  <c r="D350" i="55"/>
  <c r="B350" i="55"/>
  <c r="A350" i="55"/>
  <c r="W349" i="55"/>
  <c r="V349" i="55"/>
  <c r="U349" i="55"/>
  <c r="T349" i="55"/>
  <c r="S349" i="55"/>
  <c r="J349" i="55"/>
  <c r="I349" i="55"/>
  <c r="H349" i="55"/>
  <c r="D349" i="55"/>
  <c r="B349" i="55"/>
  <c r="A349" i="55"/>
  <c r="W348" i="55"/>
  <c r="V348" i="55"/>
  <c r="U348" i="55"/>
  <c r="T348" i="55"/>
  <c r="S348" i="55"/>
  <c r="J348" i="55"/>
  <c r="I348" i="55"/>
  <c r="H348" i="55"/>
  <c r="D348" i="55"/>
  <c r="B348" i="55"/>
  <c r="A348" i="55"/>
  <c r="W347" i="55"/>
  <c r="V347" i="55"/>
  <c r="U347" i="55"/>
  <c r="T347" i="55"/>
  <c r="S347" i="55"/>
  <c r="J347" i="55"/>
  <c r="I347" i="55"/>
  <c r="H347" i="55"/>
  <c r="D347" i="55"/>
  <c r="B347" i="55"/>
  <c r="A347" i="55"/>
  <c r="W346" i="55"/>
  <c r="V346" i="55"/>
  <c r="U346" i="55"/>
  <c r="T346" i="55"/>
  <c r="S346" i="55"/>
  <c r="J346" i="55"/>
  <c r="I346" i="55"/>
  <c r="H346" i="55"/>
  <c r="D346" i="55"/>
  <c r="B346" i="55"/>
  <c r="A346" i="55"/>
  <c r="W345" i="55"/>
  <c r="V345" i="55"/>
  <c r="U345" i="55"/>
  <c r="T345" i="55"/>
  <c r="S345" i="55"/>
  <c r="J345" i="55"/>
  <c r="I345" i="55"/>
  <c r="H345" i="55"/>
  <c r="D345" i="55"/>
  <c r="B345" i="55"/>
  <c r="A345" i="55"/>
  <c r="W344" i="55"/>
  <c r="V344" i="55"/>
  <c r="U344" i="55"/>
  <c r="T344" i="55"/>
  <c r="S344" i="55"/>
  <c r="J344" i="55"/>
  <c r="I344" i="55"/>
  <c r="H344" i="55"/>
  <c r="D344" i="55"/>
  <c r="B344" i="55"/>
  <c r="A344" i="55"/>
  <c r="W343" i="55"/>
  <c r="V343" i="55"/>
  <c r="U343" i="55"/>
  <c r="T343" i="55"/>
  <c r="S343" i="55"/>
  <c r="J343" i="55"/>
  <c r="I343" i="55"/>
  <c r="H343" i="55"/>
  <c r="D343" i="55"/>
  <c r="B343" i="55"/>
  <c r="A343" i="55"/>
  <c r="W342" i="55"/>
  <c r="V342" i="55"/>
  <c r="U342" i="55"/>
  <c r="T342" i="55"/>
  <c r="S342" i="55"/>
  <c r="J342" i="55"/>
  <c r="I342" i="55"/>
  <c r="H342" i="55"/>
  <c r="D342" i="55"/>
  <c r="B342" i="55"/>
  <c r="A342" i="55"/>
  <c r="W341" i="55"/>
  <c r="V341" i="55"/>
  <c r="U341" i="55"/>
  <c r="T341" i="55"/>
  <c r="S341" i="55"/>
  <c r="J341" i="55"/>
  <c r="I341" i="55"/>
  <c r="H341" i="55"/>
  <c r="D341" i="55"/>
  <c r="B341" i="55"/>
  <c r="A341" i="55"/>
  <c r="W340" i="55"/>
  <c r="V340" i="55"/>
  <c r="U340" i="55"/>
  <c r="T340" i="55"/>
  <c r="S340" i="55"/>
  <c r="J340" i="55"/>
  <c r="I340" i="55"/>
  <c r="H340" i="55"/>
  <c r="D340" i="55"/>
  <c r="B340" i="55"/>
  <c r="A340" i="55"/>
  <c r="W339" i="55"/>
  <c r="V339" i="55"/>
  <c r="U339" i="55"/>
  <c r="T339" i="55"/>
  <c r="S339" i="55"/>
  <c r="J339" i="55"/>
  <c r="I339" i="55"/>
  <c r="H339" i="55"/>
  <c r="D339" i="55"/>
  <c r="B339" i="55"/>
  <c r="A339" i="55"/>
  <c r="W338" i="55"/>
  <c r="V338" i="55"/>
  <c r="U338" i="55"/>
  <c r="T338" i="55"/>
  <c r="S338" i="55"/>
  <c r="J338" i="55"/>
  <c r="I338" i="55"/>
  <c r="H338" i="55"/>
  <c r="D338" i="55"/>
  <c r="B338" i="55"/>
  <c r="A338" i="55"/>
  <c r="W337" i="55"/>
  <c r="V337" i="55"/>
  <c r="U337" i="55"/>
  <c r="T337" i="55"/>
  <c r="S337" i="55"/>
  <c r="J337" i="55"/>
  <c r="I337" i="55"/>
  <c r="H337" i="55"/>
  <c r="D337" i="55"/>
  <c r="B337" i="55"/>
  <c r="A337" i="55"/>
  <c r="W336" i="55"/>
  <c r="V336" i="55"/>
  <c r="U336" i="55"/>
  <c r="T336" i="55"/>
  <c r="S336" i="55"/>
  <c r="J336" i="55"/>
  <c r="I336" i="55"/>
  <c r="H336" i="55"/>
  <c r="D336" i="55"/>
  <c r="B336" i="55"/>
  <c r="A336" i="55"/>
  <c r="W335" i="55"/>
  <c r="V335" i="55"/>
  <c r="U335" i="55"/>
  <c r="T335" i="55"/>
  <c r="S335" i="55"/>
  <c r="J335" i="55"/>
  <c r="I335" i="55"/>
  <c r="H335" i="55"/>
  <c r="D335" i="55"/>
  <c r="B335" i="55"/>
  <c r="A335" i="55"/>
  <c r="W334" i="55"/>
  <c r="V334" i="55"/>
  <c r="U334" i="55"/>
  <c r="T334" i="55"/>
  <c r="S334" i="55"/>
  <c r="J334" i="55"/>
  <c r="I334" i="55"/>
  <c r="H334" i="55"/>
  <c r="D334" i="55"/>
  <c r="B334" i="55"/>
  <c r="A334" i="55"/>
  <c r="W333" i="55"/>
  <c r="V333" i="55"/>
  <c r="U333" i="55"/>
  <c r="T333" i="55"/>
  <c r="S333" i="55"/>
  <c r="J333" i="55"/>
  <c r="I333" i="55"/>
  <c r="H333" i="55"/>
  <c r="D333" i="55"/>
  <c r="B333" i="55"/>
  <c r="A333" i="55"/>
  <c r="W332" i="55"/>
  <c r="V332" i="55"/>
  <c r="U332" i="55"/>
  <c r="T332" i="55"/>
  <c r="S332" i="55"/>
  <c r="J332" i="55"/>
  <c r="I332" i="55"/>
  <c r="H332" i="55"/>
  <c r="D332" i="55"/>
  <c r="B332" i="55"/>
  <c r="A332" i="55"/>
  <c r="W331" i="55"/>
  <c r="V331" i="55"/>
  <c r="U331" i="55"/>
  <c r="T331" i="55"/>
  <c r="S331" i="55"/>
  <c r="J331" i="55"/>
  <c r="I331" i="55"/>
  <c r="H331" i="55"/>
  <c r="D331" i="55"/>
  <c r="B331" i="55"/>
  <c r="A331" i="55"/>
  <c r="W330" i="55"/>
  <c r="V330" i="55"/>
  <c r="U330" i="55"/>
  <c r="T330" i="55"/>
  <c r="S330" i="55"/>
  <c r="J330" i="55"/>
  <c r="I330" i="55"/>
  <c r="H330" i="55"/>
  <c r="D330" i="55"/>
  <c r="B330" i="55"/>
  <c r="A330" i="55"/>
  <c r="W329" i="55"/>
  <c r="V329" i="55"/>
  <c r="U329" i="55"/>
  <c r="T329" i="55"/>
  <c r="S329" i="55"/>
  <c r="J329" i="55"/>
  <c r="I329" i="55"/>
  <c r="H329" i="55"/>
  <c r="D329" i="55"/>
  <c r="B329" i="55"/>
  <c r="A329" i="55"/>
  <c r="W328" i="55"/>
  <c r="V328" i="55"/>
  <c r="U328" i="55"/>
  <c r="T328" i="55"/>
  <c r="S328" i="55"/>
  <c r="J328" i="55"/>
  <c r="I328" i="55"/>
  <c r="H328" i="55"/>
  <c r="D328" i="55"/>
  <c r="B328" i="55"/>
  <c r="A328" i="55"/>
  <c r="W327" i="55"/>
  <c r="V327" i="55"/>
  <c r="U327" i="55"/>
  <c r="T327" i="55"/>
  <c r="S327" i="55"/>
  <c r="J327" i="55"/>
  <c r="I327" i="55"/>
  <c r="H327" i="55"/>
  <c r="D327" i="55"/>
  <c r="B327" i="55"/>
  <c r="A327" i="55"/>
  <c r="W326" i="55"/>
  <c r="V326" i="55"/>
  <c r="U326" i="55"/>
  <c r="T326" i="55"/>
  <c r="S326" i="55"/>
  <c r="J326" i="55"/>
  <c r="I326" i="55"/>
  <c r="H326" i="55"/>
  <c r="D326" i="55"/>
  <c r="B326" i="55"/>
  <c r="A326" i="55"/>
  <c r="W325" i="55"/>
  <c r="V325" i="55"/>
  <c r="U325" i="55"/>
  <c r="T325" i="55"/>
  <c r="S325" i="55"/>
  <c r="J325" i="55"/>
  <c r="I325" i="55"/>
  <c r="H325" i="55"/>
  <c r="D325" i="55"/>
  <c r="B325" i="55"/>
  <c r="A325" i="55"/>
  <c r="W324" i="55"/>
  <c r="V324" i="55"/>
  <c r="U324" i="55"/>
  <c r="T324" i="55"/>
  <c r="S324" i="55"/>
  <c r="J324" i="55"/>
  <c r="I324" i="55"/>
  <c r="H324" i="55"/>
  <c r="D324" i="55"/>
  <c r="B324" i="55"/>
  <c r="A324" i="55"/>
  <c r="W323" i="55"/>
  <c r="V323" i="55"/>
  <c r="U323" i="55"/>
  <c r="T323" i="55"/>
  <c r="S323" i="55"/>
  <c r="J323" i="55"/>
  <c r="I323" i="55"/>
  <c r="H323" i="55"/>
  <c r="D323" i="55"/>
  <c r="B323" i="55"/>
  <c r="A323" i="55"/>
  <c r="W322" i="55"/>
  <c r="V322" i="55"/>
  <c r="U322" i="55"/>
  <c r="T322" i="55"/>
  <c r="S322" i="55"/>
  <c r="J322" i="55"/>
  <c r="I322" i="55"/>
  <c r="H322" i="55"/>
  <c r="D322" i="55"/>
  <c r="B322" i="55"/>
  <c r="A322" i="55"/>
  <c r="W321" i="55"/>
  <c r="V321" i="55"/>
  <c r="U321" i="55"/>
  <c r="T321" i="55"/>
  <c r="S321" i="55"/>
  <c r="J321" i="55"/>
  <c r="I321" i="55"/>
  <c r="H321" i="55"/>
  <c r="D321" i="55"/>
  <c r="B321" i="55"/>
  <c r="A321" i="55"/>
  <c r="W320" i="55"/>
  <c r="V320" i="55"/>
  <c r="U320" i="55"/>
  <c r="T320" i="55"/>
  <c r="S320" i="55"/>
  <c r="J320" i="55"/>
  <c r="I320" i="55"/>
  <c r="H320" i="55"/>
  <c r="D320" i="55"/>
  <c r="B320" i="55"/>
  <c r="A320" i="55"/>
  <c r="W319" i="55"/>
  <c r="V319" i="55"/>
  <c r="U319" i="55"/>
  <c r="T319" i="55"/>
  <c r="S319" i="55"/>
  <c r="J319" i="55"/>
  <c r="I319" i="55"/>
  <c r="H319" i="55"/>
  <c r="D319" i="55"/>
  <c r="B319" i="55"/>
  <c r="A319" i="55"/>
  <c r="W318" i="55"/>
  <c r="V318" i="55"/>
  <c r="U318" i="55"/>
  <c r="T318" i="55"/>
  <c r="S318" i="55"/>
  <c r="J318" i="55"/>
  <c r="I318" i="55"/>
  <c r="H318" i="55"/>
  <c r="D318" i="55"/>
  <c r="B318" i="55"/>
  <c r="A318" i="55"/>
  <c r="W317" i="55"/>
  <c r="V317" i="55"/>
  <c r="U317" i="55"/>
  <c r="T317" i="55"/>
  <c r="S317" i="55"/>
  <c r="J317" i="55"/>
  <c r="I317" i="55"/>
  <c r="H317" i="55"/>
  <c r="D317" i="55"/>
  <c r="B317" i="55"/>
  <c r="A317" i="55"/>
  <c r="W316" i="55"/>
  <c r="V316" i="55"/>
  <c r="U316" i="55"/>
  <c r="T316" i="55"/>
  <c r="S316" i="55"/>
  <c r="J316" i="55"/>
  <c r="I316" i="55"/>
  <c r="H316" i="55"/>
  <c r="D316" i="55"/>
  <c r="B316" i="55"/>
  <c r="A316" i="55"/>
  <c r="W315" i="55"/>
  <c r="V315" i="55"/>
  <c r="U315" i="55"/>
  <c r="T315" i="55"/>
  <c r="S315" i="55"/>
  <c r="J315" i="55"/>
  <c r="I315" i="55"/>
  <c r="H315" i="55"/>
  <c r="D315" i="55"/>
  <c r="B315" i="55"/>
  <c r="A315" i="55"/>
  <c r="W314" i="55"/>
  <c r="V314" i="55"/>
  <c r="U314" i="55"/>
  <c r="T314" i="55"/>
  <c r="S314" i="55"/>
  <c r="J314" i="55"/>
  <c r="I314" i="55"/>
  <c r="H314" i="55"/>
  <c r="D314" i="55"/>
  <c r="B314" i="55"/>
  <c r="A314" i="55"/>
  <c r="W313" i="55"/>
  <c r="V313" i="55"/>
  <c r="U313" i="55"/>
  <c r="T313" i="55"/>
  <c r="S313" i="55"/>
  <c r="J313" i="55"/>
  <c r="I313" i="55"/>
  <c r="H313" i="55"/>
  <c r="D313" i="55"/>
  <c r="B313" i="55"/>
  <c r="A313" i="55"/>
  <c r="W312" i="55"/>
  <c r="V312" i="55"/>
  <c r="U312" i="55"/>
  <c r="T312" i="55"/>
  <c r="S312" i="55"/>
  <c r="J312" i="55"/>
  <c r="I312" i="55"/>
  <c r="H312" i="55"/>
  <c r="D312" i="55"/>
  <c r="B312" i="55"/>
  <c r="A312" i="55"/>
  <c r="W311" i="55"/>
  <c r="V311" i="55"/>
  <c r="U311" i="55"/>
  <c r="T311" i="55"/>
  <c r="S311" i="55"/>
  <c r="J311" i="55"/>
  <c r="I311" i="55"/>
  <c r="H311" i="55"/>
  <c r="D311" i="55"/>
  <c r="B311" i="55"/>
  <c r="A311" i="55"/>
  <c r="W310" i="55"/>
  <c r="V310" i="55"/>
  <c r="U310" i="55"/>
  <c r="T310" i="55"/>
  <c r="S310" i="55"/>
  <c r="J310" i="55"/>
  <c r="I310" i="55"/>
  <c r="H310" i="55"/>
  <c r="D310" i="55"/>
  <c r="B310" i="55"/>
  <c r="A310" i="55"/>
  <c r="W309" i="55"/>
  <c r="V309" i="55"/>
  <c r="U309" i="55"/>
  <c r="T309" i="55"/>
  <c r="S309" i="55"/>
  <c r="J309" i="55"/>
  <c r="I309" i="55"/>
  <c r="H309" i="55"/>
  <c r="D309" i="55"/>
  <c r="B309" i="55"/>
  <c r="A309" i="55"/>
  <c r="W308" i="55"/>
  <c r="V308" i="55"/>
  <c r="U308" i="55"/>
  <c r="T308" i="55"/>
  <c r="S308" i="55"/>
  <c r="J308" i="55"/>
  <c r="I308" i="55"/>
  <c r="H308" i="55"/>
  <c r="D308" i="55"/>
  <c r="B308" i="55"/>
  <c r="A308" i="55"/>
  <c r="W307" i="55"/>
  <c r="V307" i="55"/>
  <c r="U307" i="55"/>
  <c r="T307" i="55"/>
  <c r="S307" i="55"/>
  <c r="J307" i="55"/>
  <c r="I307" i="55"/>
  <c r="H307" i="55"/>
  <c r="D307" i="55"/>
  <c r="B307" i="55"/>
  <c r="A307" i="55"/>
  <c r="W306" i="55"/>
  <c r="V306" i="55"/>
  <c r="U306" i="55"/>
  <c r="T306" i="55"/>
  <c r="S306" i="55"/>
  <c r="J306" i="55"/>
  <c r="I306" i="55"/>
  <c r="H306" i="55"/>
  <c r="D306" i="55"/>
  <c r="B306" i="55"/>
  <c r="A306" i="55"/>
  <c r="W305" i="55"/>
  <c r="V305" i="55"/>
  <c r="U305" i="55"/>
  <c r="T305" i="55"/>
  <c r="S305" i="55"/>
  <c r="J305" i="55"/>
  <c r="I305" i="55"/>
  <c r="H305" i="55"/>
  <c r="D305" i="55"/>
  <c r="B305" i="55"/>
  <c r="A305" i="55"/>
  <c r="W304" i="55"/>
  <c r="V304" i="55"/>
  <c r="U304" i="55"/>
  <c r="T304" i="55"/>
  <c r="S304" i="55"/>
  <c r="J304" i="55"/>
  <c r="I304" i="55"/>
  <c r="H304" i="55"/>
  <c r="D304" i="55"/>
  <c r="B304" i="55"/>
  <c r="A304" i="55"/>
  <c r="W303" i="55"/>
  <c r="V303" i="55"/>
  <c r="U303" i="55"/>
  <c r="T303" i="55"/>
  <c r="S303" i="55"/>
  <c r="J303" i="55"/>
  <c r="I303" i="55"/>
  <c r="H303" i="55"/>
  <c r="D303" i="55"/>
  <c r="B303" i="55"/>
  <c r="A303" i="55"/>
  <c r="W302" i="55"/>
  <c r="V302" i="55"/>
  <c r="U302" i="55"/>
  <c r="T302" i="55"/>
  <c r="S302" i="55"/>
  <c r="J302" i="55"/>
  <c r="I302" i="55"/>
  <c r="H302" i="55"/>
  <c r="D302" i="55"/>
  <c r="B302" i="55"/>
  <c r="A302" i="55"/>
  <c r="W301" i="55"/>
  <c r="V301" i="55"/>
  <c r="U301" i="55"/>
  <c r="T301" i="55"/>
  <c r="S301" i="55"/>
  <c r="J301" i="55"/>
  <c r="I301" i="55"/>
  <c r="H301" i="55"/>
  <c r="D301" i="55"/>
  <c r="B301" i="55"/>
  <c r="A301" i="55"/>
  <c r="W300" i="55"/>
  <c r="V300" i="55"/>
  <c r="U300" i="55"/>
  <c r="T300" i="55"/>
  <c r="S300" i="55"/>
  <c r="J300" i="55"/>
  <c r="I300" i="55"/>
  <c r="H300" i="55"/>
  <c r="D300" i="55"/>
  <c r="B300" i="55"/>
  <c r="A300" i="55"/>
  <c r="W299" i="55"/>
  <c r="V299" i="55"/>
  <c r="U299" i="55"/>
  <c r="T299" i="55"/>
  <c r="S299" i="55"/>
  <c r="J299" i="55"/>
  <c r="I299" i="55"/>
  <c r="H299" i="55"/>
  <c r="D299" i="55"/>
  <c r="B299" i="55"/>
  <c r="A299" i="55"/>
  <c r="W298" i="55"/>
  <c r="V298" i="55"/>
  <c r="U298" i="55"/>
  <c r="T298" i="55"/>
  <c r="S298" i="55"/>
  <c r="J298" i="55"/>
  <c r="I298" i="55"/>
  <c r="H298" i="55"/>
  <c r="D298" i="55"/>
  <c r="B298" i="55"/>
  <c r="A298" i="55"/>
  <c r="W297" i="55"/>
  <c r="V297" i="55"/>
  <c r="U297" i="55"/>
  <c r="T297" i="55"/>
  <c r="S297" i="55"/>
  <c r="J297" i="55"/>
  <c r="I297" i="55"/>
  <c r="H297" i="55"/>
  <c r="D297" i="55"/>
  <c r="B297" i="55"/>
  <c r="A297" i="55"/>
  <c r="W296" i="55"/>
  <c r="V296" i="55"/>
  <c r="U296" i="55"/>
  <c r="T296" i="55"/>
  <c r="S296" i="55"/>
  <c r="J296" i="55"/>
  <c r="I296" i="55"/>
  <c r="H296" i="55"/>
  <c r="D296" i="55"/>
  <c r="B296" i="55"/>
  <c r="A296" i="55"/>
  <c r="W295" i="55"/>
  <c r="V295" i="55"/>
  <c r="U295" i="55"/>
  <c r="T295" i="55"/>
  <c r="S295" i="55"/>
  <c r="J295" i="55"/>
  <c r="I295" i="55"/>
  <c r="H295" i="55"/>
  <c r="D295" i="55"/>
  <c r="B295" i="55"/>
  <c r="A295" i="55"/>
  <c r="W294" i="55"/>
  <c r="V294" i="55"/>
  <c r="U294" i="55"/>
  <c r="T294" i="55"/>
  <c r="S294" i="55"/>
  <c r="J294" i="55"/>
  <c r="I294" i="55"/>
  <c r="H294" i="55"/>
  <c r="D294" i="55"/>
  <c r="B294" i="55"/>
  <c r="A294" i="55"/>
  <c r="W293" i="55"/>
  <c r="V293" i="55"/>
  <c r="U293" i="55"/>
  <c r="T293" i="55"/>
  <c r="S293" i="55"/>
  <c r="J293" i="55"/>
  <c r="I293" i="55"/>
  <c r="H293" i="55"/>
  <c r="D293" i="55"/>
  <c r="B293" i="55"/>
  <c r="A293" i="55"/>
  <c r="W292" i="55"/>
  <c r="V292" i="55"/>
  <c r="U292" i="55"/>
  <c r="T292" i="55"/>
  <c r="S292" i="55"/>
  <c r="J292" i="55"/>
  <c r="I292" i="55"/>
  <c r="H292" i="55"/>
  <c r="D292" i="55"/>
  <c r="B292" i="55"/>
  <c r="A292" i="55"/>
  <c r="W291" i="55"/>
  <c r="V291" i="55"/>
  <c r="U291" i="55"/>
  <c r="T291" i="55"/>
  <c r="S291" i="55"/>
  <c r="J291" i="55"/>
  <c r="I291" i="55"/>
  <c r="H291" i="55"/>
  <c r="D291" i="55"/>
  <c r="B291" i="55"/>
  <c r="A291" i="55"/>
  <c r="W290" i="55"/>
  <c r="V290" i="55"/>
  <c r="U290" i="55"/>
  <c r="T290" i="55"/>
  <c r="S290" i="55"/>
  <c r="J290" i="55"/>
  <c r="I290" i="55"/>
  <c r="H290" i="55"/>
  <c r="D290" i="55"/>
  <c r="B290" i="55"/>
  <c r="A290" i="55"/>
  <c r="W289" i="55"/>
  <c r="V289" i="55"/>
  <c r="U289" i="55"/>
  <c r="T289" i="55"/>
  <c r="S289" i="55"/>
  <c r="J289" i="55"/>
  <c r="I289" i="55"/>
  <c r="H289" i="55"/>
  <c r="D289" i="55"/>
  <c r="B289" i="55"/>
  <c r="A289" i="55"/>
  <c r="W288" i="55"/>
  <c r="V288" i="55"/>
  <c r="U288" i="55"/>
  <c r="T288" i="55"/>
  <c r="S288" i="55"/>
  <c r="J288" i="55"/>
  <c r="I288" i="55"/>
  <c r="H288" i="55"/>
  <c r="D288" i="55"/>
  <c r="B288" i="55"/>
  <c r="A288" i="55"/>
  <c r="W287" i="55"/>
  <c r="V287" i="55"/>
  <c r="U287" i="55"/>
  <c r="T287" i="55"/>
  <c r="S287" i="55"/>
  <c r="J287" i="55"/>
  <c r="I287" i="55"/>
  <c r="H287" i="55"/>
  <c r="D287" i="55"/>
  <c r="B287" i="55"/>
  <c r="A287" i="55"/>
  <c r="W286" i="55"/>
  <c r="V286" i="55"/>
  <c r="U286" i="55"/>
  <c r="T286" i="55"/>
  <c r="S286" i="55"/>
  <c r="J286" i="55"/>
  <c r="I286" i="55"/>
  <c r="H286" i="55"/>
  <c r="D286" i="55"/>
  <c r="B286" i="55"/>
  <c r="A286" i="55"/>
  <c r="W285" i="55"/>
  <c r="V285" i="55"/>
  <c r="U285" i="55"/>
  <c r="T285" i="55"/>
  <c r="S285" i="55"/>
  <c r="J285" i="55"/>
  <c r="I285" i="55"/>
  <c r="H285" i="55"/>
  <c r="D285" i="55"/>
  <c r="B285" i="55"/>
  <c r="A285" i="55"/>
  <c r="W284" i="55"/>
  <c r="V284" i="55"/>
  <c r="U284" i="55"/>
  <c r="T284" i="55"/>
  <c r="S284" i="55"/>
  <c r="J284" i="55"/>
  <c r="I284" i="55"/>
  <c r="H284" i="55"/>
  <c r="D284" i="55"/>
  <c r="B284" i="55"/>
  <c r="A284" i="55"/>
  <c r="W283" i="55"/>
  <c r="V283" i="55"/>
  <c r="U283" i="55"/>
  <c r="T283" i="55"/>
  <c r="S283" i="55"/>
  <c r="J283" i="55"/>
  <c r="I283" i="55"/>
  <c r="H283" i="55"/>
  <c r="D283" i="55"/>
  <c r="B283" i="55"/>
  <c r="A283" i="55"/>
  <c r="W282" i="55"/>
  <c r="V282" i="55"/>
  <c r="U282" i="55"/>
  <c r="T282" i="55"/>
  <c r="S282" i="55"/>
  <c r="J282" i="55"/>
  <c r="I282" i="55"/>
  <c r="H282" i="55"/>
  <c r="D282" i="55"/>
  <c r="B282" i="55"/>
  <c r="A282" i="55"/>
  <c r="W281" i="55"/>
  <c r="V281" i="55"/>
  <c r="U281" i="55"/>
  <c r="T281" i="55"/>
  <c r="S281" i="55"/>
  <c r="J281" i="55"/>
  <c r="I281" i="55"/>
  <c r="H281" i="55"/>
  <c r="D281" i="55"/>
  <c r="B281" i="55"/>
  <c r="A281" i="55"/>
  <c r="W280" i="55"/>
  <c r="V280" i="55"/>
  <c r="U280" i="55"/>
  <c r="T280" i="55"/>
  <c r="S280" i="55"/>
  <c r="J280" i="55"/>
  <c r="I280" i="55"/>
  <c r="H280" i="55"/>
  <c r="D280" i="55"/>
  <c r="B280" i="55"/>
  <c r="A280" i="55"/>
  <c r="W279" i="55"/>
  <c r="V279" i="55"/>
  <c r="U279" i="55"/>
  <c r="T279" i="55"/>
  <c r="S279" i="55"/>
  <c r="J279" i="55"/>
  <c r="I279" i="55"/>
  <c r="H279" i="55"/>
  <c r="D279" i="55"/>
  <c r="B279" i="55"/>
  <c r="A279" i="55"/>
  <c r="W278" i="55"/>
  <c r="V278" i="55"/>
  <c r="U278" i="55"/>
  <c r="T278" i="55"/>
  <c r="S278" i="55"/>
  <c r="J278" i="55"/>
  <c r="I278" i="55"/>
  <c r="H278" i="55"/>
  <c r="D278" i="55"/>
  <c r="B278" i="55"/>
  <c r="A278" i="55"/>
  <c r="W277" i="55"/>
  <c r="V277" i="55"/>
  <c r="U277" i="55"/>
  <c r="T277" i="55"/>
  <c r="S277" i="55"/>
  <c r="J277" i="55"/>
  <c r="I277" i="55"/>
  <c r="H277" i="55"/>
  <c r="D277" i="55"/>
  <c r="B277" i="55"/>
  <c r="A277" i="55"/>
  <c r="W276" i="55"/>
  <c r="V276" i="55"/>
  <c r="U276" i="55"/>
  <c r="T276" i="55"/>
  <c r="S276" i="55"/>
  <c r="J276" i="55"/>
  <c r="I276" i="55"/>
  <c r="H276" i="55"/>
  <c r="D276" i="55"/>
  <c r="B276" i="55"/>
  <c r="A276" i="55"/>
  <c r="W275" i="55"/>
  <c r="V275" i="55"/>
  <c r="U275" i="55"/>
  <c r="T275" i="55"/>
  <c r="S275" i="55"/>
  <c r="J275" i="55"/>
  <c r="I275" i="55"/>
  <c r="H275" i="55"/>
  <c r="D275" i="55"/>
  <c r="B275" i="55"/>
  <c r="A275" i="55"/>
  <c r="W274" i="55"/>
  <c r="V274" i="55"/>
  <c r="U274" i="55"/>
  <c r="T274" i="55"/>
  <c r="S274" i="55"/>
  <c r="J274" i="55"/>
  <c r="I274" i="55"/>
  <c r="H274" i="55"/>
  <c r="D274" i="55"/>
  <c r="B274" i="55"/>
  <c r="A274" i="55"/>
  <c r="W273" i="55"/>
  <c r="V273" i="55"/>
  <c r="U273" i="55"/>
  <c r="T273" i="55"/>
  <c r="S273" i="55"/>
  <c r="J273" i="55"/>
  <c r="I273" i="55"/>
  <c r="H273" i="55"/>
  <c r="D273" i="55"/>
  <c r="B273" i="55"/>
  <c r="A273" i="55"/>
  <c r="W272" i="55"/>
  <c r="V272" i="55"/>
  <c r="U272" i="55"/>
  <c r="T272" i="55"/>
  <c r="S272" i="55"/>
  <c r="J272" i="55"/>
  <c r="I272" i="55"/>
  <c r="H272" i="55"/>
  <c r="D272" i="55"/>
  <c r="B272" i="55"/>
  <c r="A272" i="55"/>
  <c r="W271" i="55"/>
  <c r="V271" i="55"/>
  <c r="U271" i="55"/>
  <c r="T271" i="55"/>
  <c r="S271" i="55"/>
  <c r="J271" i="55"/>
  <c r="I271" i="55"/>
  <c r="H271" i="55"/>
  <c r="D271" i="55"/>
  <c r="B271" i="55"/>
  <c r="A271" i="55"/>
  <c r="W270" i="55"/>
  <c r="V270" i="55"/>
  <c r="U270" i="55"/>
  <c r="T270" i="55"/>
  <c r="S270" i="55"/>
  <c r="J270" i="55"/>
  <c r="I270" i="55"/>
  <c r="H270" i="55"/>
  <c r="D270" i="55"/>
  <c r="B270" i="55"/>
  <c r="A270" i="55"/>
  <c r="W269" i="55"/>
  <c r="V269" i="55"/>
  <c r="U269" i="55"/>
  <c r="T269" i="55"/>
  <c r="S269" i="55"/>
  <c r="J269" i="55"/>
  <c r="I269" i="55"/>
  <c r="H269" i="55"/>
  <c r="D269" i="55"/>
  <c r="B269" i="55"/>
  <c r="A269" i="55"/>
  <c r="W268" i="55"/>
  <c r="V268" i="55"/>
  <c r="U268" i="55"/>
  <c r="T268" i="55"/>
  <c r="S268" i="55"/>
  <c r="J268" i="55"/>
  <c r="I268" i="55"/>
  <c r="H268" i="55"/>
  <c r="D268" i="55"/>
  <c r="B268" i="55"/>
  <c r="A268" i="55"/>
  <c r="W267" i="55"/>
  <c r="V267" i="55"/>
  <c r="U267" i="55"/>
  <c r="T267" i="55"/>
  <c r="S267" i="55"/>
  <c r="J267" i="55"/>
  <c r="I267" i="55"/>
  <c r="H267" i="55"/>
  <c r="D267" i="55"/>
  <c r="B267" i="55"/>
  <c r="A267" i="55"/>
  <c r="W266" i="55"/>
  <c r="V266" i="55"/>
  <c r="U266" i="55"/>
  <c r="T266" i="55"/>
  <c r="S266" i="55"/>
  <c r="J266" i="55"/>
  <c r="I266" i="55"/>
  <c r="H266" i="55"/>
  <c r="D266" i="55"/>
  <c r="B266" i="55"/>
  <c r="A266" i="55"/>
  <c r="W265" i="55"/>
  <c r="V265" i="55"/>
  <c r="U265" i="55"/>
  <c r="T265" i="55"/>
  <c r="S265" i="55"/>
  <c r="J265" i="55"/>
  <c r="I265" i="55"/>
  <c r="H265" i="55"/>
  <c r="D265" i="55"/>
  <c r="B265" i="55"/>
  <c r="A265" i="55"/>
  <c r="W264" i="55"/>
  <c r="V264" i="55"/>
  <c r="U264" i="55"/>
  <c r="T264" i="55"/>
  <c r="S264" i="55"/>
  <c r="J264" i="55"/>
  <c r="I264" i="55"/>
  <c r="H264" i="55"/>
  <c r="D264" i="55"/>
  <c r="B264" i="55"/>
  <c r="A264" i="55"/>
  <c r="W263" i="55"/>
  <c r="V263" i="55"/>
  <c r="U263" i="55"/>
  <c r="T263" i="55"/>
  <c r="S263" i="55"/>
  <c r="J263" i="55"/>
  <c r="I263" i="55"/>
  <c r="H263" i="55"/>
  <c r="D263" i="55"/>
  <c r="B263" i="55"/>
  <c r="A263" i="55"/>
  <c r="W262" i="55"/>
  <c r="V262" i="55"/>
  <c r="U262" i="55"/>
  <c r="T262" i="55"/>
  <c r="S262" i="55"/>
  <c r="J262" i="55"/>
  <c r="I262" i="55"/>
  <c r="H262" i="55"/>
  <c r="D262" i="55"/>
  <c r="B262" i="55"/>
  <c r="A262" i="55"/>
  <c r="W261" i="55"/>
  <c r="V261" i="55"/>
  <c r="U261" i="55"/>
  <c r="T261" i="55"/>
  <c r="S261" i="55"/>
  <c r="J261" i="55"/>
  <c r="I261" i="55"/>
  <c r="H261" i="55"/>
  <c r="D261" i="55"/>
  <c r="B261" i="55"/>
  <c r="A261" i="55"/>
  <c r="W260" i="55"/>
  <c r="V260" i="55"/>
  <c r="U260" i="55"/>
  <c r="T260" i="55"/>
  <c r="S260" i="55"/>
  <c r="J260" i="55"/>
  <c r="I260" i="55"/>
  <c r="H260" i="55"/>
  <c r="D260" i="55"/>
  <c r="B260" i="55"/>
  <c r="A260" i="55"/>
  <c r="W259" i="55"/>
  <c r="V259" i="55"/>
  <c r="U259" i="55"/>
  <c r="T259" i="55"/>
  <c r="S259" i="55"/>
  <c r="J259" i="55"/>
  <c r="I259" i="55"/>
  <c r="H259" i="55"/>
  <c r="D259" i="55"/>
  <c r="B259" i="55"/>
  <c r="A259" i="55"/>
  <c r="W258" i="55"/>
  <c r="V258" i="55"/>
  <c r="U258" i="55"/>
  <c r="T258" i="55"/>
  <c r="S258" i="55"/>
  <c r="J258" i="55"/>
  <c r="I258" i="55"/>
  <c r="H258" i="55"/>
  <c r="D258" i="55"/>
  <c r="B258" i="55"/>
  <c r="A258" i="55"/>
  <c r="W257" i="55"/>
  <c r="V257" i="55"/>
  <c r="U257" i="55"/>
  <c r="T257" i="55"/>
  <c r="S257" i="55"/>
  <c r="J257" i="55"/>
  <c r="I257" i="55"/>
  <c r="H257" i="55"/>
  <c r="D257" i="55"/>
  <c r="B257" i="55"/>
  <c r="A257" i="55"/>
  <c r="W256" i="55"/>
  <c r="V256" i="55"/>
  <c r="U256" i="55"/>
  <c r="T256" i="55"/>
  <c r="S256" i="55"/>
  <c r="J256" i="55"/>
  <c r="I256" i="55"/>
  <c r="H256" i="55"/>
  <c r="D256" i="55"/>
  <c r="B256" i="55"/>
  <c r="A256" i="55"/>
  <c r="W255" i="55"/>
  <c r="V255" i="55"/>
  <c r="U255" i="55"/>
  <c r="T255" i="55"/>
  <c r="S255" i="55"/>
  <c r="J255" i="55"/>
  <c r="I255" i="55"/>
  <c r="H255" i="55"/>
  <c r="D255" i="55"/>
  <c r="B255" i="55"/>
  <c r="A255" i="55"/>
  <c r="W254" i="55"/>
  <c r="V254" i="55"/>
  <c r="U254" i="55"/>
  <c r="T254" i="55"/>
  <c r="S254" i="55"/>
  <c r="J254" i="55"/>
  <c r="I254" i="55"/>
  <c r="H254" i="55"/>
  <c r="D254" i="55"/>
  <c r="B254" i="55"/>
  <c r="A254" i="55"/>
  <c r="W253" i="55"/>
  <c r="V253" i="55"/>
  <c r="U253" i="55"/>
  <c r="T253" i="55"/>
  <c r="S253" i="55"/>
  <c r="J253" i="55"/>
  <c r="I253" i="55"/>
  <c r="H253" i="55"/>
  <c r="D253" i="55"/>
  <c r="B253" i="55"/>
  <c r="A253" i="55"/>
  <c r="W252" i="55"/>
  <c r="V252" i="55"/>
  <c r="U252" i="55"/>
  <c r="T252" i="55"/>
  <c r="S252" i="55"/>
  <c r="J252" i="55"/>
  <c r="I252" i="55"/>
  <c r="H252" i="55"/>
  <c r="D252" i="55"/>
  <c r="B252" i="55"/>
  <c r="A252" i="55"/>
  <c r="W251" i="55"/>
  <c r="V251" i="55"/>
  <c r="U251" i="55"/>
  <c r="T251" i="55"/>
  <c r="S251" i="55"/>
  <c r="J251" i="55"/>
  <c r="I251" i="55"/>
  <c r="H251" i="55"/>
  <c r="D251" i="55"/>
  <c r="B251" i="55"/>
  <c r="A251" i="55"/>
  <c r="W250" i="55"/>
  <c r="V250" i="55"/>
  <c r="U250" i="55"/>
  <c r="T250" i="55"/>
  <c r="S250" i="55"/>
  <c r="J250" i="55"/>
  <c r="I250" i="55"/>
  <c r="H250" i="55"/>
  <c r="D250" i="55"/>
  <c r="B250" i="55"/>
  <c r="A250" i="55"/>
  <c r="W249" i="55"/>
  <c r="V249" i="55"/>
  <c r="U249" i="55"/>
  <c r="T249" i="55"/>
  <c r="S249" i="55"/>
  <c r="J249" i="55"/>
  <c r="I249" i="55"/>
  <c r="H249" i="55"/>
  <c r="D249" i="55"/>
  <c r="B249" i="55"/>
  <c r="A249" i="55"/>
  <c r="W248" i="55"/>
  <c r="V248" i="55"/>
  <c r="U248" i="55"/>
  <c r="T248" i="55"/>
  <c r="S248" i="55"/>
  <c r="J248" i="55"/>
  <c r="I248" i="55"/>
  <c r="H248" i="55"/>
  <c r="D248" i="55"/>
  <c r="B248" i="55"/>
  <c r="A248" i="55"/>
  <c r="W247" i="55"/>
  <c r="V247" i="55"/>
  <c r="U247" i="55"/>
  <c r="T247" i="55"/>
  <c r="S247" i="55"/>
  <c r="J247" i="55"/>
  <c r="I247" i="55"/>
  <c r="H247" i="55"/>
  <c r="D247" i="55"/>
  <c r="B247" i="55"/>
  <c r="A247" i="55"/>
  <c r="W246" i="55"/>
  <c r="V246" i="55"/>
  <c r="U246" i="55"/>
  <c r="T246" i="55"/>
  <c r="S246" i="55"/>
  <c r="J246" i="55"/>
  <c r="I246" i="55"/>
  <c r="H246" i="55"/>
  <c r="D246" i="55"/>
  <c r="B246" i="55"/>
  <c r="A246" i="55"/>
  <c r="W245" i="55"/>
  <c r="V245" i="55"/>
  <c r="U245" i="55"/>
  <c r="T245" i="55"/>
  <c r="S245" i="55"/>
  <c r="J245" i="55"/>
  <c r="I245" i="55"/>
  <c r="H245" i="55"/>
  <c r="D245" i="55"/>
  <c r="B245" i="55"/>
  <c r="A245" i="55"/>
  <c r="W244" i="55"/>
  <c r="V244" i="55"/>
  <c r="U244" i="55"/>
  <c r="T244" i="55"/>
  <c r="S244" i="55"/>
  <c r="J244" i="55"/>
  <c r="I244" i="55"/>
  <c r="H244" i="55"/>
  <c r="D244" i="55"/>
  <c r="B244" i="55"/>
  <c r="A244" i="55"/>
  <c r="W243" i="55"/>
  <c r="V243" i="55"/>
  <c r="U243" i="55"/>
  <c r="T243" i="55"/>
  <c r="S243" i="55"/>
  <c r="J243" i="55"/>
  <c r="I243" i="55"/>
  <c r="H243" i="55"/>
  <c r="D243" i="55"/>
  <c r="B243" i="55"/>
  <c r="A243" i="55"/>
  <c r="W242" i="55"/>
  <c r="V242" i="55"/>
  <c r="U242" i="55"/>
  <c r="T242" i="55"/>
  <c r="S242" i="55"/>
  <c r="J242" i="55"/>
  <c r="I242" i="55"/>
  <c r="H242" i="55"/>
  <c r="D242" i="55"/>
  <c r="B242" i="55"/>
  <c r="A242" i="55"/>
  <c r="W241" i="55"/>
  <c r="V241" i="55"/>
  <c r="U241" i="55"/>
  <c r="T241" i="55"/>
  <c r="S241" i="55"/>
  <c r="J241" i="55"/>
  <c r="I241" i="55"/>
  <c r="H241" i="55"/>
  <c r="D241" i="55"/>
  <c r="B241" i="55"/>
  <c r="A241" i="55"/>
  <c r="W240" i="55"/>
  <c r="V240" i="55"/>
  <c r="U240" i="55"/>
  <c r="T240" i="55"/>
  <c r="S240" i="55"/>
  <c r="J240" i="55"/>
  <c r="I240" i="55"/>
  <c r="H240" i="55"/>
  <c r="D240" i="55"/>
  <c r="B240" i="55"/>
  <c r="A240" i="55"/>
  <c r="W239" i="55"/>
  <c r="V239" i="55"/>
  <c r="U239" i="55"/>
  <c r="T239" i="55"/>
  <c r="S239" i="55"/>
  <c r="J239" i="55"/>
  <c r="I239" i="55"/>
  <c r="H239" i="55"/>
  <c r="D239" i="55"/>
  <c r="B239" i="55"/>
  <c r="A239" i="55"/>
  <c r="W238" i="55"/>
  <c r="V238" i="55"/>
  <c r="U238" i="55"/>
  <c r="T238" i="55"/>
  <c r="S238" i="55"/>
  <c r="J238" i="55"/>
  <c r="I238" i="55"/>
  <c r="H238" i="55"/>
  <c r="D238" i="55"/>
  <c r="B238" i="55"/>
  <c r="A238" i="55"/>
  <c r="W237" i="55"/>
  <c r="V237" i="55"/>
  <c r="U237" i="55"/>
  <c r="T237" i="55"/>
  <c r="S237" i="55"/>
  <c r="J237" i="55"/>
  <c r="I237" i="55"/>
  <c r="H237" i="55"/>
  <c r="D237" i="55"/>
  <c r="B237" i="55"/>
  <c r="A237" i="55"/>
  <c r="W236" i="55"/>
  <c r="V236" i="55"/>
  <c r="U236" i="55"/>
  <c r="T236" i="55"/>
  <c r="S236" i="55"/>
  <c r="J236" i="55"/>
  <c r="I236" i="55"/>
  <c r="H236" i="55"/>
  <c r="D236" i="55"/>
  <c r="B236" i="55"/>
  <c r="A236" i="55"/>
  <c r="W235" i="55"/>
  <c r="V235" i="55"/>
  <c r="U235" i="55"/>
  <c r="T235" i="55"/>
  <c r="S235" i="55"/>
  <c r="J235" i="55"/>
  <c r="I235" i="55"/>
  <c r="H235" i="55"/>
  <c r="D235" i="55"/>
  <c r="B235" i="55"/>
  <c r="A235" i="55"/>
  <c r="W234" i="55"/>
  <c r="V234" i="55"/>
  <c r="U234" i="55"/>
  <c r="T234" i="55"/>
  <c r="S234" i="55"/>
  <c r="J234" i="55"/>
  <c r="I234" i="55"/>
  <c r="H234" i="55"/>
  <c r="D234" i="55"/>
  <c r="B234" i="55"/>
  <c r="A234" i="55"/>
  <c r="W233" i="55"/>
  <c r="V233" i="55"/>
  <c r="U233" i="55"/>
  <c r="T233" i="55"/>
  <c r="S233" i="55"/>
  <c r="J233" i="55"/>
  <c r="I233" i="55"/>
  <c r="H233" i="55"/>
  <c r="D233" i="55"/>
  <c r="B233" i="55"/>
  <c r="A233" i="55"/>
  <c r="W232" i="55"/>
  <c r="V232" i="55"/>
  <c r="U232" i="55"/>
  <c r="T232" i="55"/>
  <c r="S232" i="55"/>
  <c r="J232" i="55"/>
  <c r="I232" i="55"/>
  <c r="H232" i="55"/>
  <c r="D232" i="55"/>
  <c r="B232" i="55"/>
  <c r="A232" i="55"/>
  <c r="W231" i="55"/>
  <c r="V231" i="55"/>
  <c r="U231" i="55"/>
  <c r="T231" i="55"/>
  <c r="S231" i="55"/>
  <c r="J231" i="55"/>
  <c r="I231" i="55"/>
  <c r="H231" i="55"/>
  <c r="D231" i="55"/>
  <c r="B231" i="55"/>
  <c r="A231" i="55"/>
  <c r="W230" i="55"/>
  <c r="V230" i="55"/>
  <c r="U230" i="55"/>
  <c r="T230" i="55"/>
  <c r="S230" i="55"/>
  <c r="J230" i="55"/>
  <c r="I230" i="55"/>
  <c r="H230" i="55"/>
  <c r="D230" i="55"/>
  <c r="B230" i="55"/>
  <c r="A230" i="55"/>
  <c r="W229" i="55"/>
  <c r="V229" i="55"/>
  <c r="U229" i="55"/>
  <c r="T229" i="55"/>
  <c r="S229" i="55"/>
  <c r="J229" i="55"/>
  <c r="I229" i="55"/>
  <c r="H229" i="55"/>
  <c r="D229" i="55"/>
  <c r="B229" i="55"/>
  <c r="A229" i="55"/>
  <c r="W228" i="55"/>
  <c r="V228" i="55"/>
  <c r="U228" i="55"/>
  <c r="T228" i="55"/>
  <c r="S228" i="55"/>
  <c r="J228" i="55"/>
  <c r="I228" i="55"/>
  <c r="H228" i="55"/>
  <c r="D228" i="55"/>
  <c r="B228" i="55"/>
  <c r="A228" i="55"/>
  <c r="W227" i="55"/>
  <c r="V227" i="55"/>
  <c r="U227" i="55"/>
  <c r="T227" i="55"/>
  <c r="S227" i="55"/>
  <c r="J227" i="55"/>
  <c r="I227" i="55"/>
  <c r="H227" i="55"/>
  <c r="D227" i="55"/>
  <c r="B227" i="55"/>
  <c r="A227" i="55"/>
  <c r="W226" i="55"/>
  <c r="V226" i="55"/>
  <c r="U226" i="55"/>
  <c r="T226" i="55"/>
  <c r="S226" i="55"/>
  <c r="J226" i="55"/>
  <c r="I226" i="55"/>
  <c r="H226" i="55"/>
  <c r="D226" i="55"/>
  <c r="B226" i="55"/>
  <c r="A226" i="55"/>
  <c r="W225" i="55"/>
  <c r="V225" i="55"/>
  <c r="U225" i="55"/>
  <c r="T225" i="55"/>
  <c r="S225" i="55"/>
  <c r="J225" i="55"/>
  <c r="I225" i="55"/>
  <c r="H225" i="55"/>
  <c r="D225" i="55"/>
  <c r="B225" i="55"/>
  <c r="A225" i="55"/>
  <c r="W224" i="55"/>
  <c r="V224" i="55"/>
  <c r="U224" i="55"/>
  <c r="T224" i="55"/>
  <c r="S224" i="55"/>
  <c r="J224" i="55"/>
  <c r="I224" i="55"/>
  <c r="H224" i="55"/>
  <c r="D224" i="55"/>
  <c r="B224" i="55"/>
  <c r="A224" i="55"/>
  <c r="W223" i="55"/>
  <c r="V223" i="55"/>
  <c r="U223" i="55"/>
  <c r="T223" i="55"/>
  <c r="S223" i="55"/>
  <c r="J223" i="55"/>
  <c r="I223" i="55"/>
  <c r="H223" i="55"/>
  <c r="D223" i="55"/>
  <c r="B223" i="55"/>
  <c r="A223" i="55"/>
  <c r="W222" i="55"/>
  <c r="V222" i="55"/>
  <c r="U222" i="55"/>
  <c r="T222" i="55"/>
  <c r="S222" i="55"/>
  <c r="J222" i="55"/>
  <c r="I222" i="55"/>
  <c r="H222" i="55"/>
  <c r="D222" i="55"/>
  <c r="B222" i="55"/>
  <c r="A222" i="55"/>
  <c r="W221" i="55"/>
  <c r="V221" i="55"/>
  <c r="U221" i="55"/>
  <c r="T221" i="55"/>
  <c r="S221" i="55"/>
  <c r="J221" i="55"/>
  <c r="I221" i="55"/>
  <c r="H221" i="55"/>
  <c r="D221" i="55"/>
  <c r="B221" i="55"/>
  <c r="A221" i="55"/>
  <c r="W220" i="55"/>
  <c r="V220" i="55"/>
  <c r="U220" i="55"/>
  <c r="T220" i="55"/>
  <c r="S220" i="55"/>
  <c r="J220" i="55"/>
  <c r="I220" i="55"/>
  <c r="H220" i="55"/>
  <c r="D220" i="55"/>
  <c r="B220" i="55"/>
  <c r="A220" i="55"/>
  <c r="W219" i="55"/>
  <c r="V219" i="55"/>
  <c r="U219" i="55"/>
  <c r="T219" i="55"/>
  <c r="S219" i="55"/>
  <c r="J219" i="55"/>
  <c r="I219" i="55"/>
  <c r="H219" i="55"/>
  <c r="D219" i="55"/>
  <c r="B219" i="55"/>
  <c r="A219" i="55"/>
  <c r="W218" i="55"/>
  <c r="V218" i="55"/>
  <c r="U218" i="55"/>
  <c r="T218" i="55"/>
  <c r="S218" i="55"/>
  <c r="J218" i="55"/>
  <c r="I218" i="55"/>
  <c r="H218" i="55"/>
  <c r="D218" i="55"/>
  <c r="B218" i="55"/>
  <c r="A218" i="55"/>
  <c r="W217" i="55"/>
  <c r="V217" i="55"/>
  <c r="U217" i="55"/>
  <c r="T217" i="55"/>
  <c r="S217" i="55"/>
  <c r="J217" i="55"/>
  <c r="I217" i="55"/>
  <c r="H217" i="55"/>
  <c r="D217" i="55"/>
  <c r="B217" i="55"/>
  <c r="A217" i="55"/>
  <c r="W216" i="55"/>
  <c r="V216" i="55"/>
  <c r="U216" i="55"/>
  <c r="T216" i="55"/>
  <c r="S216" i="55"/>
  <c r="J216" i="55"/>
  <c r="I216" i="55"/>
  <c r="H216" i="55"/>
  <c r="D216" i="55"/>
  <c r="B216" i="55"/>
  <c r="A216" i="55"/>
  <c r="W215" i="55"/>
  <c r="V215" i="55"/>
  <c r="U215" i="55"/>
  <c r="T215" i="55"/>
  <c r="S215" i="55"/>
  <c r="J215" i="55"/>
  <c r="I215" i="55"/>
  <c r="H215" i="55"/>
  <c r="D215" i="55"/>
  <c r="B215" i="55"/>
  <c r="A215" i="55"/>
  <c r="W214" i="55"/>
  <c r="V214" i="55"/>
  <c r="U214" i="55"/>
  <c r="T214" i="55"/>
  <c r="S214" i="55"/>
  <c r="J214" i="55"/>
  <c r="I214" i="55"/>
  <c r="H214" i="55"/>
  <c r="D214" i="55"/>
  <c r="B214" i="55"/>
  <c r="A214" i="55"/>
  <c r="W213" i="55"/>
  <c r="V213" i="55"/>
  <c r="U213" i="55"/>
  <c r="T213" i="55"/>
  <c r="S213" i="55"/>
  <c r="J213" i="55"/>
  <c r="I213" i="55"/>
  <c r="H213" i="55"/>
  <c r="D213" i="55"/>
  <c r="B213" i="55"/>
  <c r="A213" i="55"/>
  <c r="W212" i="55"/>
  <c r="V212" i="55"/>
  <c r="U212" i="55"/>
  <c r="T212" i="55"/>
  <c r="S212" i="55"/>
  <c r="J212" i="55"/>
  <c r="I212" i="55"/>
  <c r="H212" i="55"/>
  <c r="D212" i="55"/>
  <c r="B212" i="55"/>
  <c r="A212" i="55"/>
  <c r="W211" i="55"/>
  <c r="V211" i="55"/>
  <c r="U211" i="55"/>
  <c r="T211" i="55"/>
  <c r="S211" i="55"/>
  <c r="J211" i="55"/>
  <c r="I211" i="55"/>
  <c r="H211" i="55"/>
  <c r="D211" i="55"/>
  <c r="B211" i="55"/>
  <c r="A211" i="55"/>
  <c r="W210" i="55"/>
  <c r="V210" i="55"/>
  <c r="U210" i="55"/>
  <c r="T210" i="55"/>
  <c r="S210" i="55"/>
  <c r="J210" i="55"/>
  <c r="I210" i="55"/>
  <c r="H210" i="55"/>
  <c r="D210" i="55"/>
  <c r="B210" i="55"/>
  <c r="A210" i="55"/>
  <c r="W209" i="55"/>
  <c r="V209" i="55"/>
  <c r="U209" i="55"/>
  <c r="T209" i="55"/>
  <c r="S209" i="55"/>
  <c r="J209" i="55"/>
  <c r="I209" i="55"/>
  <c r="H209" i="55"/>
  <c r="D209" i="55"/>
  <c r="B209" i="55"/>
  <c r="A209" i="55"/>
  <c r="W208" i="55"/>
  <c r="V208" i="55"/>
  <c r="U208" i="55"/>
  <c r="T208" i="55"/>
  <c r="S208" i="55"/>
  <c r="J208" i="55"/>
  <c r="I208" i="55"/>
  <c r="H208" i="55"/>
  <c r="D208" i="55"/>
  <c r="B208" i="55"/>
  <c r="A208" i="55"/>
  <c r="W207" i="55"/>
  <c r="V207" i="55"/>
  <c r="U207" i="55"/>
  <c r="T207" i="55"/>
  <c r="S207" i="55"/>
  <c r="J207" i="55"/>
  <c r="I207" i="55"/>
  <c r="H207" i="55"/>
  <c r="D207" i="55"/>
  <c r="B207" i="55"/>
  <c r="A207" i="55"/>
  <c r="W206" i="55"/>
  <c r="V206" i="55"/>
  <c r="U206" i="55"/>
  <c r="T206" i="55"/>
  <c r="S206" i="55"/>
  <c r="J206" i="55"/>
  <c r="I206" i="55"/>
  <c r="H206" i="55"/>
  <c r="D206" i="55"/>
  <c r="B206" i="55"/>
  <c r="A206" i="55"/>
  <c r="W205" i="55"/>
  <c r="V205" i="55"/>
  <c r="U205" i="55"/>
  <c r="T205" i="55"/>
  <c r="S205" i="55"/>
  <c r="J205" i="55"/>
  <c r="I205" i="55"/>
  <c r="H205" i="55"/>
  <c r="D205" i="55"/>
  <c r="B205" i="55"/>
  <c r="A205" i="55"/>
  <c r="W204" i="55"/>
  <c r="V204" i="55"/>
  <c r="U204" i="55"/>
  <c r="T204" i="55"/>
  <c r="S204" i="55"/>
  <c r="J204" i="55"/>
  <c r="I204" i="55"/>
  <c r="H204" i="55"/>
  <c r="D204" i="55"/>
  <c r="B204" i="55"/>
  <c r="A204" i="55"/>
  <c r="W203" i="55"/>
  <c r="V203" i="55"/>
  <c r="U203" i="55"/>
  <c r="T203" i="55"/>
  <c r="S203" i="55"/>
  <c r="J203" i="55"/>
  <c r="I203" i="55"/>
  <c r="H203" i="55"/>
  <c r="D203" i="55"/>
  <c r="B203" i="55"/>
  <c r="A203" i="55"/>
  <c r="W202" i="55"/>
  <c r="V202" i="55"/>
  <c r="U202" i="55"/>
  <c r="T202" i="55"/>
  <c r="S202" i="55"/>
  <c r="J202" i="55"/>
  <c r="I202" i="55"/>
  <c r="H202" i="55"/>
  <c r="D202" i="55"/>
  <c r="B202" i="55"/>
  <c r="A202" i="55"/>
  <c r="W201" i="55"/>
  <c r="V201" i="55"/>
  <c r="U201" i="55"/>
  <c r="T201" i="55"/>
  <c r="S201" i="55"/>
  <c r="J201" i="55"/>
  <c r="I201" i="55"/>
  <c r="H201" i="55"/>
  <c r="D201" i="55"/>
  <c r="B201" i="55"/>
  <c r="A201" i="55"/>
  <c r="W200" i="55"/>
  <c r="V200" i="55"/>
  <c r="U200" i="55"/>
  <c r="T200" i="55"/>
  <c r="S200" i="55"/>
  <c r="J200" i="55"/>
  <c r="I200" i="55"/>
  <c r="H200" i="55"/>
  <c r="D200" i="55"/>
  <c r="B200" i="55"/>
  <c r="A200" i="55"/>
  <c r="W199" i="55"/>
  <c r="V199" i="55"/>
  <c r="U199" i="55"/>
  <c r="T199" i="55"/>
  <c r="S199" i="55"/>
  <c r="J199" i="55"/>
  <c r="I199" i="55"/>
  <c r="H199" i="55"/>
  <c r="D199" i="55"/>
  <c r="B199" i="55"/>
  <c r="A199" i="55"/>
  <c r="W198" i="55"/>
  <c r="V198" i="55"/>
  <c r="U198" i="55"/>
  <c r="T198" i="55"/>
  <c r="S198" i="55"/>
  <c r="J198" i="55"/>
  <c r="I198" i="55"/>
  <c r="H198" i="55"/>
  <c r="D198" i="55"/>
  <c r="B198" i="55"/>
  <c r="A198" i="55"/>
  <c r="W197" i="55"/>
  <c r="V197" i="55"/>
  <c r="U197" i="55"/>
  <c r="T197" i="55"/>
  <c r="S197" i="55"/>
  <c r="J197" i="55"/>
  <c r="I197" i="55"/>
  <c r="H197" i="55"/>
  <c r="D197" i="55"/>
  <c r="B197" i="55"/>
  <c r="A197" i="55"/>
  <c r="W196" i="55"/>
  <c r="V196" i="55"/>
  <c r="U196" i="55"/>
  <c r="T196" i="55"/>
  <c r="S196" i="55"/>
  <c r="J196" i="55"/>
  <c r="I196" i="55"/>
  <c r="H196" i="55"/>
  <c r="D196" i="55"/>
  <c r="B196" i="55"/>
  <c r="A196" i="55"/>
  <c r="W195" i="55"/>
  <c r="V195" i="55"/>
  <c r="U195" i="55"/>
  <c r="T195" i="55"/>
  <c r="S195" i="55"/>
  <c r="J195" i="55"/>
  <c r="I195" i="55"/>
  <c r="H195" i="55"/>
  <c r="D195" i="55"/>
  <c r="B195" i="55"/>
  <c r="A195" i="55"/>
  <c r="W194" i="55"/>
  <c r="V194" i="55"/>
  <c r="U194" i="55"/>
  <c r="T194" i="55"/>
  <c r="S194" i="55"/>
  <c r="J194" i="55"/>
  <c r="I194" i="55"/>
  <c r="H194" i="55"/>
  <c r="D194" i="55"/>
  <c r="B194" i="55"/>
  <c r="A194" i="55"/>
  <c r="W193" i="55"/>
  <c r="V193" i="55"/>
  <c r="U193" i="55"/>
  <c r="T193" i="55"/>
  <c r="S193" i="55"/>
  <c r="J193" i="55"/>
  <c r="I193" i="55"/>
  <c r="H193" i="55"/>
  <c r="D193" i="55"/>
  <c r="B193" i="55"/>
  <c r="A193" i="55"/>
  <c r="W192" i="55"/>
  <c r="V192" i="55"/>
  <c r="U192" i="55"/>
  <c r="T192" i="55"/>
  <c r="S192" i="55"/>
  <c r="J192" i="55"/>
  <c r="I192" i="55"/>
  <c r="H192" i="55"/>
  <c r="D192" i="55"/>
  <c r="B192" i="55"/>
  <c r="A192" i="55"/>
  <c r="W191" i="55"/>
  <c r="V191" i="55"/>
  <c r="U191" i="55"/>
  <c r="T191" i="55"/>
  <c r="S191" i="55"/>
  <c r="J191" i="55"/>
  <c r="I191" i="55"/>
  <c r="H191" i="55"/>
  <c r="D191" i="55"/>
  <c r="B191" i="55"/>
  <c r="A191" i="55"/>
  <c r="W190" i="55"/>
  <c r="V190" i="55"/>
  <c r="U190" i="55"/>
  <c r="T190" i="55"/>
  <c r="S190" i="55"/>
  <c r="J190" i="55"/>
  <c r="I190" i="55"/>
  <c r="H190" i="55"/>
  <c r="D190" i="55"/>
  <c r="B190" i="55"/>
  <c r="A190" i="55"/>
  <c r="W189" i="55"/>
  <c r="V189" i="55"/>
  <c r="U189" i="55"/>
  <c r="T189" i="55"/>
  <c r="S189" i="55"/>
  <c r="J189" i="55"/>
  <c r="I189" i="55"/>
  <c r="H189" i="55"/>
  <c r="D189" i="55"/>
  <c r="B189" i="55"/>
  <c r="A189" i="55"/>
  <c r="W188" i="55"/>
  <c r="V188" i="55"/>
  <c r="U188" i="55"/>
  <c r="T188" i="55"/>
  <c r="S188" i="55"/>
  <c r="J188" i="55"/>
  <c r="I188" i="55"/>
  <c r="H188" i="55"/>
  <c r="D188" i="55"/>
  <c r="B188" i="55"/>
  <c r="A188" i="55"/>
  <c r="W187" i="55"/>
  <c r="V187" i="55"/>
  <c r="U187" i="55"/>
  <c r="T187" i="55"/>
  <c r="S187" i="55"/>
  <c r="J187" i="55"/>
  <c r="I187" i="55"/>
  <c r="H187" i="55"/>
  <c r="D187" i="55"/>
  <c r="B187" i="55"/>
  <c r="A187" i="55"/>
  <c r="W186" i="55"/>
  <c r="V186" i="55"/>
  <c r="U186" i="55"/>
  <c r="T186" i="55"/>
  <c r="S186" i="55"/>
  <c r="J186" i="55"/>
  <c r="I186" i="55"/>
  <c r="H186" i="55"/>
  <c r="D186" i="55"/>
  <c r="B186" i="55"/>
  <c r="A186" i="55"/>
  <c r="W185" i="55"/>
  <c r="V185" i="55"/>
  <c r="U185" i="55"/>
  <c r="T185" i="55"/>
  <c r="S185" i="55"/>
  <c r="J185" i="55"/>
  <c r="I185" i="55"/>
  <c r="H185" i="55"/>
  <c r="D185" i="55"/>
  <c r="B185" i="55"/>
  <c r="A185" i="55"/>
  <c r="W184" i="55"/>
  <c r="V184" i="55"/>
  <c r="U184" i="55"/>
  <c r="T184" i="55"/>
  <c r="S184" i="55"/>
  <c r="J184" i="55"/>
  <c r="I184" i="55"/>
  <c r="H184" i="55"/>
  <c r="D184" i="55"/>
  <c r="B184" i="55"/>
  <c r="A184" i="55"/>
  <c r="W183" i="55"/>
  <c r="V183" i="55"/>
  <c r="U183" i="55"/>
  <c r="T183" i="55"/>
  <c r="S183" i="55"/>
  <c r="J183" i="55"/>
  <c r="I183" i="55"/>
  <c r="H183" i="55"/>
  <c r="D183" i="55"/>
  <c r="B183" i="55"/>
  <c r="A183" i="55"/>
  <c r="W182" i="55"/>
  <c r="V182" i="55"/>
  <c r="U182" i="55"/>
  <c r="T182" i="55"/>
  <c r="S182" i="55"/>
  <c r="J182" i="55"/>
  <c r="I182" i="55"/>
  <c r="H182" i="55"/>
  <c r="D182" i="55"/>
  <c r="B182" i="55"/>
  <c r="A182" i="55"/>
  <c r="W181" i="55"/>
  <c r="V181" i="55"/>
  <c r="U181" i="55"/>
  <c r="T181" i="55"/>
  <c r="S181" i="55"/>
  <c r="J181" i="55"/>
  <c r="I181" i="55"/>
  <c r="H181" i="55"/>
  <c r="D181" i="55"/>
  <c r="B181" i="55"/>
  <c r="A181" i="55"/>
  <c r="W180" i="55"/>
  <c r="V180" i="55"/>
  <c r="U180" i="55"/>
  <c r="T180" i="55"/>
  <c r="S180" i="55"/>
  <c r="J180" i="55"/>
  <c r="I180" i="55"/>
  <c r="H180" i="55"/>
  <c r="D180" i="55"/>
  <c r="B180" i="55"/>
  <c r="A180" i="55"/>
  <c r="W179" i="55"/>
  <c r="V179" i="55"/>
  <c r="U179" i="55"/>
  <c r="T179" i="55"/>
  <c r="S179" i="55"/>
  <c r="J179" i="55"/>
  <c r="I179" i="55"/>
  <c r="H179" i="55"/>
  <c r="D179" i="55"/>
  <c r="B179" i="55"/>
  <c r="A179" i="55"/>
  <c r="W178" i="55"/>
  <c r="V178" i="55"/>
  <c r="U178" i="55"/>
  <c r="T178" i="55"/>
  <c r="S178" i="55"/>
  <c r="J178" i="55"/>
  <c r="I178" i="55"/>
  <c r="H178" i="55"/>
  <c r="D178" i="55"/>
  <c r="B178" i="55"/>
  <c r="A178" i="55"/>
  <c r="W177" i="55"/>
  <c r="V177" i="55"/>
  <c r="U177" i="55"/>
  <c r="T177" i="55"/>
  <c r="S177" i="55"/>
  <c r="J177" i="55"/>
  <c r="I177" i="55"/>
  <c r="H177" i="55"/>
  <c r="D177" i="55"/>
  <c r="B177" i="55"/>
  <c r="A177" i="55"/>
  <c r="W176" i="55"/>
  <c r="V176" i="55"/>
  <c r="U176" i="55"/>
  <c r="T176" i="55"/>
  <c r="S176" i="55"/>
  <c r="J176" i="55"/>
  <c r="I176" i="55"/>
  <c r="H176" i="55"/>
  <c r="D176" i="55"/>
  <c r="B176" i="55"/>
  <c r="A176" i="55"/>
  <c r="W175" i="55"/>
  <c r="V175" i="55"/>
  <c r="U175" i="55"/>
  <c r="T175" i="55"/>
  <c r="S175" i="55"/>
  <c r="J175" i="55"/>
  <c r="I175" i="55"/>
  <c r="H175" i="55"/>
  <c r="D175" i="55"/>
  <c r="B175" i="55"/>
  <c r="A175" i="55"/>
  <c r="W174" i="55"/>
  <c r="V174" i="55"/>
  <c r="U174" i="55"/>
  <c r="T174" i="55"/>
  <c r="S174" i="55"/>
  <c r="J174" i="55"/>
  <c r="I174" i="55"/>
  <c r="H174" i="55"/>
  <c r="D174" i="55"/>
  <c r="B174" i="55"/>
  <c r="A174" i="55"/>
  <c r="W173" i="55"/>
  <c r="V173" i="55"/>
  <c r="U173" i="55"/>
  <c r="T173" i="55"/>
  <c r="S173" i="55"/>
  <c r="J173" i="55"/>
  <c r="I173" i="55"/>
  <c r="H173" i="55"/>
  <c r="D173" i="55"/>
  <c r="B173" i="55"/>
  <c r="A173" i="55"/>
  <c r="W172" i="55"/>
  <c r="V172" i="55"/>
  <c r="U172" i="55"/>
  <c r="T172" i="55"/>
  <c r="S172" i="55"/>
  <c r="J172" i="55"/>
  <c r="I172" i="55"/>
  <c r="H172" i="55"/>
  <c r="D172" i="55"/>
  <c r="B172" i="55"/>
  <c r="A172" i="55"/>
  <c r="W171" i="55"/>
  <c r="V171" i="55"/>
  <c r="U171" i="55"/>
  <c r="T171" i="55"/>
  <c r="S171" i="55"/>
  <c r="J171" i="55"/>
  <c r="I171" i="55"/>
  <c r="H171" i="55"/>
  <c r="D171" i="55"/>
  <c r="B171" i="55"/>
  <c r="A171" i="55"/>
  <c r="W170" i="55"/>
  <c r="V170" i="55"/>
  <c r="U170" i="55"/>
  <c r="T170" i="55"/>
  <c r="S170" i="55"/>
  <c r="J170" i="55"/>
  <c r="I170" i="55"/>
  <c r="H170" i="55"/>
  <c r="D170" i="55"/>
  <c r="B170" i="55"/>
  <c r="A170" i="55"/>
  <c r="W169" i="55"/>
  <c r="V169" i="55"/>
  <c r="U169" i="55"/>
  <c r="T169" i="55"/>
  <c r="S169" i="55"/>
  <c r="J169" i="55"/>
  <c r="I169" i="55"/>
  <c r="H169" i="55"/>
  <c r="D169" i="55"/>
  <c r="B169" i="55"/>
  <c r="A169" i="55"/>
  <c r="W168" i="55"/>
  <c r="V168" i="55"/>
  <c r="U168" i="55"/>
  <c r="T168" i="55"/>
  <c r="S168" i="55"/>
  <c r="J168" i="55"/>
  <c r="I168" i="55"/>
  <c r="H168" i="55"/>
  <c r="D168" i="55"/>
  <c r="B168" i="55"/>
  <c r="A168" i="55"/>
  <c r="W167" i="55"/>
  <c r="V167" i="55"/>
  <c r="U167" i="55"/>
  <c r="T167" i="55"/>
  <c r="S167" i="55"/>
  <c r="J167" i="55"/>
  <c r="I167" i="55"/>
  <c r="H167" i="55"/>
  <c r="D167" i="55"/>
  <c r="B167" i="55"/>
  <c r="A167" i="55"/>
  <c r="W166" i="55"/>
  <c r="V166" i="55"/>
  <c r="U166" i="55"/>
  <c r="T166" i="55"/>
  <c r="S166" i="55"/>
  <c r="J166" i="55"/>
  <c r="I166" i="55"/>
  <c r="H166" i="55"/>
  <c r="D166" i="55"/>
  <c r="B166" i="55"/>
  <c r="A166" i="55"/>
  <c r="W165" i="55"/>
  <c r="V165" i="55"/>
  <c r="U165" i="55"/>
  <c r="T165" i="55"/>
  <c r="S165" i="55"/>
  <c r="J165" i="55"/>
  <c r="I165" i="55"/>
  <c r="H165" i="55"/>
  <c r="D165" i="55"/>
  <c r="B165" i="55"/>
  <c r="A165" i="55"/>
  <c r="W164" i="55"/>
  <c r="V164" i="55"/>
  <c r="U164" i="55"/>
  <c r="T164" i="55"/>
  <c r="S164" i="55"/>
  <c r="J164" i="55"/>
  <c r="I164" i="55"/>
  <c r="H164" i="55"/>
  <c r="D164" i="55"/>
  <c r="B164" i="55"/>
  <c r="A164" i="55"/>
  <c r="W163" i="55"/>
  <c r="V163" i="55"/>
  <c r="U163" i="55"/>
  <c r="T163" i="55"/>
  <c r="S163" i="55"/>
  <c r="J163" i="55"/>
  <c r="I163" i="55"/>
  <c r="H163" i="55"/>
  <c r="D163" i="55"/>
  <c r="B163" i="55"/>
  <c r="A163" i="55"/>
  <c r="W162" i="55"/>
  <c r="V162" i="55"/>
  <c r="U162" i="55"/>
  <c r="T162" i="55"/>
  <c r="S162" i="55"/>
  <c r="J162" i="55"/>
  <c r="I162" i="55"/>
  <c r="H162" i="55"/>
  <c r="D162" i="55"/>
  <c r="B162" i="55"/>
  <c r="A162" i="55"/>
  <c r="W161" i="55"/>
  <c r="V161" i="55"/>
  <c r="U161" i="55"/>
  <c r="T161" i="55"/>
  <c r="S161" i="55"/>
  <c r="J161" i="55"/>
  <c r="I161" i="55"/>
  <c r="H161" i="55"/>
  <c r="D161" i="55"/>
  <c r="B161" i="55"/>
  <c r="A161" i="55"/>
  <c r="W160" i="55"/>
  <c r="V160" i="55"/>
  <c r="U160" i="55"/>
  <c r="T160" i="55"/>
  <c r="S160" i="55"/>
  <c r="J160" i="55"/>
  <c r="I160" i="55"/>
  <c r="H160" i="55"/>
  <c r="D160" i="55"/>
  <c r="B160" i="55"/>
  <c r="A160" i="55"/>
  <c r="W159" i="55"/>
  <c r="V159" i="55"/>
  <c r="U159" i="55"/>
  <c r="T159" i="55"/>
  <c r="S159" i="55"/>
  <c r="J159" i="55"/>
  <c r="I159" i="55"/>
  <c r="H159" i="55"/>
  <c r="D159" i="55"/>
  <c r="B159" i="55"/>
  <c r="A159" i="55"/>
  <c r="W158" i="55"/>
  <c r="V158" i="55"/>
  <c r="U158" i="55"/>
  <c r="T158" i="55"/>
  <c r="S158" i="55"/>
  <c r="J158" i="55"/>
  <c r="I158" i="55"/>
  <c r="H158" i="55"/>
  <c r="D158" i="55"/>
  <c r="B158" i="55"/>
  <c r="A158" i="55"/>
  <c r="W157" i="55"/>
  <c r="V157" i="55"/>
  <c r="U157" i="55"/>
  <c r="T157" i="55"/>
  <c r="S157" i="55"/>
  <c r="J157" i="55"/>
  <c r="I157" i="55"/>
  <c r="H157" i="55"/>
  <c r="D157" i="55"/>
  <c r="B157" i="55"/>
  <c r="A157" i="55"/>
  <c r="W156" i="55"/>
  <c r="V156" i="55"/>
  <c r="U156" i="55"/>
  <c r="T156" i="55"/>
  <c r="S156" i="55"/>
  <c r="J156" i="55"/>
  <c r="I156" i="55"/>
  <c r="H156" i="55"/>
  <c r="D156" i="55"/>
  <c r="B156" i="55"/>
  <c r="A156" i="55"/>
  <c r="W155" i="55"/>
  <c r="V155" i="55"/>
  <c r="U155" i="55"/>
  <c r="T155" i="55"/>
  <c r="S155" i="55"/>
  <c r="J155" i="55"/>
  <c r="I155" i="55"/>
  <c r="H155" i="55"/>
  <c r="D155" i="55"/>
  <c r="B155" i="55"/>
  <c r="A155" i="55"/>
  <c r="W154" i="55"/>
  <c r="V154" i="55"/>
  <c r="U154" i="55"/>
  <c r="T154" i="55"/>
  <c r="S154" i="55"/>
  <c r="J154" i="55"/>
  <c r="I154" i="55"/>
  <c r="H154" i="55"/>
  <c r="D154" i="55"/>
  <c r="B154" i="55"/>
  <c r="A154" i="55"/>
  <c r="W153" i="55"/>
  <c r="V153" i="55"/>
  <c r="U153" i="55"/>
  <c r="T153" i="55"/>
  <c r="S153" i="55"/>
  <c r="J153" i="55"/>
  <c r="I153" i="55"/>
  <c r="H153" i="55"/>
  <c r="D153" i="55"/>
  <c r="B153" i="55"/>
  <c r="A153" i="55"/>
  <c r="W152" i="55"/>
  <c r="V152" i="55"/>
  <c r="U152" i="55"/>
  <c r="T152" i="55"/>
  <c r="S152" i="55"/>
  <c r="J152" i="55"/>
  <c r="I152" i="55"/>
  <c r="H152" i="55"/>
  <c r="D152" i="55"/>
  <c r="B152" i="55"/>
  <c r="A152" i="55"/>
  <c r="W151" i="55"/>
  <c r="V151" i="55"/>
  <c r="U151" i="55"/>
  <c r="T151" i="55"/>
  <c r="S151" i="55"/>
  <c r="J151" i="55"/>
  <c r="I151" i="55"/>
  <c r="H151" i="55"/>
  <c r="D151" i="55"/>
  <c r="B151" i="55"/>
  <c r="A151" i="55"/>
  <c r="W150" i="55"/>
  <c r="V150" i="55"/>
  <c r="U150" i="55"/>
  <c r="T150" i="55"/>
  <c r="S150" i="55"/>
  <c r="J150" i="55"/>
  <c r="I150" i="55"/>
  <c r="H150" i="55"/>
  <c r="D150" i="55"/>
  <c r="B150" i="55"/>
  <c r="A150" i="55"/>
  <c r="W149" i="55"/>
  <c r="V149" i="55"/>
  <c r="U149" i="55"/>
  <c r="T149" i="55"/>
  <c r="S149" i="55"/>
  <c r="J149" i="55"/>
  <c r="I149" i="55"/>
  <c r="H149" i="55"/>
  <c r="D149" i="55"/>
  <c r="B149" i="55"/>
  <c r="A149" i="55"/>
  <c r="W148" i="55"/>
  <c r="V148" i="55"/>
  <c r="U148" i="55"/>
  <c r="T148" i="55"/>
  <c r="S148" i="55"/>
  <c r="J148" i="55"/>
  <c r="I148" i="55"/>
  <c r="H148" i="55"/>
  <c r="D148" i="55"/>
  <c r="B148" i="55"/>
  <c r="A148" i="55"/>
  <c r="W147" i="55"/>
  <c r="V147" i="55"/>
  <c r="U147" i="55"/>
  <c r="T147" i="55"/>
  <c r="S147" i="55"/>
  <c r="J147" i="55"/>
  <c r="I147" i="55"/>
  <c r="H147" i="55"/>
  <c r="D147" i="55"/>
  <c r="B147" i="55"/>
  <c r="A147" i="55"/>
  <c r="W146" i="55"/>
  <c r="V146" i="55"/>
  <c r="U146" i="55"/>
  <c r="T146" i="55"/>
  <c r="S146" i="55"/>
  <c r="J146" i="55"/>
  <c r="I146" i="55"/>
  <c r="H146" i="55"/>
  <c r="D146" i="55"/>
  <c r="B146" i="55"/>
  <c r="A146" i="55"/>
  <c r="W145" i="55"/>
  <c r="V145" i="55"/>
  <c r="U145" i="55"/>
  <c r="T145" i="55"/>
  <c r="S145" i="55"/>
  <c r="J145" i="55"/>
  <c r="I145" i="55"/>
  <c r="H145" i="55"/>
  <c r="D145" i="55"/>
  <c r="B145" i="55"/>
  <c r="A145" i="55"/>
  <c r="W144" i="55"/>
  <c r="V144" i="55"/>
  <c r="U144" i="55"/>
  <c r="T144" i="55"/>
  <c r="S144" i="55"/>
  <c r="J144" i="55"/>
  <c r="I144" i="55"/>
  <c r="H144" i="55"/>
  <c r="D144" i="55"/>
  <c r="B144" i="55"/>
  <c r="A144" i="55"/>
  <c r="W143" i="55"/>
  <c r="V143" i="55"/>
  <c r="U143" i="55"/>
  <c r="T143" i="55"/>
  <c r="S143" i="55"/>
  <c r="J143" i="55"/>
  <c r="I143" i="55"/>
  <c r="H143" i="55"/>
  <c r="D143" i="55"/>
  <c r="B143" i="55"/>
  <c r="A143" i="55"/>
  <c r="W142" i="55"/>
  <c r="V142" i="55"/>
  <c r="U142" i="55"/>
  <c r="T142" i="55"/>
  <c r="S142" i="55"/>
  <c r="J142" i="55"/>
  <c r="I142" i="55"/>
  <c r="H142" i="55"/>
  <c r="D142" i="55"/>
  <c r="B142" i="55"/>
  <c r="A142" i="55"/>
  <c r="W141" i="55"/>
  <c r="V141" i="55"/>
  <c r="U141" i="55"/>
  <c r="T141" i="55"/>
  <c r="S141" i="55"/>
  <c r="J141" i="55"/>
  <c r="I141" i="55"/>
  <c r="H141" i="55"/>
  <c r="D141" i="55"/>
  <c r="B141" i="55"/>
  <c r="A141" i="55"/>
  <c r="W140" i="55"/>
  <c r="V140" i="55"/>
  <c r="U140" i="55"/>
  <c r="T140" i="55"/>
  <c r="S140" i="55"/>
  <c r="J140" i="55"/>
  <c r="I140" i="55"/>
  <c r="H140" i="55"/>
  <c r="D140" i="55"/>
  <c r="B140" i="55"/>
  <c r="A140" i="55"/>
  <c r="W139" i="55"/>
  <c r="V139" i="55"/>
  <c r="U139" i="55"/>
  <c r="T139" i="55"/>
  <c r="S139" i="55"/>
  <c r="J139" i="55"/>
  <c r="I139" i="55"/>
  <c r="H139" i="55"/>
  <c r="D139" i="55"/>
  <c r="B139" i="55"/>
  <c r="A139" i="55"/>
  <c r="W138" i="55"/>
  <c r="V138" i="55"/>
  <c r="U138" i="55"/>
  <c r="T138" i="55"/>
  <c r="S138" i="55"/>
  <c r="J138" i="55"/>
  <c r="I138" i="55"/>
  <c r="H138" i="55"/>
  <c r="D138" i="55"/>
  <c r="B138" i="55"/>
  <c r="A138" i="55"/>
  <c r="W137" i="55"/>
  <c r="V137" i="55"/>
  <c r="U137" i="55"/>
  <c r="T137" i="55"/>
  <c r="S137" i="55"/>
  <c r="J137" i="55"/>
  <c r="I137" i="55"/>
  <c r="H137" i="55"/>
  <c r="D137" i="55"/>
  <c r="B137" i="55"/>
  <c r="A137" i="55"/>
  <c r="W136" i="55"/>
  <c r="V136" i="55"/>
  <c r="U136" i="55"/>
  <c r="T136" i="55"/>
  <c r="S136" i="55"/>
  <c r="J136" i="55"/>
  <c r="I136" i="55"/>
  <c r="H136" i="55"/>
  <c r="D136" i="55"/>
  <c r="B136" i="55"/>
  <c r="A136" i="55"/>
  <c r="W135" i="55"/>
  <c r="V135" i="55"/>
  <c r="U135" i="55"/>
  <c r="T135" i="55"/>
  <c r="S135" i="55"/>
  <c r="J135" i="55"/>
  <c r="I135" i="55"/>
  <c r="H135" i="55"/>
  <c r="D135" i="55"/>
  <c r="B135" i="55"/>
  <c r="A135" i="55"/>
  <c r="W134" i="55"/>
  <c r="V134" i="55"/>
  <c r="U134" i="55"/>
  <c r="T134" i="55"/>
  <c r="S134" i="55"/>
  <c r="J134" i="55"/>
  <c r="I134" i="55"/>
  <c r="H134" i="55"/>
  <c r="D134" i="55"/>
  <c r="B134" i="55"/>
  <c r="A134" i="55"/>
  <c r="W133" i="55"/>
  <c r="V133" i="55"/>
  <c r="U133" i="55"/>
  <c r="T133" i="55"/>
  <c r="S133" i="55"/>
  <c r="J133" i="55"/>
  <c r="I133" i="55"/>
  <c r="H133" i="55"/>
  <c r="D133" i="55"/>
  <c r="B133" i="55"/>
  <c r="A133" i="55"/>
  <c r="W132" i="55"/>
  <c r="V132" i="55"/>
  <c r="U132" i="55"/>
  <c r="T132" i="55"/>
  <c r="S132" i="55"/>
  <c r="J132" i="55"/>
  <c r="I132" i="55"/>
  <c r="H132" i="55"/>
  <c r="D132" i="55"/>
  <c r="B132" i="55"/>
  <c r="A132" i="55"/>
  <c r="W131" i="55"/>
  <c r="V131" i="55"/>
  <c r="U131" i="55"/>
  <c r="T131" i="55"/>
  <c r="S131" i="55"/>
  <c r="J131" i="55"/>
  <c r="I131" i="55"/>
  <c r="H131" i="55"/>
  <c r="D131" i="55"/>
  <c r="B131" i="55"/>
  <c r="A131" i="55"/>
  <c r="W130" i="55"/>
  <c r="V130" i="55"/>
  <c r="U130" i="55"/>
  <c r="T130" i="55"/>
  <c r="S130" i="55"/>
  <c r="J130" i="55"/>
  <c r="I130" i="55"/>
  <c r="H130" i="55"/>
  <c r="D130" i="55"/>
  <c r="B130" i="55"/>
  <c r="A130" i="55"/>
  <c r="W129" i="55"/>
  <c r="V129" i="55"/>
  <c r="U129" i="55"/>
  <c r="T129" i="55"/>
  <c r="S129" i="55"/>
  <c r="J129" i="55"/>
  <c r="I129" i="55"/>
  <c r="H129" i="55"/>
  <c r="D129" i="55"/>
  <c r="B129" i="55"/>
  <c r="A129" i="55"/>
  <c r="W128" i="55"/>
  <c r="V128" i="55"/>
  <c r="U128" i="55"/>
  <c r="T128" i="55"/>
  <c r="S128" i="55"/>
  <c r="J128" i="55"/>
  <c r="I128" i="55"/>
  <c r="H128" i="55"/>
  <c r="D128" i="55"/>
  <c r="B128" i="55"/>
  <c r="A128" i="55"/>
  <c r="W127" i="55"/>
  <c r="V127" i="55"/>
  <c r="U127" i="55"/>
  <c r="T127" i="55"/>
  <c r="S127" i="55"/>
  <c r="J127" i="55"/>
  <c r="I127" i="55"/>
  <c r="H127" i="55"/>
  <c r="D127" i="55"/>
  <c r="B127" i="55"/>
  <c r="A127" i="55"/>
  <c r="W126" i="55"/>
  <c r="V126" i="55"/>
  <c r="U126" i="55"/>
  <c r="T126" i="55"/>
  <c r="S126" i="55"/>
  <c r="J126" i="55"/>
  <c r="I126" i="55"/>
  <c r="H126" i="55"/>
  <c r="D126" i="55"/>
  <c r="B126" i="55"/>
  <c r="A126" i="55"/>
  <c r="W125" i="55"/>
  <c r="V125" i="55"/>
  <c r="U125" i="55"/>
  <c r="T125" i="55"/>
  <c r="S125" i="55"/>
  <c r="J125" i="55"/>
  <c r="I125" i="55"/>
  <c r="H125" i="55"/>
  <c r="D125" i="55"/>
  <c r="B125" i="55"/>
  <c r="A125" i="55"/>
  <c r="W124" i="55"/>
  <c r="V124" i="55"/>
  <c r="U124" i="55"/>
  <c r="T124" i="55"/>
  <c r="S124" i="55"/>
  <c r="J124" i="55"/>
  <c r="I124" i="55"/>
  <c r="H124" i="55"/>
  <c r="D124" i="55"/>
  <c r="B124" i="55"/>
  <c r="A124" i="55"/>
  <c r="W123" i="55"/>
  <c r="V123" i="55"/>
  <c r="U123" i="55"/>
  <c r="T123" i="55"/>
  <c r="S123" i="55"/>
  <c r="J123" i="55"/>
  <c r="I123" i="55"/>
  <c r="H123" i="55"/>
  <c r="D123" i="55"/>
  <c r="B123" i="55"/>
  <c r="A123" i="55"/>
  <c r="W122" i="55"/>
  <c r="V122" i="55"/>
  <c r="U122" i="55"/>
  <c r="T122" i="55"/>
  <c r="S122" i="55"/>
  <c r="J122" i="55"/>
  <c r="I122" i="55"/>
  <c r="H122" i="55"/>
  <c r="D122" i="55"/>
  <c r="B122" i="55"/>
  <c r="A122" i="55"/>
  <c r="W121" i="55"/>
  <c r="V121" i="55"/>
  <c r="U121" i="55"/>
  <c r="T121" i="55"/>
  <c r="S121" i="55"/>
  <c r="J121" i="55"/>
  <c r="I121" i="55"/>
  <c r="H121" i="55"/>
  <c r="D121" i="55"/>
  <c r="B121" i="55"/>
  <c r="A121" i="55"/>
  <c r="W120" i="55"/>
  <c r="V120" i="55"/>
  <c r="U120" i="55"/>
  <c r="T120" i="55"/>
  <c r="S120" i="55"/>
  <c r="J120" i="55"/>
  <c r="I120" i="55"/>
  <c r="H120" i="55"/>
  <c r="D120" i="55"/>
  <c r="B120" i="55"/>
  <c r="A120" i="55"/>
  <c r="W119" i="55"/>
  <c r="V119" i="55"/>
  <c r="U119" i="55"/>
  <c r="T119" i="55"/>
  <c r="S119" i="55"/>
  <c r="J119" i="55"/>
  <c r="I119" i="55"/>
  <c r="H119" i="55"/>
  <c r="D119" i="55"/>
  <c r="B119" i="55"/>
  <c r="A119" i="55"/>
  <c r="W118" i="55"/>
  <c r="V118" i="55"/>
  <c r="U118" i="55"/>
  <c r="T118" i="55"/>
  <c r="S118" i="55"/>
  <c r="J118" i="55"/>
  <c r="I118" i="55"/>
  <c r="H118" i="55"/>
  <c r="D118" i="55"/>
  <c r="B118" i="55"/>
  <c r="A118" i="55"/>
  <c r="W117" i="55"/>
  <c r="V117" i="55"/>
  <c r="U117" i="55"/>
  <c r="T117" i="55"/>
  <c r="S117" i="55"/>
  <c r="J117" i="55"/>
  <c r="I117" i="55"/>
  <c r="H117" i="55"/>
  <c r="D117" i="55"/>
  <c r="B117" i="55"/>
  <c r="A117" i="55"/>
  <c r="W116" i="55"/>
  <c r="V116" i="55"/>
  <c r="U116" i="55"/>
  <c r="T116" i="55"/>
  <c r="S116" i="55"/>
  <c r="J116" i="55"/>
  <c r="I116" i="55"/>
  <c r="H116" i="55"/>
  <c r="D116" i="55"/>
  <c r="B116" i="55"/>
  <c r="A116" i="55"/>
  <c r="W115" i="55"/>
  <c r="V115" i="55"/>
  <c r="U115" i="55"/>
  <c r="T115" i="55"/>
  <c r="S115" i="55"/>
  <c r="J115" i="55"/>
  <c r="I115" i="55"/>
  <c r="H115" i="55"/>
  <c r="D115" i="55"/>
  <c r="B115" i="55"/>
  <c r="A115" i="55"/>
  <c r="W114" i="55"/>
  <c r="V114" i="55"/>
  <c r="U114" i="55"/>
  <c r="T114" i="55"/>
  <c r="S114" i="55"/>
  <c r="J114" i="55"/>
  <c r="I114" i="55"/>
  <c r="H114" i="55"/>
  <c r="D114" i="55"/>
  <c r="B114" i="55"/>
  <c r="A114" i="55"/>
  <c r="W113" i="55"/>
  <c r="V113" i="55"/>
  <c r="U113" i="55"/>
  <c r="T113" i="55"/>
  <c r="S113" i="55"/>
  <c r="J113" i="55"/>
  <c r="I113" i="55"/>
  <c r="H113" i="55"/>
  <c r="D113" i="55"/>
  <c r="B113" i="55"/>
  <c r="A113" i="55"/>
  <c r="W112" i="55"/>
  <c r="V112" i="55"/>
  <c r="U112" i="55"/>
  <c r="T112" i="55"/>
  <c r="S112" i="55"/>
  <c r="J112" i="55"/>
  <c r="I112" i="55"/>
  <c r="H112" i="55"/>
  <c r="D112" i="55"/>
  <c r="B112" i="55"/>
  <c r="A112" i="55"/>
  <c r="W111" i="55"/>
  <c r="V111" i="55"/>
  <c r="U111" i="55"/>
  <c r="T111" i="55"/>
  <c r="S111" i="55"/>
  <c r="J111" i="55"/>
  <c r="I111" i="55"/>
  <c r="H111" i="55"/>
  <c r="D111" i="55"/>
  <c r="B111" i="55"/>
  <c r="A111" i="55"/>
  <c r="W110" i="55"/>
  <c r="V110" i="55"/>
  <c r="U110" i="55"/>
  <c r="T110" i="55"/>
  <c r="S110" i="55"/>
  <c r="J110" i="55"/>
  <c r="I110" i="55"/>
  <c r="H110" i="55"/>
  <c r="D110" i="55"/>
  <c r="B110" i="55"/>
  <c r="A110" i="55"/>
  <c r="W109" i="55"/>
  <c r="V109" i="55"/>
  <c r="U109" i="55"/>
  <c r="T109" i="55"/>
  <c r="S109" i="55"/>
  <c r="J109" i="55"/>
  <c r="I109" i="55"/>
  <c r="H109" i="55"/>
  <c r="D109" i="55"/>
  <c r="B109" i="55"/>
  <c r="A109" i="55"/>
  <c r="W108" i="55"/>
  <c r="V108" i="55"/>
  <c r="U108" i="55"/>
  <c r="T108" i="55"/>
  <c r="S108" i="55"/>
  <c r="J108" i="55"/>
  <c r="I108" i="55"/>
  <c r="H108" i="55"/>
  <c r="D108" i="55"/>
  <c r="B108" i="55"/>
  <c r="A108" i="55"/>
  <c r="W107" i="55"/>
  <c r="V107" i="55"/>
  <c r="U107" i="55"/>
  <c r="T107" i="55"/>
  <c r="S107" i="55"/>
  <c r="J107" i="55"/>
  <c r="I107" i="55"/>
  <c r="H107" i="55"/>
  <c r="D107" i="55"/>
  <c r="B107" i="55"/>
  <c r="A107" i="55"/>
  <c r="W106" i="55"/>
  <c r="V106" i="55"/>
  <c r="U106" i="55"/>
  <c r="T106" i="55"/>
  <c r="S106" i="55"/>
  <c r="J106" i="55"/>
  <c r="I106" i="55"/>
  <c r="H106" i="55"/>
  <c r="D106" i="55"/>
  <c r="B106" i="55"/>
  <c r="A106" i="55"/>
  <c r="W105" i="55"/>
  <c r="V105" i="55"/>
  <c r="U105" i="55"/>
  <c r="T105" i="55"/>
  <c r="S105" i="55"/>
  <c r="J105" i="55"/>
  <c r="I105" i="55"/>
  <c r="H105" i="55"/>
  <c r="D105" i="55"/>
  <c r="B105" i="55"/>
  <c r="A105" i="55"/>
  <c r="W104" i="55"/>
  <c r="V104" i="55"/>
  <c r="U104" i="55"/>
  <c r="T104" i="55"/>
  <c r="S104" i="55"/>
  <c r="J104" i="55"/>
  <c r="I104" i="55"/>
  <c r="H104" i="55"/>
  <c r="D104" i="55"/>
  <c r="B104" i="55"/>
  <c r="A104" i="55"/>
  <c r="W103" i="55"/>
  <c r="V103" i="55"/>
  <c r="U103" i="55"/>
  <c r="T103" i="55"/>
  <c r="S103" i="55"/>
  <c r="J103" i="55"/>
  <c r="I103" i="55"/>
  <c r="H103" i="55"/>
  <c r="D103" i="55"/>
  <c r="B103" i="55"/>
  <c r="A103" i="55"/>
  <c r="W102" i="55"/>
  <c r="V102" i="55"/>
  <c r="U102" i="55"/>
  <c r="T102" i="55"/>
  <c r="S102" i="55"/>
  <c r="J102" i="55"/>
  <c r="I102" i="55"/>
  <c r="H102" i="55"/>
  <c r="D102" i="55"/>
  <c r="B102" i="55"/>
  <c r="A102" i="55"/>
  <c r="W101" i="55"/>
  <c r="V101" i="55"/>
  <c r="U101" i="55"/>
  <c r="T101" i="55"/>
  <c r="S101" i="55"/>
  <c r="J101" i="55"/>
  <c r="I101" i="55"/>
  <c r="H101" i="55"/>
  <c r="D101" i="55"/>
  <c r="B101" i="55"/>
  <c r="A101" i="55"/>
  <c r="W100" i="55"/>
  <c r="V100" i="55"/>
  <c r="U100" i="55"/>
  <c r="T100" i="55"/>
  <c r="S100" i="55"/>
  <c r="J100" i="55"/>
  <c r="I100" i="55"/>
  <c r="H100" i="55"/>
  <c r="D100" i="55"/>
  <c r="B100" i="55"/>
  <c r="A100" i="55"/>
  <c r="W99" i="55"/>
  <c r="V99" i="55"/>
  <c r="U99" i="55"/>
  <c r="T99" i="55"/>
  <c r="S99" i="55"/>
  <c r="J99" i="55"/>
  <c r="I99" i="55"/>
  <c r="H99" i="55"/>
  <c r="D99" i="55"/>
  <c r="B99" i="55"/>
  <c r="A99" i="55"/>
  <c r="W98" i="55"/>
  <c r="V98" i="55"/>
  <c r="U98" i="55"/>
  <c r="T98" i="55"/>
  <c r="S98" i="55"/>
  <c r="J98" i="55"/>
  <c r="I98" i="55"/>
  <c r="H98" i="55"/>
  <c r="D98" i="55"/>
  <c r="B98" i="55"/>
  <c r="A98" i="55"/>
  <c r="W97" i="55"/>
  <c r="V97" i="55"/>
  <c r="U97" i="55"/>
  <c r="T97" i="55"/>
  <c r="S97" i="55"/>
  <c r="J97" i="55"/>
  <c r="I97" i="55"/>
  <c r="H97" i="55"/>
  <c r="D97" i="55"/>
  <c r="B97" i="55"/>
  <c r="A97" i="55"/>
  <c r="W96" i="55"/>
  <c r="V96" i="55"/>
  <c r="U96" i="55"/>
  <c r="T96" i="55"/>
  <c r="S96" i="55"/>
  <c r="J96" i="55"/>
  <c r="I96" i="55"/>
  <c r="H96" i="55"/>
  <c r="D96" i="55"/>
  <c r="B96" i="55"/>
  <c r="A96" i="55"/>
  <c r="W95" i="55"/>
  <c r="V95" i="55"/>
  <c r="U95" i="55"/>
  <c r="T95" i="55"/>
  <c r="S95" i="55"/>
  <c r="J95" i="55"/>
  <c r="I95" i="55"/>
  <c r="H95" i="55"/>
  <c r="D95" i="55"/>
  <c r="B95" i="55"/>
  <c r="A95" i="55"/>
  <c r="W94" i="55"/>
  <c r="V94" i="55"/>
  <c r="U94" i="55"/>
  <c r="T94" i="55"/>
  <c r="S94" i="55"/>
  <c r="J94" i="55"/>
  <c r="I94" i="55"/>
  <c r="H94" i="55"/>
  <c r="D94" i="55"/>
  <c r="B94" i="55"/>
  <c r="A94" i="55"/>
  <c r="W93" i="55"/>
  <c r="V93" i="55"/>
  <c r="U93" i="55"/>
  <c r="T93" i="55"/>
  <c r="S93" i="55"/>
  <c r="J93" i="55"/>
  <c r="I93" i="55"/>
  <c r="H93" i="55"/>
  <c r="D93" i="55"/>
  <c r="B93" i="55"/>
  <c r="A93" i="55"/>
  <c r="W92" i="55"/>
  <c r="V92" i="55"/>
  <c r="U92" i="55"/>
  <c r="T92" i="55"/>
  <c r="S92" i="55"/>
  <c r="J92" i="55"/>
  <c r="I92" i="55"/>
  <c r="H92" i="55"/>
  <c r="D92" i="55"/>
  <c r="B92" i="55"/>
  <c r="A92" i="55"/>
  <c r="W91" i="55"/>
  <c r="V91" i="55"/>
  <c r="U91" i="55"/>
  <c r="T91" i="55"/>
  <c r="S91" i="55"/>
  <c r="J91" i="55"/>
  <c r="I91" i="55"/>
  <c r="H91" i="55"/>
  <c r="D91" i="55"/>
  <c r="B91" i="55"/>
  <c r="A91" i="55"/>
  <c r="W90" i="55"/>
  <c r="V90" i="55"/>
  <c r="U90" i="55"/>
  <c r="T90" i="55"/>
  <c r="S90" i="55"/>
  <c r="J90" i="55"/>
  <c r="I90" i="55"/>
  <c r="H90" i="55"/>
  <c r="D90" i="55"/>
  <c r="B90" i="55"/>
  <c r="A90" i="55"/>
  <c r="W89" i="55"/>
  <c r="V89" i="55"/>
  <c r="U89" i="55"/>
  <c r="T89" i="55"/>
  <c r="S89" i="55"/>
  <c r="J89" i="55"/>
  <c r="I89" i="55"/>
  <c r="H89" i="55"/>
  <c r="D89" i="55"/>
  <c r="B89" i="55"/>
  <c r="A89" i="55"/>
  <c r="W88" i="55"/>
  <c r="V88" i="55"/>
  <c r="U88" i="55"/>
  <c r="T88" i="55"/>
  <c r="S88" i="55"/>
  <c r="J88" i="55"/>
  <c r="I88" i="55"/>
  <c r="H88" i="55"/>
  <c r="D88" i="55"/>
  <c r="B88" i="55"/>
  <c r="A88" i="55"/>
  <c r="W87" i="55"/>
  <c r="V87" i="55"/>
  <c r="U87" i="55"/>
  <c r="T87" i="55"/>
  <c r="S87" i="55"/>
  <c r="J87" i="55"/>
  <c r="I87" i="55"/>
  <c r="H87" i="55"/>
  <c r="D87" i="55"/>
  <c r="B87" i="55"/>
  <c r="A87" i="55"/>
  <c r="W86" i="55"/>
  <c r="V86" i="55"/>
  <c r="U86" i="55"/>
  <c r="T86" i="55"/>
  <c r="S86" i="55"/>
  <c r="J86" i="55"/>
  <c r="I86" i="55"/>
  <c r="H86" i="55"/>
  <c r="D86" i="55"/>
  <c r="B86" i="55"/>
  <c r="A86" i="55"/>
  <c r="W85" i="55"/>
  <c r="V85" i="55"/>
  <c r="U85" i="55"/>
  <c r="T85" i="55"/>
  <c r="S85" i="55"/>
  <c r="J85" i="55"/>
  <c r="I85" i="55"/>
  <c r="H85" i="55"/>
  <c r="D85" i="55"/>
  <c r="B85" i="55"/>
  <c r="A85" i="55"/>
  <c r="W84" i="55"/>
  <c r="V84" i="55"/>
  <c r="U84" i="55"/>
  <c r="T84" i="55"/>
  <c r="S84" i="55"/>
  <c r="J84" i="55"/>
  <c r="I84" i="55"/>
  <c r="H84" i="55"/>
  <c r="D84" i="55"/>
  <c r="B84" i="55"/>
  <c r="A84" i="55"/>
  <c r="W83" i="55"/>
  <c r="V83" i="55"/>
  <c r="U83" i="55"/>
  <c r="T83" i="55"/>
  <c r="S83" i="55"/>
  <c r="J83" i="55"/>
  <c r="I83" i="55"/>
  <c r="H83" i="55"/>
  <c r="D83" i="55"/>
  <c r="B83" i="55"/>
  <c r="A83" i="55"/>
  <c r="W82" i="55"/>
  <c r="V82" i="55"/>
  <c r="U82" i="55"/>
  <c r="T82" i="55"/>
  <c r="S82" i="55"/>
  <c r="J82" i="55"/>
  <c r="I82" i="55"/>
  <c r="H82" i="55"/>
  <c r="D82" i="55"/>
  <c r="B82" i="55"/>
  <c r="A82" i="55"/>
  <c r="W81" i="55"/>
  <c r="V81" i="55"/>
  <c r="U81" i="55"/>
  <c r="T81" i="55"/>
  <c r="S81" i="55"/>
  <c r="J81" i="55"/>
  <c r="I81" i="55"/>
  <c r="H81" i="55"/>
  <c r="D81" i="55"/>
  <c r="B81" i="55"/>
  <c r="A81" i="55"/>
  <c r="W80" i="55"/>
  <c r="V80" i="55"/>
  <c r="U80" i="55"/>
  <c r="T80" i="55"/>
  <c r="S80" i="55"/>
  <c r="J80" i="55"/>
  <c r="I80" i="55"/>
  <c r="H80" i="55"/>
  <c r="D80" i="55"/>
  <c r="B80" i="55"/>
  <c r="A80" i="55"/>
  <c r="W79" i="55"/>
  <c r="V79" i="55"/>
  <c r="U79" i="55"/>
  <c r="T79" i="55"/>
  <c r="S79" i="55"/>
  <c r="J79" i="55"/>
  <c r="I79" i="55"/>
  <c r="H79" i="55"/>
  <c r="D79" i="55"/>
  <c r="B79" i="55"/>
  <c r="A79" i="55"/>
  <c r="W78" i="55"/>
  <c r="V78" i="55"/>
  <c r="U78" i="55"/>
  <c r="T78" i="55"/>
  <c r="S78" i="55"/>
  <c r="J78" i="55"/>
  <c r="I78" i="55"/>
  <c r="H78" i="55"/>
  <c r="D78" i="55"/>
  <c r="B78" i="55"/>
  <c r="A78" i="55"/>
  <c r="W77" i="55"/>
  <c r="V77" i="55"/>
  <c r="U77" i="55"/>
  <c r="T77" i="55"/>
  <c r="S77" i="55"/>
  <c r="J77" i="55"/>
  <c r="I77" i="55"/>
  <c r="H77" i="55"/>
  <c r="D77" i="55"/>
  <c r="B77" i="55"/>
  <c r="A77" i="55"/>
  <c r="W76" i="55"/>
  <c r="V76" i="55"/>
  <c r="U76" i="55"/>
  <c r="T76" i="55"/>
  <c r="S76" i="55"/>
  <c r="J76" i="55"/>
  <c r="I76" i="55"/>
  <c r="H76" i="55"/>
  <c r="D76" i="55"/>
  <c r="B76" i="55"/>
  <c r="A76" i="55"/>
  <c r="W75" i="55"/>
  <c r="V75" i="55"/>
  <c r="U75" i="55"/>
  <c r="T75" i="55"/>
  <c r="S75" i="55"/>
  <c r="J75" i="55"/>
  <c r="I75" i="55"/>
  <c r="H75" i="55"/>
  <c r="D75" i="55"/>
  <c r="B75" i="55"/>
  <c r="A75" i="55"/>
  <c r="W74" i="55"/>
  <c r="V74" i="55"/>
  <c r="U74" i="55"/>
  <c r="T74" i="55"/>
  <c r="S74" i="55"/>
  <c r="J74" i="55"/>
  <c r="I74" i="55"/>
  <c r="H74" i="55"/>
  <c r="D74" i="55"/>
  <c r="B74" i="55"/>
  <c r="A74" i="55"/>
  <c r="W73" i="55"/>
  <c r="V73" i="55"/>
  <c r="U73" i="55"/>
  <c r="T73" i="55"/>
  <c r="S73" i="55"/>
  <c r="J73" i="55"/>
  <c r="I73" i="55"/>
  <c r="H73" i="55"/>
  <c r="D73" i="55"/>
  <c r="B73" i="55"/>
  <c r="A73" i="55"/>
  <c r="W72" i="55"/>
  <c r="V72" i="55"/>
  <c r="U72" i="55"/>
  <c r="T72" i="55"/>
  <c r="S72" i="55"/>
  <c r="J72" i="55"/>
  <c r="I72" i="55"/>
  <c r="H72" i="55"/>
  <c r="D72" i="55"/>
  <c r="B72" i="55"/>
  <c r="A72" i="55"/>
  <c r="W71" i="55"/>
  <c r="V71" i="55"/>
  <c r="U71" i="55"/>
  <c r="T71" i="55"/>
  <c r="S71" i="55"/>
  <c r="J71" i="55"/>
  <c r="I71" i="55"/>
  <c r="H71" i="55"/>
  <c r="D71" i="55"/>
  <c r="B71" i="55"/>
  <c r="A71" i="55"/>
  <c r="W70" i="55"/>
  <c r="V70" i="55"/>
  <c r="U70" i="55"/>
  <c r="T70" i="55"/>
  <c r="S70" i="55"/>
  <c r="J70" i="55"/>
  <c r="I70" i="55"/>
  <c r="H70" i="55"/>
  <c r="D70" i="55"/>
  <c r="B70" i="55"/>
  <c r="A70" i="55"/>
  <c r="W69" i="55"/>
  <c r="V69" i="55"/>
  <c r="U69" i="55"/>
  <c r="T69" i="55"/>
  <c r="S69" i="55"/>
  <c r="J69" i="55"/>
  <c r="I69" i="55"/>
  <c r="H69" i="55"/>
  <c r="D69" i="55"/>
  <c r="B69" i="55"/>
  <c r="A69" i="55"/>
  <c r="W68" i="55"/>
  <c r="V68" i="55"/>
  <c r="U68" i="55"/>
  <c r="T68" i="55"/>
  <c r="S68" i="55"/>
  <c r="J68" i="55"/>
  <c r="I68" i="55"/>
  <c r="H68" i="55"/>
  <c r="D68" i="55"/>
  <c r="B68" i="55"/>
  <c r="A68" i="55"/>
  <c r="W67" i="55"/>
  <c r="V67" i="55"/>
  <c r="U67" i="55"/>
  <c r="T67" i="55"/>
  <c r="S67" i="55"/>
  <c r="J67" i="55"/>
  <c r="I67" i="55"/>
  <c r="H67" i="55"/>
  <c r="D67" i="55"/>
  <c r="B67" i="55"/>
  <c r="A67" i="55"/>
  <c r="W66" i="55"/>
  <c r="V66" i="55"/>
  <c r="U66" i="55"/>
  <c r="T66" i="55"/>
  <c r="S66" i="55"/>
  <c r="J66" i="55"/>
  <c r="I66" i="55"/>
  <c r="H66" i="55"/>
  <c r="D66" i="55"/>
  <c r="B66" i="55"/>
  <c r="A66" i="55"/>
  <c r="W65" i="55"/>
  <c r="V65" i="55"/>
  <c r="U65" i="55"/>
  <c r="T65" i="55"/>
  <c r="S65" i="55"/>
  <c r="J65" i="55"/>
  <c r="I65" i="55"/>
  <c r="H65" i="55"/>
  <c r="D65" i="55"/>
  <c r="B65" i="55"/>
  <c r="A65" i="55"/>
  <c r="W64" i="55"/>
  <c r="V64" i="55"/>
  <c r="U64" i="55"/>
  <c r="T64" i="55"/>
  <c r="S64" i="55"/>
  <c r="J64" i="55"/>
  <c r="I64" i="55"/>
  <c r="H64" i="55"/>
  <c r="D64" i="55"/>
  <c r="B64" i="55"/>
  <c r="A64" i="55"/>
  <c r="W63" i="55"/>
  <c r="V63" i="55"/>
  <c r="U63" i="55"/>
  <c r="T63" i="55"/>
  <c r="S63" i="55"/>
  <c r="J63" i="55"/>
  <c r="I63" i="55"/>
  <c r="H63" i="55"/>
  <c r="D63" i="55"/>
  <c r="B63" i="55"/>
  <c r="A63" i="55"/>
  <c r="W62" i="55"/>
  <c r="V62" i="55"/>
  <c r="U62" i="55"/>
  <c r="T62" i="55"/>
  <c r="S62" i="55"/>
  <c r="J62" i="55"/>
  <c r="I62" i="55"/>
  <c r="H62" i="55"/>
  <c r="D62" i="55"/>
  <c r="B62" i="55"/>
  <c r="A62" i="55"/>
  <c r="W61" i="55"/>
  <c r="V61" i="55"/>
  <c r="U61" i="55"/>
  <c r="T61" i="55"/>
  <c r="S61" i="55"/>
  <c r="J61" i="55"/>
  <c r="I61" i="55"/>
  <c r="H61" i="55"/>
  <c r="D61" i="55"/>
  <c r="B61" i="55"/>
  <c r="A61" i="55"/>
  <c r="W60" i="55"/>
  <c r="V60" i="55"/>
  <c r="U60" i="55"/>
  <c r="T60" i="55"/>
  <c r="S60" i="55"/>
  <c r="J60" i="55"/>
  <c r="I60" i="55"/>
  <c r="H60" i="55"/>
  <c r="D60" i="55"/>
  <c r="B60" i="55"/>
  <c r="A60" i="55"/>
  <c r="W59" i="55"/>
  <c r="V59" i="55"/>
  <c r="U59" i="55"/>
  <c r="T59" i="55"/>
  <c r="S59" i="55"/>
  <c r="J59" i="55"/>
  <c r="I59" i="55"/>
  <c r="H59" i="55"/>
  <c r="D59" i="55"/>
  <c r="B59" i="55"/>
  <c r="A59" i="55"/>
  <c r="W58" i="55"/>
  <c r="V58" i="55"/>
  <c r="U58" i="55"/>
  <c r="T58" i="55"/>
  <c r="S58" i="55"/>
  <c r="J58" i="55"/>
  <c r="I58" i="55"/>
  <c r="H58" i="55"/>
  <c r="D58" i="55"/>
  <c r="B58" i="55"/>
  <c r="A58" i="55"/>
  <c r="W57" i="55"/>
  <c r="V57" i="55"/>
  <c r="U57" i="55"/>
  <c r="T57" i="55"/>
  <c r="S57" i="55"/>
  <c r="J57" i="55"/>
  <c r="I57" i="55"/>
  <c r="H57" i="55"/>
  <c r="D57" i="55"/>
  <c r="B57" i="55"/>
  <c r="A57" i="55"/>
  <c r="W56" i="55"/>
  <c r="V56" i="55"/>
  <c r="U56" i="55"/>
  <c r="T56" i="55"/>
  <c r="S56" i="55"/>
  <c r="J56" i="55"/>
  <c r="I56" i="55"/>
  <c r="H56" i="55"/>
  <c r="D56" i="55"/>
  <c r="B56" i="55"/>
  <c r="A56" i="55"/>
  <c r="W55" i="55"/>
  <c r="V55" i="55"/>
  <c r="U55" i="55"/>
  <c r="T55" i="55"/>
  <c r="S55" i="55"/>
  <c r="J55" i="55"/>
  <c r="I55" i="55"/>
  <c r="H55" i="55"/>
  <c r="D55" i="55"/>
  <c r="B55" i="55"/>
  <c r="A55" i="55"/>
  <c r="W54" i="55"/>
  <c r="V54" i="55"/>
  <c r="U54" i="55"/>
  <c r="T54" i="55"/>
  <c r="S54" i="55"/>
  <c r="J54" i="55"/>
  <c r="I54" i="55"/>
  <c r="H54" i="55"/>
  <c r="D54" i="55"/>
  <c r="B54" i="55"/>
  <c r="A54" i="55"/>
  <c r="W53" i="55"/>
  <c r="V53" i="55"/>
  <c r="U53" i="55"/>
  <c r="T53" i="55"/>
  <c r="S53" i="55"/>
  <c r="J53" i="55"/>
  <c r="I53" i="55"/>
  <c r="H53" i="55"/>
  <c r="D53" i="55"/>
  <c r="B53" i="55"/>
  <c r="A53" i="55"/>
  <c r="W52" i="55"/>
  <c r="V52" i="55"/>
  <c r="U52" i="55"/>
  <c r="T52" i="55"/>
  <c r="S52" i="55"/>
  <c r="J52" i="55"/>
  <c r="I52" i="55"/>
  <c r="H52" i="55"/>
  <c r="D52" i="55"/>
  <c r="B52" i="55"/>
  <c r="A52" i="55"/>
  <c r="W51" i="55"/>
  <c r="V51" i="55"/>
  <c r="U51" i="55"/>
  <c r="T51" i="55"/>
  <c r="S51" i="55"/>
  <c r="J51" i="55"/>
  <c r="I51" i="55"/>
  <c r="H51" i="55"/>
  <c r="D51" i="55"/>
  <c r="B51" i="55"/>
  <c r="A51" i="55"/>
  <c r="W50" i="55"/>
  <c r="V50" i="55"/>
  <c r="U50" i="55"/>
  <c r="T50" i="55"/>
  <c r="S50" i="55"/>
  <c r="J50" i="55"/>
  <c r="I50" i="55"/>
  <c r="H50" i="55"/>
  <c r="D50" i="55"/>
  <c r="B50" i="55"/>
  <c r="A50" i="55"/>
  <c r="W49" i="55"/>
  <c r="V49" i="55"/>
  <c r="U49" i="55"/>
  <c r="T49" i="55"/>
  <c r="S49" i="55"/>
  <c r="J49" i="55"/>
  <c r="I49" i="55"/>
  <c r="H49" i="55"/>
  <c r="D49" i="55"/>
  <c r="B49" i="55"/>
  <c r="A49" i="55"/>
  <c r="W48" i="55"/>
  <c r="V48" i="55"/>
  <c r="U48" i="55"/>
  <c r="T48" i="55"/>
  <c r="S48" i="55"/>
  <c r="J48" i="55"/>
  <c r="I48" i="55"/>
  <c r="H48" i="55"/>
  <c r="D48" i="55"/>
  <c r="B48" i="55"/>
  <c r="A48" i="55"/>
  <c r="W47" i="55"/>
  <c r="V47" i="55"/>
  <c r="U47" i="55"/>
  <c r="T47" i="55"/>
  <c r="S47" i="55"/>
  <c r="J47" i="55"/>
  <c r="I47" i="55"/>
  <c r="H47" i="55"/>
  <c r="D47" i="55"/>
  <c r="B47" i="55"/>
  <c r="A47" i="55"/>
  <c r="W46" i="55"/>
  <c r="V46" i="55"/>
  <c r="U46" i="55"/>
  <c r="T46" i="55"/>
  <c r="S46" i="55"/>
  <c r="J46" i="55"/>
  <c r="I46" i="55"/>
  <c r="H46" i="55"/>
  <c r="D46" i="55"/>
  <c r="B46" i="55"/>
  <c r="A46" i="55"/>
  <c r="W45" i="55"/>
  <c r="V45" i="55"/>
  <c r="U45" i="55"/>
  <c r="T45" i="55"/>
  <c r="S45" i="55"/>
  <c r="J45" i="55"/>
  <c r="I45" i="55"/>
  <c r="H45" i="55"/>
  <c r="D45" i="55"/>
  <c r="B45" i="55"/>
  <c r="A45" i="55"/>
  <c r="W44" i="55"/>
  <c r="V44" i="55"/>
  <c r="U44" i="55"/>
  <c r="T44" i="55"/>
  <c r="S44" i="55"/>
  <c r="J44" i="55"/>
  <c r="I44" i="55"/>
  <c r="H44" i="55"/>
  <c r="D44" i="55"/>
  <c r="B44" i="55"/>
  <c r="A44" i="55"/>
  <c r="W43" i="55"/>
  <c r="V43" i="55"/>
  <c r="U43" i="55"/>
  <c r="T43" i="55"/>
  <c r="S43" i="55"/>
  <c r="J43" i="55"/>
  <c r="I43" i="55"/>
  <c r="H43" i="55"/>
  <c r="D43" i="55"/>
  <c r="B43" i="55"/>
  <c r="A43" i="55"/>
  <c r="W42" i="55"/>
  <c r="V42" i="55"/>
  <c r="U42" i="55"/>
  <c r="T42" i="55"/>
  <c r="S42" i="55"/>
  <c r="J42" i="55"/>
  <c r="I42" i="55"/>
  <c r="H42" i="55"/>
  <c r="D42" i="55"/>
  <c r="B42" i="55"/>
  <c r="A42" i="55"/>
  <c r="W41" i="55"/>
  <c r="V41" i="55"/>
  <c r="U41" i="55"/>
  <c r="T41" i="55"/>
  <c r="S41" i="55"/>
  <c r="J41" i="55"/>
  <c r="I41" i="55"/>
  <c r="H41" i="55"/>
  <c r="D41" i="55"/>
  <c r="B41" i="55"/>
  <c r="A41" i="55"/>
  <c r="W40" i="55"/>
  <c r="V40" i="55"/>
  <c r="U40" i="55"/>
  <c r="T40" i="55"/>
  <c r="S40" i="55"/>
  <c r="J40" i="55"/>
  <c r="I40" i="55"/>
  <c r="H40" i="55"/>
  <c r="D40" i="55"/>
  <c r="B40" i="55"/>
  <c r="A40" i="55"/>
  <c r="W39" i="55"/>
  <c r="V39" i="55"/>
  <c r="U39" i="55"/>
  <c r="T39" i="55"/>
  <c r="S39" i="55"/>
  <c r="J39" i="55"/>
  <c r="I39" i="55"/>
  <c r="H39" i="55"/>
  <c r="D39" i="55"/>
  <c r="B39" i="55"/>
  <c r="A39" i="55"/>
  <c r="W38" i="55"/>
  <c r="V38" i="55"/>
  <c r="U38" i="55"/>
  <c r="T38" i="55"/>
  <c r="S38" i="55"/>
  <c r="J38" i="55"/>
  <c r="I38" i="55"/>
  <c r="H38" i="55"/>
  <c r="D38" i="55"/>
  <c r="B38" i="55"/>
  <c r="A38" i="55"/>
  <c r="W37" i="55"/>
  <c r="V37" i="55"/>
  <c r="U37" i="55"/>
  <c r="T37" i="55"/>
  <c r="S37" i="55"/>
  <c r="J37" i="55"/>
  <c r="I37" i="55"/>
  <c r="H37" i="55"/>
  <c r="D37" i="55"/>
  <c r="B37" i="55"/>
  <c r="A37" i="55"/>
  <c r="W36" i="55"/>
  <c r="V36" i="55"/>
  <c r="U36" i="55"/>
  <c r="T36" i="55"/>
  <c r="S36" i="55"/>
  <c r="J36" i="55"/>
  <c r="I36" i="55"/>
  <c r="H36" i="55"/>
  <c r="D36" i="55"/>
  <c r="B36" i="55"/>
  <c r="A36" i="55"/>
  <c r="W35" i="55"/>
  <c r="V35" i="55"/>
  <c r="U35" i="55"/>
  <c r="T35" i="55"/>
  <c r="S35" i="55"/>
  <c r="J35" i="55"/>
  <c r="I35" i="55"/>
  <c r="H35" i="55"/>
  <c r="D35" i="55"/>
  <c r="B35" i="55"/>
  <c r="A35" i="55"/>
  <c r="W34" i="55"/>
  <c r="V34" i="55"/>
  <c r="U34" i="55"/>
  <c r="T34" i="55"/>
  <c r="S34" i="55"/>
  <c r="J34" i="55"/>
  <c r="I34" i="55"/>
  <c r="H34" i="55"/>
  <c r="D34" i="55"/>
  <c r="B34" i="55"/>
  <c r="A34" i="55"/>
  <c r="W33" i="55"/>
  <c r="V33" i="55"/>
  <c r="U33" i="55"/>
  <c r="T33" i="55"/>
  <c r="S33" i="55"/>
  <c r="J33" i="55"/>
  <c r="I33" i="55"/>
  <c r="H33" i="55"/>
  <c r="D33" i="55"/>
  <c r="B33" i="55"/>
  <c r="A33" i="55"/>
  <c r="W32" i="55"/>
  <c r="V32" i="55"/>
  <c r="U32" i="55"/>
  <c r="T32" i="55"/>
  <c r="S32" i="55"/>
  <c r="J32" i="55"/>
  <c r="I32" i="55"/>
  <c r="H32" i="55"/>
  <c r="D32" i="55"/>
  <c r="B32" i="55"/>
  <c r="A32" i="55"/>
  <c r="W31" i="55"/>
  <c r="V31" i="55"/>
  <c r="U31" i="55"/>
  <c r="T31" i="55"/>
  <c r="S31" i="55"/>
  <c r="J31" i="55"/>
  <c r="I31" i="55"/>
  <c r="H31" i="55"/>
  <c r="D31" i="55"/>
  <c r="B31" i="55"/>
  <c r="A31" i="55"/>
  <c r="W30" i="55"/>
  <c r="V30" i="55"/>
  <c r="U30" i="55"/>
  <c r="T30" i="55"/>
  <c r="S30" i="55"/>
  <c r="J30" i="55"/>
  <c r="I30" i="55"/>
  <c r="H30" i="55"/>
  <c r="D30" i="55"/>
  <c r="B30" i="55"/>
  <c r="A30" i="55"/>
  <c r="W29" i="55"/>
  <c r="V29" i="55"/>
  <c r="U29" i="55"/>
  <c r="T29" i="55"/>
  <c r="S29" i="55"/>
  <c r="J29" i="55"/>
  <c r="I29" i="55"/>
  <c r="H29" i="55"/>
  <c r="D29" i="55"/>
  <c r="B29" i="55"/>
  <c r="A29" i="55"/>
  <c r="W28" i="55"/>
  <c r="V28" i="55"/>
  <c r="U28" i="55"/>
  <c r="T28" i="55"/>
  <c r="S28" i="55"/>
  <c r="J28" i="55"/>
  <c r="I28" i="55"/>
  <c r="H28" i="55"/>
  <c r="D28" i="55"/>
  <c r="B28" i="55"/>
  <c r="A28" i="55"/>
  <c r="W27" i="55"/>
  <c r="V27" i="55"/>
  <c r="U27" i="55"/>
  <c r="T27" i="55"/>
  <c r="S27" i="55"/>
  <c r="J27" i="55"/>
  <c r="I27" i="55"/>
  <c r="H27" i="55"/>
  <c r="D27" i="55"/>
  <c r="B27" i="55"/>
  <c r="A27" i="55"/>
  <c r="W26" i="55"/>
  <c r="V26" i="55"/>
  <c r="U26" i="55"/>
  <c r="T26" i="55"/>
  <c r="S26" i="55"/>
  <c r="J26" i="55"/>
  <c r="I26" i="55"/>
  <c r="H26" i="55"/>
  <c r="D26" i="55"/>
  <c r="B26" i="55"/>
  <c r="A26" i="55"/>
  <c r="W25" i="55"/>
  <c r="V25" i="55"/>
  <c r="U25" i="55"/>
  <c r="T25" i="55"/>
  <c r="S25" i="55"/>
  <c r="J25" i="55"/>
  <c r="I25" i="55"/>
  <c r="H25" i="55"/>
  <c r="D25" i="55"/>
  <c r="B25" i="55"/>
  <c r="A25" i="55"/>
  <c r="W24" i="55"/>
  <c r="V24" i="55"/>
  <c r="U24" i="55"/>
  <c r="T24" i="55"/>
  <c r="S24" i="55"/>
  <c r="J24" i="55"/>
  <c r="I24" i="55"/>
  <c r="H24" i="55"/>
  <c r="D24" i="55"/>
  <c r="B24" i="55"/>
  <c r="A24" i="55"/>
  <c r="W23" i="55"/>
  <c r="V23" i="55"/>
  <c r="U23" i="55"/>
  <c r="T23" i="55"/>
  <c r="S23" i="55"/>
  <c r="J23" i="55"/>
  <c r="I23" i="55"/>
  <c r="H23" i="55"/>
  <c r="D23" i="55"/>
  <c r="B23" i="55"/>
  <c r="A23" i="55"/>
  <c r="T22" i="55"/>
  <c r="W22" i="55"/>
  <c r="V22" i="55"/>
  <c r="I22" i="55"/>
  <c r="J22" i="55"/>
  <c r="S22" i="55"/>
  <c r="H22" i="55"/>
  <c r="D22" i="55"/>
  <c r="B22" i="55"/>
  <c r="A22" i="55"/>
  <c r="U22" i="55"/>
  <c r="K1364" i="66" l="1"/>
  <c r="L1364" i="66"/>
  <c r="E1311" i="66"/>
  <c r="L1311" i="66" s="1"/>
  <c r="A1311" i="66"/>
  <c r="E1310" i="66"/>
  <c r="L1310" i="66" s="1"/>
  <c r="E1309" i="66"/>
  <c r="L1309" i="66" s="1"/>
  <c r="A1309" i="66"/>
  <c r="E1308" i="66"/>
  <c r="L1308" i="66" s="1"/>
  <c r="A1308" i="66"/>
  <c r="E1307" i="66"/>
  <c r="L1307" i="66" s="1"/>
  <c r="A1307" i="66"/>
  <c r="E1306" i="66"/>
  <c r="L1306" i="66" s="1"/>
  <c r="A1306" i="66"/>
  <c r="E1305" i="66"/>
  <c r="L1305" i="66" s="1"/>
  <c r="A1305" i="66"/>
  <c r="K1304" i="66"/>
  <c r="E1304" i="66"/>
  <c r="L1304" i="66" s="1"/>
  <c r="A1304" i="66"/>
  <c r="E1303" i="66"/>
  <c r="L1303" i="66" s="1"/>
  <c r="A1303" i="66"/>
  <c r="K1302" i="66"/>
  <c r="E1302" i="66"/>
  <c r="L1302" i="66" s="1"/>
  <c r="A1302" i="66"/>
  <c r="E1301" i="66"/>
  <c r="L1301" i="66" s="1"/>
  <c r="K1300" i="66"/>
  <c r="E1300" i="66"/>
  <c r="L1300" i="66" s="1"/>
  <c r="A1300" i="66"/>
  <c r="E1299" i="66"/>
  <c r="L1299" i="66" s="1"/>
  <c r="E1298" i="66"/>
  <c r="L1298" i="66" s="1"/>
  <c r="E1297" i="66"/>
  <c r="L1297" i="66" s="1"/>
  <c r="E1296" i="66"/>
  <c r="L1296" i="66" s="1"/>
  <c r="E1295" i="66"/>
  <c r="L1295" i="66" s="1"/>
  <c r="A1295" i="66"/>
  <c r="E1294" i="66"/>
  <c r="L1294" i="66" s="1"/>
  <c r="E1293" i="66"/>
  <c r="L1293" i="66" s="1"/>
  <c r="A1293" i="66"/>
  <c r="E1292" i="66"/>
  <c r="L1292" i="66" s="1"/>
  <c r="A1292" i="66"/>
  <c r="E1291" i="66"/>
  <c r="L1291" i="66" s="1"/>
  <c r="A1291" i="66"/>
  <c r="E1290" i="66"/>
  <c r="L1290" i="66" s="1"/>
  <c r="A1290" i="66"/>
  <c r="E1289" i="66"/>
  <c r="L1289" i="66" s="1"/>
  <c r="A1289" i="66"/>
  <c r="K1288" i="66"/>
  <c r="E1288" i="66"/>
  <c r="L1288" i="66" s="1"/>
  <c r="A1288" i="66"/>
  <c r="E1287" i="66"/>
  <c r="A1287" i="66"/>
  <c r="M1286" i="66"/>
  <c r="J1286" i="66"/>
  <c r="I1286" i="66"/>
  <c r="H1286" i="66"/>
  <c r="G1286" i="66"/>
  <c r="F1286" i="66"/>
  <c r="E1285" i="66"/>
  <c r="L1285" i="66" s="1"/>
  <c r="L1284" i="66"/>
  <c r="K1284" i="66"/>
  <c r="E1284" i="66"/>
  <c r="A1284" i="66"/>
  <c r="E1283" i="66"/>
  <c r="L1283" i="66" s="1"/>
  <c r="L1282" i="66"/>
  <c r="K1282" i="66"/>
  <c r="E1282" i="66"/>
  <c r="A1282" i="66"/>
  <c r="E1281" i="66"/>
  <c r="L1281" i="66" s="1"/>
  <c r="E1280" i="66"/>
  <c r="K1280" i="66" s="1"/>
  <c r="E1279" i="66"/>
  <c r="L1279" i="66" s="1"/>
  <c r="E1278" i="66"/>
  <c r="L1278" i="66" s="1"/>
  <c r="E1277" i="66"/>
  <c r="L1277" i="66" s="1"/>
  <c r="E1276" i="66"/>
  <c r="L1276" i="66" s="1"/>
  <c r="E1275" i="66"/>
  <c r="L1275" i="66" s="1"/>
  <c r="L1274" i="66"/>
  <c r="E1274" i="66"/>
  <c r="K1274" i="66" s="1"/>
  <c r="A1274" i="66"/>
  <c r="E1273" i="66"/>
  <c r="L1273" i="66" s="1"/>
  <c r="L1272" i="66"/>
  <c r="E1272" i="66"/>
  <c r="K1272" i="66" s="1"/>
  <c r="A1272" i="66"/>
  <c r="E1271" i="66"/>
  <c r="L1271" i="66" s="1"/>
  <c r="L1270" i="66"/>
  <c r="K1270" i="66"/>
  <c r="E1270" i="66"/>
  <c r="A1270" i="66"/>
  <c r="E1269" i="66"/>
  <c r="L1269" i="66" s="1"/>
  <c r="L1268" i="66"/>
  <c r="K1268" i="66"/>
  <c r="E1268" i="66"/>
  <c r="A1268" i="66"/>
  <c r="E1267" i="66"/>
  <c r="L1267" i="66" s="1"/>
  <c r="K1266" i="66"/>
  <c r="E1266" i="66"/>
  <c r="L1266" i="66" s="1"/>
  <c r="A1266" i="66"/>
  <c r="E1265" i="66"/>
  <c r="L1265" i="66" s="1"/>
  <c r="E1264" i="66"/>
  <c r="K1264" i="66" s="1"/>
  <c r="E1263" i="66"/>
  <c r="L1263" i="66" s="1"/>
  <c r="E1262" i="66"/>
  <c r="E1260" i="66" s="1"/>
  <c r="E1261" i="66"/>
  <c r="L1261" i="66" s="1"/>
  <c r="M1260" i="66"/>
  <c r="J1260" i="66"/>
  <c r="I1260" i="66"/>
  <c r="H1260" i="66"/>
  <c r="G1260" i="66"/>
  <c r="F1260" i="66"/>
  <c r="E1259" i="66"/>
  <c r="L1259" i="66" s="1"/>
  <c r="E1258" i="66"/>
  <c r="L1258" i="66" s="1"/>
  <c r="A1258" i="66"/>
  <c r="E1257" i="66"/>
  <c r="K1257" i="66" s="1"/>
  <c r="E1256" i="66"/>
  <c r="L1256" i="66" s="1"/>
  <c r="L1255" i="66"/>
  <c r="K1255" i="66"/>
  <c r="E1255" i="66"/>
  <c r="A1255" i="66"/>
  <c r="E1254" i="66"/>
  <c r="L1254" i="66" s="1"/>
  <c r="L1253" i="66"/>
  <c r="E1253" i="66"/>
  <c r="K1253" i="66" s="1"/>
  <c r="A1253" i="66"/>
  <c r="E1252" i="66"/>
  <c r="L1252" i="66" s="1"/>
  <c r="A1252" i="66"/>
  <c r="E1251" i="66"/>
  <c r="L1251" i="66" s="1"/>
  <c r="E1250" i="66"/>
  <c r="L1250" i="66" s="1"/>
  <c r="A1250" i="66"/>
  <c r="E1249" i="66"/>
  <c r="K1249" i="66" s="1"/>
  <c r="E1248" i="66"/>
  <c r="L1248" i="66" s="1"/>
  <c r="L1247" i="66"/>
  <c r="K1247" i="66"/>
  <c r="E1247" i="66"/>
  <c r="A1247" i="66"/>
  <c r="E1246" i="66"/>
  <c r="L1246" i="66" s="1"/>
  <c r="L1245" i="66"/>
  <c r="E1245" i="66"/>
  <c r="K1245" i="66" s="1"/>
  <c r="A1245" i="66"/>
  <c r="E1244" i="66"/>
  <c r="L1244" i="66" s="1"/>
  <c r="A1244" i="66"/>
  <c r="E1243" i="66"/>
  <c r="L1243" i="66" s="1"/>
  <c r="E1242" i="66"/>
  <c r="L1242" i="66" s="1"/>
  <c r="A1242" i="66"/>
  <c r="E1241" i="66"/>
  <c r="K1241" i="66" s="1"/>
  <c r="E1240" i="66"/>
  <c r="L1240" i="66" s="1"/>
  <c r="L1239" i="66"/>
  <c r="K1239" i="66"/>
  <c r="E1239" i="66"/>
  <c r="A1239" i="66"/>
  <c r="E1238" i="66"/>
  <c r="L1238" i="66" s="1"/>
  <c r="L1237" i="66"/>
  <c r="E1237" i="66"/>
  <c r="K1237" i="66" s="1"/>
  <c r="A1237" i="66"/>
  <c r="E1236" i="66"/>
  <c r="L1236" i="66" s="1"/>
  <c r="A1236" i="66"/>
  <c r="E1235" i="66"/>
  <c r="L1235" i="66" s="1"/>
  <c r="M1234" i="66"/>
  <c r="J1234" i="66"/>
  <c r="I1234" i="66"/>
  <c r="H1234" i="66"/>
  <c r="G1234" i="66"/>
  <c r="F1234" i="66"/>
  <c r="L1233" i="66"/>
  <c r="E1233" i="66"/>
  <c r="K1233" i="66" s="1"/>
  <c r="A1233" i="66"/>
  <c r="E1232" i="66"/>
  <c r="L1232" i="66" s="1"/>
  <c r="L1231" i="66"/>
  <c r="K1231" i="66"/>
  <c r="E1231" i="66"/>
  <c r="A1231" i="66"/>
  <c r="E1230" i="66"/>
  <c r="L1230" i="66" s="1"/>
  <c r="L1229" i="66"/>
  <c r="K1229" i="66"/>
  <c r="E1229" i="66"/>
  <c r="A1229" i="66"/>
  <c r="E1228" i="66"/>
  <c r="L1228" i="66" s="1"/>
  <c r="K1227" i="66"/>
  <c r="E1227" i="66"/>
  <c r="L1227" i="66" s="1"/>
  <c r="A1227" i="66"/>
  <c r="E1226" i="66"/>
  <c r="L1226" i="66" s="1"/>
  <c r="E1225" i="66"/>
  <c r="K1225" i="66" s="1"/>
  <c r="E1224" i="66"/>
  <c r="L1224" i="66" s="1"/>
  <c r="E1223" i="66"/>
  <c r="L1223" i="66" s="1"/>
  <c r="E1222" i="66"/>
  <c r="L1222" i="66" s="1"/>
  <c r="L1221" i="66"/>
  <c r="E1221" i="66"/>
  <c r="K1221" i="66" s="1"/>
  <c r="E1220" i="66"/>
  <c r="L1220" i="66" s="1"/>
  <c r="L1219" i="66"/>
  <c r="E1219" i="66"/>
  <c r="K1219" i="66" s="1"/>
  <c r="A1219" i="66"/>
  <c r="E1218" i="66"/>
  <c r="L1218" i="66" s="1"/>
  <c r="L1217" i="66"/>
  <c r="E1217" i="66"/>
  <c r="K1217" i="66" s="1"/>
  <c r="A1217" i="66"/>
  <c r="E1216" i="66"/>
  <c r="L1216" i="66" s="1"/>
  <c r="L1215" i="66"/>
  <c r="K1215" i="66"/>
  <c r="E1215" i="66"/>
  <c r="A1215" i="66"/>
  <c r="E1214" i="66"/>
  <c r="L1214" i="66" s="1"/>
  <c r="L1213" i="66"/>
  <c r="K1213" i="66"/>
  <c r="E1213" i="66"/>
  <c r="A1213" i="66"/>
  <c r="E1212" i="66"/>
  <c r="L1212" i="66" s="1"/>
  <c r="L1211" i="66"/>
  <c r="K1211" i="66"/>
  <c r="E1211" i="66"/>
  <c r="A1211" i="66"/>
  <c r="E1210" i="66"/>
  <c r="L1210" i="66" s="1"/>
  <c r="E1209" i="66"/>
  <c r="A1209" i="66" s="1"/>
  <c r="M1208" i="66"/>
  <c r="J1208" i="66"/>
  <c r="I1208" i="66"/>
  <c r="H1208" i="66"/>
  <c r="G1208" i="66"/>
  <c r="F1208" i="66"/>
  <c r="L1207" i="66"/>
  <c r="K1207" i="66"/>
  <c r="E1207" i="66"/>
  <c r="A1207" i="66"/>
  <c r="L1206" i="66"/>
  <c r="E1206" i="66"/>
  <c r="K1206" i="66" s="1"/>
  <c r="A1206" i="66"/>
  <c r="L1205" i="66"/>
  <c r="E1205" i="66"/>
  <c r="K1205" i="66" s="1"/>
  <c r="E1204" i="66"/>
  <c r="K1204" i="66" s="1"/>
  <c r="L1203" i="66"/>
  <c r="K1203" i="66"/>
  <c r="E1203" i="66"/>
  <c r="A1203" i="66"/>
  <c r="E1202" i="66"/>
  <c r="K1202" i="66" s="1"/>
  <c r="A1202" i="66"/>
  <c r="E1201" i="66"/>
  <c r="K1201" i="66" s="1"/>
  <c r="L1200" i="66"/>
  <c r="E1200" i="66"/>
  <c r="K1200" i="66" s="1"/>
  <c r="A1200" i="66"/>
  <c r="L1199" i="66"/>
  <c r="E1199" i="66"/>
  <c r="K1199" i="66" s="1"/>
  <c r="A1199" i="66"/>
  <c r="E1198" i="66"/>
  <c r="K1198" i="66" s="1"/>
  <c r="L1197" i="66"/>
  <c r="K1197" i="66"/>
  <c r="E1197" i="66"/>
  <c r="A1197" i="66"/>
  <c r="L1196" i="66"/>
  <c r="E1196" i="66"/>
  <c r="K1196" i="66" s="1"/>
  <c r="A1196" i="66"/>
  <c r="E1195" i="66"/>
  <c r="L1195" i="66" s="1"/>
  <c r="E1194" i="66"/>
  <c r="K1194" i="66" s="1"/>
  <c r="L1193" i="66"/>
  <c r="E1193" i="66"/>
  <c r="K1193" i="66" s="1"/>
  <c r="A1193" i="66"/>
  <c r="E1192" i="66"/>
  <c r="K1192" i="66" s="1"/>
  <c r="A1192" i="66"/>
  <c r="L1191" i="66"/>
  <c r="K1191" i="66"/>
  <c r="E1191" i="66"/>
  <c r="A1191" i="66"/>
  <c r="L1190" i="66"/>
  <c r="E1190" i="66"/>
  <c r="K1190" i="66" s="1"/>
  <c r="A1190" i="66"/>
  <c r="L1189" i="66"/>
  <c r="E1189" i="66"/>
  <c r="K1189" i="66" s="1"/>
  <c r="E1188" i="66"/>
  <c r="K1188" i="66" s="1"/>
  <c r="L1187" i="66"/>
  <c r="K1187" i="66"/>
  <c r="E1187" i="66"/>
  <c r="A1187" i="66"/>
  <c r="E1186" i="66"/>
  <c r="K1186" i="66" s="1"/>
  <c r="A1186" i="66"/>
  <c r="E1185" i="66"/>
  <c r="K1185" i="66" s="1"/>
  <c r="L1184" i="66"/>
  <c r="E1184" i="66"/>
  <c r="K1184" i="66" s="1"/>
  <c r="A1184" i="66"/>
  <c r="L1183" i="66"/>
  <c r="E1183" i="66"/>
  <c r="K1183" i="66" s="1"/>
  <c r="A1183" i="66"/>
  <c r="M1182" i="66"/>
  <c r="J1182" i="66"/>
  <c r="I1182" i="66"/>
  <c r="H1182" i="66"/>
  <c r="G1182" i="66"/>
  <c r="F1182" i="66"/>
  <c r="E1181" i="66"/>
  <c r="L1181" i="66" s="1"/>
  <c r="E1180" i="66"/>
  <c r="E1179" i="66"/>
  <c r="L1179" i="66" s="1"/>
  <c r="E1178" i="66"/>
  <c r="E1177" i="66"/>
  <c r="L1177" i="66" s="1"/>
  <c r="E1176" i="66"/>
  <c r="E1175" i="66"/>
  <c r="L1175" i="66" s="1"/>
  <c r="E1174" i="66"/>
  <c r="E1173" i="66"/>
  <c r="L1173" i="66" s="1"/>
  <c r="A1173" i="66"/>
  <c r="E1172" i="66"/>
  <c r="K1172" i="66" s="1"/>
  <c r="E1171" i="66"/>
  <c r="L1171" i="66" s="1"/>
  <c r="K1170" i="66"/>
  <c r="E1170" i="66"/>
  <c r="E1169" i="66"/>
  <c r="L1169" i="66" s="1"/>
  <c r="A1169" i="66"/>
  <c r="E1168" i="66"/>
  <c r="K1168" i="66" s="1"/>
  <c r="E1167" i="66"/>
  <c r="L1167" i="66" s="1"/>
  <c r="E1166" i="66"/>
  <c r="E1165" i="66"/>
  <c r="L1165" i="66" s="1"/>
  <c r="E1164" i="66"/>
  <c r="E1163" i="66"/>
  <c r="L1163" i="66" s="1"/>
  <c r="A1163" i="66"/>
  <c r="E1162" i="66"/>
  <c r="E1161" i="66"/>
  <c r="L1161" i="66" s="1"/>
  <c r="A1161" i="66"/>
  <c r="E1160" i="66"/>
  <c r="E1159" i="66"/>
  <c r="L1159" i="66" s="1"/>
  <c r="E1158" i="66"/>
  <c r="K1157" i="66"/>
  <c r="E1157" i="66"/>
  <c r="A1157" i="66"/>
  <c r="M1156" i="66"/>
  <c r="J1156" i="66"/>
  <c r="I1156" i="66"/>
  <c r="H1156" i="66"/>
  <c r="G1156" i="66"/>
  <c r="F1156" i="66"/>
  <c r="E1155" i="66"/>
  <c r="K1155" i="66" s="1"/>
  <c r="A1155" i="66"/>
  <c r="L1154" i="66"/>
  <c r="K1154" i="66"/>
  <c r="E1154" i="66"/>
  <c r="A1154" i="66"/>
  <c r="L1153" i="66"/>
  <c r="E1153" i="66"/>
  <c r="K1153" i="66" s="1"/>
  <c r="A1153" i="66"/>
  <c r="L1152" i="66"/>
  <c r="E1152" i="66"/>
  <c r="K1152" i="66" s="1"/>
  <c r="E1151" i="66"/>
  <c r="K1151" i="66" s="1"/>
  <c r="L1150" i="66"/>
  <c r="K1150" i="66"/>
  <c r="E1150" i="66"/>
  <c r="A1150" i="66"/>
  <c r="E1149" i="66"/>
  <c r="K1149" i="66" s="1"/>
  <c r="A1149" i="66"/>
  <c r="E1148" i="66"/>
  <c r="K1148" i="66" s="1"/>
  <c r="L1147" i="66"/>
  <c r="E1147" i="66"/>
  <c r="K1147" i="66" s="1"/>
  <c r="A1147" i="66"/>
  <c r="L1146" i="66"/>
  <c r="E1146" i="66"/>
  <c r="K1146" i="66" s="1"/>
  <c r="A1146" i="66"/>
  <c r="E1145" i="66"/>
  <c r="K1145" i="66" s="1"/>
  <c r="L1144" i="66"/>
  <c r="K1144" i="66"/>
  <c r="E1144" i="66"/>
  <c r="A1144" i="66"/>
  <c r="L1143" i="66"/>
  <c r="E1143" i="66"/>
  <c r="K1143" i="66" s="1"/>
  <c r="A1143" i="66"/>
  <c r="E1142" i="66"/>
  <c r="L1142" i="66" s="1"/>
  <c r="E1141" i="66"/>
  <c r="K1141" i="66" s="1"/>
  <c r="L1140" i="66"/>
  <c r="E1140" i="66"/>
  <c r="K1140" i="66" s="1"/>
  <c r="A1140" i="66"/>
  <c r="E1139" i="66"/>
  <c r="K1139" i="66" s="1"/>
  <c r="A1139" i="66"/>
  <c r="L1138" i="66"/>
  <c r="K1138" i="66"/>
  <c r="E1138" i="66"/>
  <c r="A1138" i="66"/>
  <c r="L1137" i="66"/>
  <c r="E1137" i="66"/>
  <c r="K1137" i="66" s="1"/>
  <c r="A1137" i="66"/>
  <c r="L1136" i="66"/>
  <c r="E1136" i="66"/>
  <c r="K1136" i="66" s="1"/>
  <c r="E1135" i="66"/>
  <c r="K1135" i="66" s="1"/>
  <c r="L1134" i="66"/>
  <c r="K1134" i="66"/>
  <c r="E1134" i="66"/>
  <c r="A1134" i="66"/>
  <c r="E1133" i="66"/>
  <c r="K1133" i="66" s="1"/>
  <c r="A1133" i="66"/>
  <c r="E1132" i="66"/>
  <c r="K1132" i="66" s="1"/>
  <c r="L1131" i="66"/>
  <c r="E1131" i="66"/>
  <c r="K1131" i="66" s="1"/>
  <c r="A1131" i="66"/>
  <c r="M1130" i="66"/>
  <c r="J1130" i="66"/>
  <c r="I1130" i="66"/>
  <c r="H1130" i="66"/>
  <c r="G1130" i="66"/>
  <c r="F1130" i="66"/>
  <c r="E1129" i="66"/>
  <c r="K1129" i="66" s="1"/>
  <c r="E1128" i="66"/>
  <c r="L1128" i="66" s="1"/>
  <c r="A1128" i="66"/>
  <c r="E1127" i="66"/>
  <c r="E1126" i="66"/>
  <c r="L1126" i="66" s="1"/>
  <c r="A1126" i="66"/>
  <c r="E1125" i="66"/>
  <c r="E1124" i="66"/>
  <c r="L1124" i="66" s="1"/>
  <c r="E1123" i="66"/>
  <c r="K1123" i="66" s="1"/>
  <c r="K1122" i="66"/>
  <c r="E1122" i="66"/>
  <c r="L1122" i="66" s="1"/>
  <c r="A1122" i="66"/>
  <c r="E1121" i="66"/>
  <c r="K1121" i="66" s="1"/>
  <c r="K1120" i="66"/>
  <c r="E1120" i="66"/>
  <c r="L1120" i="66" s="1"/>
  <c r="A1120" i="66"/>
  <c r="K1119" i="66"/>
  <c r="E1119" i="66"/>
  <c r="E1118" i="66"/>
  <c r="L1118" i="66" s="1"/>
  <c r="E1117" i="66"/>
  <c r="K1117" i="66" s="1"/>
  <c r="E1116" i="66"/>
  <c r="L1116" i="66" s="1"/>
  <c r="E1115" i="66"/>
  <c r="E1114" i="66"/>
  <c r="L1114" i="66" s="1"/>
  <c r="E1113" i="66"/>
  <c r="K1113" i="66" s="1"/>
  <c r="E1112" i="66"/>
  <c r="L1112" i="66" s="1"/>
  <c r="A1112" i="66"/>
  <c r="E1111" i="66"/>
  <c r="E1110" i="66"/>
  <c r="L1110" i="66" s="1"/>
  <c r="A1110" i="66"/>
  <c r="E1109" i="66"/>
  <c r="E1108" i="66"/>
  <c r="L1108" i="66" s="1"/>
  <c r="E1107" i="66"/>
  <c r="K1107" i="66" s="1"/>
  <c r="E1106" i="66"/>
  <c r="L1106" i="66" s="1"/>
  <c r="A1106" i="66"/>
  <c r="K1105" i="66"/>
  <c r="E1105" i="66"/>
  <c r="M1104" i="66"/>
  <c r="J1104" i="66"/>
  <c r="I1104" i="66"/>
  <c r="H1104" i="66"/>
  <c r="G1104" i="66"/>
  <c r="F1104" i="66"/>
  <c r="L1103" i="66"/>
  <c r="E1103" i="66"/>
  <c r="K1103" i="66" s="1"/>
  <c r="L1102" i="66"/>
  <c r="E1102" i="66"/>
  <c r="K1102" i="66" s="1"/>
  <c r="A1102" i="66"/>
  <c r="L1101" i="66"/>
  <c r="K1101" i="66"/>
  <c r="E1101" i="66"/>
  <c r="A1101" i="66"/>
  <c r="E1100" i="66"/>
  <c r="K1100" i="66" s="1"/>
  <c r="E1099" i="66"/>
  <c r="A1099" i="66" s="1"/>
  <c r="L1098" i="66"/>
  <c r="E1098" i="66"/>
  <c r="K1098" i="66" s="1"/>
  <c r="A1098" i="66"/>
  <c r="E1097" i="66"/>
  <c r="L1097" i="66" s="1"/>
  <c r="A1097" i="66"/>
  <c r="E1096" i="66"/>
  <c r="K1096" i="66" s="1"/>
  <c r="L1095" i="66"/>
  <c r="E1095" i="66"/>
  <c r="K1095" i="66" s="1"/>
  <c r="A1095" i="66"/>
  <c r="L1094" i="66"/>
  <c r="E1094" i="66"/>
  <c r="K1094" i="66" s="1"/>
  <c r="A1094" i="66"/>
  <c r="K1093" i="66"/>
  <c r="E1093" i="66"/>
  <c r="L1093" i="66" s="1"/>
  <c r="A1093" i="66"/>
  <c r="E1092" i="66"/>
  <c r="K1092" i="66" s="1"/>
  <c r="L1091" i="66"/>
  <c r="E1091" i="66"/>
  <c r="K1091" i="66" s="1"/>
  <c r="E1090" i="66"/>
  <c r="K1090" i="66" s="1"/>
  <c r="A1090" i="66"/>
  <c r="L1089" i="66"/>
  <c r="K1089" i="66"/>
  <c r="E1089" i="66"/>
  <c r="A1089" i="66"/>
  <c r="E1088" i="66"/>
  <c r="K1088" i="66" s="1"/>
  <c r="A1088" i="66"/>
  <c r="L1087" i="66"/>
  <c r="E1087" i="66"/>
  <c r="K1087" i="66" s="1"/>
  <c r="L1086" i="66"/>
  <c r="E1086" i="66"/>
  <c r="K1086" i="66" s="1"/>
  <c r="A1086" i="66"/>
  <c r="L1085" i="66"/>
  <c r="K1085" i="66"/>
  <c r="E1085" i="66"/>
  <c r="A1085" i="66"/>
  <c r="E1084" i="66"/>
  <c r="K1084" i="66" s="1"/>
  <c r="E1083" i="66"/>
  <c r="A1083" i="66" s="1"/>
  <c r="L1082" i="66"/>
  <c r="E1082" i="66"/>
  <c r="K1082" i="66" s="1"/>
  <c r="A1082" i="66"/>
  <c r="E1081" i="66"/>
  <c r="L1081" i="66" s="1"/>
  <c r="A1081" i="66"/>
  <c r="E1080" i="66"/>
  <c r="K1080" i="66" s="1"/>
  <c r="L1079" i="66"/>
  <c r="E1079" i="66"/>
  <c r="K1079" i="66" s="1"/>
  <c r="A1079" i="66"/>
  <c r="M1078" i="66"/>
  <c r="J1078" i="66"/>
  <c r="I1078" i="66"/>
  <c r="H1078" i="66"/>
  <c r="G1078" i="66"/>
  <c r="F1078" i="66"/>
  <c r="E1077" i="66"/>
  <c r="L1077" i="66" s="1"/>
  <c r="K1076" i="66"/>
  <c r="E1076" i="66"/>
  <c r="E1075" i="66"/>
  <c r="L1075" i="66" s="1"/>
  <c r="E1074" i="66"/>
  <c r="K1074" i="66" s="1"/>
  <c r="E1073" i="66"/>
  <c r="L1073" i="66" s="1"/>
  <c r="E1072" i="66"/>
  <c r="E1071" i="66"/>
  <c r="L1071" i="66" s="1"/>
  <c r="E1070" i="66"/>
  <c r="E1069" i="66"/>
  <c r="L1069" i="66" s="1"/>
  <c r="K1068" i="66"/>
  <c r="E1068" i="66"/>
  <c r="E1067" i="66"/>
  <c r="A1067" i="66" s="1"/>
  <c r="K1066" i="66"/>
  <c r="E1066" i="66"/>
  <c r="E1065" i="66"/>
  <c r="L1065" i="66" s="1"/>
  <c r="E1064" i="66"/>
  <c r="E1063" i="66"/>
  <c r="K1063" i="66" s="1"/>
  <c r="E1062" i="66"/>
  <c r="K1062" i="66" s="1"/>
  <c r="E1061" i="66"/>
  <c r="L1061" i="66" s="1"/>
  <c r="E1060" i="66"/>
  <c r="K1060" i="66" s="1"/>
  <c r="E1059" i="66"/>
  <c r="L1059" i="66" s="1"/>
  <c r="A1059" i="66"/>
  <c r="E1058" i="66"/>
  <c r="K1058" i="66" s="1"/>
  <c r="E1057" i="66"/>
  <c r="L1057" i="66" s="1"/>
  <c r="A1057" i="66"/>
  <c r="E1056" i="66"/>
  <c r="E1055" i="66"/>
  <c r="K1055" i="66" s="1"/>
  <c r="E1054" i="66"/>
  <c r="K1054" i="66" s="1"/>
  <c r="E1053" i="66"/>
  <c r="A1053" i="66" s="1"/>
  <c r="M1052" i="66"/>
  <c r="J1052" i="66"/>
  <c r="I1052" i="66"/>
  <c r="H1052" i="66"/>
  <c r="G1052" i="66"/>
  <c r="F1052" i="66"/>
  <c r="K1260" i="66" l="1"/>
  <c r="L1260" i="66"/>
  <c r="A1124" i="66"/>
  <c r="L1132" i="66"/>
  <c r="A1135" i="66"/>
  <c r="L1139" i="66"/>
  <c r="A1142" i="66"/>
  <c r="L1148" i="66"/>
  <c r="A1151" i="66"/>
  <c r="L1155" i="66"/>
  <c r="A1177" i="66"/>
  <c r="L1185" i="66"/>
  <c r="A1188" i="66"/>
  <c r="L1192" i="66"/>
  <c r="A1195" i="66"/>
  <c r="L1201" i="66"/>
  <c r="A1204" i="66"/>
  <c r="L1209" i="66"/>
  <c r="A1223" i="66"/>
  <c r="L1225" i="66"/>
  <c r="L1241" i="66"/>
  <c r="L1249" i="66"/>
  <c r="L1257" i="66"/>
  <c r="A1262" i="66"/>
  <c r="L1264" i="66"/>
  <c r="A1278" i="66"/>
  <c r="L1280" i="66"/>
  <c r="K1292" i="66"/>
  <c r="A1296" i="66"/>
  <c r="A1299" i="66"/>
  <c r="K1308" i="66"/>
  <c r="K1099" i="66"/>
  <c r="K1059" i="66"/>
  <c r="L1067" i="66"/>
  <c r="K1097" i="66"/>
  <c r="K1124" i="66"/>
  <c r="E1130" i="66"/>
  <c r="L1135" i="66"/>
  <c r="K1142" i="66"/>
  <c r="L1151" i="66"/>
  <c r="L1188" i="66"/>
  <c r="K1195" i="66"/>
  <c r="L1204" i="66"/>
  <c r="K1223" i="66"/>
  <c r="K1262" i="66"/>
  <c r="K1278" i="66"/>
  <c r="K1296" i="66"/>
  <c r="L1063" i="66"/>
  <c r="L1092" i="66"/>
  <c r="L1055" i="66"/>
  <c r="E1078" i="66"/>
  <c r="K1081" i="66"/>
  <c r="L1083" i="66"/>
  <c r="L1090" i="66"/>
  <c r="L1099" i="66"/>
  <c r="A1065" i="66"/>
  <c r="A1084" i="66"/>
  <c r="L1088" i="66"/>
  <c r="A1091" i="66"/>
  <c r="A1100" i="66"/>
  <c r="K1106" i="66"/>
  <c r="L1133" i="66"/>
  <c r="A1136" i="66"/>
  <c r="A1145" i="66"/>
  <c r="L1149" i="66"/>
  <c r="A1152" i="66"/>
  <c r="A1159" i="66"/>
  <c r="K1173" i="66"/>
  <c r="A1179" i="66"/>
  <c r="L1186" i="66"/>
  <c r="A1189" i="66"/>
  <c r="A1198" i="66"/>
  <c r="L1202" i="66"/>
  <c r="A1205" i="66"/>
  <c r="A1221" i="66"/>
  <c r="A1235" i="66"/>
  <c r="A1240" i="66"/>
  <c r="A1243" i="66"/>
  <c r="A1248" i="66"/>
  <c r="A1251" i="66"/>
  <c r="A1256" i="66"/>
  <c r="A1259" i="66"/>
  <c r="L1262" i="66"/>
  <c r="A1276" i="66"/>
  <c r="E1286" i="66"/>
  <c r="L1286" i="66" s="1"/>
  <c r="K1290" i="66"/>
  <c r="A1294" i="66"/>
  <c r="A1297" i="66"/>
  <c r="K1306" i="66"/>
  <c r="A1310" i="66"/>
  <c r="K1067" i="66"/>
  <c r="A1080" i="66"/>
  <c r="L1084" i="66"/>
  <c r="A1087" i="66"/>
  <c r="A1096" i="66"/>
  <c r="L1100" i="66"/>
  <c r="A1103" i="66"/>
  <c r="A1108" i="66"/>
  <c r="A1132" i="66"/>
  <c r="A1141" i="66"/>
  <c r="L1145" i="66"/>
  <c r="A1148" i="66"/>
  <c r="A1171" i="66"/>
  <c r="A1175" i="66"/>
  <c r="A1185" i="66"/>
  <c r="A1194" i="66"/>
  <c r="L1198" i="66"/>
  <c r="A1201" i="66"/>
  <c r="A1225" i="66"/>
  <c r="K1235" i="66"/>
  <c r="A1238" i="66"/>
  <c r="A1241" i="66"/>
  <c r="K1243" i="66"/>
  <c r="A1246" i="66"/>
  <c r="A1249" i="66"/>
  <c r="K1251" i="66"/>
  <c r="A1254" i="66"/>
  <c r="A1257" i="66"/>
  <c r="K1259" i="66"/>
  <c r="A1264" i="66"/>
  <c r="K1276" i="66"/>
  <c r="A1280" i="66"/>
  <c r="K1294" i="66"/>
  <c r="A1298" i="66"/>
  <c r="A1301" i="66"/>
  <c r="K1310" i="66"/>
  <c r="E1208" i="66"/>
  <c r="K1208" i="66" s="1"/>
  <c r="K1077" i="66"/>
  <c r="K1083" i="66"/>
  <c r="A1077" i="66"/>
  <c r="L1080" i="66"/>
  <c r="A1092" i="66"/>
  <c r="L1096" i="66"/>
  <c r="K1108" i="66"/>
  <c r="L1141" i="66"/>
  <c r="K1171" i="66"/>
  <c r="E1182" i="66"/>
  <c r="L1182" i="66" s="1"/>
  <c r="L1194" i="66"/>
  <c r="K1209" i="66"/>
  <c r="K1298" i="66"/>
  <c r="L1208" i="66"/>
  <c r="K1286" i="66"/>
  <c r="A1210" i="66"/>
  <c r="A1212" i="66"/>
  <c r="A1214" i="66"/>
  <c r="A1216" i="66"/>
  <c r="A1218" i="66"/>
  <c r="A1220" i="66"/>
  <c r="A1222" i="66"/>
  <c r="A1224" i="66"/>
  <c r="A1226" i="66"/>
  <c r="A1228" i="66"/>
  <c r="A1230" i="66"/>
  <c r="A1232" i="66"/>
  <c r="K1236" i="66"/>
  <c r="K1238" i="66"/>
  <c r="K1240" i="66"/>
  <c r="K1242" i="66"/>
  <c r="K1244" i="66"/>
  <c r="K1246" i="66"/>
  <c r="K1248" i="66"/>
  <c r="K1250" i="66"/>
  <c r="K1252" i="66"/>
  <c r="K1254" i="66"/>
  <c r="K1256" i="66"/>
  <c r="K1258" i="66"/>
  <c r="A1261" i="66"/>
  <c r="A1263" i="66"/>
  <c r="A1265" i="66"/>
  <c r="A1267" i="66"/>
  <c r="A1269" i="66"/>
  <c r="A1271" i="66"/>
  <c r="A1273" i="66"/>
  <c r="A1275" i="66"/>
  <c r="A1277" i="66"/>
  <c r="A1279" i="66"/>
  <c r="A1281" i="66"/>
  <c r="A1283" i="66"/>
  <c r="A1285" i="66"/>
  <c r="K1287" i="66"/>
  <c r="K1289" i="66"/>
  <c r="K1291" i="66"/>
  <c r="K1293" i="66"/>
  <c r="K1295" i="66"/>
  <c r="K1297" i="66"/>
  <c r="K1299" i="66"/>
  <c r="K1301" i="66"/>
  <c r="K1303" i="66"/>
  <c r="K1305" i="66"/>
  <c r="K1307" i="66"/>
  <c r="K1309" i="66"/>
  <c r="K1311" i="66"/>
  <c r="E1234" i="66"/>
  <c r="L1287" i="66"/>
  <c r="K1210" i="66"/>
  <c r="K1212" i="66"/>
  <c r="K1214" i="66"/>
  <c r="K1216" i="66"/>
  <c r="K1218" i="66"/>
  <c r="K1220" i="66"/>
  <c r="K1222" i="66"/>
  <c r="K1224" i="66"/>
  <c r="K1226" i="66"/>
  <c r="K1228" i="66"/>
  <c r="K1230" i="66"/>
  <c r="K1232" i="66"/>
  <c r="K1261" i="66"/>
  <c r="K1263" i="66"/>
  <c r="K1265" i="66"/>
  <c r="K1267" i="66"/>
  <c r="K1269" i="66"/>
  <c r="K1271" i="66"/>
  <c r="K1273" i="66"/>
  <c r="K1275" i="66"/>
  <c r="K1277" i="66"/>
  <c r="K1279" i="66"/>
  <c r="K1281" i="66"/>
  <c r="K1283" i="66"/>
  <c r="K1285" i="66"/>
  <c r="L1070" i="66"/>
  <c r="A1070" i="66"/>
  <c r="L1162" i="66"/>
  <c r="A1162" i="66"/>
  <c r="K1070" i="66"/>
  <c r="K1073" i="66"/>
  <c r="K1116" i="66"/>
  <c r="K1165" i="66"/>
  <c r="K1181" i="66"/>
  <c r="A1055" i="66"/>
  <c r="K1057" i="66"/>
  <c r="L1060" i="66"/>
  <c r="A1060" i="66"/>
  <c r="A1063" i="66"/>
  <c r="K1065" i="66"/>
  <c r="L1068" i="66"/>
  <c r="A1068" i="66"/>
  <c r="A1071" i="66"/>
  <c r="L1074" i="66"/>
  <c r="A1074" i="66"/>
  <c r="K1110" i="66"/>
  <c r="A1114" i="66"/>
  <c r="L1117" i="66"/>
  <c r="A1117" i="66"/>
  <c r="K1126" i="66"/>
  <c r="K1159" i="66"/>
  <c r="L1166" i="66"/>
  <c r="A1166" i="66"/>
  <c r="K1175" i="66"/>
  <c r="K1182" i="66"/>
  <c r="L1178" i="66"/>
  <c r="A1178" i="66"/>
  <c r="L1107" i="66"/>
  <c r="A1107" i="66"/>
  <c r="L1123" i="66"/>
  <c r="A1123" i="66"/>
  <c r="K1162" i="66"/>
  <c r="L1172" i="66"/>
  <c r="A1172" i="66"/>
  <c r="K1178" i="66"/>
  <c r="L1111" i="66"/>
  <c r="A1111" i="66"/>
  <c r="L1127" i="66"/>
  <c r="A1127" i="66"/>
  <c r="L1160" i="66"/>
  <c r="A1160" i="66"/>
  <c r="K1166" i="66"/>
  <c r="K1169" i="66"/>
  <c r="L1176" i="66"/>
  <c r="A1176" i="66"/>
  <c r="L1058" i="66"/>
  <c r="A1058" i="66"/>
  <c r="A1061" i="66"/>
  <c r="L1066" i="66"/>
  <c r="A1066" i="66"/>
  <c r="A1069" i="66"/>
  <c r="K1071" i="66"/>
  <c r="A1075" i="66"/>
  <c r="L1078" i="66"/>
  <c r="K1078" i="66"/>
  <c r="L1105" i="66"/>
  <c r="A1105" i="66"/>
  <c r="E1104" i="66"/>
  <c r="K1111" i="66"/>
  <c r="K1114" i="66"/>
  <c r="A1118" i="66"/>
  <c r="L1121" i="66"/>
  <c r="A1121" i="66"/>
  <c r="K1127" i="66"/>
  <c r="E1156" i="66"/>
  <c r="L1157" i="66"/>
  <c r="K1160" i="66"/>
  <c r="K1163" i="66"/>
  <c r="A1167" i="66"/>
  <c r="L1170" i="66"/>
  <c r="A1170" i="66"/>
  <c r="K1176" i="66"/>
  <c r="K1179" i="66"/>
  <c r="L1180" i="66"/>
  <c r="A1180" i="66"/>
  <c r="L1115" i="66"/>
  <c r="A1115" i="66"/>
  <c r="L1164" i="66"/>
  <c r="A1164" i="66"/>
  <c r="L1056" i="66"/>
  <c r="A1056" i="66"/>
  <c r="K1075" i="66"/>
  <c r="L1109" i="66"/>
  <c r="A1109" i="66"/>
  <c r="K1115" i="66"/>
  <c r="K1118" i="66"/>
  <c r="L1125" i="66"/>
  <c r="A1125" i="66"/>
  <c r="L1158" i="66"/>
  <c r="A1158" i="66"/>
  <c r="K1164" i="66"/>
  <c r="K1167" i="66"/>
  <c r="L1174" i="66"/>
  <c r="A1174" i="66"/>
  <c r="K1180" i="66"/>
  <c r="L1054" i="66"/>
  <c r="A1054" i="66"/>
  <c r="L1062" i="66"/>
  <c r="A1062" i="66"/>
  <c r="L1113" i="66"/>
  <c r="A1113" i="66"/>
  <c r="L1129" i="66"/>
  <c r="A1129" i="66"/>
  <c r="E1052" i="66"/>
  <c r="L1072" i="66"/>
  <c r="A1072" i="66"/>
  <c r="K1053" i="66"/>
  <c r="K1061" i="66"/>
  <c r="L1064" i="66"/>
  <c r="A1064" i="66"/>
  <c r="K1069" i="66"/>
  <c r="K1072" i="66"/>
  <c r="L1053" i="66"/>
  <c r="K1056" i="66"/>
  <c r="K1064" i="66"/>
  <c r="A1073" i="66"/>
  <c r="L1076" i="66"/>
  <c r="A1076" i="66"/>
  <c r="K1109" i="66"/>
  <c r="K1112" i="66"/>
  <c r="A1116" i="66"/>
  <c r="L1119" i="66"/>
  <c r="A1119" i="66"/>
  <c r="K1125" i="66"/>
  <c r="K1128" i="66"/>
  <c r="K1158" i="66"/>
  <c r="K1161" i="66"/>
  <c r="A1165" i="66"/>
  <c r="L1168" i="66"/>
  <c r="A1168" i="66"/>
  <c r="K1174" i="66"/>
  <c r="K1177" i="66"/>
  <c r="A1181" i="66"/>
  <c r="K1051" i="66"/>
  <c r="E1051" i="66"/>
  <c r="L1051" i="66" s="1"/>
  <c r="E1050" i="66"/>
  <c r="L1050" i="66" s="1"/>
  <c r="E1049" i="66"/>
  <c r="L1049" i="66" s="1"/>
  <c r="E1048" i="66"/>
  <c r="L1048" i="66" s="1"/>
  <c r="A1048" i="66"/>
  <c r="E1047" i="66"/>
  <c r="L1047" i="66" s="1"/>
  <c r="E1046" i="66"/>
  <c r="L1046" i="66" s="1"/>
  <c r="E1045" i="66"/>
  <c r="L1045" i="66" s="1"/>
  <c r="E1044" i="66"/>
  <c r="L1044" i="66" s="1"/>
  <c r="A1044" i="66"/>
  <c r="E1043" i="66"/>
  <c r="L1043" i="66" s="1"/>
  <c r="E1042" i="66"/>
  <c r="L1042" i="66" s="1"/>
  <c r="E1041" i="66"/>
  <c r="L1041" i="66" s="1"/>
  <c r="E1040" i="66"/>
  <c r="L1040" i="66" s="1"/>
  <c r="E1039" i="66"/>
  <c r="L1039" i="66" s="1"/>
  <c r="E1038" i="66"/>
  <c r="L1038" i="66" s="1"/>
  <c r="E1037" i="66"/>
  <c r="L1037" i="66" s="1"/>
  <c r="E1036" i="66"/>
  <c r="L1036" i="66" s="1"/>
  <c r="A1036" i="66"/>
  <c r="E1035" i="66"/>
  <c r="L1035" i="66" s="1"/>
  <c r="E1034" i="66"/>
  <c r="L1034" i="66" s="1"/>
  <c r="E1033" i="66"/>
  <c r="L1033" i="66" s="1"/>
  <c r="E1032" i="66"/>
  <c r="L1032" i="66" s="1"/>
  <c r="A1032" i="66"/>
  <c r="E1031" i="66"/>
  <c r="L1031" i="66" s="1"/>
  <c r="E1030" i="66"/>
  <c r="L1030" i="66" s="1"/>
  <c r="E1029" i="66"/>
  <c r="L1029" i="66" s="1"/>
  <c r="E1028" i="66"/>
  <c r="L1028" i="66" s="1"/>
  <c r="A1028" i="66"/>
  <c r="E1027" i="66"/>
  <c r="L1027" i="66" s="1"/>
  <c r="M1026" i="66"/>
  <c r="J1026" i="66"/>
  <c r="I1026" i="66"/>
  <c r="H1026" i="66"/>
  <c r="G1026" i="66"/>
  <c r="F1026" i="66"/>
  <c r="L1025" i="66"/>
  <c r="E1025" i="66"/>
  <c r="K1025" i="66" s="1"/>
  <c r="L1024" i="66"/>
  <c r="E1024" i="66"/>
  <c r="K1024" i="66" s="1"/>
  <c r="E1023" i="66"/>
  <c r="A1023" i="66" s="1"/>
  <c r="L1022" i="66"/>
  <c r="E1022" i="66"/>
  <c r="K1022" i="66" s="1"/>
  <c r="L1021" i="66"/>
  <c r="K1021" i="66"/>
  <c r="E1021" i="66"/>
  <c r="A1021" i="66" s="1"/>
  <c r="L1020" i="66"/>
  <c r="E1020" i="66"/>
  <c r="K1020" i="66" s="1"/>
  <c r="E1019" i="66"/>
  <c r="L1019" i="66" s="1"/>
  <c r="E1018" i="66"/>
  <c r="K1018" i="66" s="1"/>
  <c r="L1017" i="66"/>
  <c r="E1017" i="66"/>
  <c r="K1017" i="66" s="1"/>
  <c r="L1016" i="66"/>
  <c r="E1016" i="66"/>
  <c r="K1016" i="66" s="1"/>
  <c r="E1015" i="66"/>
  <c r="A1015" i="66" s="1"/>
  <c r="L1014" i="66"/>
  <c r="E1014" i="66"/>
  <c r="K1014" i="66" s="1"/>
  <c r="L1013" i="66"/>
  <c r="K1013" i="66"/>
  <c r="E1013" i="66"/>
  <c r="A1013" i="66"/>
  <c r="L1012" i="66"/>
  <c r="E1012" i="66"/>
  <c r="K1012" i="66" s="1"/>
  <c r="E1011" i="66"/>
  <c r="L1011" i="66" s="1"/>
  <c r="E1010" i="66"/>
  <c r="K1010" i="66" s="1"/>
  <c r="L1009" i="66"/>
  <c r="E1009" i="66"/>
  <c r="K1009" i="66" s="1"/>
  <c r="L1008" i="66"/>
  <c r="E1008" i="66"/>
  <c r="K1008" i="66" s="1"/>
  <c r="E1007" i="66"/>
  <c r="A1007" i="66" s="1"/>
  <c r="L1006" i="66"/>
  <c r="E1006" i="66"/>
  <c r="K1006" i="66" s="1"/>
  <c r="L1005" i="66"/>
  <c r="K1005" i="66"/>
  <c r="E1005" i="66"/>
  <c r="A1005" i="66"/>
  <c r="L1004" i="66"/>
  <c r="E1004" i="66"/>
  <c r="K1004" i="66" s="1"/>
  <c r="E1003" i="66"/>
  <c r="L1003" i="66" s="1"/>
  <c r="E1002" i="66"/>
  <c r="K1002" i="66" s="1"/>
  <c r="L1001" i="66"/>
  <c r="E1001" i="66"/>
  <c r="K1001" i="66" s="1"/>
  <c r="M1000" i="66"/>
  <c r="J1000" i="66"/>
  <c r="I1000" i="66"/>
  <c r="H1000" i="66"/>
  <c r="G1000" i="66"/>
  <c r="F1000" i="66"/>
  <c r="E999" i="66"/>
  <c r="L999" i="66" s="1"/>
  <c r="A999" i="66"/>
  <c r="E998" i="66"/>
  <c r="L998" i="66" s="1"/>
  <c r="E997" i="66"/>
  <c r="L997" i="66" s="1"/>
  <c r="A997" i="66"/>
  <c r="E996" i="66"/>
  <c r="L996" i="66" s="1"/>
  <c r="E995" i="66"/>
  <c r="L995" i="66" s="1"/>
  <c r="A995" i="66"/>
  <c r="E994" i="66"/>
  <c r="L994" i="66" s="1"/>
  <c r="E993" i="66"/>
  <c r="L993" i="66" s="1"/>
  <c r="E992" i="66"/>
  <c r="L992" i="66" s="1"/>
  <c r="E991" i="66"/>
  <c r="L991" i="66" s="1"/>
  <c r="A991" i="66"/>
  <c r="E990" i="66"/>
  <c r="L990" i="66" s="1"/>
  <c r="E989" i="66"/>
  <c r="L989" i="66" s="1"/>
  <c r="E988" i="66"/>
  <c r="L988" i="66" s="1"/>
  <c r="E987" i="66"/>
  <c r="L987" i="66" s="1"/>
  <c r="E986" i="66"/>
  <c r="L986" i="66" s="1"/>
  <c r="E985" i="66"/>
  <c r="L985" i="66" s="1"/>
  <c r="E984" i="66"/>
  <c r="L984" i="66" s="1"/>
  <c r="E983" i="66"/>
  <c r="L983" i="66" s="1"/>
  <c r="A983" i="66"/>
  <c r="E982" i="66"/>
  <c r="L982" i="66" s="1"/>
  <c r="E981" i="66"/>
  <c r="L981" i="66" s="1"/>
  <c r="A981" i="66"/>
  <c r="E980" i="66"/>
  <c r="L980" i="66" s="1"/>
  <c r="E979" i="66"/>
  <c r="L979" i="66" s="1"/>
  <c r="A979" i="66"/>
  <c r="E978" i="66"/>
  <c r="L978" i="66" s="1"/>
  <c r="E977" i="66"/>
  <c r="L977" i="66" s="1"/>
  <c r="E976" i="66"/>
  <c r="L976" i="66" s="1"/>
  <c r="E975" i="66"/>
  <c r="A975" i="66"/>
  <c r="M974" i="66"/>
  <c r="J974" i="66"/>
  <c r="I974" i="66"/>
  <c r="H974" i="66"/>
  <c r="G974" i="66"/>
  <c r="F974" i="66"/>
  <c r="L973" i="66"/>
  <c r="E973" i="66"/>
  <c r="A973" i="66" s="1"/>
  <c r="E972" i="66"/>
  <c r="L972" i="66" s="1"/>
  <c r="L971" i="66"/>
  <c r="K971" i="66"/>
  <c r="E971" i="66"/>
  <c r="A971" i="66" s="1"/>
  <c r="E970" i="66"/>
  <c r="L970" i="66" s="1"/>
  <c r="L969" i="66"/>
  <c r="E969" i="66"/>
  <c r="A969" i="66" s="1"/>
  <c r="E968" i="66"/>
  <c r="L968" i="66" s="1"/>
  <c r="L967" i="66"/>
  <c r="K967" i="66"/>
  <c r="E967" i="66"/>
  <c r="A967" i="66" s="1"/>
  <c r="E966" i="66"/>
  <c r="L966" i="66" s="1"/>
  <c r="L965" i="66"/>
  <c r="E965" i="66"/>
  <c r="A965" i="66" s="1"/>
  <c r="E964" i="66"/>
  <c r="L964" i="66" s="1"/>
  <c r="L963" i="66"/>
  <c r="K963" i="66"/>
  <c r="E963" i="66"/>
  <c r="A963" i="66" s="1"/>
  <c r="E962" i="66"/>
  <c r="L962" i="66" s="1"/>
  <c r="L961" i="66"/>
  <c r="E961" i="66"/>
  <c r="A961" i="66" s="1"/>
  <c r="E960" i="66"/>
  <c r="L960" i="66" s="1"/>
  <c r="L959" i="66"/>
  <c r="K959" i="66"/>
  <c r="E959" i="66"/>
  <c r="A959" i="66" s="1"/>
  <c r="E958" i="66"/>
  <c r="L958" i="66" s="1"/>
  <c r="L957" i="66"/>
  <c r="E957" i="66"/>
  <c r="A957" i="66" s="1"/>
  <c r="E956" i="66"/>
  <c r="L956" i="66" s="1"/>
  <c r="L955" i="66"/>
  <c r="K955" i="66"/>
  <c r="E955" i="66"/>
  <c r="A955" i="66"/>
  <c r="E954" i="66"/>
  <c r="L954" i="66" s="1"/>
  <c r="L953" i="66"/>
  <c r="K953" i="66"/>
  <c r="E953" i="66"/>
  <c r="A953" i="66"/>
  <c r="E952" i="66"/>
  <c r="L952" i="66" s="1"/>
  <c r="E951" i="66"/>
  <c r="A951" i="66" s="1"/>
  <c r="E950" i="66"/>
  <c r="L950" i="66" s="1"/>
  <c r="K949" i="66"/>
  <c r="E949" i="66"/>
  <c r="L949" i="66" s="1"/>
  <c r="M948" i="66"/>
  <c r="J948" i="66"/>
  <c r="I948" i="66"/>
  <c r="H948" i="66"/>
  <c r="G948" i="66"/>
  <c r="F948" i="66"/>
  <c r="L947" i="66"/>
  <c r="E947" i="66"/>
  <c r="K947" i="66" s="1"/>
  <c r="A947" i="66"/>
  <c r="E946" i="66"/>
  <c r="L946" i="66" s="1"/>
  <c r="L945" i="66"/>
  <c r="E945" i="66"/>
  <c r="K945" i="66" s="1"/>
  <c r="A945" i="66"/>
  <c r="E944" i="66"/>
  <c r="L944" i="66" s="1"/>
  <c r="E943" i="66"/>
  <c r="K943" i="66" s="1"/>
  <c r="E942" i="66"/>
  <c r="L942" i="66" s="1"/>
  <c r="L941" i="66"/>
  <c r="E941" i="66"/>
  <c r="K941" i="66" s="1"/>
  <c r="E940" i="66"/>
  <c r="L940" i="66" s="1"/>
  <c r="A940" i="66"/>
  <c r="E939" i="66"/>
  <c r="K939" i="66" s="1"/>
  <c r="E938" i="66"/>
  <c r="L938" i="66" s="1"/>
  <c r="E937" i="66"/>
  <c r="K937" i="66" s="1"/>
  <c r="A937" i="66"/>
  <c r="E936" i="66"/>
  <c r="L936" i="66" s="1"/>
  <c r="A936" i="66"/>
  <c r="E935" i="66"/>
  <c r="K935" i="66" s="1"/>
  <c r="E934" i="66"/>
  <c r="L934" i="66" s="1"/>
  <c r="A934" i="66"/>
  <c r="L933" i="66"/>
  <c r="E933" i="66"/>
  <c r="K933" i="66" s="1"/>
  <c r="A933" i="66"/>
  <c r="E932" i="66"/>
  <c r="L932" i="66" s="1"/>
  <c r="A932" i="66"/>
  <c r="L931" i="66"/>
  <c r="E931" i="66"/>
  <c r="K931" i="66" s="1"/>
  <c r="E930" i="66"/>
  <c r="L930" i="66" s="1"/>
  <c r="L929" i="66"/>
  <c r="E929" i="66"/>
  <c r="K929" i="66" s="1"/>
  <c r="A929" i="66"/>
  <c r="E928" i="66"/>
  <c r="L928" i="66" s="1"/>
  <c r="E927" i="66"/>
  <c r="K927" i="66" s="1"/>
  <c r="E926" i="66"/>
  <c r="L926" i="66" s="1"/>
  <c r="L925" i="66"/>
  <c r="E925" i="66"/>
  <c r="K925" i="66" s="1"/>
  <c r="E924" i="66"/>
  <c r="L924" i="66" s="1"/>
  <c r="A924" i="66"/>
  <c r="E923" i="66"/>
  <c r="A923" i="66" s="1"/>
  <c r="M922" i="66"/>
  <c r="J922" i="66"/>
  <c r="I922" i="66"/>
  <c r="H922" i="66"/>
  <c r="G922" i="66"/>
  <c r="F922" i="66"/>
  <c r="E921" i="66"/>
  <c r="L921" i="66" s="1"/>
  <c r="K920" i="66"/>
  <c r="E920" i="66"/>
  <c r="A920" i="66" s="1"/>
  <c r="E919" i="66"/>
  <c r="L919" i="66" s="1"/>
  <c r="K918" i="66"/>
  <c r="E918" i="66"/>
  <c r="A918" i="66" s="1"/>
  <c r="E917" i="66"/>
  <c r="L917" i="66" s="1"/>
  <c r="K916" i="66"/>
  <c r="E916" i="66"/>
  <c r="A916" i="66" s="1"/>
  <c r="E915" i="66"/>
  <c r="L915" i="66" s="1"/>
  <c r="K914" i="66"/>
  <c r="E914" i="66"/>
  <c r="A914" i="66" s="1"/>
  <c r="E913" i="66"/>
  <c r="L913" i="66" s="1"/>
  <c r="K912" i="66"/>
  <c r="E912" i="66"/>
  <c r="A912" i="66" s="1"/>
  <c r="E911" i="66"/>
  <c r="L911" i="66" s="1"/>
  <c r="K910" i="66"/>
  <c r="E910" i="66"/>
  <c r="A910" i="66" s="1"/>
  <c r="E909" i="66"/>
  <c r="L909" i="66" s="1"/>
  <c r="K908" i="66"/>
  <c r="E908" i="66"/>
  <c r="A908" i="66" s="1"/>
  <c r="E907" i="66"/>
  <c r="L907" i="66" s="1"/>
  <c r="K906" i="66"/>
  <c r="E906" i="66"/>
  <c r="A906" i="66" s="1"/>
  <c r="E905" i="66"/>
  <c r="L905" i="66" s="1"/>
  <c r="K904" i="66"/>
  <c r="E904" i="66"/>
  <c r="A904" i="66" s="1"/>
  <c r="E903" i="66"/>
  <c r="L903" i="66" s="1"/>
  <c r="K902" i="66"/>
  <c r="E902" i="66"/>
  <c r="A902" i="66" s="1"/>
  <c r="E901" i="66"/>
  <c r="L901" i="66" s="1"/>
  <c r="K900" i="66"/>
  <c r="E900" i="66"/>
  <c r="A900" i="66" s="1"/>
  <c r="E899" i="66"/>
  <c r="L899" i="66" s="1"/>
  <c r="K898" i="66"/>
  <c r="E898" i="66"/>
  <c r="A898" i="66" s="1"/>
  <c r="E897" i="66"/>
  <c r="E896" i="66" s="1"/>
  <c r="M896" i="66"/>
  <c r="J896" i="66"/>
  <c r="I896" i="66"/>
  <c r="H896" i="66"/>
  <c r="G896" i="66"/>
  <c r="F896" i="66"/>
  <c r="E895" i="66"/>
  <c r="L895" i="66" s="1"/>
  <c r="E894" i="66"/>
  <c r="L894" i="66" s="1"/>
  <c r="E893" i="66"/>
  <c r="L893" i="66" s="1"/>
  <c r="E892" i="66"/>
  <c r="L892" i="66" s="1"/>
  <c r="E891" i="66"/>
  <c r="L891" i="66" s="1"/>
  <c r="E890" i="66"/>
  <c r="L890" i="66" s="1"/>
  <c r="E889" i="66"/>
  <c r="L889" i="66" s="1"/>
  <c r="E888" i="66"/>
  <c r="L888" i="66" s="1"/>
  <c r="E887" i="66"/>
  <c r="L887" i="66" s="1"/>
  <c r="E886" i="66"/>
  <c r="L886" i="66" s="1"/>
  <c r="E885" i="66"/>
  <c r="L885" i="66" s="1"/>
  <c r="E884" i="66"/>
  <c r="L884" i="66" s="1"/>
  <c r="E883" i="66"/>
  <c r="L883" i="66" s="1"/>
  <c r="E882" i="66"/>
  <c r="L882" i="66" s="1"/>
  <c r="E881" i="66"/>
  <c r="L881" i="66" s="1"/>
  <c r="E880" i="66"/>
  <c r="L880" i="66" s="1"/>
  <c r="E879" i="66"/>
  <c r="L879" i="66" s="1"/>
  <c r="E878" i="66"/>
  <c r="L878" i="66" s="1"/>
  <c r="E877" i="66"/>
  <c r="L877" i="66" s="1"/>
  <c r="E876" i="66"/>
  <c r="L876" i="66" s="1"/>
  <c r="E875" i="66"/>
  <c r="L875" i="66" s="1"/>
  <c r="E874" i="66"/>
  <c r="L874" i="66" s="1"/>
  <c r="E873" i="66"/>
  <c r="L873" i="66" s="1"/>
  <c r="E872" i="66"/>
  <c r="L872" i="66" s="1"/>
  <c r="E871" i="66"/>
  <c r="L871" i="66" s="1"/>
  <c r="M870" i="66"/>
  <c r="J870" i="66"/>
  <c r="I870" i="66"/>
  <c r="H870" i="66"/>
  <c r="G870" i="66"/>
  <c r="F870" i="66"/>
  <c r="E869" i="66"/>
  <c r="K869" i="66" s="1"/>
  <c r="L868" i="66"/>
  <c r="K868" i="66"/>
  <c r="E868" i="66"/>
  <c r="A868" i="66"/>
  <c r="L867" i="66"/>
  <c r="E867" i="66"/>
  <c r="K867" i="66" s="1"/>
  <c r="A867" i="66"/>
  <c r="K866" i="66"/>
  <c r="E866" i="66"/>
  <c r="L866" i="66" s="1"/>
  <c r="E865" i="66"/>
  <c r="K865" i="66" s="1"/>
  <c r="L864" i="66"/>
  <c r="E864" i="66"/>
  <c r="K864" i="66" s="1"/>
  <c r="E863" i="66"/>
  <c r="K863" i="66" s="1"/>
  <c r="A863" i="66"/>
  <c r="L862" i="66"/>
  <c r="K862" i="66"/>
  <c r="E862" i="66"/>
  <c r="A862" i="66"/>
  <c r="L861" i="66"/>
  <c r="E861" i="66"/>
  <c r="K861" i="66" s="1"/>
  <c r="A861" i="66"/>
  <c r="L860" i="66"/>
  <c r="E860" i="66"/>
  <c r="K860" i="66" s="1"/>
  <c r="L859" i="66"/>
  <c r="E859" i="66"/>
  <c r="K859" i="66" s="1"/>
  <c r="L858" i="66"/>
  <c r="K858" i="66"/>
  <c r="E858" i="66"/>
  <c r="A858" i="66"/>
  <c r="E857" i="66"/>
  <c r="K857" i="66" s="1"/>
  <c r="E856" i="66"/>
  <c r="A856" i="66" s="1"/>
  <c r="L855" i="66"/>
  <c r="E855" i="66"/>
  <c r="K855" i="66" s="1"/>
  <c r="A855" i="66"/>
  <c r="E854" i="66"/>
  <c r="L854" i="66" s="1"/>
  <c r="A854" i="66"/>
  <c r="E853" i="66"/>
  <c r="K853" i="66" s="1"/>
  <c r="L852" i="66"/>
  <c r="K852" i="66"/>
  <c r="E852" i="66"/>
  <c r="A852" i="66"/>
  <c r="L851" i="66"/>
  <c r="E851" i="66"/>
  <c r="K851" i="66" s="1"/>
  <c r="A851" i="66"/>
  <c r="K850" i="66"/>
  <c r="E850" i="66"/>
  <c r="L850" i="66" s="1"/>
  <c r="E849" i="66"/>
  <c r="K849" i="66" s="1"/>
  <c r="L848" i="66"/>
  <c r="E848" i="66"/>
  <c r="K848" i="66" s="1"/>
  <c r="E847" i="66"/>
  <c r="K847" i="66" s="1"/>
  <c r="A847" i="66"/>
  <c r="L846" i="66"/>
  <c r="K846" i="66"/>
  <c r="E846" i="66"/>
  <c r="A846" i="66"/>
  <c r="L845" i="66"/>
  <c r="E845" i="66"/>
  <c r="K845" i="66" s="1"/>
  <c r="A845" i="66"/>
  <c r="M844" i="66"/>
  <c r="J844" i="66"/>
  <c r="I844" i="66"/>
  <c r="H844" i="66"/>
  <c r="G844" i="66"/>
  <c r="F844" i="66"/>
  <c r="E843" i="66"/>
  <c r="L843" i="66" s="1"/>
  <c r="E842" i="66"/>
  <c r="L842" i="66" s="1"/>
  <c r="E841" i="66"/>
  <c r="L841" i="66" s="1"/>
  <c r="E840" i="66"/>
  <c r="L840" i="66" s="1"/>
  <c r="E839" i="66"/>
  <c r="L839" i="66" s="1"/>
  <c r="E838" i="66"/>
  <c r="L838" i="66" s="1"/>
  <c r="E837" i="66"/>
  <c r="L837" i="66" s="1"/>
  <c r="E836" i="66"/>
  <c r="L836" i="66" s="1"/>
  <c r="E835" i="66"/>
  <c r="L835" i="66" s="1"/>
  <c r="E834" i="66"/>
  <c r="L834" i="66" s="1"/>
  <c r="E833" i="66"/>
  <c r="L833" i="66" s="1"/>
  <c r="E832" i="66"/>
  <c r="L832" i="66" s="1"/>
  <c r="E831" i="66"/>
  <c r="L831" i="66" s="1"/>
  <c r="E830" i="66"/>
  <c r="L830" i="66" s="1"/>
  <c r="E829" i="66"/>
  <c r="L829" i="66" s="1"/>
  <c r="E828" i="66"/>
  <c r="L828" i="66" s="1"/>
  <c r="E827" i="66"/>
  <c r="L827" i="66" s="1"/>
  <c r="E826" i="66"/>
  <c r="L826" i="66" s="1"/>
  <c r="E825" i="66"/>
  <c r="L825" i="66" s="1"/>
  <c r="E824" i="66"/>
  <c r="L824" i="66" s="1"/>
  <c r="E823" i="66"/>
  <c r="L823" i="66" s="1"/>
  <c r="E822" i="66"/>
  <c r="L822" i="66" s="1"/>
  <c r="E821" i="66"/>
  <c r="L821" i="66" s="1"/>
  <c r="E820" i="66"/>
  <c r="L820" i="66" s="1"/>
  <c r="E819" i="66"/>
  <c r="M818" i="66"/>
  <c r="J818" i="66"/>
  <c r="I818" i="66"/>
  <c r="H818" i="66"/>
  <c r="G818" i="66"/>
  <c r="F818" i="66"/>
  <c r="L817" i="66"/>
  <c r="E817" i="66"/>
  <c r="K817" i="66" s="1"/>
  <c r="E816" i="66"/>
  <c r="L816" i="66" s="1"/>
  <c r="E815" i="66"/>
  <c r="L815" i="66" s="1"/>
  <c r="A815" i="66"/>
  <c r="E814" i="66"/>
  <c r="K814" i="66" s="1"/>
  <c r="L813" i="66"/>
  <c r="E813" i="66"/>
  <c r="K813" i="66" s="1"/>
  <c r="E812" i="66"/>
  <c r="L812" i="66" s="1"/>
  <c r="L811" i="66"/>
  <c r="K811" i="66"/>
  <c r="E811" i="66"/>
  <c r="A811" i="66"/>
  <c r="E810" i="66"/>
  <c r="L810" i="66" s="1"/>
  <c r="L809" i="66"/>
  <c r="K809" i="66"/>
  <c r="E809" i="66"/>
  <c r="A809" i="66"/>
  <c r="E808" i="66"/>
  <c r="L808" i="66" s="1"/>
  <c r="L807" i="66"/>
  <c r="K807" i="66"/>
  <c r="E807" i="66"/>
  <c r="A807" i="66"/>
  <c r="E806" i="66"/>
  <c r="K806" i="66" s="1"/>
  <c r="E805" i="66"/>
  <c r="A805" i="66" s="1"/>
  <c r="E804" i="66"/>
  <c r="L804" i="66" s="1"/>
  <c r="K803" i="66"/>
  <c r="E803" i="66"/>
  <c r="L803" i="66" s="1"/>
  <c r="E802" i="66"/>
  <c r="K802" i="66" s="1"/>
  <c r="L801" i="66"/>
  <c r="E801" i="66"/>
  <c r="K801" i="66" s="1"/>
  <c r="E800" i="66"/>
  <c r="L800" i="66" s="1"/>
  <c r="E799" i="66"/>
  <c r="L799" i="66" s="1"/>
  <c r="A799" i="66"/>
  <c r="E798" i="66"/>
  <c r="K798" i="66" s="1"/>
  <c r="L797" i="66"/>
  <c r="E797" i="66"/>
  <c r="K797" i="66" s="1"/>
  <c r="E796" i="66"/>
  <c r="L796" i="66" s="1"/>
  <c r="L795" i="66"/>
  <c r="K795" i="66"/>
  <c r="E795" i="66"/>
  <c r="A795" i="66"/>
  <c r="E794" i="66"/>
  <c r="K794" i="66" s="1"/>
  <c r="L793" i="66"/>
  <c r="K793" i="66"/>
  <c r="E793" i="66"/>
  <c r="A793" i="66"/>
  <c r="M792" i="66"/>
  <c r="J792" i="66"/>
  <c r="I792" i="66"/>
  <c r="H792" i="66"/>
  <c r="G792" i="66"/>
  <c r="F792" i="66"/>
  <c r="E791" i="66"/>
  <c r="K791" i="66" s="1"/>
  <c r="A791" i="66"/>
  <c r="E790" i="66"/>
  <c r="L790" i="66" s="1"/>
  <c r="A790" i="66"/>
  <c r="E789" i="66"/>
  <c r="K789" i="66" s="1"/>
  <c r="E788" i="66"/>
  <c r="L788" i="66" s="1"/>
  <c r="A788" i="66"/>
  <c r="L787" i="66"/>
  <c r="E787" i="66"/>
  <c r="K787" i="66" s="1"/>
  <c r="A787" i="66"/>
  <c r="E786" i="66"/>
  <c r="L786" i="66" s="1"/>
  <c r="A786" i="66"/>
  <c r="L785" i="66"/>
  <c r="E785" i="66"/>
  <c r="K785" i="66" s="1"/>
  <c r="A785" i="66"/>
  <c r="E784" i="66"/>
  <c r="L784" i="66" s="1"/>
  <c r="L783" i="66"/>
  <c r="E783" i="66"/>
  <c r="K783" i="66" s="1"/>
  <c r="A783" i="66"/>
  <c r="E782" i="66"/>
  <c r="L782" i="66" s="1"/>
  <c r="E781" i="66"/>
  <c r="K781" i="66" s="1"/>
  <c r="E780" i="66"/>
  <c r="L780" i="66" s="1"/>
  <c r="L779" i="66"/>
  <c r="E779" i="66"/>
  <c r="K779" i="66" s="1"/>
  <c r="E778" i="66"/>
  <c r="L778" i="66" s="1"/>
  <c r="A778" i="66"/>
  <c r="E777" i="66"/>
  <c r="K777" i="66" s="1"/>
  <c r="E776" i="66"/>
  <c r="L776" i="66" s="1"/>
  <c r="E775" i="66"/>
  <c r="K775" i="66" s="1"/>
  <c r="A775" i="66"/>
  <c r="E774" i="66"/>
  <c r="L774" i="66" s="1"/>
  <c r="A774" i="66"/>
  <c r="E773" i="66"/>
  <c r="K773" i="66" s="1"/>
  <c r="E772" i="66"/>
  <c r="L772" i="66" s="1"/>
  <c r="A772" i="66"/>
  <c r="L771" i="66"/>
  <c r="E771" i="66"/>
  <c r="K771" i="66" s="1"/>
  <c r="A771" i="66"/>
  <c r="E770" i="66"/>
  <c r="L770" i="66" s="1"/>
  <c r="A770" i="66"/>
  <c r="L769" i="66"/>
  <c r="E769" i="66"/>
  <c r="K769" i="66" s="1"/>
  <c r="A769" i="66"/>
  <c r="E768" i="66"/>
  <c r="L768" i="66" s="1"/>
  <c r="L767" i="66"/>
  <c r="E767" i="66"/>
  <c r="A767" i="66"/>
  <c r="M766" i="66"/>
  <c r="J766" i="66"/>
  <c r="I766" i="66"/>
  <c r="H766" i="66"/>
  <c r="G766" i="66"/>
  <c r="F766" i="66"/>
  <c r="E765" i="66"/>
  <c r="L765" i="66" s="1"/>
  <c r="L764" i="66"/>
  <c r="K764" i="66"/>
  <c r="E764" i="66"/>
  <c r="A764" i="66"/>
  <c r="E763" i="66"/>
  <c r="L763" i="66" s="1"/>
  <c r="L762" i="66"/>
  <c r="K762" i="66"/>
  <c r="E762" i="66"/>
  <c r="A762" i="66"/>
  <c r="E761" i="66"/>
  <c r="L761" i="66" s="1"/>
  <c r="E760" i="66"/>
  <c r="A760" i="66" s="1"/>
  <c r="E759" i="66"/>
  <c r="L759" i="66" s="1"/>
  <c r="K758" i="66"/>
  <c r="E758" i="66"/>
  <c r="L758" i="66" s="1"/>
  <c r="E757" i="66"/>
  <c r="K757" i="66" s="1"/>
  <c r="L756" i="66"/>
  <c r="E756" i="66"/>
  <c r="K756" i="66" s="1"/>
  <c r="L755" i="66"/>
  <c r="E755" i="66"/>
  <c r="K755" i="66" s="1"/>
  <c r="E754" i="66"/>
  <c r="A754" i="66" s="1"/>
  <c r="E753" i="66"/>
  <c r="L753" i="66" s="1"/>
  <c r="K752" i="66"/>
  <c r="E752" i="66"/>
  <c r="L752" i="66" s="1"/>
  <c r="E751" i="66"/>
  <c r="L751" i="66" s="1"/>
  <c r="L750" i="66"/>
  <c r="E750" i="66"/>
  <c r="K750" i="66" s="1"/>
  <c r="E749" i="66"/>
  <c r="L749" i="66" s="1"/>
  <c r="E748" i="66"/>
  <c r="L748" i="66" s="1"/>
  <c r="A748" i="66"/>
  <c r="E747" i="66"/>
  <c r="L747" i="66" s="1"/>
  <c r="L746" i="66"/>
  <c r="E746" i="66"/>
  <c r="K746" i="66" s="1"/>
  <c r="E745" i="66"/>
  <c r="L745" i="66" s="1"/>
  <c r="L744" i="66"/>
  <c r="K744" i="66"/>
  <c r="E744" i="66"/>
  <c r="A744" i="66"/>
  <c r="E743" i="66"/>
  <c r="L743" i="66" s="1"/>
  <c r="L742" i="66"/>
  <c r="K742" i="66"/>
  <c r="E742" i="66"/>
  <c r="A742" i="66"/>
  <c r="E741" i="66"/>
  <c r="E740" i="66" s="1"/>
  <c r="M740" i="66"/>
  <c r="J740" i="66"/>
  <c r="I740" i="66"/>
  <c r="H740" i="66"/>
  <c r="G740" i="66"/>
  <c r="F740" i="66"/>
  <c r="E739" i="66"/>
  <c r="L739" i="66" s="1"/>
  <c r="E738" i="66"/>
  <c r="L738" i="66" s="1"/>
  <c r="E737" i="66"/>
  <c r="L737" i="66" s="1"/>
  <c r="E736" i="66"/>
  <c r="L736" i="66" s="1"/>
  <c r="A736" i="66"/>
  <c r="E735" i="66"/>
  <c r="L735" i="66" s="1"/>
  <c r="E734" i="66"/>
  <c r="L734" i="66" s="1"/>
  <c r="E733" i="66"/>
  <c r="L733" i="66" s="1"/>
  <c r="E732" i="66"/>
  <c r="L732" i="66" s="1"/>
  <c r="A732" i="66"/>
  <c r="E731" i="66"/>
  <c r="L731" i="66" s="1"/>
  <c r="E730" i="66"/>
  <c r="L730" i="66" s="1"/>
  <c r="E729" i="66"/>
  <c r="L729" i="66" s="1"/>
  <c r="E728" i="66"/>
  <c r="L728" i="66" s="1"/>
  <c r="A728" i="66"/>
  <c r="E727" i="66"/>
  <c r="L727" i="66" s="1"/>
  <c r="E726" i="66"/>
  <c r="L726" i="66" s="1"/>
  <c r="E725" i="66"/>
  <c r="L725" i="66" s="1"/>
  <c r="E724" i="66"/>
  <c r="L724" i="66" s="1"/>
  <c r="A724" i="66"/>
  <c r="E723" i="66"/>
  <c r="L723" i="66" s="1"/>
  <c r="E722" i="66"/>
  <c r="L722" i="66" s="1"/>
  <c r="E721" i="66"/>
  <c r="L721" i="66" s="1"/>
  <c r="E720" i="66"/>
  <c r="L720" i="66" s="1"/>
  <c r="A720" i="66"/>
  <c r="E719" i="66"/>
  <c r="L719" i="66" s="1"/>
  <c r="E718" i="66"/>
  <c r="L718" i="66" s="1"/>
  <c r="E717" i="66"/>
  <c r="L717" i="66" s="1"/>
  <c r="E716" i="66"/>
  <c r="L716" i="66" s="1"/>
  <c r="A716" i="66"/>
  <c r="E715" i="66"/>
  <c r="L715" i="66" s="1"/>
  <c r="M714" i="66"/>
  <c r="J714" i="66"/>
  <c r="I714" i="66"/>
  <c r="H714" i="66"/>
  <c r="G714" i="66"/>
  <c r="F714" i="66"/>
  <c r="L713" i="66"/>
  <c r="E713" i="66"/>
  <c r="A713" i="66" s="1"/>
  <c r="E712" i="66"/>
  <c r="L712" i="66" s="1"/>
  <c r="L711" i="66"/>
  <c r="E711" i="66"/>
  <c r="A711" i="66" s="1"/>
  <c r="E710" i="66"/>
  <c r="K710" i="66" s="1"/>
  <c r="L709" i="66"/>
  <c r="E709" i="66"/>
  <c r="A709" i="66" s="1"/>
  <c r="E708" i="66"/>
  <c r="L708" i="66" s="1"/>
  <c r="L707" i="66"/>
  <c r="E707" i="66"/>
  <c r="A707" i="66" s="1"/>
  <c r="E706" i="66"/>
  <c r="K706" i="66" s="1"/>
  <c r="L705" i="66"/>
  <c r="E705" i="66"/>
  <c r="A705" i="66" s="1"/>
  <c r="E704" i="66"/>
  <c r="L704" i="66" s="1"/>
  <c r="L703" i="66"/>
  <c r="E703" i="66"/>
  <c r="A703" i="66" s="1"/>
  <c r="E702" i="66"/>
  <c r="K702" i="66" s="1"/>
  <c r="L701" i="66"/>
  <c r="E701" i="66"/>
  <c r="A701" i="66" s="1"/>
  <c r="E700" i="66"/>
  <c r="K700" i="66" s="1"/>
  <c r="L699" i="66"/>
  <c r="E699" i="66"/>
  <c r="A699" i="66" s="1"/>
  <c r="E698" i="66"/>
  <c r="L698" i="66" s="1"/>
  <c r="L697" i="66"/>
  <c r="E697" i="66"/>
  <c r="A697" i="66" s="1"/>
  <c r="E696" i="66"/>
  <c r="K696" i="66" s="1"/>
  <c r="L695" i="66"/>
  <c r="E695" i="66"/>
  <c r="K695" i="66" s="1"/>
  <c r="A695" i="66"/>
  <c r="E694" i="66"/>
  <c r="K694" i="66" s="1"/>
  <c r="K693" i="66"/>
  <c r="E693" i="66"/>
  <c r="L693" i="66" s="1"/>
  <c r="A693" i="66"/>
  <c r="E692" i="66"/>
  <c r="L692" i="66" s="1"/>
  <c r="E691" i="66"/>
  <c r="A691" i="66" s="1"/>
  <c r="E690" i="66"/>
  <c r="K690" i="66" s="1"/>
  <c r="L689" i="66"/>
  <c r="K689" i="66"/>
  <c r="E689" i="66"/>
  <c r="A689" i="66"/>
  <c r="M688" i="66"/>
  <c r="J688" i="66"/>
  <c r="I688" i="66"/>
  <c r="H688" i="66"/>
  <c r="G688" i="66"/>
  <c r="F688" i="66"/>
  <c r="E687" i="66"/>
  <c r="L687" i="66" s="1"/>
  <c r="A687" i="66"/>
  <c r="E686" i="66"/>
  <c r="L686" i="66" s="1"/>
  <c r="E685" i="66"/>
  <c r="L685" i="66" s="1"/>
  <c r="E684" i="66"/>
  <c r="L684" i="66" s="1"/>
  <c r="E683" i="66"/>
  <c r="L683" i="66" s="1"/>
  <c r="A683" i="66"/>
  <c r="E682" i="66"/>
  <c r="L682" i="66" s="1"/>
  <c r="E681" i="66"/>
  <c r="L681" i="66" s="1"/>
  <c r="E680" i="66"/>
  <c r="L680" i="66" s="1"/>
  <c r="E679" i="66"/>
  <c r="L679" i="66" s="1"/>
  <c r="A679" i="66"/>
  <c r="E678" i="66"/>
  <c r="L678" i="66" s="1"/>
  <c r="E677" i="66"/>
  <c r="L677" i="66" s="1"/>
  <c r="E676" i="66"/>
  <c r="L676" i="66" s="1"/>
  <c r="E675" i="66"/>
  <c r="L675" i="66" s="1"/>
  <c r="A675" i="66"/>
  <c r="E674" i="66"/>
  <c r="L674" i="66" s="1"/>
  <c r="E673" i="66"/>
  <c r="L673" i="66" s="1"/>
  <c r="E672" i="66"/>
  <c r="L672" i="66" s="1"/>
  <c r="E671" i="66"/>
  <c r="L671" i="66" s="1"/>
  <c r="A671" i="66"/>
  <c r="E670" i="66"/>
  <c r="L670" i="66" s="1"/>
  <c r="E669" i="66"/>
  <c r="L669" i="66" s="1"/>
  <c r="E668" i="66"/>
  <c r="L668" i="66" s="1"/>
  <c r="E667" i="66"/>
  <c r="L667" i="66" s="1"/>
  <c r="A667" i="66"/>
  <c r="E666" i="66"/>
  <c r="L666" i="66" s="1"/>
  <c r="E665" i="66"/>
  <c r="L665" i="66" s="1"/>
  <c r="E664" i="66"/>
  <c r="L664" i="66" s="1"/>
  <c r="E663" i="66"/>
  <c r="A663" i="66"/>
  <c r="M662" i="66"/>
  <c r="J662" i="66"/>
  <c r="I662" i="66"/>
  <c r="H662" i="66"/>
  <c r="G662" i="66"/>
  <c r="F662" i="66"/>
  <c r="E818" i="66" l="1"/>
  <c r="K691" i="66"/>
  <c r="K760" i="66"/>
  <c r="L781" i="66"/>
  <c r="K805" i="66"/>
  <c r="L849" i="66"/>
  <c r="K856" i="66"/>
  <c r="L865" i="66"/>
  <c r="L898" i="66"/>
  <c r="L902" i="66"/>
  <c r="L906" i="66"/>
  <c r="L910" i="66"/>
  <c r="L914" i="66"/>
  <c r="L918" i="66"/>
  <c r="L927" i="66"/>
  <c r="A931" i="66"/>
  <c r="L943" i="66"/>
  <c r="K951" i="66"/>
  <c r="E974" i="66"/>
  <c r="K1007" i="66"/>
  <c r="K1015" i="66"/>
  <c r="K1023" i="66"/>
  <c r="A1034" i="66"/>
  <c r="A1050" i="66"/>
  <c r="K748" i="66"/>
  <c r="A752" i="66"/>
  <c r="L754" i="66"/>
  <c r="A758" i="66"/>
  <c r="L760" i="66"/>
  <c r="L775" i="66"/>
  <c r="A779" i="66"/>
  <c r="A782" i="66"/>
  <c r="L791" i="66"/>
  <c r="K799" i="66"/>
  <c r="A803" i="66"/>
  <c r="L805" i="66"/>
  <c r="K815" i="66"/>
  <c r="E844" i="66"/>
  <c r="L844" i="66" s="1"/>
  <c r="L847" i="66"/>
  <c r="A850" i="66"/>
  <c r="K854" i="66"/>
  <c r="L856" i="66"/>
  <c r="A859" i="66"/>
  <c r="L863" i="66"/>
  <c r="A866" i="66"/>
  <c r="A925" i="66"/>
  <c r="A928" i="66"/>
  <c r="L937" i="66"/>
  <c r="A941" i="66"/>
  <c r="A944" i="66"/>
  <c r="A949" i="66"/>
  <c r="L951" i="66"/>
  <c r="A987" i="66"/>
  <c r="L1002" i="66"/>
  <c r="L1007" i="66"/>
  <c r="L1010" i="66"/>
  <c r="L1015" i="66"/>
  <c r="L1018" i="66"/>
  <c r="L1023" i="66"/>
  <c r="A1040" i="66"/>
  <c r="K754" i="66"/>
  <c r="E662" i="66"/>
  <c r="L691" i="66"/>
  <c r="A664" i="66"/>
  <c r="A668" i="66"/>
  <c r="A672" i="66"/>
  <c r="A676" i="66"/>
  <c r="A680" i="66"/>
  <c r="A684" i="66"/>
  <c r="K699" i="66"/>
  <c r="K703" i="66"/>
  <c r="K707" i="66"/>
  <c r="K711" i="66"/>
  <c r="A717" i="66"/>
  <c r="A721" i="66"/>
  <c r="A725" i="66"/>
  <c r="A729" i="66"/>
  <c r="A733" i="66"/>
  <c r="A737" i="66"/>
  <c r="A746" i="66"/>
  <c r="A773" i="66"/>
  <c r="A776" i="66"/>
  <c r="A789" i="66"/>
  <c r="A797" i="66"/>
  <c r="A813" i="66"/>
  <c r="A848" i="66"/>
  <c r="A857" i="66"/>
  <c r="A864" i="66"/>
  <c r="A935" i="66"/>
  <c r="A938" i="66"/>
  <c r="A977" i="66"/>
  <c r="A993" i="66"/>
  <c r="A1003" i="66"/>
  <c r="A1011" i="66"/>
  <c r="A1019" i="66"/>
  <c r="A1030" i="66"/>
  <c r="A1046" i="66"/>
  <c r="K1130" i="66"/>
  <c r="L1130" i="66"/>
  <c r="A665" i="66"/>
  <c r="A669" i="66"/>
  <c r="A673" i="66"/>
  <c r="A677" i="66"/>
  <c r="A681" i="66"/>
  <c r="A685" i="66"/>
  <c r="A718" i="66"/>
  <c r="A722" i="66"/>
  <c r="A726" i="66"/>
  <c r="A730" i="66"/>
  <c r="A734" i="66"/>
  <c r="A738" i="66"/>
  <c r="A750" i="66"/>
  <c r="A756" i="66"/>
  <c r="E766" i="66"/>
  <c r="K766" i="66" s="1"/>
  <c r="L773" i="66"/>
  <c r="A777" i="66"/>
  <c r="A780" i="66"/>
  <c r="L789" i="66"/>
  <c r="A801" i="66"/>
  <c r="A817" i="66"/>
  <c r="A853" i="66"/>
  <c r="L857" i="66"/>
  <c r="A860" i="66"/>
  <c r="A869" i="66"/>
  <c r="L900" i="66"/>
  <c r="L904" i="66"/>
  <c r="L908" i="66"/>
  <c r="L912" i="66"/>
  <c r="L916" i="66"/>
  <c r="L920" i="66"/>
  <c r="A926" i="66"/>
  <c r="L935" i="66"/>
  <c r="A939" i="66"/>
  <c r="A942" i="66"/>
  <c r="A989" i="66"/>
  <c r="A1001" i="66"/>
  <c r="K1003" i="66"/>
  <c r="A1009" i="66"/>
  <c r="K1011" i="66"/>
  <c r="A1017" i="66"/>
  <c r="K1019" i="66"/>
  <c r="A1025" i="66"/>
  <c r="A1042" i="66"/>
  <c r="E922" i="66"/>
  <c r="E1000" i="66"/>
  <c r="L1000" i="66" s="1"/>
  <c r="A666" i="66"/>
  <c r="A670" i="66"/>
  <c r="A674" i="66"/>
  <c r="A678" i="66"/>
  <c r="A682" i="66"/>
  <c r="A686" i="66"/>
  <c r="K697" i="66"/>
  <c r="K701" i="66"/>
  <c r="K705" i="66"/>
  <c r="K709" i="66"/>
  <c r="K713" i="66"/>
  <c r="A715" i="66"/>
  <c r="A719" i="66"/>
  <c r="A723" i="66"/>
  <c r="A727" i="66"/>
  <c r="A731" i="66"/>
  <c r="A735" i="66"/>
  <c r="A739" i="66"/>
  <c r="A768" i="66"/>
  <c r="L777" i="66"/>
  <c r="A781" i="66"/>
  <c r="A784" i="66"/>
  <c r="A849" i="66"/>
  <c r="L853" i="66"/>
  <c r="A865" i="66"/>
  <c r="L869" i="66"/>
  <c r="L923" i="66"/>
  <c r="A927" i="66"/>
  <c r="A930" i="66"/>
  <c r="L939" i="66"/>
  <c r="A943" i="66"/>
  <c r="A946" i="66"/>
  <c r="K957" i="66"/>
  <c r="K961" i="66"/>
  <c r="K965" i="66"/>
  <c r="K969" i="66"/>
  <c r="K973" i="66"/>
  <c r="A985" i="66"/>
  <c r="A1038" i="66"/>
  <c r="K1234" i="66"/>
  <c r="L1234" i="66"/>
  <c r="K1104" i="66"/>
  <c r="L1104" i="66"/>
  <c r="L1156" i="66"/>
  <c r="K1156" i="66"/>
  <c r="L1052" i="66"/>
  <c r="K1052" i="66"/>
  <c r="L974" i="66"/>
  <c r="K974" i="66"/>
  <c r="K975" i="66"/>
  <c r="K977" i="66"/>
  <c r="K979" i="66"/>
  <c r="K981" i="66"/>
  <c r="K983" i="66"/>
  <c r="K985" i="66"/>
  <c r="K987" i="66"/>
  <c r="K989" i="66"/>
  <c r="K991" i="66"/>
  <c r="K993" i="66"/>
  <c r="K995" i="66"/>
  <c r="K997" i="66"/>
  <c r="K999" i="66"/>
  <c r="A1002" i="66"/>
  <c r="A1004" i="66"/>
  <c r="A1006" i="66"/>
  <c r="A1008" i="66"/>
  <c r="A1010" i="66"/>
  <c r="A1012" i="66"/>
  <c r="A1014" i="66"/>
  <c r="A1016" i="66"/>
  <c r="A1018" i="66"/>
  <c r="A1020" i="66"/>
  <c r="A1022" i="66"/>
  <c r="A1024" i="66"/>
  <c r="K1028" i="66"/>
  <c r="K1030" i="66"/>
  <c r="K1032" i="66"/>
  <c r="K1034" i="66"/>
  <c r="K1036" i="66"/>
  <c r="K1038" i="66"/>
  <c r="K1040" i="66"/>
  <c r="K1042" i="66"/>
  <c r="K1044" i="66"/>
  <c r="K1046" i="66"/>
  <c r="K1048" i="66"/>
  <c r="K1050" i="66"/>
  <c r="L975" i="66"/>
  <c r="K1000" i="66"/>
  <c r="E1026" i="66"/>
  <c r="A976" i="66"/>
  <c r="A978" i="66"/>
  <c r="A980" i="66"/>
  <c r="A982" i="66"/>
  <c r="A984" i="66"/>
  <c r="A986" i="66"/>
  <c r="A988" i="66"/>
  <c r="A990" i="66"/>
  <c r="A992" i="66"/>
  <c r="A994" i="66"/>
  <c r="A996" i="66"/>
  <c r="A998" i="66"/>
  <c r="A1027" i="66"/>
  <c r="A1029" i="66"/>
  <c r="A1031" i="66"/>
  <c r="A1033" i="66"/>
  <c r="A1035" i="66"/>
  <c r="A1037" i="66"/>
  <c r="A1039" i="66"/>
  <c r="A1041" i="66"/>
  <c r="A1043" i="66"/>
  <c r="A1045" i="66"/>
  <c r="A1047" i="66"/>
  <c r="A1049" i="66"/>
  <c r="A1051" i="66"/>
  <c r="K980" i="66"/>
  <c r="K984" i="66"/>
  <c r="K988" i="66"/>
  <c r="K990" i="66"/>
  <c r="K992" i="66"/>
  <c r="K994" i="66"/>
  <c r="K996" i="66"/>
  <c r="K998" i="66"/>
  <c r="K1027" i="66"/>
  <c r="K1029" i="66"/>
  <c r="K1031" i="66"/>
  <c r="K1033" i="66"/>
  <c r="K1035" i="66"/>
  <c r="K1037" i="66"/>
  <c r="K1039" i="66"/>
  <c r="K1041" i="66"/>
  <c r="K1043" i="66"/>
  <c r="K1045" i="66"/>
  <c r="K1047" i="66"/>
  <c r="K1049" i="66"/>
  <c r="K976" i="66"/>
  <c r="K978" i="66"/>
  <c r="K982" i="66"/>
  <c r="K986" i="66"/>
  <c r="L896" i="66"/>
  <c r="K896" i="66"/>
  <c r="L922" i="66"/>
  <c r="K922" i="66"/>
  <c r="A897" i="66"/>
  <c r="A899" i="66"/>
  <c r="A901" i="66"/>
  <c r="A903" i="66"/>
  <c r="A905" i="66"/>
  <c r="A907" i="66"/>
  <c r="A909" i="66"/>
  <c r="A911" i="66"/>
  <c r="A913" i="66"/>
  <c r="A915" i="66"/>
  <c r="A917" i="66"/>
  <c r="A919" i="66"/>
  <c r="A921" i="66"/>
  <c r="K923" i="66"/>
  <c r="A950" i="66"/>
  <c r="A952" i="66"/>
  <c r="A954" i="66"/>
  <c r="A956" i="66"/>
  <c r="A958" i="66"/>
  <c r="A960" i="66"/>
  <c r="A962" i="66"/>
  <c r="A964" i="66"/>
  <c r="A966" i="66"/>
  <c r="A968" i="66"/>
  <c r="A970" i="66"/>
  <c r="A972" i="66"/>
  <c r="K897" i="66"/>
  <c r="K899" i="66"/>
  <c r="K901" i="66"/>
  <c r="K903" i="66"/>
  <c r="K905" i="66"/>
  <c r="K907" i="66"/>
  <c r="K909" i="66"/>
  <c r="K911" i="66"/>
  <c r="K913" i="66"/>
  <c r="K915" i="66"/>
  <c r="K917" i="66"/>
  <c r="K919" i="66"/>
  <c r="K921" i="66"/>
  <c r="K950" i="66"/>
  <c r="K952" i="66"/>
  <c r="K954" i="66"/>
  <c r="K956" i="66"/>
  <c r="K958" i="66"/>
  <c r="K960" i="66"/>
  <c r="K962" i="66"/>
  <c r="K964" i="66"/>
  <c r="K966" i="66"/>
  <c r="K968" i="66"/>
  <c r="K970" i="66"/>
  <c r="K972" i="66"/>
  <c r="L897" i="66"/>
  <c r="E948" i="66"/>
  <c r="K924" i="66"/>
  <c r="K926" i="66"/>
  <c r="K928" i="66"/>
  <c r="K930" i="66"/>
  <c r="K932" i="66"/>
  <c r="K934" i="66"/>
  <c r="K936" i="66"/>
  <c r="K938" i="66"/>
  <c r="K940" i="66"/>
  <c r="K942" i="66"/>
  <c r="K944" i="66"/>
  <c r="K946" i="66"/>
  <c r="L818" i="66"/>
  <c r="K818" i="66"/>
  <c r="K820" i="66"/>
  <c r="K824" i="66"/>
  <c r="K828" i="66"/>
  <c r="K832" i="66"/>
  <c r="K836" i="66"/>
  <c r="K840" i="66"/>
  <c r="K842" i="66"/>
  <c r="K875" i="66"/>
  <c r="K879" i="66"/>
  <c r="K883" i="66"/>
  <c r="K893" i="66"/>
  <c r="A819" i="66"/>
  <c r="A821" i="66"/>
  <c r="A823" i="66"/>
  <c r="A825" i="66"/>
  <c r="A827" i="66"/>
  <c r="A829" i="66"/>
  <c r="A831" i="66"/>
  <c r="A833" i="66"/>
  <c r="A835" i="66"/>
  <c r="A837" i="66"/>
  <c r="A839" i="66"/>
  <c r="A841" i="66"/>
  <c r="A843" i="66"/>
  <c r="A872" i="66"/>
  <c r="A874" i="66"/>
  <c r="A876" i="66"/>
  <c r="A878" i="66"/>
  <c r="A880" i="66"/>
  <c r="A882" i="66"/>
  <c r="A884" i="66"/>
  <c r="A886" i="66"/>
  <c r="A888" i="66"/>
  <c r="A890" i="66"/>
  <c r="A892" i="66"/>
  <c r="A894" i="66"/>
  <c r="K821" i="66"/>
  <c r="K825" i="66"/>
  <c r="K829" i="66"/>
  <c r="K833" i="66"/>
  <c r="K837" i="66"/>
  <c r="K841" i="66"/>
  <c r="K843" i="66"/>
  <c r="K876" i="66"/>
  <c r="K819" i="66"/>
  <c r="K823" i="66"/>
  <c r="K827" i="66"/>
  <c r="K831" i="66"/>
  <c r="K835" i="66"/>
  <c r="K839" i="66"/>
  <c r="K872" i="66"/>
  <c r="K874" i="66"/>
  <c r="K878" i="66"/>
  <c r="K880" i="66"/>
  <c r="K882" i="66"/>
  <c r="K884" i="66"/>
  <c r="K886" i="66"/>
  <c r="K888" i="66"/>
  <c r="K890" i="66"/>
  <c r="K892" i="66"/>
  <c r="K894" i="66"/>
  <c r="L819" i="66"/>
  <c r="K844" i="66"/>
  <c r="E870" i="66"/>
  <c r="A820" i="66"/>
  <c r="A822" i="66"/>
  <c r="A824" i="66"/>
  <c r="A826" i="66"/>
  <c r="A828" i="66"/>
  <c r="A830" i="66"/>
  <c r="A832" i="66"/>
  <c r="A834" i="66"/>
  <c r="A836" i="66"/>
  <c r="A838" i="66"/>
  <c r="A840" i="66"/>
  <c r="A842" i="66"/>
  <c r="A871" i="66"/>
  <c r="A873" i="66"/>
  <c r="A875" i="66"/>
  <c r="A877" i="66"/>
  <c r="A879" i="66"/>
  <c r="A881" i="66"/>
  <c r="A883" i="66"/>
  <c r="A885" i="66"/>
  <c r="A887" i="66"/>
  <c r="A889" i="66"/>
  <c r="A891" i="66"/>
  <c r="A893" i="66"/>
  <c r="A895" i="66"/>
  <c r="K826" i="66"/>
  <c r="K838" i="66"/>
  <c r="K871" i="66"/>
  <c r="K822" i="66"/>
  <c r="K830" i="66"/>
  <c r="K834" i="66"/>
  <c r="K873" i="66"/>
  <c r="K877" i="66"/>
  <c r="K881" i="66"/>
  <c r="K885" i="66"/>
  <c r="K887" i="66"/>
  <c r="K889" i="66"/>
  <c r="K891" i="66"/>
  <c r="K895" i="66"/>
  <c r="K740" i="66"/>
  <c r="L740" i="66"/>
  <c r="L766" i="66"/>
  <c r="A741" i="66"/>
  <c r="A743" i="66"/>
  <c r="A745" i="66"/>
  <c r="A747" i="66"/>
  <c r="A749" i="66"/>
  <c r="A751" i="66"/>
  <c r="A753" i="66"/>
  <c r="A755" i="66"/>
  <c r="A757" i="66"/>
  <c r="A759" i="66"/>
  <c r="A761" i="66"/>
  <c r="A763" i="66"/>
  <c r="A765" i="66"/>
  <c r="K767" i="66"/>
  <c r="A794" i="66"/>
  <c r="A796" i="66"/>
  <c r="A798" i="66"/>
  <c r="A800" i="66"/>
  <c r="A802" i="66"/>
  <c r="A804" i="66"/>
  <c r="A806" i="66"/>
  <c r="A808" i="66"/>
  <c r="A810" i="66"/>
  <c r="A812" i="66"/>
  <c r="A814" i="66"/>
  <c r="A816" i="66"/>
  <c r="K743" i="66"/>
  <c r="K747" i="66"/>
  <c r="K751" i="66"/>
  <c r="K759" i="66"/>
  <c r="K763" i="66"/>
  <c r="K765" i="66"/>
  <c r="K796" i="66"/>
  <c r="K810" i="66"/>
  <c r="L741" i="66"/>
  <c r="L757" i="66"/>
  <c r="E792" i="66"/>
  <c r="L794" i="66"/>
  <c r="L798" i="66"/>
  <c r="L802" i="66"/>
  <c r="L806" i="66"/>
  <c r="L814" i="66"/>
  <c r="K741" i="66"/>
  <c r="K745" i="66"/>
  <c r="K749" i="66"/>
  <c r="K753" i="66"/>
  <c r="K761" i="66"/>
  <c r="K800" i="66"/>
  <c r="K804" i="66"/>
  <c r="K808" i="66"/>
  <c r="K812" i="66"/>
  <c r="K816" i="66"/>
  <c r="K768" i="66"/>
  <c r="K770" i="66"/>
  <c r="K772" i="66"/>
  <c r="K774" i="66"/>
  <c r="K776" i="66"/>
  <c r="K778" i="66"/>
  <c r="K780" i="66"/>
  <c r="K782" i="66"/>
  <c r="K784" i="66"/>
  <c r="K786" i="66"/>
  <c r="K788" i="66"/>
  <c r="K790" i="66"/>
  <c r="L662" i="66"/>
  <c r="K662" i="66"/>
  <c r="K663" i="66"/>
  <c r="K665" i="66"/>
  <c r="K667" i="66"/>
  <c r="K669" i="66"/>
  <c r="K671" i="66"/>
  <c r="K673" i="66"/>
  <c r="K675" i="66"/>
  <c r="K677" i="66"/>
  <c r="K679" i="66"/>
  <c r="K681" i="66"/>
  <c r="K683" i="66"/>
  <c r="K685" i="66"/>
  <c r="K687" i="66"/>
  <c r="A690" i="66"/>
  <c r="A692" i="66"/>
  <c r="A694" i="66"/>
  <c r="A696" i="66"/>
  <c r="A698" i="66"/>
  <c r="A700" i="66"/>
  <c r="A702" i="66"/>
  <c r="A704" i="66"/>
  <c r="A706" i="66"/>
  <c r="A708" i="66"/>
  <c r="A710" i="66"/>
  <c r="A712" i="66"/>
  <c r="K716" i="66"/>
  <c r="K718" i="66"/>
  <c r="K720" i="66"/>
  <c r="K722" i="66"/>
  <c r="K724" i="66"/>
  <c r="K726" i="66"/>
  <c r="K728" i="66"/>
  <c r="K730" i="66"/>
  <c r="K732" i="66"/>
  <c r="K734" i="66"/>
  <c r="K736" i="66"/>
  <c r="K738" i="66"/>
  <c r="L663" i="66"/>
  <c r="K692" i="66"/>
  <c r="K698" i="66"/>
  <c r="K704" i="66"/>
  <c r="K708" i="66"/>
  <c r="K712" i="66"/>
  <c r="E688" i="66"/>
  <c r="L690" i="66"/>
  <c r="L694" i="66"/>
  <c r="L696" i="66"/>
  <c r="L700" i="66"/>
  <c r="L702" i="66"/>
  <c r="L706" i="66"/>
  <c r="L710" i="66"/>
  <c r="E714" i="66"/>
  <c r="K664" i="66"/>
  <c r="K666" i="66"/>
  <c r="K668" i="66"/>
  <c r="K670" i="66"/>
  <c r="K672" i="66"/>
  <c r="K674" i="66"/>
  <c r="K676" i="66"/>
  <c r="K678" i="66"/>
  <c r="K680" i="66"/>
  <c r="K682" i="66"/>
  <c r="K684" i="66"/>
  <c r="K686" i="66"/>
  <c r="K715" i="66"/>
  <c r="K717" i="66"/>
  <c r="K719" i="66"/>
  <c r="K721" i="66"/>
  <c r="K723" i="66"/>
  <c r="K725" i="66"/>
  <c r="K727" i="66"/>
  <c r="K729" i="66"/>
  <c r="K731" i="66"/>
  <c r="K733" i="66"/>
  <c r="K735" i="66"/>
  <c r="K737" i="66"/>
  <c r="K739" i="66"/>
  <c r="S10" i="69"/>
  <c r="P12" i="66" l="1"/>
  <c r="L1026" i="66"/>
  <c r="K1026" i="66"/>
  <c r="L948" i="66"/>
  <c r="K948" i="66"/>
  <c r="L870" i="66"/>
  <c r="K870" i="66"/>
  <c r="L792" i="66"/>
  <c r="K792" i="66"/>
  <c r="L714" i="66"/>
  <c r="K714" i="66"/>
  <c r="K688" i="66"/>
  <c r="L688" i="66"/>
  <c r="B109" i="48"/>
  <c r="B107" i="48"/>
  <c r="G15" i="4"/>
  <c r="F16" i="4"/>
  <c r="C109" i="48" s="1"/>
  <c r="F15" i="4"/>
  <c r="C107" i="48" s="1"/>
  <c r="P14" i="66" l="1"/>
  <c r="P13" i="66"/>
  <c r="A314" i="69"/>
  <c r="A313" i="69"/>
  <c r="A312" i="69"/>
  <c r="A311" i="69"/>
  <c r="A310" i="69"/>
  <c r="A309" i="69"/>
  <c r="A308" i="69"/>
  <c r="A307" i="69"/>
  <c r="A306" i="69"/>
  <c r="A305" i="69"/>
  <c r="A304" i="69"/>
  <c r="A303" i="69"/>
  <c r="A302" i="69"/>
  <c r="A301" i="69"/>
  <c r="A300" i="69"/>
  <c r="A299" i="69"/>
  <c r="A298" i="69"/>
  <c r="A297" i="69"/>
  <c r="A296" i="69"/>
  <c r="A295" i="69"/>
  <c r="A294" i="69"/>
  <c r="A293" i="69"/>
  <c r="A292" i="69"/>
  <c r="A291" i="69"/>
  <c r="A290" i="69"/>
  <c r="A289" i="69"/>
  <c r="A288" i="69"/>
  <c r="A287" i="69"/>
  <c r="A286" i="69"/>
  <c r="A285" i="69"/>
  <c r="A284" i="69"/>
  <c r="A283" i="69"/>
  <c r="A282" i="69"/>
  <c r="A281" i="69"/>
  <c r="A280" i="69"/>
  <c r="A279" i="69"/>
  <c r="A278" i="69"/>
  <c r="A277" i="69"/>
  <c r="A276" i="69"/>
  <c r="A275" i="69"/>
  <c r="A274" i="69"/>
  <c r="A273" i="69"/>
  <c r="A272" i="69"/>
  <c r="A271" i="69"/>
  <c r="A270" i="69"/>
  <c r="A269" i="69"/>
  <c r="A268" i="69"/>
  <c r="A267" i="69"/>
  <c r="A266" i="69"/>
  <c r="A265" i="69"/>
  <c r="A264" i="69"/>
  <c r="A263" i="69"/>
  <c r="A262" i="69"/>
  <c r="A261" i="69"/>
  <c r="A260" i="69"/>
  <c r="A259" i="69"/>
  <c r="A258" i="69"/>
  <c r="A257" i="69"/>
  <c r="A256" i="69"/>
  <c r="A255" i="69"/>
  <c r="A254" i="69"/>
  <c r="A253" i="69"/>
  <c r="A252" i="69"/>
  <c r="A251" i="69"/>
  <c r="A250" i="69"/>
  <c r="A249" i="69"/>
  <c r="A248" i="69"/>
  <c r="A247" i="69"/>
  <c r="A246" i="69"/>
  <c r="A245" i="69"/>
  <c r="A244" i="69"/>
  <c r="A243" i="69"/>
  <c r="A242" i="69"/>
  <c r="A241" i="69"/>
  <c r="A240" i="69"/>
  <c r="A239" i="69"/>
  <c r="A238" i="69"/>
  <c r="A237" i="69"/>
  <c r="A236" i="69"/>
  <c r="A235" i="69"/>
  <c r="A234" i="69"/>
  <c r="A233" i="69"/>
  <c r="A232" i="69"/>
  <c r="A231" i="69"/>
  <c r="A230" i="69"/>
  <c r="A229" i="69"/>
  <c r="A228" i="69"/>
  <c r="A227" i="69"/>
  <c r="A226" i="69"/>
  <c r="A225" i="69"/>
  <c r="A224" i="69"/>
  <c r="A223" i="69"/>
  <c r="A222" i="69"/>
  <c r="A221" i="69"/>
  <c r="A220" i="69"/>
  <c r="A219" i="69"/>
  <c r="A218" i="69"/>
  <c r="A217" i="69"/>
  <c r="A216" i="69"/>
  <c r="A215" i="69"/>
  <c r="A214" i="69"/>
  <c r="A213" i="69"/>
  <c r="A212" i="69"/>
  <c r="A211" i="69"/>
  <c r="A210" i="69"/>
  <c r="A209" i="69"/>
  <c r="A208" i="69"/>
  <c r="A207" i="69"/>
  <c r="A206" i="69"/>
  <c r="A205" i="69"/>
  <c r="A204" i="69"/>
  <c r="A203" i="69"/>
  <c r="A202" i="69"/>
  <c r="A201" i="69"/>
  <c r="A200" i="69"/>
  <c r="A199" i="69"/>
  <c r="A198" i="69"/>
  <c r="A197" i="69"/>
  <c r="A196" i="69"/>
  <c r="A195" i="69"/>
  <c r="A194" i="69"/>
  <c r="A193" i="69"/>
  <c r="A192" i="69"/>
  <c r="A191" i="69"/>
  <c r="A190" i="69"/>
  <c r="A189" i="69"/>
  <c r="A188" i="69"/>
  <c r="A187" i="69"/>
  <c r="A186" i="69"/>
  <c r="A185" i="69"/>
  <c r="A184" i="69"/>
  <c r="A183" i="69"/>
  <c r="A182" i="69"/>
  <c r="A181" i="69"/>
  <c r="A180" i="69"/>
  <c r="A179" i="69"/>
  <c r="A178" i="69"/>
  <c r="A177" i="69"/>
  <c r="A176" i="69"/>
  <c r="A175" i="69"/>
  <c r="A174" i="69"/>
  <c r="A173" i="69"/>
  <c r="A172" i="69"/>
  <c r="B171" i="69"/>
  <c r="B172" i="69" s="1"/>
  <c r="B173" i="69" s="1"/>
  <c r="B174" i="69" s="1"/>
  <c r="B175" i="69" s="1"/>
  <c r="B176" i="69" s="1"/>
  <c r="B177" i="69" s="1"/>
  <c r="B178" i="69" s="1"/>
  <c r="B179" i="69" s="1"/>
  <c r="B180" i="69" s="1"/>
  <c r="B181" i="69" s="1"/>
  <c r="B182" i="69" s="1"/>
  <c r="B183" i="69" s="1"/>
  <c r="B184" i="69" s="1"/>
  <c r="B185" i="69" s="1"/>
  <c r="B186" i="69" s="1"/>
  <c r="B187" i="69" s="1"/>
  <c r="B188" i="69" s="1"/>
  <c r="B189" i="69" s="1"/>
  <c r="B190" i="69" s="1"/>
  <c r="B191" i="69" s="1"/>
  <c r="B192" i="69" s="1"/>
  <c r="B193" i="69" s="1"/>
  <c r="B194" i="69" s="1"/>
  <c r="B195" i="69" s="1"/>
  <c r="B196" i="69" s="1"/>
  <c r="B197" i="69" s="1"/>
  <c r="B198" i="69" s="1"/>
  <c r="B199" i="69" s="1"/>
  <c r="B200" i="69" s="1"/>
  <c r="B201" i="69" s="1"/>
  <c r="B202" i="69" s="1"/>
  <c r="B203" i="69" s="1"/>
  <c r="B204" i="69" s="1"/>
  <c r="B205" i="69" s="1"/>
  <c r="B206" i="69" s="1"/>
  <c r="B207" i="69" s="1"/>
  <c r="B208" i="69" s="1"/>
  <c r="B209" i="69" s="1"/>
  <c r="B210" i="69" s="1"/>
  <c r="B211" i="69" s="1"/>
  <c r="B212" i="69" s="1"/>
  <c r="B213" i="69" s="1"/>
  <c r="B214" i="69" s="1"/>
  <c r="B215" i="69" s="1"/>
  <c r="B216" i="69" s="1"/>
  <c r="B217" i="69" s="1"/>
  <c r="B218" i="69" s="1"/>
  <c r="B219" i="69" s="1"/>
  <c r="B220" i="69" s="1"/>
  <c r="B221" i="69" s="1"/>
  <c r="B222" i="69" s="1"/>
  <c r="B223" i="69" s="1"/>
  <c r="B224" i="69" s="1"/>
  <c r="B225" i="69" s="1"/>
  <c r="B226" i="69" s="1"/>
  <c r="B227" i="69" s="1"/>
  <c r="B228" i="69" s="1"/>
  <c r="B229" i="69" s="1"/>
  <c r="B230" i="69" s="1"/>
  <c r="B231" i="69" s="1"/>
  <c r="B232" i="69" s="1"/>
  <c r="B233" i="69" s="1"/>
  <c r="B234" i="69" s="1"/>
  <c r="B235" i="69" s="1"/>
  <c r="B236" i="69" s="1"/>
  <c r="B237" i="69" s="1"/>
  <c r="B238" i="69" s="1"/>
  <c r="B239" i="69" s="1"/>
  <c r="B240" i="69" s="1"/>
  <c r="B241" i="69" s="1"/>
  <c r="B242" i="69" s="1"/>
  <c r="B243" i="69" s="1"/>
  <c r="B244" i="69" s="1"/>
  <c r="B245" i="69" s="1"/>
  <c r="B246" i="69" s="1"/>
  <c r="B247" i="69" s="1"/>
  <c r="B248" i="69" s="1"/>
  <c r="B249" i="69" s="1"/>
  <c r="B250" i="69" s="1"/>
  <c r="B251" i="69" s="1"/>
  <c r="B252" i="69" s="1"/>
  <c r="B253" i="69" s="1"/>
  <c r="B254" i="69" s="1"/>
  <c r="B255" i="69" s="1"/>
  <c r="B256" i="69" s="1"/>
  <c r="B257" i="69" s="1"/>
  <c r="B258" i="69" s="1"/>
  <c r="B259" i="69" s="1"/>
  <c r="B260" i="69" s="1"/>
  <c r="B261" i="69" s="1"/>
  <c r="B262" i="69" s="1"/>
  <c r="B263" i="69" s="1"/>
  <c r="B264" i="69" s="1"/>
  <c r="B265" i="69" s="1"/>
  <c r="B266" i="69" s="1"/>
  <c r="B267" i="69" s="1"/>
  <c r="B268" i="69" s="1"/>
  <c r="B269" i="69" s="1"/>
  <c r="B270" i="69" s="1"/>
  <c r="B271" i="69" s="1"/>
  <c r="B272" i="69" s="1"/>
  <c r="B273" i="69" s="1"/>
  <c r="B274" i="69" s="1"/>
  <c r="B275" i="69" s="1"/>
  <c r="B276" i="69" s="1"/>
  <c r="B277" i="69" s="1"/>
  <c r="B278" i="69" s="1"/>
  <c r="B279" i="69" s="1"/>
  <c r="B280" i="69" s="1"/>
  <c r="B281" i="69" s="1"/>
  <c r="B282" i="69" s="1"/>
  <c r="B283" i="69" s="1"/>
  <c r="B284" i="69" s="1"/>
  <c r="B285" i="69" s="1"/>
  <c r="B286" i="69" s="1"/>
  <c r="B287" i="69" s="1"/>
  <c r="B288" i="69" s="1"/>
  <c r="B289" i="69" s="1"/>
  <c r="B290" i="69" s="1"/>
  <c r="B291" i="69" s="1"/>
  <c r="B292" i="69" s="1"/>
  <c r="B293" i="69" s="1"/>
  <c r="B294" i="69" s="1"/>
  <c r="B295" i="69" s="1"/>
  <c r="B296" i="69" s="1"/>
  <c r="B297" i="69" s="1"/>
  <c r="B298" i="69" s="1"/>
  <c r="B299" i="69" s="1"/>
  <c r="B300" i="69" s="1"/>
  <c r="B301" i="69" s="1"/>
  <c r="B302" i="69" s="1"/>
  <c r="B303" i="69" s="1"/>
  <c r="B304" i="69" s="1"/>
  <c r="B305" i="69" s="1"/>
  <c r="B306" i="69" s="1"/>
  <c r="B307" i="69" s="1"/>
  <c r="B308" i="69" s="1"/>
  <c r="B309" i="69" s="1"/>
  <c r="B310" i="69" s="1"/>
  <c r="B311" i="69" s="1"/>
  <c r="B312" i="69" s="1"/>
  <c r="B313" i="69" s="1"/>
  <c r="A171" i="69"/>
  <c r="A170" i="69"/>
  <c r="A169" i="69"/>
  <c r="A168" i="69"/>
  <c r="A167" i="69"/>
  <c r="A166" i="69"/>
  <c r="A165" i="69"/>
  <c r="A164" i="69"/>
  <c r="A163" i="69"/>
  <c r="A162" i="69"/>
  <c r="A161" i="69"/>
  <c r="A160" i="69"/>
  <c r="A159" i="69"/>
  <c r="A158" i="69"/>
  <c r="A157" i="69"/>
  <c r="A156" i="69"/>
  <c r="A155" i="69"/>
  <c r="A154" i="69"/>
  <c r="A153" i="69"/>
  <c r="A152" i="69"/>
  <c r="A151" i="69"/>
  <c r="A150" i="69"/>
  <c r="A149" i="69"/>
  <c r="A148" i="69"/>
  <c r="A147" i="69"/>
  <c r="A146" i="69"/>
  <c r="A145" i="69"/>
  <c r="A144" i="69"/>
  <c r="A143" i="69"/>
  <c r="A142" i="69"/>
  <c r="A141" i="69"/>
  <c r="A140" i="69"/>
  <c r="A139" i="69"/>
  <c r="A138" i="69"/>
  <c r="A137" i="69"/>
  <c r="A136" i="69"/>
  <c r="A135" i="69"/>
  <c r="A134" i="69"/>
  <c r="A133" i="69"/>
  <c r="A132" i="69"/>
  <c r="A131" i="69"/>
  <c r="A130" i="69"/>
  <c r="A129" i="69"/>
  <c r="A128" i="69"/>
  <c r="A127" i="69"/>
  <c r="A126" i="69"/>
  <c r="A125" i="69"/>
  <c r="A124" i="69"/>
  <c r="A123" i="69"/>
  <c r="A122" i="69"/>
  <c r="A121" i="69"/>
  <c r="A120" i="69"/>
  <c r="A119" i="69"/>
  <c r="A118" i="69"/>
  <c r="A117" i="69"/>
  <c r="A116" i="69"/>
  <c r="A115" i="69"/>
  <c r="A114" i="69"/>
  <c r="A113" i="69"/>
  <c r="A112" i="69"/>
  <c r="A111" i="69"/>
  <c r="A110" i="69"/>
  <c r="A109" i="69"/>
  <c r="A108" i="69"/>
  <c r="A107" i="69"/>
  <c r="A106" i="69"/>
  <c r="A105" i="69"/>
  <c r="A104" i="69"/>
  <c r="A103" i="69"/>
  <c r="A102" i="69"/>
  <c r="A101" i="69"/>
  <c r="A100" i="69"/>
  <c r="A99" i="69"/>
  <c r="A98" i="69"/>
  <c r="A97" i="69"/>
  <c r="A96" i="69"/>
  <c r="A95" i="69"/>
  <c r="A94" i="69"/>
  <c r="A93" i="69"/>
  <c r="A92" i="69"/>
  <c r="A91" i="69"/>
  <c r="A90" i="69"/>
  <c r="A89" i="69"/>
  <c r="A88" i="69"/>
  <c r="A87" i="69"/>
  <c r="A86" i="69"/>
  <c r="A85" i="69"/>
  <c r="A84" i="69"/>
  <c r="A83" i="69"/>
  <c r="A82" i="69"/>
  <c r="A81" i="69"/>
  <c r="A80" i="69"/>
  <c r="A79" i="69"/>
  <c r="A78" i="69"/>
  <c r="A77" i="69"/>
  <c r="AW76" i="69"/>
  <c r="A76" i="69"/>
  <c r="AW75" i="69"/>
  <c r="A75" i="69"/>
  <c r="AW74" i="69"/>
  <c r="A74" i="69"/>
  <c r="AW73" i="69"/>
  <c r="A73" i="69"/>
  <c r="AW72" i="69"/>
  <c r="A72" i="69"/>
  <c r="AW71" i="69"/>
  <c r="A71" i="69"/>
  <c r="AW70" i="69"/>
  <c r="A70" i="69"/>
  <c r="AW69" i="69"/>
  <c r="A69" i="69"/>
  <c r="AW68" i="69"/>
  <c r="A68" i="69"/>
  <c r="AW67" i="69"/>
  <c r="A67" i="69"/>
  <c r="AW66" i="69"/>
  <c r="A66" i="69"/>
  <c r="AW65" i="69"/>
  <c r="A65" i="69"/>
  <c r="AW64" i="69"/>
  <c r="A64" i="69"/>
  <c r="AW63" i="69"/>
  <c r="AW62" i="69"/>
  <c r="AW61" i="69"/>
  <c r="AW60" i="69"/>
  <c r="AW59" i="69"/>
  <c r="AW58" i="69"/>
  <c r="AW57" i="69"/>
  <c r="AW56" i="69"/>
  <c r="AW55" i="69"/>
  <c r="AW54" i="69"/>
  <c r="AW53" i="69"/>
  <c r="AW52" i="69"/>
  <c r="AW51" i="69"/>
  <c r="AW50" i="69"/>
  <c r="AW49" i="69"/>
  <c r="AW48" i="69"/>
  <c r="AW47" i="69"/>
  <c r="AW46" i="69"/>
  <c r="AW45" i="69"/>
  <c r="AW44" i="69"/>
  <c r="AW43" i="69"/>
  <c r="AW42" i="69"/>
  <c r="AW41" i="69"/>
  <c r="AW40" i="69"/>
  <c r="AW39" i="69"/>
  <c r="AW38" i="69"/>
  <c r="AW37" i="69"/>
  <c r="AW36" i="69"/>
  <c r="AW35" i="69"/>
  <c r="AW34" i="69"/>
  <c r="AW33" i="69"/>
  <c r="AW32" i="69"/>
  <c r="AW31" i="69"/>
  <c r="AW30" i="69"/>
  <c r="AW29" i="69"/>
  <c r="AW28" i="69"/>
  <c r="AW27" i="69"/>
  <c r="AW26" i="69"/>
  <c r="AW25" i="69"/>
  <c r="AW24" i="69"/>
  <c r="AW23" i="69"/>
  <c r="AW22" i="69"/>
  <c r="AW21" i="69"/>
  <c r="AW20" i="69"/>
  <c r="AW19" i="69"/>
  <c r="AW18" i="69"/>
  <c r="AW17" i="69"/>
  <c r="B17" i="69"/>
  <c r="B18" i="69" s="1"/>
  <c r="B19" i="69" s="1"/>
  <c r="B20" i="69" s="1"/>
  <c r="B21" i="69" s="1"/>
  <c r="B22" i="69" s="1"/>
  <c r="B23" i="69" s="1"/>
  <c r="B24" i="69" s="1"/>
  <c r="B25" i="69" s="1"/>
  <c r="B26" i="69" s="1"/>
  <c r="B27" i="69" s="1"/>
  <c r="B28" i="69" s="1"/>
  <c r="B29" i="69" s="1"/>
  <c r="B30" i="69" s="1"/>
  <c r="B31" i="69" s="1"/>
  <c r="B32" i="69" s="1"/>
  <c r="B33" i="69" s="1"/>
  <c r="B34" i="69" s="1"/>
  <c r="B35" i="69" s="1"/>
  <c r="B36" i="69" s="1"/>
  <c r="B37" i="69" s="1"/>
  <c r="B38" i="69" s="1"/>
  <c r="B39" i="69" s="1"/>
  <c r="B40" i="69" s="1"/>
  <c r="B41" i="69" s="1"/>
  <c r="B42" i="69" s="1"/>
  <c r="B43" i="69" s="1"/>
  <c r="B44" i="69" s="1"/>
  <c r="B45" i="69" s="1"/>
  <c r="B46" i="69" s="1"/>
  <c r="B47" i="69" s="1"/>
  <c r="B48" i="69" s="1"/>
  <c r="B49" i="69" s="1"/>
  <c r="B50" i="69" s="1"/>
  <c r="B51" i="69" s="1"/>
  <c r="B52" i="69" s="1"/>
  <c r="B53" i="69" s="1"/>
  <c r="B54" i="69" s="1"/>
  <c r="B55" i="69" s="1"/>
  <c r="B56" i="69" s="1"/>
  <c r="B57" i="69" s="1"/>
  <c r="B58" i="69" s="1"/>
  <c r="B59" i="69" s="1"/>
  <c r="B60" i="69" s="1"/>
  <c r="B61" i="69" s="1"/>
  <c r="B62" i="69" s="1"/>
  <c r="B63" i="69" s="1"/>
  <c r="B64" i="69" s="1"/>
  <c r="B65" i="69" s="1"/>
  <c r="B66" i="69" s="1"/>
  <c r="B67" i="69" s="1"/>
  <c r="B68" i="69" s="1"/>
  <c r="B69" i="69" s="1"/>
  <c r="B70" i="69" s="1"/>
  <c r="B71" i="69" s="1"/>
  <c r="B72" i="69" s="1"/>
  <c r="B73" i="69" s="1"/>
  <c r="B74" i="69" s="1"/>
  <c r="B75" i="69" s="1"/>
  <c r="B76" i="69" s="1"/>
  <c r="B77" i="69" s="1"/>
  <c r="B78" i="69" s="1"/>
  <c r="B79" i="69" s="1"/>
  <c r="B80" i="69" s="1"/>
  <c r="B81" i="69" s="1"/>
  <c r="B82" i="69" s="1"/>
  <c r="B83" i="69" s="1"/>
  <c r="B84" i="69" s="1"/>
  <c r="B85" i="69" s="1"/>
  <c r="B86" i="69" s="1"/>
  <c r="B87" i="69" s="1"/>
  <c r="B88" i="69" s="1"/>
  <c r="B89" i="69" s="1"/>
  <c r="B90" i="69" s="1"/>
  <c r="B91" i="69" s="1"/>
  <c r="B92" i="69" s="1"/>
  <c r="B93" i="69" s="1"/>
  <c r="B94" i="69" s="1"/>
  <c r="B95" i="69" s="1"/>
  <c r="B96" i="69" s="1"/>
  <c r="B97" i="69" s="1"/>
  <c r="B98" i="69" s="1"/>
  <c r="B99" i="69" s="1"/>
  <c r="B100" i="69" s="1"/>
  <c r="B101" i="69" s="1"/>
  <c r="B102" i="69" s="1"/>
  <c r="B103" i="69" s="1"/>
  <c r="B104" i="69" s="1"/>
  <c r="B105" i="69" s="1"/>
  <c r="B106" i="69" s="1"/>
  <c r="B107" i="69" s="1"/>
  <c r="B108" i="69" s="1"/>
  <c r="B109" i="69" s="1"/>
  <c r="B110" i="69" s="1"/>
  <c r="B111" i="69" s="1"/>
  <c r="B112" i="69" s="1"/>
  <c r="B113" i="69" s="1"/>
  <c r="B114" i="69" s="1"/>
  <c r="B115" i="69" s="1"/>
  <c r="B116" i="69" s="1"/>
  <c r="B117" i="69" s="1"/>
  <c r="B118" i="69" s="1"/>
  <c r="B119" i="69" s="1"/>
  <c r="B120" i="69" s="1"/>
  <c r="B121" i="69" s="1"/>
  <c r="B122" i="69" s="1"/>
  <c r="B123" i="69" s="1"/>
  <c r="B124" i="69" s="1"/>
  <c r="B125" i="69" s="1"/>
  <c r="B126" i="69" s="1"/>
  <c r="B127" i="69" s="1"/>
  <c r="B128" i="69" s="1"/>
  <c r="B129" i="69" s="1"/>
  <c r="B130" i="69" s="1"/>
  <c r="B131" i="69" s="1"/>
  <c r="B132" i="69" s="1"/>
  <c r="B133" i="69" s="1"/>
  <c r="B134" i="69" s="1"/>
  <c r="B135" i="69" s="1"/>
  <c r="B136" i="69" s="1"/>
  <c r="B137" i="69" s="1"/>
  <c r="B138" i="69" s="1"/>
  <c r="B139" i="69" s="1"/>
  <c r="B140" i="69" s="1"/>
  <c r="B141" i="69" s="1"/>
  <c r="B142" i="69" s="1"/>
  <c r="B143" i="69" s="1"/>
  <c r="B144" i="69" s="1"/>
  <c r="B145" i="69" s="1"/>
  <c r="B146" i="69" s="1"/>
  <c r="B147" i="69" s="1"/>
  <c r="B148" i="69" s="1"/>
  <c r="B149" i="69" s="1"/>
  <c r="B150" i="69" s="1"/>
  <c r="B151" i="69" s="1"/>
  <c r="B152" i="69" s="1"/>
  <c r="B153" i="69" s="1"/>
  <c r="B154" i="69" s="1"/>
  <c r="B155" i="69" s="1"/>
  <c r="B156" i="69" s="1"/>
  <c r="B157" i="69" s="1"/>
  <c r="B158" i="69" s="1"/>
  <c r="B159" i="69" s="1"/>
  <c r="B160" i="69" s="1"/>
  <c r="B161" i="69" s="1"/>
  <c r="B162" i="69" s="1"/>
  <c r="B163" i="69" s="1"/>
  <c r="B164" i="69" s="1"/>
  <c r="B165" i="69" s="1"/>
  <c r="B166" i="69" s="1"/>
  <c r="B167" i="69" s="1"/>
  <c r="B168" i="69" s="1"/>
  <c r="B169" i="69" s="1"/>
  <c r="B170" i="69" s="1"/>
  <c r="AW16" i="69"/>
  <c r="B16" i="69"/>
  <c r="AW15" i="69"/>
  <c r="B15" i="69"/>
  <c r="AW14" i="69"/>
  <c r="AW13" i="69"/>
  <c r="S13" i="69"/>
  <c r="M13" i="69"/>
  <c r="E8" i="69"/>
  <c r="B1" i="69" s="1"/>
  <c r="E661" i="66"/>
  <c r="E660" i="66"/>
  <c r="A660" i="66" s="1"/>
  <c r="E659" i="66"/>
  <c r="E658" i="66"/>
  <c r="A658" i="66" s="1"/>
  <c r="E657" i="66"/>
  <c r="A657" i="66" s="1"/>
  <c r="E656" i="66"/>
  <c r="L656" i="66" s="1"/>
  <c r="E655" i="66"/>
  <c r="A655" i="66" s="1"/>
  <c r="E654" i="66"/>
  <c r="K654" i="66" s="1"/>
  <c r="E653" i="66"/>
  <c r="L653" i="66" s="1"/>
  <c r="E652" i="66"/>
  <c r="A652" i="66" s="1"/>
  <c r="E651" i="66"/>
  <c r="E650" i="66"/>
  <c r="A650" i="66" s="1"/>
  <c r="E649" i="66"/>
  <c r="K649" i="66" s="1"/>
  <c r="E648" i="66"/>
  <c r="L648" i="66" s="1"/>
  <c r="E647" i="66"/>
  <c r="K647" i="66" s="1"/>
  <c r="E646" i="66"/>
  <c r="K646" i="66" s="1"/>
  <c r="A646" i="66"/>
  <c r="E645" i="66"/>
  <c r="E644" i="66"/>
  <c r="A644" i="66" s="1"/>
  <c r="E643" i="66"/>
  <c r="K643" i="66" s="1"/>
  <c r="E642" i="66"/>
  <c r="L642" i="66" s="1"/>
  <c r="E641" i="66"/>
  <c r="E640" i="66"/>
  <c r="L640" i="66" s="1"/>
  <c r="A640" i="66"/>
  <c r="E639" i="66"/>
  <c r="K639" i="66" s="1"/>
  <c r="E638" i="66"/>
  <c r="K638" i="66" s="1"/>
  <c r="E637" i="66"/>
  <c r="L637" i="66" s="1"/>
  <c r="M636" i="66"/>
  <c r="J636" i="66"/>
  <c r="I636" i="66"/>
  <c r="H636" i="66"/>
  <c r="G636" i="66"/>
  <c r="F636" i="66"/>
  <c r="E635" i="66"/>
  <c r="E634" i="66"/>
  <c r="A634" i="66" s="1"/>
  <c r="E633" i="66"/>
  <c r="K633" i="66" s="1"/>
  <c r="E632" i="66"/>
  <c r="A632" i="66" s="1"/>
  <c r="E631" i="66"/>
  <c r="E630" i="66"/>
  <c r="A630" i="66" s="1"/>
  <c r="E629" i="66"/>
  <c r="K629" i="66" s="1"/>
  <c r="E628" i="66"/>
  <c r="E627" i="66"/>
  <c r="E626" i="66"/>
  <c r="E625" i="66"/>
  <c r="E624" i="66"/>
  <c r="A624" i="66" s="1"/>
  <c r="E623" i="66"/>
  <c r="E622" i="66"/>
  <c r="L622" i="66" s="1"/>
  <c r="E621" i="66"/>
  <c r="K621" i="66" s="1"/>
  <c r="E620" i="66"/>
  <c r="K620" i="66" s="1"/>
  <c r="E619" i="66"/>
  <c r="E618" i="66"/>
  <c r="A618" i="66" s="1"/>
  <c r="E617" i="66"/>
  <c r="K617" i="66" s="1"/>
  <c r="E616" i="66"/>
  <c r="A616" i="66" s="1"/>
  <c r="E615" i="66"/>
  <c r="E614" i="66"/>
  <c r="A614" i="66" s="1"/>
  <c r="E613" i="66"/>
  <c r="K613" i="66" s="1"/>
  <c r="E612" i="66"/>
  <c r="L612" i="66" s="1"/>
  <c r="E611" i="66"/>
  <c r="K611" i="66" s="1"/>
  <c r="M610" i="66"/>
  <c r="J610" i="66"/>
  <c r="I610" i="66"/>
  <c r="H610" i="66"/>
  <c r="G610" i="66"/>
  <c r="F610" i="66"/>
  <c r="E609" i="66"/>
  <c r="L609" i="66" s="1"/>
  <c r="E608" i="66"/>
  <c r="E607" i="66"/>
  <c r="L607" i="66" s="1"/>
  <c r="E606" i="66"/>
  <c r="K606" i="66" s="1"/>
  <c r="E605" i="66"/>
  <c r="K605" i="66" s="1"/>
  <c r="E604" i="66"/>
  <c r="L604" i="66" s="1"/>
  <c r="E603" i="66"/>
  <c r="A603" i="66" s="1"/>
  <c r="E602" i="66"/>
  <c r="A602" i="66" s="1"/>
  <c r="E601" i="66"/>
  <c r="L601" i="66" s="1"/>
  <c r="E600" i="66"/>
  <c r="K600" i="66" s="1"/>
  <c r="E599" i="66"/>
  <c r="E598" i="66"/>
  <c r="A598" i="66" s="1"/>
  <c r="E597" i="66"/>
  <c r="L597" i="66" s="1"/>
  <c r="E596" i="66"/>
  <c r="K596" i="66" s="1"/>
  <c r="E595" i="66"/>
  <c r="K595" i="66" s="1"/>
  <c r="A595" i="66"/>
  <c r="E594" i="66"/>
  <c r="L594" i="66" s="1"/>
  <c r="E593" i="66"/>
  <c r="A593" i="66" s="1"/>
  <c r="E592" i="66"/>
  <c r="A592" i="66" s="1"/>
  <c r="E591" i="66"/>
  <c r="L591" i="66" s="1"/>
  <c r="E590" i="66"/>
  <c r="E589" i="66"/>
  <c r="L589" i="66" s="1"/>
  <c r="E588" i="66"/>
  <c r="K588" i="66" s="1"/>
  <c r="E587" i="66"/>
  <c r="K587" i="66" s="1"/>
  <c r="E586" i="66"/>
  <c r="L586" i="66" s="1"/>
  <c r="E585" i="66"/>
  <c r="A585" i="66" s="1"/>
  <c r="M584" i="66"/>
  <c r="J584" i="66"/>
  <c r="I584" i="66"/>
  <c r="H584" i="66"/>
  <c r="G584" i="66"/>
  <c r="F584" i="66"/>
  <c r="E583" i="66"/>
  <c r="K583" i="66" s="1"/>
  <c r="E582" i="66"/>
  <c r="E581" i="66"/>
  <c r="E580" i="66"/>
  <c r="E579" i="66"/>
  <c r="E578" i="66"/>
  <c r="E577" i="66"/>
  <c r="E576" i="66"/>
  <c r="K576" i="66" s="1"/>
  <c r="E575" i="66"/>
  <c r="E574" i="66"/>
  <c r="E573" i="66"/>
  <c r="A573" i="66" s="1"/>
  <c r="E572" i="66"/>
  <c r="E571" i="66"/>
  <c r="E570" i="66"/>
  <c r="E569" i="66"/>
  <c r="L569" i="66" s="1"/>
  <c r="E568" i="66"/>
  <c r="K568" i="66" s="1"/>
  <c r="E567" i="66"/>
  <c r="E566" i="66"/>
  <c r="K566" i="66" s="1"/>
  <c r="E565" i="66"/>
  <c r="E564" i="66"/>
  <c r="E563" i="66"/>
  <c r="A563" i="66" s="1"/>
  <c r="E562" i="66"/>
  <c r="E561" i="66"/>
  <c r="L561" i="66" s="1"/>
  <c r="E560" i="66"/>
  <c r="K560" i="66" s="1"/>
  <c r="E559" i="66"/>
  <c r="A559" i="66" s="1"/>
  <c r="M558" i="66"/>
  <c r="J558" i="66"/>
  <c r="I558" i="66"/>
  <c r="H558" i="66"/>
  <c r="G558" i="66"/>
  <c r="F558" i="66"/>
  <c r="E557" i="66"/>
  <c r="E556" i="66"/>
  <c r="A556" i="66" s="1"/>
  <c r="E555" i="66"/>
  <c r="A555" i="66" s="1"/>
  <c r="E554" i="66"/>
  <c r="A554" i="66" s="1"/>
  <c r="E553" i="66"/>
  <c r="A553" i="66"/>
  <c r="E552" i="66"/>
  <c r="A552" i="66" s="1"/>
  <c r="E551" i="66"/>
  <c r="K551" i="66" s="1"/>
  <c r="E550" i="66"/>
  <c r="L550" i="66" s="1"/>
  <c r="E549" i="66"/>
  <c r="E548" i="66"/>
  <c r="L548" i="66" s="1"/>
  <c r="E547" i="66"/>
  <c r="L547" i="66" s="1"/>
  <c r="E546" i="66"/>
  <c r="A546" i="66" s="1"/>
  <c r="E545" i="66"/>
  <c r="A545" i="66" s="1"/>
  <c r="E544" i="66"/>
  <c r="A544" i="66" s="1"/>
  <c r="E543" i="66"/>
  <c r="K543" i="66" s="1"/>
  <c r="E542" i="66"/>
  <c r="L542" i="66" s="1"/>
  <c r="E541" i="66"/>
  <c r="E540" i="66"/>
  <c r="L540" i="66" s="1"/>
  <c r="E539" i="66"/>
  <c r="K539" i="66" s="1"/>
  <c r="E538" i="66"/>
  <c r="K538" i="66" s="1"/>
  <c r="E537" i="66"/>
  <c r="L537" i="66" s="1"/>
  <c r="E536" i="66"/>
  <c r="A536" i="66" s="1"/>
  <c r="E535" i="66"/>
  <c r="A535" i="66" s="1"/>
  <c r="E534" i="66"/>
  <c r="L534" i="66" s="1"/>
  <c r="E533" i="66"/>
  <c r="K533" i="66" s="1"/>
  <c r="M532" i="66"/>
  <c r="J532" i="66"/>
  <c r="I532" i="66"/>
  <c r="H532" i="66"/>
  <c r="G532" i="66"/>
  <c r="F532" i="66"/>
  <c r="E531" i="66"/>
  <c r="E530" i="66"/>
  <c r="L530" i="66" s="1"/>
  <c r="E529" i="66"/>
  <c r="K529" i="66" s="1"/>
  <c r="E528" i="66"/>
  <c r="A528" i="66" s="1"/>
  <c r="E527" i="66"/>
  <c r="K527" i="66" s="1"/>
  <c r="E526" i="66"/>
  <c r="A526" i="66" s="1"/>
  <c r="E525" i="66"/>
  <c r="E524" i="66"/>
  <c r="K524" i="66" s="1"/>
  <c r="E523" i="66"/>
  <c r="E522" i="66"/>
  <c r="E521" i="66"/>
  <c r="K521" i="66" s="1"/>
  <c r="E520" i="66"/>
  <c r="L520" i="66" s="1"/>
  <c r="E519" i="66"/>
  <c r="K519" i="66" s="1"/>
  <c r="E518" i="66"/>
  <c r="K518" i="66" s="1"/>
  <c r="E517" i="66"/>
  <c r="E516" i="66"/>
  <c r="L516" i="66" s="1"/>
  <c r="E515" i="66"/>
  <c r="K515" i="66" s="1"/>
  <c r="E514" i="66"/>
  <c r="K514" i="66" s="1"/>
  <c r="E513" i="66"/>
  <c r="E512" i="66"/>
  <c r="L512" i="66" s="1"/>
  <c r="E511" i="66"/>
  <c r="K511" i="66" s="1"/>
  <c r="E510" i="66"/>
  <c r="A510" i="66" s="1"/>
  <c r="E509" i="66"/>
  <c r="E508" i="66"/>
  <c r="A508" i="66" s="1"/>
  <c r="E507" i="66"/>
  <c r="M506" i="66"/>
  <c r="J506" i="66"/>
  <c r="I506" i="66"/>
  <c r="H506" i="66"/>
  <c r="G506" i="66"/>
  <c r="F506" i="66"/>
  <c r="E505" i="66"/>
  <c r="K505" i="66" s="1"/>
  <c r="E504" i="66"/>
  <c r="K504" i="66" s="1"/>
  <c r="A504" i="66"/>
  <c r="E503" i="66"/>
  <c r="A503" i="66" s="1"/>
  <c r="E502" i="66"/>
  <c r="A502" i="66" s="1"/>
  <c r="E501" i="66"/>
  <c r="A501" i="66" s="1"/>
  <c r="E500" i="66"/>
  <c r="A500" i="66" s="1"/>
  <c r="E499" i="66"/>
  <c r="A499" i="66" s="1"/>
  <c r="E498" i="66"/>
  <c r="K498" i="66" s="1"/>
  <c r="E497" i="66"/>
  <c r="E496" i="66"/>
  <c r="E495" i="66"/>
  <c r="E494" i="66"/>
  <c r="K494" i="66" s="1"/>
  <c r="E493" i="66"/>
  <c r="A493" i="66" s="1"/>
  <c r="E492" i="66"/>
  <c r="E491" i="66"/>
  <c r="K491" i="66" s="1"/>
  <c r="E490" i="66"/>
  <c r="A490" i="66" s="1"/>
  <c r="E489" i="66"/>
  <c r="L489" i="66" s="1"/>
  <c r="E488" i="66"/>
  <c r="L488" i="66" s="1"/>
  <c r="E487" i="66"/>
  <c r="L487" i="66" s="1"/>
  <c r="E486" i="66"/>
  <c r="K486" i="66" s="1"/>
  <c r="E485" i="66"/>
  <c r="L485" i="66" s="1"/>
  <c r="E484" i="66"/>
  <c r="L484" i="66" s="1"/>
  <c r="E483" i="66"/>
  <c r="A483" i="66" s="1"/>
  <c r="E482" i="66"/>
  <c r="A482" i="66" s="1"/>
  <c r="E481" i="66"/>
  <c r="L481" i="66" s="1"/>
  <c r="M480" i="66"/>
  <c r="J480" i="66"/>
  <c r="I480" i="66"/>
  <c r="H480" i="66"/>
  <c r="G480" i="66"/>
  <c r="F480" i="66"/>
  <c r="E479" i="66"/>
  <c r="L479" i="66" s="1"/>
  <c r="E478" i="66"/>
  <c r="L478" i="66" s="1"/>
  <c r="E477" i="66"/>
  <c r="L477" i="66" s="1"/>
  <c r="E476" i="66"/>
  <c r="E475" i="66"/>
  <c r="A475" i="66" s="1"/>
  <c r="E474" i="66"/>
  <c r="L474" i="66" s="1"/>
  <c r="E473" i="66"/>
  <c r="A473" i="66" s="1"/>
  <c r="E472" i="66"/>
  <c r="L472" i="66" s="1"/>
  <c r="E471" i="66"/>
  <c r="L471" i="66" s="1"/>
  <c r="E470" i="66"/>
  <c r="K470" i="66" s="1"/>
  <c r="E469" i="66"/>
  <c r="L469" i="66" s="1"/>
  <c r="E468" i="66"/>
  <c r="K468" i="66" s="1"/>
  <c r="E467" i="66"/>
  <c r="L467" i="66" s="1"/>
  <c r="E466" i="66"/>
  <c r="A466" i="66" s="1"/>
  <c r="E465" i="66"/>
  <c r="K465" i="66" s="1"/>
  <c r="E464" i="66"/>
  <c r="L464" i="66" s="1"/>
  <c r="E463" i="66"/>
  <c r="A463" i="66" s="1"/>
  <c r="E462" i="66"/>
  <c r="L462" i="66" s="1"/>
  <c r="E461" i="66"/>
  <c r="L461" i="66" s="1"/>
  <c r="E460" i="66"/>
  <c r="K460" i="66" s="1"/>
  <c r="E459" i="66"/>
  <c r="L459" i="66" s="1"/>
  <c r="E458" i="66"/>
  <c r="E457" i="66"/>
  <c r="A457" i="66" s="1"/>
  <c r="E456" i="66"/>
  <c r="K456" i="66" s="1"/>
  <c r="A456" i="66"/>
  <c r="E455" i="66"/>
  <c r="A455" i="66" s="1"/>
  <c r="M454" i="66"/>
  <c r="J454" i="66"/>
  <c r="I454" i="66"/>
  <c r="H454" i="66"/>
  <c r="G454" i="66"/>
  <c r="F454" i="66"/>
  <c r="E453" i="66"/>
  <c r="E452" i="66"/>
  <c r="E451" i="66"/>
  <c r="E450" i="66"/>
  <c r="L450" i="66" s="1"/>
  <c r="E449" i="66"/>
  <c r="E448" i="66"/>
  <c r="K448" i="66" s="1"/>
  <c r="E447" i="66"/>
  <c r="A447" i="66" s="1"/>
  <c r="E446" i="66"/>
  <c r="L446" i="66" s="1"/>
  <c r="E445" i="66"/>
  <c r="L445" i="66" s="1"/>
  <c r="E444" i="66"/>
  <c r="E443" i="66"/>
  <c r="E442" i="66"/>
  <c r="E441" i="66"/>
  <c r="A441" i="66" s="1"/>
  <c r="E440" i="66"/>
  <c r="A440" i="66"/>
  <c r="E439" i="66"/>
  <c r="E438" i="66"/>
  <c r="K438" i="66" s="1"/>
  <c r="E437" i="66"/>
  <c r="E436" i="66"/>
  <c r="E435" i="66"/>
  <c r="E434" i="66"/>
  <c r="E433" i="66"/>
  <c r="E432" i="66"/>
  <c r="E431" i="66"/>
  <c r="L431" i="66" s="1"/>
  <c r="E430" i="66"/>
  <c r="K430" i="66" s="1"/>
  <c r="E429" i="66"/>
  <c r="M428" i="66"/>
  <c r="J428" i="66"/>
  <c r="I428" i="66"/>
  <c r="H428" i="66"/>
  <c r="G428" i="66"/>
  <c r="F428" i="66"/>
  <c r="E427" i="66"/>
  <c r="E426" i="66"/>
  <c r="E425" i="66"/>
  <c r="L425" i="66" s="1"/>
  <c r="E424" i="66"/>
  <c r="L424" i="66" s="1"/>
  <c r="E423" i="66"/>
  <c r="L423" i="66" s="1"/>
  <c r="E422" i="66"/>
  <c r="E421" i="66"/>
  <c r="A421" i="66" s="1"/>
  <c r="E420" i="66"/>
  <c r="L420" i="66" s="1"/>
  <c r="E419" i="66"/>
  <c r="K419" i="66" s="1"/>
  <c r="E418" i="66"/>
  <c r="E417" i="66"/>
  <c r="A417" i="66" s="1"/>
  <c r="E416" i="66"/>
  <c r="L416" i="66" s="1"/>
  <c r="E415" i="66"/>
  <c r="L415" i="66" s="1"/>
  <c r="E414" i="66"/>
  <c r="E413" i="66"/>
  <c r="K413" i="66" s="1"/>
  <c r="E412" i="66"/>
  <c r="E411" i="66"/>
  <c r="K411" i="66" s="1"/>
  <c r="E410" i="66"/>
  <c r="E409" i="66"/>
  <c r="K409" i="66" s="1"/>
  <c r="E408" i="66"/>
  <c r="L408" i="66" s="1"/>
  <c r="E407" i="66"/>
  <c r="E406" i="66"/>
  <c r="E405" i="66"/>
  <c r="L405" i="66" s="1"/>
  <c r="E404" i="66"/>
  <c r="L404" i="66" s="1"/>
  <c r="E403" i="66"/>
  <c r="K403" i="66" s="1"/>
  <c r="M402" i="66"/>
  <c r="J402" i="66"/>
  <c r="I402" i="66"/>
  <c r="H402" i="66"/>
  <c r="G402" i="66"/>
  <c r="F402" i="66"/>
  <c r="E401" i="66"/>
  <c r="A401" i="66" s="1"/>
  <c r="E400" i="66"/>
  <c r="E399" i="66"/>
  <c r="K399" i="66" s="1"/>
  <c r="E398" i="66"/>
  <c r="A398" i="66" s="1"/>
  <c r="E397" i="66"/>
  <c r="E396" i="66"/>
  <c r="E395" i="66"/>
  <c r="L395" i="66" s="1"/>
  <c r="E394" i="66"/>
  <c r="A394" i="66" s="1"/>
  <c r="E393" i="66"/>
  <c r="E392" i="66"/>
  <c r="E391" i="66"/>
  <c r="K391" i="66" s="1"/>
  <c r="E390" i="66"/>
  <c r="E389" i="66"/>
  <c r="A389" i="66"/>
  <c r="E388" i="66"/>
  <c r="E387" i="66"/>
  <c r="L387" i="66" s="1"/>
  <c r="L386" i="66"/>
  <c r="E386" i="66"/>
  <c r="A386" i="66" s="1"/>
  <c r="E385" i="66"/>
  <c r="A385" i="66" s="1"/>
  <c r="E384" i="66"/>
  <c r="L384" i="66" s="1"/>
  <c r="E383" i="66"/>
  <c r="K383" i="66" s="1"/>
  <c r="E382" i="66"/>
  <c r="A382" i="66" s="1"/>
  <c r="E381" i="66"/>
  <c r="A381" i="66" s="1"/>
  <c r="E380" i="66"/>
  <c r="E379" i="66"/>
  <c r="E378" i="66"/>
  <c r="A378" i="66" s="1"/>
  <c r="E377" i="66"/>
  <c r="A377" i="66"/>
  <c r="M376" i="66"/>
  <c r="J376" i="66"/>
  <c r="I376" i="66"/>
  <c r="H376" i="66"/>
  <c r="G376" i="66"/>
  <c r="F376" i="66"/>
  <c r="E375" i="66"/>
  <c r="L375" i="66" s="1"/>
  <c r="E374" i="66"/>
  <c r="E373" i="66"/>
  <c r="L373" i="66" s="1"/>
  <c r="E372" i="66"/>
  <c r="A372" i="66" s="1"/>
  <c r="E371" i="66"/>
  <c r="E370" i="66"/>
  <c r="E369" i="66"/>
  <c r="L369" i="66" s="1"/>
  <c r="E368" i="66"/>
  <c r="E367" i="66"/>
  <c r="E366" i="66"/>
  <c r="A366" i="66" s="1"/>
  <c r="E365" i="66"/>
  <c r="L365" i="66" s="1"/>
  <c r="E364" i="66"/>
  <c r="E363" i="66"/>
  <c r="L363" i="66" s="1"/>
  <c r="E362" i="66"/>
  <c r="A362" i="66" s="1"/>
  <c r="E361" i="66"/>
  <c r="L361" i="66" s="1"/>
  <c r="E360" i="66"/>
  <c r="A360" i="66" s="1"/>
  <c r="E359" i="66"/>
  <c r="E358" i="66"/>
  <c r="E357" i="66"/>
  <c r="L357" i="66" s="1"/>
  <c r="E356" i="66"/>
  <c r="E355" i="66"/>
  <c r="E354" i="66"/>
  <c r="E353" i="66"/>
  <c r="L353" i="66" s="1"/>
  <c r="E352" i="66"/>
  <c r="K352" i="66" s="1"/>
  <c r="E351" i="66"/>
  <c r="M350" i="66"/>
  <c r="J350" i="66"/>
  <c r="I350" i="66"/>
  <c r="H350" i="66"/>
  <c r="G350" i="66"/>
  <c r="F350" i="66"/>
  <c r="E349" i="66"/>
  <c r="E348" i="66"/>
  <c r="A348" i="66" s="1"/>
  <c r="E347" i="66"/>
  <c r="E346" i="66"/>
  <c r="L346" i="66" s="1"/>
  <c r="E345" i="66"/>
  <c r="A345" i="66" s="1"/>
  <c r="E344" i="66"/>
  <c r="A344" i="66" s="1"/>
  <c r="E343" i="66"/>
  <c r="E342" i="66"/>
  <c r="K342" i="66" s="1"/>
  <c r="E341" i="66"/>
  <c r="A341" i="66" s="1"/>
  <c r="E340" i="66"/>
  <c r="A340" i="66" s="1"/>
  <c r="E339" i="66"/>
  <c r="E338" i="66"/>
  <c r="E337" i="66"/>
  <c r="A337" i="66" s="1"/>
  <c r="E336" i="66"/>
  <c r="A336" i="66" s="1"/>
  <c r="E335" i="66"/>
  <c r="L335" i="66" s="1"/>
  <c r="E334" i="66"/>
  <c r="K334" i="66" s="1"/>
  <c r="E333" i="66"/>
  <c r="A333" i="66" s="1"/>
  <c r="E332" i="66"/>
  <c r="A332" i="66" s="1"/>
  <c r="E331" i="66"/>
  <c r="E330" i="66"/>
  <c r="L330" i="66" s="1"/>
  <c r="E329" i="66"/>
  <c r="A329" i="66" s="1"/>
  <c r="E328" i="66"/>
  <c r="A328" i="66" s="1"/>
  <c r="E327" i="66"/>
  <c r="E326" i="66"/>
  <c r="E325" i="66"/>
  <c r="M324" i="66"/>
  <c r="J324" i="66"/>
  <c r="I324" i="66"/>
  <c r="H324" i="66"/>
  <c r="G324" i="66"/>
  <c r="F324" i="66"/>
  <c r="E323" i="66"/>
  <c r="L323" i="66" s="1"/>
  <c r="E322" i="66"/>
  <c r="E321" i="66"/>
  <c r="A321" i="66" s="1"/>
  <c r="E320" i="66"/>
  <c r="L320" i="66" s="1"/>
  <c r="E319" i="66"/>
  <c r="L319" i="66" s="1"/>
  <c r="E318" i="66"/>
  <c r="E317" i="66"/>
  <c r="A317" i="66" s="1"/>
  <c r="E316" i="66"/>
  <c r="L316" i="66" s="1"/>
  <c r="E315" i="66"/>
  <c r="E314" i="66"/>
  <c r="E313" i="66"/>
  <c r="A313" i="66" s="1"/>
  <c r="E312" i="66"/>
  <c r="L312" i="66" s="1"/>
  <c r="E311" i="66"/>
  <c r="E310" i="66"/>
  <c r="E309" i="66"/>
  <c r="A309" i="66" s="1"/>
  <c r="E308" i="66"/>
  <c r="E307" i="66"/>
  <c r="L307" i="66" s="1"/>
  <c r="E306" i="66"/>
  <c r="E305" i="66"/>
  <c r="A305" i="66" s="1"/>
  <c r="E304" i="66"/>
  <c r="L304" i="66" s="1"/>
  <c r="E303" i="66"/>
  <c r="A303" i="66" s="1"/>
  <c r="E302" i="66"/>
  <c r="E301" i="66"/>
  <c r="K301" i="66" s="1"/>
  <c r="E300" i="66"/>
  <c r="L300" i="66" s="1"/>
  <c r="E299" i="66"/>
  <c r="M298" i="66"/>
  <c r="J298" i="66"/>
  <c r="I298" i="66"/>
  <c r="H298" i="66"/>
  <c r="G298" i="66"/>
  <c r="F298" i="66"/>
  <c r="E297" i="66"/>
  <c r="A297" i="66" s="1"/>
  <c r="E296" i="66"/>
  <c r="E295" i="66"/>
  <c r="E294" i="66"/>
  <c r="E293" i="66"/>
  <c r="E292" i="66"/>
  <c r="L292" i="66" s="1"/>
  <c r="E291" i="66"/>
  <c r="L291" i="66" s="1"/>
  <c r="E290" i="66"/>
  <c r="K290" i="66" s="1"/>
  <c r="E289" i="66"/>
  <c r="A289" i="66" s="1"/>
  <c r="E288" i="66"/>
  <c r="E287" i="66"/>
  <c r="L287" i="66" s="1"/>
  <c r="E286" i="66"/>
  <c r="A286" i="66" s="1"/>
  <c r="E285" i="66"/>
  <c r="L285" i="66" s="1"/>
  <c r="E284" i="66"/>
  <c r="K284" i="66" s="1"/>
  <c r="E283" i="66"/>
  <c r="E282" i="66"/>
  <c r="L282" i="66" s="1"/>
  <c r="E281" i="66"/>
  <c r="L281" i="66" s="1"/>
  <c r="A281" i="66"/>
  <c r="E280" i="66"/>
  <c r="A280" i="66" s="1"/>
  <c r="E279" i="66"/>
  <c r="K279" i="66" s="1"/>
  <c r="E278" i="66"/>
  <c r="E277" i="66"/>
  <c r="E276" i="66"/>
  <c r="K276" i="66" s="1"/>
  <c r="E275" i="66"/>
  <c r="A275" i="66" s="1"/>
  <c r="E274" i="66"/>
  <c r="E273" i="66"/>
  <c r="L273" i="66" s="1"/>
  <c r="M272" i="66"/>
  <c r="J272" i="66"/>
  <c r="I272" i="66"/>
  <c r="H272" i="66"/>
  <c r="G272" i="66"/>
  <c r="F272" i="66"/>
  <c r="E271" i="66"/>
  <c r="E270" i="66"/>
  <c r="A270" i="66" s="1"/>
  <c r="E269" i="66"/>
  <c r="K269" i="66" s="1"/>
  <c r="E268" i="66"/>
  <c r="L268" i="66" s="1"/>
  <c r="E267" i="66"/>
  <c r="L267" i="66" s="1"/>
  <c r="E266" i="66"/>
  <c r="E265" i="66"/>
  <c r="E264" i="66"/>
  <c r="L264" i="66" s="1"/>
  <c r="E263" i="66"/>
  <c r="A263" i="66" s="1"/>
  <c r="E262" i="66"/>
  <c r="E261" i="66"/>
  <c r="K261" i="66" s="1"/>
  <c r="E260" i="66"/>
  <c r="L260" i="66" s="1"/>
  <c r="E259" i="66"/>
  <c r="E258" i="66"/>
  <c r="E257" i="66"/>
  <c r="K257" i="66" s="1"/>
  <c r="E256" i="66"/>
  <c r="A256" i="66" s="1"/>
  <c r="E255" i="66"/>
  <c r="A255" i="66" s="1"/>
  <c r="E254" i="66"/>
  <c r="K254" i="66" s="1"/>
  <c r="E253" i="66"/>
  <c r="K253" i="66" s="1"/>
  <c r="E252" i="66"/>
  <c r="A252" i="66" s="1"/>
  <c r="E251" i="66"/>
  <c r="L251" i="66" s="1"/>
  <c r="E250" i="66"/>
  <c r="E249" i="66"/>
  <c r="L249" i="66" s="1"/>
  <c r="E248" i="66"/>
  <c r="E247" i="66"/>
  <c r="A247" i="66" s="1"/>
  <c r="M246" i="66"/>
  <c r="J246" i="66"/>
  <c r="I246" i="66"/>
  <c r="H246" i="66"/>
  <c r="G246" i="66"/>
  <c r="F246" i="66"/>
  <c r="E245" i="66"/>
  <c r="E244" i="66"/>
  <c r="E243" i="66"/>
  <c r="A243" i="66" s="1"/>
  <c r="E242" i="66"/>
  <c r="K242" i="66" s="1"/>
  <c r="E241" i="66"/>
  <c r="L241" i="66" s="1"/>
  <c r="E240" i="66"/>
  <c r="L240" i="66" s="1"/>
  <c r="E239" i="66"/>
  <c r="E238" i="66"/>
  <c r="K238" i="66" s="1"/>
  <c r="E237" i="66"/>
  <c r="E236" i="66"/>
  <c r="L236" i="66" s="1"/>
  <c r="E235" i="66"/>
  <c r="A235" i="66" s="1"/>
  <c r="E234" i="66"/>
  <c r="L234" i="66" s="1"/>
  <c r="E233" i="66"/>
  <c r="E232" i="66"/>
  <c r="A232" i="66" s="1"/>
  <c r="E231" i="66"/>
  <c r="K231" i="66" s="1"/>
  <c r="K230" i="66"/>
  <c r="E230" i="66"/>
  <c r="A230" i="66" s="1"/>
  <c r="E229" i="66"/>
  <c r="E228" i="66"/>
  <c r="E227" i="66"/>
  <c r="A227" i="66" s="1"/>
  <c r="E226" i="66"/>
  <c r="A226" i="66" s="1"/>
  <c r="E225" i="66"/>
  <c r="L225" i="66" s="1"/>
  <c r="E224" i="66"/>
  <c r="L224" i="66" s="1"/>
  <c r="E223" i="66"/>
  <c r="A223" i="66" s="1"/>
  <c r="E222" i="66"/>
  <c r="K222" i="66" s="1"/>
  <c r="E221" i="66"/>
  <c r="M220" i="66"/>
  <c r="J220" i="66"/>
  <c r="I220" i="66"/>
  <c r="H220" i="66"/>
  <c r="G220" i="66"/>
  <c r="F220" i="66"/>
  <c r="E219" i="66"/>
  <c r="L219" i="66" s="1"/>
  <c r="E218" i="66"/>
  <c r="E217" i="66"/>
  <c r="L217" i="66" s="1"/>
  <c r="E216" i="66"/>
  <c r="A216" i="66" s="1"/>
  <c r="E215" i="66"/>
  <c r="L215" i="66" s="1"/>
  <c r="E214" i="66"/>
  <c r="K214" i="66" s="1"/>
  <c r="E213" i="66"/>
  <c r="E212" i="66"/>
  <c r="E211" i="66"/>
  <c r="L211" i="66" s="1"/>
  <c r="E210" i="66"/>
  <c r="E209" i="66"/>
  <c r="A209" i="66" s="1"/>
  <c r="E208" i="66"/>
  <c r="K208" i="66" s="1"/>
  <c r="E207" i="66"/>
  <c r="L207" i="66" s="1"/>
  <c r="E206" i="66"/>
  <c r="E205" i="66"/>
  <c r="L205" i="66" s="1"/>
  <c r="E204" i="66"/>
  <c r="A204" i="66" s="1"/>
  <c r="E203" i="66"/>
  <c r="L203" i="66" s="1"/>
  <c r="E202" i="66"/>
  <c r="E201" i="66"/>
  <c r="E200" i="66"/>
  <c r="E199" i="66"/>
  <c r="L199" i="66" s="1"/>
  <c r="E198" i="66"/>
  <c r="L198" i="66" s="1"/>
  <c r="E197" i="66"/>
  <c r="E196" i="66"/>
  <c r="A196" i="66" s="1"/>
  <c r="E195" i="66"/>
  <c r="K195" i="66" s="1"/>
  <c r="M194" i="66"/>
  <c r="J194" i="66"/>
  <c r="I194" i="66"/>
  <c r="H194" i="66"/>
  <c r="G194" i="66"/>
  <c r="F194" i="66"/>
  <c r="E193" i="66"/>
  <c r="L193" i="66" s="1"/>
  <c r="E192" i="66"/>
  <c r="E191" i="66"/>
  <c r="A191" i="66" s="1"/>
  <c r="E190" i="66"/>
  <c r="A190" i="66" s="1"/>
  <c r="E189" i="66"/>
  <c r="A189" i="66" s="1"/>
  <c r="E188" i="66"/>
  <c r="E187" i="66"/>
  <c r="L187" i="66" s="1"/>
  <c r="E186" i="66"/>
  <c r="L186" i="66" s="1"/>
  <c r="E185" i="66"/>
  <c r="L185" i="66" s="1"/>
  <c r="E184" i="66"/>
  <c r="L184" i="66" s="1"/>
  <c r="E183" i="66"/>
  <c r="K183" i="66" s="1"/>
  <c r="E182" i="66"/>
  <c r="E181" i="66"/>
  <c r="L181" i="66" s="1"/>
  <c r="E180" i="66"/>
  <c r="L180" i="66" s="1"/>
  <c r="E179" i="66"/>
  <c r="L179" i="66" s="1"/>
  <c r="E178" i="66"/>
  <c r="K178" i="66" s="1"/>
  <c r="E177" i="66"/>
  <c r="L177" i="66" s="1"/>
  <c r="E176" i="66"/>
  <c r="A176" i="66" s="1"/>
  <c r="E175" i="66"/>
  <c r="A175" i="66" s="1"/>
  <c r="E174" i="66"/>
  <c r="E173" i="66"/>
  <c r="L173" i="66" s="1"/>
  <c r="E172" i="66"/>
  <c r="L172" i="66" s="1"/>
  <c r="E171" i="66"/>
  <c r="L171" i="66" s="1"/>
  <c r="E170" i="66"/>
  <c r="L170" i="66" s="1"/>
  <c r="E169" i="66"/>
  <c r="K169" i="66" s="1"/>
  <c r="M168" i="66"/>
  <c r="J168" i="66"/>
  <c r="I168" i="66"/>
  <c r="H168" i="66"/>
  <c r="G168" i="66"/>
  <c r="F168" i="66"/>
  <c r="E167" i="66"/>
  <c r="A167" i="66"/>
  <c r="E166" i="66"/>
  <c r="A166" i="66" s="1"/>
  <c r="E165" i="66"/>
  <c r="K165" i="66" s="1"/>
  <c r="E164" i="66"/>
  <c r="A164" i="66" s="1"/>
  <c r="E163" i="66"/>
  <c r="E162" i="66"/>
  <c r="L162" i="66" s="1"/>
  <c r="E161" i="66"/>
  <c r="K161" i="66" s="1"/>
  <c r="E160" i="66"/>
  <c r="L160" i="66" s="1"/>
  <c r="E159" i="66"/>
  <c r="K159" i="66" s="1"/>
  <c r="E158" i="66"/>
  <c r="K158" i="66" s="1"/>
  <c r="E157" i="66"/>
  <c r="K157" i="66" s="1"/>
  <c r="L156" i="66"/>
  <c r="E156" i="66"/>
  <c r="K156" i="66" s="1"/>
  <c r="A156" i="66"/>
  <c r="E155" i="66"/>
  <c r="K155" i="66" s="1"/>
  <c r="E154" i="66"/>
  <c r="A154" i="66" s="1"/>
  <c r="E153" i="66"/>
  <c r="K153" i="66" s="1"/>
  <c r="E152" i="66"/>
  <c r="L152" i="66" s="1"/>
  <c r="E151" i="66"/>
  <c r="K151" i="66" s="1"/>
  <c r="E150" i="66"/>
  <c r="L150" i="66" s="1"/>
  <c r="E149" i="66"/>
  <c r="K149" i="66" s="1"/>
  <c r="E148" i="66"/>
  <c r="L148" i="66" s="1"/>
  <c r="E147" i="66"/>
  <c r="K147" i="66" s="1"/>
  <c r="E146" i="66"/>
  <c r="L146" i="66" s="1"/>
  <c r="E145" i="66"/>
  <c r="K145" i="66" s="1"/>
  <c r="E144" i="66"/>
  <c r="K144" i="66" s="1"/>
  <c r="E143" i="66"/>
  <c r="K143" i="66" s="1"/>
  <c r="M142" i="66"/>
  <c r="J142" i="66"/>
  <c r="I142" i="66"/>
  <c r="H142" i="66"/>
  <c r="G142" i="66"/>
  <c r="F142" i="66"/>
  <c r="E141" i="66"/>
  <c r="L141" i="66" s="1"/>
  <c r="E140" i="66"/>
  <c r="K140" i="66" s="1"/>
  <c r="E139" i="66"/>
  <c r="K139" i="66" s="1"/>
  <c r="E138" i="66"/>
  <c r="A138" i="66" s="1"/>
  <c r="E137" i="66"/>
  <c r="A137" i="66" s="1"/>
  <c r="E136" i="66"/>
  <c r="A136" i="66" s="1"/>
  <c r="E135" i="66"/>
  <c r="E134" i="66"/>
  <c r="E133" i="66"/>
  <c r="L133" i="66" s="1"/>
  <c r="E132" i="66"/>
  <c r="L132" i="66" s="1"/>
  <c r="E131" i="66"/>
  <c r="L131" i="66" s="1"/>
  <c r="E130" i="66"/>
  <c r="E129" i="66"/>
  <c r="L129" i="66" s="1"/>
  <c r="E128" i="66"/>
  <c r="A128" i="66"/>
  <c r="E127" i="66"/>
  <c r="E126" i="66"/>
  <c r="A126" i="66" s="1"/>
  <c r="E125" i="66"/>
  <c r="L125" i="66" s="1"/>
  <c r="E124" i="66"/>
  <c r="K124" i="66" s="1"/>
  <c r="E123" i="66"/>
  <c r="E122" i="66"/>
  <c r="L122" i="66" s="1"/>
  <c r="E121" i="66"/>
  <c r="E120" i="66"/>
  <c r="A120" i="66" s="1"/>
  <c r="E119" i="66"/>
  <c r="A119" i="66" s="1"/>
  <c r="E118" i="66"/>
  <c r="L118" i="66" s="1"/>
  <c r="E117" i="66"/>
  <c r="L117" i="66" s="1"/>
  <c r="M116" i="66"/>
  <c r="J116" i="66"/>
  <c r="I116" i="66"/>
  <c r="H116" i="66"/>
  <c r="G116" i="66"/>
  <c r="F116" i="66"/>
  <c r="E115" i="66"/>
  <c r="L115" i="66" s="1"/>
  <c r="E114" i="66"/>
  <c r="L114" i="66" s="1"/>
  <c r="A114" i="66"/>
  <c r="E113" i="66"/>
  <c r="L113" i="66" s="1"/>
  <c r="E112" i="66"/>
  <c r="K112" i="66" s="1"/>
  <c r="E111" i="66"/>
  <c r="L111" i="66" s="1"/>
  <c r="E110" i="66"/>
  <c r="L110" i="66" s="1"/>
  <c r="E109" i="66"/>
  <c r="L109" i="66" s="1"/>
  <c r="E108" i="66"/>
  <c r="A108" i="66" s="1"/>
  <c r="E107" i="66"/>
  <c r="L107" i="66" s="1"/>
  <c r="A107" i="66"/>
  <c r="E106" i="66"/>
  <c r="L106" i="66" s="1"/>
  <c r="E105" i="66"/>
  <c r="L105" i="66" s="1"/>
  <c r="E104" i="66"/>
  <c r="L104" i="66" s="1"/>
  <c r="E103" i="66"/>
  <c r="L103" i="66" s="1"/>
  <c r="E102" i="66"/>
  <c r="K102" i="66" s="1"/>
  <c r="E101" i="66"/>
  <c r="K101" i="66" s="1"/>
  <c r="A101" i="66"/>
  <c r="E100" i="66"/>
  <c r="A100" i="66" s="1"/>
  <c r="E99" i="66"/>
  <c r="A99" i="66" s="1"/>
  <c r="E98" i="66"/>
  <c r="L98" i="66" s="1"/>
  <c r="E97" i="66"/>
  <c r="L97" i="66" s="1"/>
  <c r="E96" i="66"/>
  <c r="K96" i="66" s="1"/>
  <c r="E95" i="66"/>
  <c r="K95" i="66" s="1"/>
  <c r="E94" i="66"/>
  <c r="L94" i="66" s="1"/>
  <c r="E93" i="66"/>
  <c r="K93" i="66" s="1"/>
  <c r="E92" i="66"/>
  <c r="A92" i="66" s="1"/>
  <c r="E91" i="66"/>
  <c r="A91" i="66" s="1"/>
  <c r="M90" i="66"/>
  <c r="J90" i="66"/>
  <c r="I90" i="66"/>
  <c r="H90" i="66"/>
  <c r="G90" i="66"/>
  <c r="F90" i="66"/>
  <c r="E89" i="66"/>
  <c r="L89" i="66" s="1"/>
  <c r="E88" i="66"/>
  <c r="L88" i="66" s="1"/>
  <c r="E87" i="66"/>
  <c r="E86" i="66"/>
  <c r="L86" i="66" s="1"/>
  <c r="E85" i="66"/>
  <c r="A85" i="66" s="1"/>
  <c r="E84" i="66"/>
  <c r="E83" i="66"/>
  <c r="A83" i="66" s="1"/>
  <c r="E82" i="66"/>
  <c r="L82" i="66" s="1"/>
  <c r="E81" i="66"/>
  <c r="L81" i="66" s="1"/>
  <c r="E80" i="66"/>
  <c r="L80" i="66" s="1"/>
  <c r="E79" i="66"/>
  <c r="A79" i="66" s="1"/>
  <c r="E78" i="66"/>
  <c r="L78" i="66" s="1"/>
  <c r="E77" i="66"/>
  <c r="A77" i="66" s="1"/>
  <c r="E76" i="66"/>
  <c r="A76" i="66" s="1"/>
  <c r="E75" i="66"/>
  <c r="A75" i="66" s="1"/>
  <c r="E74" i="66"/>
  <c r="L74" i="66" s="1"/>
  <c r="E73" i="66"/>
  <c r="K73" i="66" s="1"/>
  <c r="A73" i="66"/>
  <c r="E72" i="66"/>
  <c r="L72" i="66" s="1"/>
  <c r="E71" i="66"/>
  <c r="L71" i="66" s="1"/>
  <c r="E70" i="66"/>
  <c r="L70" i="66" s="1"/>
  <c r="E69" i="66"/>
  <c r="A69" i="66"/>
  <c r="E68" i="66"/>
  <c r="K68" i="66" s="1"/>
  <c r="E67" i="66"/>
  <c r="E66" i="66"/>
  <c r="E65" i="66"/>
  <c r="A65" i="66" s="1"/>
  <c r="M64" i="66"/>
  <c r="J64" i="66"/>
  <c r="I64" i="66"/>
  <c r="H64" i="66"/>
  <c r="G64" i="66"/>
  <c r="F64" i="66"/>
  <c r="E63" i="66"/>
  <c r="K63" i="66" s="1"/>
  <c r="E62" i="66"/>
  <c r="L62" i="66" s="1"/>
  <c r="E61" i="66"/>
  <c r="K61" i="66" s="1"/>
  <c r="E60" i="66"/>
  <c r="L60" i="66" s="1"/>
  <c r="A60" i="66"/>
  <c r="E59" i="66"/>
  <c r="K59" i="66" s="1"/>
  <c r="E58" i="66"/>
  <c r="L58" i="66" s="1"/>
  <c r="A58" i="66"/>
  <c r="E57" i="66"/>
  <c r="K57" i="66" s="1"/>
  <c r="E56" i="66"/>
  <c r="L56" i="66" s="1"/>
  <c r="E55" i="66"/>
  <c r="K55" i="66" s="1"/>
  <c r="E54" i="66"/>
  <c r="L54" i="66" s="1"/>
  <c r="E53" i="66"/>
  <c r="K53" i="66" s="1"/>
  <c r="E52" i="66"/>
  <c r="L52" i="66" s="1"/>
  <c r="E51" i="66"/>
  <c r="K51" i="66" s="1"/>
  <c r="E50" i="66"/>
  <c r="L50" i="66" s="1"/>
  <c r="E49" i="66"/>
  <c r="K49" i="66" s="1"/>
  <c r="E48" i="66"/>
  <c r="L48" i="66" s="1"/>
  <c r="E47" i="66"/>
  <c r="K47" i="66" s="1"/>
  <c r="E46" i="66"/>
  <c r="L46" i="66" s="1"/>
  <c r="A46" i="66"/>
  <c r="E45" i="66"/>
  <c r="K45" i="66" s="1"/>
  <c r="E44" i="66"/>
  <c r="L44" i="66" s="1"/>
  <c r="E43" i="66"/>
  <c r="K43" i="66" s="1"/>
  <c r="E42" i="66"/>
  <c r="L42" i="66" s="1"/>
  <c r="A42" i="66"/>
  <c r="E41" i="66"/>
  <c r="K41" i="66" s="1"/>
  <c r="E40" i="66"/>
  <c r="L40" i="66" s="1"/>
  <c r="E39" i="66"/>
  <c r="K39" i="66" s="1"/>
  <c r="M38" i="66"/>
  <c r="J38" i="66"/>
  <c r="I38" i="66"/>
  <c r="H38" i="66"/>
  <c r="G38" i="66"/>
  <c r="F38" i="66"/>
  <c r="A38" i="66"/>
  <c r="A64" i="66" s="1"/>
  <c r="A90" i="66" s="1"/>
  <c r="A116" i="66" s="1"/>
  <c r="A142" i="66" s="1"/>
  <c r="A168" i="66" s="1"/>
  <c r="A194" i="66" s="1"/>
  <c r="A220" i="66" s="1"/>
  <c r="A246" i="66" s="1"/>
  <c r="A272" i="66" s="1"/>
  <c r="A298" i="66" s="1"/>
  <c r="A324" i="66" s="1"/>
  <c r="A350" i="66" s="1"/>
  <c r="A376" i="66" s="1"/>
  <c r="A402" i="66" s="1"/>
  <c r="A428" i="66" s="1"/>
  <c r="A454" i="66" s="1"/>
  <c r="A480" i="66" s="1"/>
  <c r="A506" i="66" s="1"/>
  <c r="A532" i="66" s="1"/>
  <c r="A558" i="66" s="1"/>
  <c r="A584" i="66" s="1"/>
  <c r="A610" i="66" s="1"/>
  <c r="A636" i="66" s="1"/>
  <c r="A662" i="66" s="1"/>
  <c r="A688" i="66" s="1"/>
  <c r="A714" i="66" s="1"/>
  <c r="A740" i="66" s="1"/>
  <c r="A766" i="66" s="1"/>
  <c r="A792" i="66" s="1"/>
  <c r="A818" i="66" s="1"/>
  <c r="A844" i="66" s="1"/>
  <c r="A870" i="66" s="1"/>
  <c r="A896" i="66" s="1"/>
  <c r="A922" i="66" s="1"/>
  <c r="A948" i="66" s="1"/>
  <c r="A974" i="66" s="1"/>
  <c r="A1000" i="66" s="1"/>
  <c r="A1026" i="66" s="1"/>
  <c r="A1052" i="66" s="1"/>
  <c r="A1078" i="66" s="1"/>
  <c r="A1104" i="66" s="1"/>
  <c r="A1130" i="66" s="1"/>
  <c r="A1156" i="66" s="1"/>
  <c r="A1182" i="66" s="1"/>
  <c r="A1208" i="66" s="1"/>
  <c r="A1234" i="66" s="1"/>
  <c r="A1260" i="66" s="1"/>
  <c r="A1286" i="66" s="1"/>
  <c r="E37" i="66"/>
  <c r="E36" i="66"/>
  <c r="A36" i="66" s="1"/>
  <c r="E35" i="66"/>
  <c r="A35" i="66" s="1"/>
  <c r="E34" i="66"/>
  <c r="A34" i="66" s="1"/>
  <c r="E33" i="66"/>
  <c r="A33" i="66" s="1"/>
  <c r="E32" i="66"/>
  <c r="A32" i="66" s="1"/>
  <c r="E31" i="66"/>
  <c r="L31" i="66" s="1"/>
  <c r="E30" i="66"/>
  <c r="E29" i="66"/>
  <c r="E28" i="66"/>
  <c r="E27" i="66"/>
  <c r="A27" i="66" s="1"/>
  <c r="E26" i="66"/>
  <c r="A26" i="66" s="1"/>
  <c r="E25" i="66"/>
  <c r="A25" i="66" s="1"/>
  <c r="E24" i="66"/>
  <c r="A24" i="66" s="1"/>
  <c r="E23" i="66"/>
  <c r="E22" i="66"/>
  <c r="A22" i="66" s="1"/>
  <c r="E21" i="66"/>
  <c r="E20" i="66"/>
  <c r="A20" i="66" s="1"/>
  <c r="E19" i="66"/>
  <c r="A19" i="66" s="1"/>
  <c r="E18" i="66"/>
  <c r="A18" i="66"/>
  <c r="E17" i="66"/>
  <c r="A17" i="66" s="1"/>
  <c r="E16" i="66"/>
  <c r="A16" i="66" s="1"/>
  <c r="L15" i="66"/>
  <c r="E15" i="66"/>
  <c r="E14" i="66"/>
  <c r="E13" i="66"/>
  <c r="M12" i="66"/>
  <c r="J12" i="66"/>
  <c r="I12" i="66"/>
  <c r="H12" i="66"/>
  <c r="G12" i="66"/>
  <c r="F12" i="66"/>
  <c r="B4" i="66"/>
  <c r="P15" i="66" l="1"/>
  <c r="F9" i="66"/>
  <c r="A39" i="66"/>
  <c r="A81" i="66"/>
  <c r="A113" i="66"/>
  <c r="A264" i="66"/>
  <c r="A307" i="66"/>
  <c r="A445" i="66"/>
  <c r="A487" i="66"/>
  <c r="A539" i="66"/>
  <c r="A612" i="66"/>
  <c r="K186" i="66"/>
  <c r="A47" i="66"/>
  <c r="A150" i="66"/>
  <c r="A472" i="66"/>
  <c r="A548" i="66"/>
  <c r="J9" i="66"/>
  <c r="M9" i="66"/>
  <c r="K71" i="66"/>
  <c r="A183" i="66"/>
  <c r="A459" i="66"/>
  <c r="A583" i="66"/>
  <c r="L583" i="66"/>
  <c r="K585" i="66"/>
  <c r="K19" i="66"/>
  <c r="K624" i="66"/>
  <c r="A43" i="66"/>
  <c r="L55" i="66"/>
  <c r="A145" i="66"/>
  <c r="L161" i="66"/>
  <c r="L421" i="66"/>
  <c r="K544" i="66"/>
  <c r="A550" i="66"/>
  <c r="L624" i="66"/>
  <c r="L630" i="66"/>
  <c r="L556" i="66"/>
  <c r="L41" i="66"/>
  <c r="K199" i="66"/>
  <c r="L505" i="66"/>
  <c r="K482" i="66"/>
  <c r="A57" i="66"/>
  <c r="A62" i="66"/>
  <c r="A125" i="66"/>
  <c r="A146" i="66"/>
  <c r="A152" i="66"/>
  <c r="A157" i="66"/>
  <c r="A187" i="66"/>
  <c r="K236" i="66"/>
  <c r="L391" i="66"/>
  <c r="K398" i="66"/>
  <c r="A409" i="66"/>
  <c r="A423" i="66"/>
  <c r="A477" i="66"/>
  <c r="A484" i="66"/>
  <c r="A498" i="66"/>
  <c r="K593" i="66"/>
  <c r="L143" i="66"/>
  <c r="L482" i="66"/>
  <c r="A132" i="66"/>
  <c r="A319" i="66"/>
  <c r="A464" i="66"/>
  <c r="A505" i="66"/>
  <c r="A569" i="66"/>
  <c r="A606" i="66"/>
  <c r="A622" i="66"/>
  <c r="L101" i="66"/>
  <c r="K113" i="66"/>
  <c r="L120" i="66"/>
  <c r="K150" i="66"/>
  <c r="L183" i="66"/>
  <c r="K337" i="66"/>
  <c r="K441" i="66"/>
  <c r="K455" i="66"/>
  <c r="A591" i="66"/>
  <c r="A596" i="66"/>
  <c r="K653" i="66"/>
  <c r="L600" i="66"/>
  <c r="L17" i="66"/>
  <c r="K132" i="66"/>
  <c r="K378" i="66"/>
  <c r="L441" i="66"/>
  <c r="L455" i="66"/>
  <c r="L342" i="66"/>
  <c r="K382" i="66"/>
  <c r="K559" i="66"/>
  <c r="K120" i="66"/>
  <c r="L157" i="66"/>
  <c r="L269" i="66"/>
  <c r="L457" i="66"/>
  <c r="L57" i="66"/>
  <c r="L43" i="66"/>
  <c r="K189" i="66"/>
  <c r="K309" i="66"/>
  <c r="L465" i="66"/>
  <c r="A597" i="66"/>
  <c r="K609" i="66"/>
  <c r="L649" i="66"/>
  <c r="L59" i="66"/>
  <c r="L51" i="66"/>
  <c r="K86" i="66"/>
  <c r="L154" i="66"/>
  <c r="K187" i="66"/>
  <c r="K209" i="66"/>
  <c r="L39" i="66"/>
  <c r="A41" i="66"/>
  <c r="A44" i="66"/>
  <c r="A55" i="66"/>
  <c r="K114" i="66"/>
  <c r="A143" i="66"/>
  <c r="A161" i="66"/>
  <c r="K166" i="66"/>
  <c r="K180" i="66"/>
  <c r="L189" i="66"/>
  <c r="K305" i="66"/>
  <c r="L309" i="66"/>
  <c r="L413" i="66"/>
  <c r="A540" i="66"/>
  <c r="K550" i="66"/>
  <c r="A587" i="66"/>
  <c r="K177" i="66"/>
  <c r="K457" i="66"/>
  <c r="K552" i="66"/>
  <c r="L620" i="66"/>
  <c r="A50" i="66"/>
  <c r="A59" i="66"/>
  <c r="A63" i="66"/>
  <c r="A94" i="66"/>
  <c r="A124" i="66"/>
  <c r="A153" i="66"/>
  <c r="L166" i="66"/>
  <c r="A214" i="66"/>
  <c r="A301" i="66"/>
  <c r="L305" i="66"/>
  <c r="K386" i="66"/>
  <c r="A450" i="66"/>
  <c r="A467" i="66"/>
  <c r="A516" i="66"/>
  <c r="K556" i="66"/>
  <c r="A620" i="66"/>
  <c r="A639" i="66"/>
  <c r="L45" i="66"/>
  <c r="A49" i="66"/>
  <c r="A52" i="66"/>
  <c r="L61" i="66"/>
  <c r="A72" i="66"/>
  <c r="L93" i="66"/>
  <c r="A98" i="66"/>
  <c r="A111" i="66"/>
  <c r="K131" i="66"/>
  <c r="A140" i="66"/>
  <c r="K164" i="66"/>
  <c r="A173" i="66"/>
  <c r="A181" i="66"/>
  <c r="A185" i="66"/>
  <c r="A208" i="66"/>
  <c r="A219" i="66"/>
  <c r="A253" i="66"/>
  <c r="A257" i="66"/>
  <c r="L261" i="66"/>
  <c r="A268" i="66"/>
  <c r="K286" i="66"/>
  <c r="K317" i="66"/>
  <c r="A413" i="66"/>
  <c r="K417" i="66"/>
  <c r="K463" i="66"/>
  <c r="K475" i="66"/>
  <c r="K485" i="66"/>
  <c r="K508" i="66"/>
  <c r="L538" i="66"/>
  <c r="A543" i="66"/>
  <c r="K546" i="66"/>
  <c r="L563" i="66"/>
  <c r="A589" i="66"/>
  <c r="A601" i="66"/>
  <c r="A605" i="66"/>
  <c r="L164" i="66"/>
  <c r="E194" i="66"/>
  <c r="L194" i="66" s="1"/>
  <c r="L286" i="66"/>
  <c r="L301" i="66"/>
  <c r="K323" i="66"/>
  <c r="L417" i="66"/>
  <c r="L463" i="66"/>
  <c r="L475" i="66"/>
  <c r="L546" i="66"/>
  <c r="A40" i="66"/>
  <c r="L49" i="66"/>
  <c r="A53" i="66"/>
  <c r="A56" i="66"/>
  <c r="K72" i="66"/>
  <c r="A78" i="66"/>
  <c r="A89" i="66"/>
  <c r="A103" i="66"/>
  <c r="A109" i="66"/>
  <c r="A115" i="66"/>
  <c r="A122" i="66"/>
  <c r="A151" i="66"/>
  <c r="K154" i="66"/>
  <c r="A165" i="66"/>
  <c r="A170" i="66"/>
  <c r="A179" i="66"/>
  <c r="A198" i="66"/>
  <c r="A203" i="66"/>
  <c r="L238" i="66"/>
  <c r="L257" i="66"/>
  <c r="E324" i="66"/>
  <c r="K528" i="66"/>
  <c r="A551" i="66"/>
  <c r="K554" i="66"/>
  <c r="L559" i="66"/>
  <c r="L585" i="66"/>
  <c r="L593" i="66"/>
  <c r="L605" i="66"/>
  <c r="K223" i="66"/>
  <c r="K227" i="66"/>
  <c r="L254" i="66"/>
  <c r="L337" i="66"/>
  <c r="K372" i="66"/>
  <c r="L378" i="66"/>
  <c r="K536" i="66"/>
  <c r="L539" i="66"/>
  <c r="L554" i="66"/>
  <c r="K656" i="66"/>
  <c r="K35" i="66"/>
  <c r="L53" i="66"/>
  <c r="K70" i="66"/>
  <c r="K89" i="66"/>
  <c r="K109" i="66"/>
  <c r="A133" i="66"/>
  <c r="K138" i="66"/>
  <c r="A144" i="66"/>
  <c r="L151" i="66"/>
  <c r="A158" i="66"/>
  <c r="A162" i="66"/>
  <c r="L165" i="66"/>
  <c r="K179" i="66"/>
  <c r="K198" i="66"/>
  <c r="L209" i="66"/>
  <c r="L223" i="66"/>
  <c r="L333" i="66"/>
  <c r="L372" i="66"/>
  <c r="L409" i="66"/>
  <c r="A461" i="66"/>
  <c r="A465" i="66"/>
  <c r="A469" i="66"/>
  <c r="A474" i="66"/>
  <c r="A488" i="66"/>
  <c r="L536" i="66"/>
  <c r="L544" i="66"/>
  <c r="L551" i="66"/>
  <c r="A638" i="66"/>
  <c r="A642" i="66"/>
  <c r="L646" i="66"/>
  <c r="L35" i="66"/>
  <c r="L47" i="66"/>
  <c r="A51" i="66"/>
  <c r="A54" i="66"/>
  <c r="L63" i="66"/>
  <c r="A71" i="66"/>
  <c r="A74" i="66"/>
  <c r="A80" i="66"/>
  <c r="L138" i="66"/>
  <c r="K171" i="66"/>
  <c r="A177" i="66"/>
  <c r="A180" i="66"/>
  <c r="A260" i="66"/>
  <c r="A273" i="66"/>
  <c r="A285" i="66"/>
  <c r="A405" i="66"/>
  <c r="A425" i="66"/>
  <c r="K445" i="66"/>
  <c r="L533" i="66"/>
  <c r="K561" i="66"/>
  <c r="K591" i="66"/>
  <c r="A600" i="66"/>
  <c r="K603" i="66"/>
  <c r="A607" i="66"/>
  <c r="A45" i="66"/>
  <c r="A48" i="66"/>
  <c r="A61" i="66"/>
  <c r="A93" i="66"/>
  <c r="A97" i="66"/>
  <c r="A110" i="66"/>
  <c r="L144" i="66"/>
  <c r="L149" i="66"/>
  <c r="L158" i="66"/>
  <c r="A172" i="66"/>
  <c r="A193" i="66"/>
  <c r="L329" i="66"/>
  <c r="K421" i="66"/>
  <c r="K478" i="66"/>
  <c r="A481" i="66"/>
  <c r="K488" i="66"/>
  <c r="A494" i="66"/>
  <c r="L499" i="66"/>
  <c r="A534" i="66"/>
  <c r="A538" i="66"/>
  <c r="L587" i="66"/>
  <c r="L595" i="66"/>
  <c r="L603" i="66"/>
  <c r="L638" i="66"/>
  <c r="A643" i="66"/>
  <c r="A648" i="66"/>
  <c r="K141" i="66"/>
  <c r="L588" i="66"/>
  <c r="K27" i="66"/>
  <c r="K40" i="66"/>
  <c r="K42" i="66"/>
  <c r="K44" i="66"/>
  <c r="K46" i="66"/>
  <c r="K48" i="66"/>
  <c r="K50" i="66"/>
  <c r="K52" i="66"/>
  <c r="K54" i="66"/>
  <c r="K56" i="66"/>
  <c r="K58" i="66"/>
  <c r="K60" i="66"/>
  <c r="K62" i="66"/>
  <c r="L73" i="66"/>
  <c r="K77" i="66"/>
  <c r="L79" i="66"/>
  <c r="A88" i="66"/>
  <c r="L91" i="66"/>
  <c r="A95" i="66"/>
  <c r="K97" i="66"/>
  <c r="L99" i="66"/>
  <c r="A105" i="66"/>
  <c r="K107" i="66"/>
  <c r="K115" i="66"/>
  <c r="A117" i="66"/>
  <c r="E116" i="66"/>
  <c r="L116" i="66" s="1"/>
  <c r="L124" i="66"/>
  <c r="K136" i="66"/>
  <c r="E142" i="66"/>
  <c r="K142" i="66" s="1"/>
  <c r="L145" i="66"/>
  <c r="A148" i="66"/>
  <c r="K152" i="66"/>
  <c r="A155" i="66"/>
  <c r="A160" i="66"/>
  <c r="K162" i="66"/>
  <c r="K167" i="66"/>
  <c r="L167" i="66"/>
  <c r="L169" i="66"/>
  <c r="L175" i="66"/>
  <c r="K181" i="66"/>
  <c r="K184" i="66"/>
  <c r="K193" i="66"/>
  <c r="L195" i="66"/>
  <c r="A195" i="66"/>
  <c r="A211" i="66"/>
  <c r="A215" i="66"/>
  <c r="A222" i="66"/>
  <c r="L232" i="66"/>
  <c r="K252" i="66"/>
  <c r="K270" i="66"/>
  <c r="L270" i="66"/>
  <c r="A415" i="66"/>
  <c r="L438" i="66"/>
  <c r="K461" i="66"/>
  <c r="A479" i="66"/>
  <c r="A512" i="66"/>
  <c r="K534" i="66"/>
  <c r="A542" i="66"/>
  <c r="L606" i="66"/>
  <c r="K642" i="66"/>
  <c r="L599" i="66"/>
  <c r="K599" i="66"/>
  <c r="K91" i="66"/>
  <c r="L159" i="66"/>
  <c r="K446" i="66"/>
  <c r="L27" i="66"/>
  <c r="L77" i="66"/>
  <c r="L252" i="66"/>
  <c r="L321" i="66"/>
  <c r="K321" i="66"/>
  <c r="A364" i="66"/>
  <c r="L364" i="66"/>
  <c r="L492" i="66"/>
  <c r="A492" i="66"/>
  <c r="K555" i="66"/>
  <c r="L555" i="66"/>
  <c r="L596" i="66"/>
  <c r="L650" i="66"/>
  <c r="K650" i="66"/>
  <c r="L660" i="66"/>
  <c r="K660" i="66"/>
  <c r="L495" i="66"/>
  <c r="A495" i="66"/>
  <c r="K659" i="66"/>
  <c r="A659" i="66"/>
  <c r="L136" i="66"/>
  <c r="L19" i="66"/>
  <c r="K129" i="66"/>
  <c r="K148" i="66"/>
  <c r="L155" i="66"/>
  <c r="K160" i="66"/>
  <c r="K163" i="66"/>
  <c r="A163" i="66"/>
  <c r="K211" i="66"/>
  <c r="K215" i="66"/>
  <c r="L222" i="66"/>
  <c r="L230" i="66"/>
  <c r="A239" i="66"/>
  <c r="L239" i="66"/>
  <c r="K239" i="66"/>
  <c r="L317" i="66"/>
  <c r="K364" i="66"/>
  <c r="L407" i="66"/>
  <c r="A407" i="66"/>
  <c r="A433" i="66"/>
  <c r="L433" i="66"/>
  <c r="K433" i="66"/>
  <c r="K479" i="66"/>
  <c r="L508" i="66"/>
  <c r="K512" i="66"/>
  <c r="L528" i="66"/>
  <c r="K542" i="66"/>
  <c r="L552" i="66"/>
  <c r="L639" i="66"/>
  <c r="K82" i="66"/>
  <c r="K232" i="66"/>
  <c r="A356" i="66"/>
  <c r="L356" i="66"/>
  <c r="K356" i="66"/>
  <c r="K471" i="66"/>
  <c r="K495" i="66"/>
  <c r="L33" i="66"/>
  <c r="K88" i="66"/>
  <c r="K105" i="66"/>
  <c r="K25" i="66"/>
  <c r="L95" i="66"/>
  <c r="K103" i="66"/>
  <c r="K111" i="66"/>
  <c r="K122" i="66"/>
  <c r="K125" i="66"/>
  <c r="K146" i="66"/>
  <c r="L163" i="66"/>
  <c r="K170" i="66"/>
  <c r="K173" i="66"/>
  <c r="K185" i="66"/>
  <c r="L188" i="66"/>
  <c r="A188" i="66"/>
  <c r="K191" i="66"/>
  <c r="K196" i="66"/>
  <c r="A199" i="66"/>
  <c r="L208" i="66"/>
  <c r="A240" i="66"/>
  <c r="K280" i="66"/>
  <c r="L303" i="66"/>
  <c r="K303" i="66"/>
  <c r="K313" i="66"/>
  <c r="L334" i="66"/>
  <c r="L383" i="66"/>
  <c r="K407" i="66"/>
  <c r="L449" i="66"/>
  <c r="A449" i="66"/>
  <c r="K473" i="66"/>
  <c r="A489" i="66"/>
  <c r="L493" i="66"/>
  <c r="K493" i="66"/>
  <c r="L503" i="66"/>
  <c r="K614" i="66"/>
  <c r="L647" i="66"/>
  <c r="K200" i="66"/>
  <c r="A200" i="66"/>
  <c r="L147" i="66"/>
  <c r="E428" i="66"/>
  <c r="L428" i="66" s="1"/>
  <c r="L468" i="66"/>
  <c r="A468" i="66"/>
  <c r="L25" i="66"/>
  <c r="L75" i="66"/>
  <c r="K78" i="66"/>
  <c r="K98" i="66"/>
  <c r="A106" i="66"/>
  <c r="A131" i="66"/>
  <c r="L140" i="66"/>
  <c r="A149" i="66"/>
  <c r="L153" i="66"/>
  <c r="A171" i="66"/>
  <c r="A186" i="66"/>
  <c r="L191" i="66"/>
  <c r="L196" i="66"/>
  <c r="K204" i="66"/>
  <c r="L204" i="66"/>
  <c r="K217" i="66"/>
  <c r="A217" i="66"/>
  <c r="A236" i="66"/>
  <c r="L280" i="66"/>
  <c r="L313" i="66"/>
  <c r="K360" i="66"/>
  <c r="K425" i="66"/>
  <c r="K449" i="66"/>
  <c r="L473" i="66"/>
  <c r="L524" i="66"/>
  <c r="K601" i="66"/>
  <c r="A609" i="66"/>
  <c r="L614" i="66"/>
  <c r="K644" i="66"/>
  <c r="L657" i="66"/>
  <c r="K657" i="66"/>
  <c r="L197" i="66"/>
  <c r="K197" i="66"/>
  <c r="E38" i="66"/>
  <c r="K38" i="66" s="1"/>
  <c r="K79" i="66"/>
  <c r="K99" i="66"/>
  <c r="K104" i="66"/>
  <c r="K175" i="66"/>
  <c r="K224" i="66"/>
  <c r="K520" i="66"/>
  <c r="A82" i="66"/>
  <c r="A104" i="66"/>
  <c r="A141" i="66"/>
  <c r="A147" i="66"/>
  <c r="A159" i="66"/>
  <c r="A197" i="66"/>
  <c r="A446" i="66"/>
  <c r="A471" i="66"/>
  <c r="L486" i="66"/>
  <c r="K489" i="66"/>
  <c r="K499" i="66"/>
  <c r="A520" i="66"/>
  <c r="A588" i="66"/>
  <c r="A599" i="66"/>
  <c r="K630" i="66"/>
  <c r="L644" i="66"/>
  <c r="K260" i="66"/>
  <c r="K268" i="66"/>
  <c r="K394" i="66"/>
  <c r="L399" i="66"/>
  <c r="K405" i="66"/>
  <c r="K450" i="66"/>
  <c r="K459" i="66"/>
  <c r="K464" i="66"/>
  <c r="K469" i="66"/>
  <c r="K477" i="66"/>
  <c r="K481" i="66"/>
  <c r="K484" i="66"/>
  <c r="L526" i="66"/>
  <c r="K569" i="66"/>
  <c r="K622" i="66"/>
  <c r="K648" i="66"/>
  <c r="K655" i="66"/>
  <c r="L253" i="66"/>
  <c r="K264" i="66"/>
  <c r="K273" i="66"/>
  <c r="K281" i="66"/>
  <c r="K307" i="66"/>
  <c r="K345" i="66"/>
  <c r="L394" i="66"/>
  <c r="K423" i="66"/>
  <c r="K462" i="66"/>
  <c r="K467" i="66"/>
  <c r="L501" i="66"/>
  <c r="L518" i="66"/>
  <c r="A533" i="66"/>
  <c r="K540" i="66"/>
  <c r="K548" i="66"/>
  <c r="A561" i="66"/>
  <c r="K589" i="66"/>
  <c r="K597" i="66"/>
  <c r="K607" i="66"/>
  <c r="K616" i="66"/>
  <c r="K632" i="66"/>
  <c r="K640" i="66"/>
  <c r="L655" i="66"/>
  <c r="K243" i="66"/>
  <c r="A254" i="66"/>
  <c r="A261" i="66"/>
  <c r="A269" i="66"/>
  <c r="K285" i="66"/>
  <c r="K319" i="66"/>
  <c r="A323" i="66"/>
  <c r="K329" i="66"/>
  <c r="K333" i="66"/>
  <c r="K341" i="66"/>
  <c r="L345" i="66"/>
  <c r="E376" i="66"/>
  <c r="K376" i="66" s="1"/>
  <c r="L430" i="66"/>
  <c r="K472" i="66"/>
  <c r="A485" i="66"/>
  <c r="L494" i="66"/>
  <c r="L498" i="66"/>
  <c r="L543" i="66"/>
  <c r="L616" i="66"/>
  <c r="L632" i="66"/>
  <c r="L643" i="66"/>
  <c r="A649" i="66"/>
  <c r="A653" i="66"/>
  <c r="A656" i="66"/>
  <c r="K116" i="66"/>
  <c r="L38" i="66"/>
  <c r="L16" i="66"/>
  <c r="K16" i="66"/>
  <c r="L24" i="66"/>
  <c r="K24" i="66"/>
  <c r="L32" i="66"/>
  <c r="K32" i="66"/>
  <c r="K94" i="66"/>
  <c r="L102" i="66"/>
  <c r="A102" i="66"/>
  <c r="L112" i="66"/>
  <c r="A112" i="66"/>
  <c r="L139" i="66"/>
  <c r="A139" i="66"/>
  <c r="A231" i="66"/>
  <c r="L231" i="66"/>
  <c r="L324" i="66"/>
  <c r="K324" i="66"/>
  <c r="K326" i="66"/>
  <c r="A326" i="66"/>
  <c r="L326" i="66"/>
  <c r="K338" i="66"/>
  <c r="A338" i="66"/>
  <c r="L338" i="66"/>
  <c r="A343" i="66"/>
  <c r="K343" i="66"/>
  <c r="L343" i="66"/>
  <c r="K354" i="66"/>
  <c r="L354" i="66"/>
  <c r="A354" i="66"/>
  <c r="K359" i="66"/>
  <c r="A359" i="66"/>
  <c r="L359" i="66"/>
  <c r="K367" i="66"/>
  <c r="A367" i="66"/>
  <c r="L367" i="66"/>
  <c r="A429" i="66"/>
  <c r="L429" i="66"/>
  <c r="K429" i="66"/>
  <c r="A118" i="66"/>
  <c r="K118" i="66"/>
  <c r="L226" i="66"/>
  <c r="K226" i="66"/>
  <c r="K234" i="66"/>
  <c r="A234" i="66"/>
  <c r="K395" i="66"/>
  <c r="A395" i="66"/>
  <c r="L174" i="66"/>
  <c r="K174" i="66"/>
  <c r="A174" i="66"/>
  <c r="L376" i="66"/>
  <c r="L128" i="66"/>
  <c r="K128" i="66"/>
  <c r="A242" i="66"/>
  <c r="L242" i="66"/>
  <c r="A23" i="66"/>
  <c r="L23" i="66"/>
  <c r="K23" i="66"/>
  <c r="L67" i="66"/>
  <c r="K67" i="66"/>
  <c r="L121" i="66"/>
  <c r="A121" i="66"/>
  <c r="L135" i="66"/>
  <c r="K135" i="66"/>
  <c r="A135" i="66"/>
  <c r="L182" i="66"/>
  <c r="A182" i="66"/>
  <c r="K182" i="66"/>
  <c r="A233" i="66"/>
  <c r="K233" i="66"/>
  <c r="L233" i="66"/>
  <c r="A296" i="66"/>
  <c r="K296" i="66"/>
  <c r="L296" i="66"/>
  <c r="A390" i="66"/>
  <c r="K390" i="66"/>
  <c r="L442" i="66"/>
  <c r="A442" i="66"/>
  <c r="K442" i="66"/>
  <c r="K121" i="66"/>
  <c r="L190" i="66"/>
  <c r="K190" i="66"/>
  <c r="K283" i="66"/>
  <c r="A283" i="66"/>
  <c r="L283" i="66"/>
  <c r="L358" i="66"/>
  <c r="K358" i="66"/>
  <c r="A358" i="66"/>
  <c r="L390" i="66"/>
  <c r="A13" i="66"/>
  <c r="L13" i="66"/>
  <c r="A21" i="66"/>
  <c r="L21" i="66"/>
  <c r="A29" i="66"/>
  <c r="L29" i="66"/>
  <c r="A37" i="66"/>
  <c r="L37" i="66"/>
  <c r="L69" i="66"/>
  <c r="K69" i="66"/>
  <c r="L85" i="66"/>
  <c r="K85" i="66"/>
  <c r="A130" i="66"/>
  <c r="K130" i="66"/>
  <c r="K194" i="66"/>
  <c r="A228" i="66"/>
  <c r="L228" i="66"/>
  <c r="L277" i="66"/>
  <c r="K277" i="66"/>
  <c r="A277" i="66"/>
  <c r="A571" i="66"/>
  <c r="K571" i="66"/>
  <c r="L571" i="66"/>
  <c r="K13" i="66"/>
  <c r="K21" i="66"/>
  <c r="K29" i="66"/>
  <c r="K37" i="66"/>
  <c r="L65" i="66"/>
  <c r="K65" i="66"/>
  <c r="E64" i="66"/>
  <c r="L100" i="66"/>
  <c r="K100" i="66"/>
  <c r="K110" i="66"/>
  <c r="L130" i="66"/>
  <c r="L137" i="66"/>
  <c r="K137" i="66"/>
  <c r="K201" i="66"/>
  <c r="A201" i="66"/>
  <c r="L201" i="66"/>
  <c r="A205" i="66"/>
  <c r="K219" i="66"/>
  <c r="K228" i="66"/>
  <c r="A244" i="66"/>
  <c r="K244" i="66"/>
  <c r="L244" i="66"/>
  <c r="K265" i="66"/>
  <c r="L265" i="66"/>
  <c r="A265" i="66"/>
  <c r="K436" i="66"/>
  <c r="L436" i="66"/>
  <c r="A436" i="66"/>
  <c r="K453" i="66"/>
  <c r="A453" i="66"/>
  <c r="L453" i="66"/>
  <c r="E12" i="66"/>
  <c r="L14" i="66"/>
  <c r="K14" i="66"/>
  <c r="A14" i="66"/>
  <c r="L30" i="66"/>
  <c r="K30" i="66"/>
  <c r="A30" i="66"/>
  <c r="A66" i="66"/>
  <c r="L66" i="66"/>
  <c r="K66" i="66"/>
  <c r="L108" i="66"/>
  <c r="K108" i="66"/>
  <c r="L123" i="66"/>
  <c r="A123" i="66"/>
  <c r="K123" i="66"/>
  <c r="L176" i="66"/>
  <c r="K176" i="66"/>
  <c r="L192" i="66"/>
  <c r="A192" i="66"/>
  <c r="K202" i="66"/>
  <c r="A202" i="66"/>
  <c r="K212" i="66"/>
  <c r="A212" i="66"/>
  <c r="L212" i="66"/>
  <c r="K216" i="66"/>
  <c r="L216" i="66"/>
  <c r="A245" i="66"/>
  <c r="K245" i="66"/>
  <c r="K370" i="66"/>
  <c r="A370" i="66"/>
  <c r="L370" i="66"/>
  <c r="L28" i="66"/>
  <c r="K28" i="66"/>
  <c r="A28" i="66"/>
  <c r="L92" i="66"/>
  <c r="E90" i="66"/>
  <c r="K92" i="66"/>
  <c r="A250" i="66"/>
  <c r="L250" i="66"/>
  <c r="K250" i="66"/>
  <c r="K271" i="66"/>
  <c r="L271" i="66"/>
  <c r="A271" i="66"/>
  <c r="K355" i="66"/>
  <c r="A355" i="66"/>
  <c r="L355" i="66"/>
  <c r="A15" i="66"/>
  <c r="K15" i="66"/>
  <c r="L22" i="66"/>
  <c r="K22" i="66"/>
  <c r="A31" i="66"/>
  <c r="K31" i="66"/>
  <c r="A67" i="66"/>
  <c r="A87" i="66"/>
  <c r="L87" i="66"/>
  <c r="K87" i="66"/>
  <c r="L96" i="66"/>
  <c r="A96" i="66"/>
  <c r="L127" i="66"/>
  <c r="A127" i="66"/>
  <c r="K127" i="66"/>
  <c r="A134" i="66"/>
  <c r="K134" i="66"/>
  <c r="L134" i="66"/>
  <c r="K192" i="66"/>
  <c r="L202" i="66"/>
  <c r="K205" i="66"/>
  <c r="K213" i="66"/>
  <c r="A213" i="66"/>
  <c r="L213" i="66"/>
  <c r="A237" i="66"/>
  <c r="L237" i="66"/>
  <c r="K237" i="66"/>
  <c r="L245" i="66"/>
  <c r="A258" i="66"/>
  <c r="L258" i="66"/>
  <c r="K258" i="66"/>
  <c r="K295" i="66"/>
  <c r="A295" i="66"/>
  <c r="L295" i="66"/>
  <c r="K308" i="66"/>
  <c r="A308" i="66"/>
  <c r="L308" i="66"/>
  <c r="L26" i="66"/>
  <c r="K26" i="66"/>
  <c r="L83" i="66"/>
  <c r="K83" i="66"/>
  <c r="L119" i="66"/>
  <c r="K119" i="66"/>
  <c r="K248" i="66"/>
  <c r="A248" i="66"/>
  <c r="E246" i="66"/>
  <c r="L248" i="66"/>
  <c r="A266" i="66"/>
  <c r="L266" i="66"/>
  <c r="K266" i="66"/>
  <c r="L311" i="66"/>
  <c r="K311" i="66"/>
  <c r="A311" i="66"/>
  <c r="L315" i="66"/>
  <c r="A315" i="66"/>
  <c r="K318" i="66"/>
  <c r="A318" i="66"/>
  <c r="L318" i="66"/>
  <c r="A368" i="66"/>
  <c r="K368" i="66"/>
  <c r="L368" i="66"/>
  <c r="L651" i="66"/>
  <c r="A651" i="66"/>
  <c r="K651" i="66"/>
  <c r="E636" i="66"/>
  <c r="K17" i="66"/>
  <c r="L20" i="66"/>
  <c r="K20" i="66"/>
  <c r="K33" i="66"/>
  <c r="L36" i="66"/>
  <c r="K36" i="66"/>
  <c r="K75" i="66"/>
  <c r="K80" i="66"/>
  <c r="L84" i="66"/>
  <c r="A84" i="66"/>
  <c r="K84" i="66"/>
  <c r="K106" i="66"/>
  <c r="L178" i="66"/>
  <c r="A178" i="66"/>
  <c r="A207" i="66"/>
  <c r="K207" i="66"/>
  <c r="K210" i="66"/>
  <c r="L210" i="66"/>
  <c r="A210" i="66"/>
  <c r="K249" i="66"/>
  <c r="A249" i="66"/>
  <c r="K255" i="66"/>
  <c r="L255" i="66"/>
  <c r="A294" i="66"/>
  <c r="K294" i="66"/>
  <c r="L294" i="66"/>
  <c r="K312" i="66"/>
  <c r="A312" i="66"/>
  <c r="K315" i="66"/>
  <c r="K328" i="66"/>
  <c r="L328" i="66"/>
  <c r="K332" i="66"/>
  <c r="L332" i="66"/>
  <c r="A349" i="66"/>
  <c r="K349" i="66"/>
  <c r="L349" i="66"/>
  <c r="L623" i="66"/>
  <c r="A623" i="66"/>
  <c r="K623" i="66"/>
  <c r="L18" i="66"/>
  <c r="K18" i="66"/>
  <c r="L34" i="66"/>
  <c r="K34" i="66"/>
  <c r="L68" i="66"/>
  <c r="A68" i="66"/>
  <c r="L76" i="66"/>
  <c r="K76" i="66"/>
  <c r="L126" i="66"/>
  <c r="K126" i="66"/>
  <c r="E168" i="66"/>
  <c r="A169" i="66"/>
  <c r="K218" i="66"/>
  <c r="A218" i="66"/>
  <c r="L218" i="66"/>
  <c r="A276" i="66"/>
  <c r="L276" i="66"/>
  <c r="K291" i="66"/>
  <c r="A291" i="66"/>
  <c r="K432" i="66"/>
  <c r="L432" i="66"/>
  <c r="A432" i="66"/>
  <c r="L458" i="66"/>
  <c r="K458" i="66"/>
  <c r="A458" i="66"/>
  <c r="L476" i="66"/>
  <c r="A476" i="66"/>
  <c r="K476" i="66"/>
  <c r="A427" i="66"/>
  <c r="L427" i="66"/>
  <c r="K427" i="66"/>
  <c r="A439" i="66"/>
  <c r="K439" i="66"/>
  <c r="L439" i="66"/>
  <c r="K443" i="66"/>
  <c r="A443" i="66"/>
  <c r="L443" i="66"/>
  <c r="L497" i="66"/>
  <c r="A497" i="66"/>
  <c r="K497" i="66"/>
  <c r="L626" i="66"/>
  <c r="K626" i="66"/>
  <c r="A626" i="66"/>
  <c r="A225" i="66"/>
  <c r="K225" i="66"/>
  <c r="K275" i="66"/>
  <c r="L275" i="66"/>
  <c r="A290" i="66"/>
  <c r="L290" i="66"/>
  <c r="K314" i="66"/>
  <c r="A314" i="66"/>
  <c r="L314" i="66"/>
  <c r="A327" i="66"/>
  <c r="K327" i="66"/>
  <c r="L327" i="66"/>
  <c r="A339" i="66"/>
  <c r="L339" i="66"/>
  <c r="K339" i="66"/>
  <c r="A347" i="66"/>
  <c r="L347" i="66"/>
  <c r="K347" i="66"/>
  <c r="K362" i="66"/>
  <c r="L362" i="66"/>
  <c r="K371" i="66"/>
  <c r="A371" i="66"/>
  <c r="L371" i="66"/>
  <c r="A437" i="66"/>
  <c r="L437" i="66"/>
  <c r="K437" i="66"/>
  <c r="L509" i="66"/>
  <c r="A509" i="66"/>
  <c r="K509" i="66"/>
  <c r="E506" i="66"/>
  <c r="L575" i="66"/>
  <c r="A575" i="66"/>
  <c r="K575" i="66"/>
  <c r="A221" i="66"/>
  <c r="E220" i="66"/>
  <c r="A229" i="66"/>
  <c r="K229" i="66"/>
  <c r="K259" i="66"/>
  <c r="A259" i="66"/>
  <c r="L259" i="66"/>
  <c r="K262" i="66"/>
  <c r="L262" i="66"/>
  <c r="A262" i="66"/>
  <c r="A278" i="66"/>
  <c r="L278" i="66"/>
  <c r="K297" i="66"/>
  <c r="L297" i="66"/>
  <c r="L299" i="66"/>
  <c r="A299" i="66"/>
  <c r="E298" i="66"/>
  <c r="K302" i="66"/>
  <c r="A302" i="66"/>
  <c r="L302" i="66"/>
  <c r="K351" i="66"/>
  <c r="A351" i="66"/>
  <c r="E350" i="66"/>
  <c r="L351" i="66"/>
  <c r="L444" i="66"/>
  <c r="A444" i="66"/>
  <c r="K444" i="66"/>
  <c r="L523" i="66"/>
  <c r="A523" i="66"/>
  <c r="K523" i="66"/>
  <c r="K541" i="66"/>
  <c r="A541" i="66"/>
  <c r="L541" i="66"/>
  <c r="K590" i="66"/>
  <c r="L590" i="66"/>
  <c r="A590" i="66"/>
  <c r="A70" i="66"/>
  <c r="K74" i="66"/>
  <c r="K81" i="66"/>
  <c r="A86" i="66"/>
  <c r="K117" i="66"/>
  <c r="A129" i="66"/>
  <c r="K133" i="66"/>
  <c r="K172" i="66"/>
  <c r="A184" i="66"/>
  <c r="K188" i="66"/>
  <c r="L200" i="66"/>
  <c r="K203" i="66"/>
  <c r="K206" i="66"/>
  <c r="L206" i="66"/>
  <c r="A206" i="66"/>
  <c r="L214" i="66"/>
  <c r="K221" i="66"/>
  <c r="A224" i="66"/>
  <c r="L229" i="66"/>
  <c r="K235" i="66"/>
  <c r="A238" i="66"/>
  <c r="K240" i="66"/>
  <c r="K247" i="66"/>
  <c r="L247" i="66"/>
  <c r="L256" i="66"/>
  <c r="K256" i="66"/>
  <c r="K267" i="66"/>
  <c r="A267" i="66"/>
  <c r="K278" i="66"/>
  <c r="A288" i="66"/>
  <c r="K288" i="66"/>
  <c r="L288" i="66"/>
  <c r="K299" i="66"/>
  <c r="A352" i="66"/>
  <c r="L352" i="66"/>
  <c r="K379" i="66"/>
  <c r="A379" i="66"/>
  <c r="L379" i="66"/>
  <c r="A384" i="66"/>
  <c r="K384" i="66"/>
  <c r="A392" i="66"/>
  <c r="K392" i="66"/>
  <c r="L392" i="66"/>
  <c r="K397" i="66"/>
  <c r="L397" i="66"/>
  <c r="A397" i="66"/>
  <c r="K414" i="66"/>
  <c r="A414" i="66"/>
  <c r="L414" i="66"/>
  <c r="K434" i="66"/>
  <c r="A434" i="66"/>
  <c r="L434" i="66"/>
  <c r="L440" i="66"/>
  <c r="K440" i="66"/>
  <c r="L451" i="66"/>
  <c r="A451" i="66"/>
  <c r="K451" i="66"/>
  <c r="L562" i="66"/>
  <c r="A562" i="66"/>
  <c r="K562" i="66"/>
  <c r="L221" i="66"/>
  <c r="L235" i="66"/>
  <c r="A241" i="66"/>
  <c r="K241" i="66"/>
  <c r="K263" i="66"/>
  <c r="L263" i="66"/>
  <c r="A274" i="66"/>
  <c r="K274" i="66"/>
  <c r="E272" i="66"/>
  <c r="L274" i="66"/>
  <c r="A279" i="66"/>
  <c r="L279" i="66"/>
  <c r="K293" i="66"/>
  <c r="L293" i="66"/>
  <c r="A293" i="66"/>
  <c r="A325" i="66"/>
  <c r="L325" i="66"/>
  <c r="K325" i="66"/>
  <c r="L374" i="66"/>
  <c r="K374" i="66"/>
  <c r="A374" i="66"/>
  <c r="A380" i="66"/>
  <c r="L380" i="66"/>
  <c r="K380" i="66"/>
  <c r="A388" i="66"/>
  <c r="L388" i="66"/>
  <c r="K388" i="66"/>
  <c r="K393" i="66"/>
  <c r="L393" i="66"/>
  <c r="A393" i="66"/>
  <c r="A411" i="66"/>
  <c r="L411" i="66"/>
  <c r="A435" i="66"/>
  <c r="L435" i="66"/>
  <c r="K435" i="66"/>
  <c r="L580" i="66"/>
  <c r="A580" i="66"/>
  <c r="K580" i="66"/>
  <c r="K251" i="66"/>
  <c r="A251" i="66"/>
  <c r="A282" i="66"/>
  <c r="K282" i="66"/>
  <c r="A292" i="66"/>
  <c r="K292" i="66"/>
  <c r="K300" i="66"/>
  <c r="A300" i="66"/>
  <c r="K306" i="66"/>
  <c r="A306" i="66"/>
  <c r="L306" i="66"/>
  <c r="K316" i="66"/>
  <c r="A316" i="66"/>
  <c r="K322" i="66"/>
  <c r="A322" i="66"/>
  <c r="L322" i="66"/>
  <c r="K330" i="66"/>
  <c r="A330" i="66"/>
  <c r="L341" i="66"/>
  <c r="L360" i="66"/>
  <c r="L382" i="66"/>
  <c r="K401" i="66"/>
  <c r="L401" i="66"/>
  <c r="A403" i="66"/>
  <c r="E402" i="66"/>
  <c r="L403" i="66"/>
  <c r="K406" i="66"/>
  <c r="A406" i="66"/>
  <c r="L406" i="66"/>
  <c r="K420" i="66"/>
  <c r="A420" i="66"/>
  <c r="K426" i="66"/>
  <c r="A426" i="66"/>
  <c r="L426" i="66"/>
  <c r="A431" i="66"/>
  <c r="K431" i="66"/>
  <c r="L491" i="66"/>
  <c r="A491" i="66"/>
  <c r="L567" i="66"/>
  <c r="A567" i="66"/>
  <c r="K567" i="66"/>
  <c r="K577" i="66"/>
  <c r="A577" i="66"/>
  <c r="L577" i="66"/>
  <c r="L227" i="66"/>
  <c r="L243" i="66"/>
  <c r="K289" i="66"/>
  <c r="L289" i="66"/>
  <c r="K304" i="66"/>
  <c r="A304" i="66"/>
  <c r="K310" i="66"/>
  <c r="A310" i="66"/>
  <c r="L310" i="66"/>
  <c r="K320" i="66"/>
  <c r="A320" i="66"/>
  <c r="A331" i="66"/>
  <c r="L331" i="66"/>
  <c r="K331" i="66"/>
  <c r="A335" i="66"/>
  <c r="K335" i="66"/>
  <c r="K346" i="66"/>
  <c r="A346" i="66"/>
  <c r="K375" i="66"/>
  <c r="A375" i="66"/>
  <c r="K387" i="66"/>
  <c r="A387" i="66"/>
  <c r="L398" i="66"/>
  <c r="K404" i="66"/>
  <c r="A404" i="66"/>
  <c r="K410" i="66"/>
  <c r="A410" i="66"/>
  <c r="L410" i="66"/>
  <c r="L466" i="66"/>
  <c r="K466" i="66"/>
  <c r="L525" i="66"/>
  <c r="A525" i="66"/>
  <c r="K525" i="66"/>
  <c r="A284" i="66"/>
  <c r="L284" i="66"/>
  <c r="K287" i="66"/>
  <c r="A287" i="66"/>
  <c r="K336" i="66"/>
  <c r="L336" i="66"/>
  <c r="K340" i="66"/>
  <c r="L340" i="66"/>
  <c r="K377" i="66"/>
  <c r="L377" i="66"/>
  <c r="K381" i="66"/>
  <c r="L381" i="66"/>
  <c r="A396" i="66"/>
  <c r="L396" i="66"/>
  <c r="K396" i="66"/>
  <c r="A400" i="66"/>
  <c r="K400" i="66"/>
  <c r="K412" i="66"/>
  <c r="A412" i="66"/>
  <c r="K418" i="66"/>
  <c r="A418" i="66"/>
  <c r="L418" i="66"/>
  <c r="K447" i="66"/>
  <c r="L447" i="66"/>
  <c r="L510" i="66"/>
  <c r="K510" i="66"/>
  <c r="K565" i="66"/>
  <c r="A565" i="66"/>
  <c r="L565" i="66"/>
  <c r="K344" i="66"/>
  <c r="L344" i="66"/>
  <c r="K348" i="66"/>
  <c r="L348" i="66"/>
  <c r="K363" i="66"/>
  <c r="A363" i="66"/>
  <c r="L366" i="66"/>
  <c r="K366" i="66"/>
  <c r="K385" i="66"/>
  <c r="L385" i="66"/>
  <c r="K389" i="66"/>
  <c r="L389" i="66"/>
  <c r="L400" i="66"/>
  <c r="L412" i="66"/>
  <c r="K415" i="66"/>
  <c r="A419" i="66"/>
  <c r="L419" i="66"/>
  <c r="K422" i="66"/>
  <c r="A422" i="66"/>
  <c r="L422" i="66"/>
  <c r="L448" i="66"/>
  <c r="A448" i="66"/>
  <c r="L460" i="66"/>
  <c r="A460" i="66"/>
  <c r="L470" i="66"/>
  <c r="A470" i="66"/>
  <c r="L507" i="66"/>
  <c r="A507" i="66"/>
  <c r="K507" i="66"/>
  <c r="L522" i="66"/>
  <c r="K522" i="66"/>
  <c r="A522" i="66"/>
  <c r="L570" i="66"/>
  <c r="A570" i="66"/>
  <c r="K570" i="66"/>
  <c r="L628" i="66"/>
  <c r="K628" i="66"/>
  <c r="A628" i="66"/>
  <c r="K496" i="66"/>
  <c r="A496" i="66"/>
  <c r="K557" i="66"/>
  <c r="A557" i="66"/>
  <c r="L574" i="66"/>
  <c r="A574" i="66"/>
  <c r="L627" i="66"/>
  <c r="A627" i="66"/>
  <c r="K627" i="66"/>
  <c r="K357" i="66"/>
  <c r="A357" i="66"/>
  <c r="K365" i="66"/>
  <c r="A365" i="66"/>
  <c r="K373" i="66"/>
  <c r="A373" i="66"/>
  <c r="L456" i="66"/>
  <c r="E454" i="66"/>
  <c r="K474" i="66"/>
  <c r="K487" i="66"/>
  <c r="L490" i="66"/>
  <c r="K490" i="66"/>
  <c r="L496" i="66"/>
  <c r="K502" i="66"/>
  <c r="L502" i="66"/>
  <c r="L519" i="66"/>
  <c r="A519" i="66"/>
  <c r="K526" i="66"/>
  <c r="L529" i="66"/>
  <c r="A529" i="66"/>
  <c r="K547" i="66"/>
  <c r="A547" i="66"/>
  <c r="L557" i="66"/>
  <c r="K574" i="66"/>
  <c r="L578" i="66"/>
  <c r="A578" i="66"/>
  <c r="K578" i="66"/>
  <c r="K592" i="66"/>
  <c r="L592" i="66"/>
  <c r="K637" i="66"/>
  <c r="A637" i="66"/>
  <c r="L531" i="66"/>
  <c r="A531" i="66"/>
  <c r="K531" i="66"/>
  <c r="K553" i="66"/>
  <c r="L553" i="66"/>
  <c r="L661" i="66"/>
  <c r="A661" i="66"/>
  <c r="K661" i="66"/>
  <c r="A334" i="66"/>
  <c r="A342" i="66"/>
  <c r="K353" i="66"/>
  <c r="A353" i="66"/>
  <c r="K361" i="66"/>
  <c r="A361" i="66"/>
  <c r="K369" i="66"/>
  <c r="A369" i="66"/>
  <c r="A383" i="66"/>
  <c r="A391" i="66"/>
  <c r="A399" i="66"/>
  <c r="A430" i="66"/>
  <c r="A438" i="66"/>
  <c r="A462" i="66"/>
  <c r="A478" i="66"/>
  <c r="E480" i="66"/>
  <c r="L483" i="66"/>
  <c r="K483" i="66"/>
  <c r="L513" i="66"/>
  <c r="A513" i="66"/>
  <c r="K516" i="66"/>
  <c r="K535" i="66"/>
  <c r="L535" i="66"/>
  <c r="L572" i="66"/>
  <c r="A572" i="66"/>
  <c r="K572" i="66"/>
  <c r="K581" i="66"/>
  <c r="A581" i="66"/>
  <c r="K408" i="66"/>
  <c r="A408" i="66"/>
  <c r="K416" i="66"/>
  <c r="A416" i="66"/>
  <c r="K424" i="66"/>
  <c r="A424" i="66"/>
  <c r="L452" i="66"/>
  <c r="K452" i="66"/>
  <c r="A452" i="66"/>
  <c r="K492" i="66"/>
  <c r="K501" i="66"/>
  <c r="L504" i="66"/>
  <c r="K513" i="66"/>
  <c r="L517" i="66"/>
  <c r="A517" i="66"/>
  <c r="K517" i="66"/>
  <c r="E532" i="66"/>
  <c r="L564" i="66"/>
  <c r="A564" i="66"/>
  <c r="K564" i="66"/>
  <c r="L581" i="66"/>
  <c r="K604" i="66"/>
  <c r="A604" i="66"/>
  <c r="K545" i="66"/>
  <c r="L545" i="66"/>
  <c r="K602" i="66"/>
  <c r="L602" i="66"/>
  <c r="L617" i="66"/>
  <c r="A617" i="66"/>
  <c r="L633" i="66"/>
  <c r="A633" i="66"/>
  <c r="K645" i="66"/>
  <c r="A645" i="66"/>
  <c r="L645" i="66"/>
  <c r="A486" i="66"/>
  <c r="L514" i="66"/>
  <c r="A514" i="66"/>
  <c r="A518" i="66"/>
  <c r="A524" i="66"/>
  <c r="L527" i="66"/>
  <c r="A527" i="66"/>
  <c r="A530" i="66"/>
  <c r="L566" i="66"/>
  <c r="A566" i="66"/>
  <c r="L582" i="66"/>
  <c r="A582" i="66"/>
  <c r="K582" i="66"/>
  <c r="K586" i="66"/>
  <c r="E584" i="66"/>
  <c r="A586" i="66"/>
  <c r="K598" i="66"/>
  <c r="L598" i="66"/>
  <c r="K608" i="66"/>
  <c r="A608" i="66"/>
  <c r="L615" i="66"/>
  <c r="A615" i="66"/>
  <c r="L618" i="66"/>
  <c r="K618" i="66"/>
  <c r="L631" i="66"/>
  <c r="A631" i="66"/>
  <c r="L634" i="66"/>
  <c r="K634" i="66"/>
  <c r="K641" i="66"/>
  <c r="A641" i="66"/>
  <c r="K500" i="66"/>
  <c r="L500" i="66"/>
  <c r="K549" i="66"/>
  <c r="A549" i="66"/>
  <c r="A579" i="66"/>
  <c r="K579" i="66"/>
  <c r="L608" i="66"/>
  <c r="K612" i="66"/>
  <c r="K615" i="66"/>
  <c r="L619" i="66"/>
  <c r="A619" i="66"/>
  <c r="L625" i="66"/>
  <c r="A625" i="66"/>
  <c r="K631" i="66"/>
  <c r="L635" i="66"/>
  <c r="A635" i="66"/>
  <c r="K635" i="66"/>
  <c r="L641" i="66"/>
  <c r="L658" i="66"/>
  <c r="K658" i="66"/>
  <c r="K503" i="66"/>
  <c r="L515" i="66"/>
  <c r="A515" i="66"/>
  <c r="L521" i="66"/>
  <c r="A521" i="66"/>
  <c r="K530" i="66"/>
  <c r="K537" i="66"/>
  <c r="A537" i="66"/>
  <c r="L549" i="66"/>
  <c r="K563" i="66"/>
  <c r="K573" i="66"/>
  <c r="L573" i="66"/>
  <c r="L579" i="66"/>
  <c r="K594" i="66"/>
  <c r="A594" i="66"/>
  <c r="K619" i="66"/>
  <c r="K625" i="66"/>
  <c r="L511" i="66"/>
  <c r="A511" i="66"/>
  <c r="E558" i="66"/>
  <c r="L611" i="66"/>
  <c r="A611" i="66"/>
  <c r="E610" i="66"/>
  <c r="L654" i="66"/>
  <c r="A654" i="66"/>
  <c r="L659" i="66"/>
  <c r="L560" i="66"/>
  <c r="A560" i="66"/>
  <c r="L568" i="66"/>
  <c r="A568" i="66"/>
  <c r="L576" i="66"/>
  <c r="A576" i="66"/>
  <c r="L613" i="66"/>
  <c r="A613" i="66"/>
  <c r="L621" i="66"/>
  <c r="A621" i="66"/>
  <c r="L629" i="66"/>
  <c r="A629" i="66"/>
  <c r="A647" i="66"/>
  <c r="L652" i="66"/>
  <c r="K652" i="66"/>
  <c r="C117" i="5"/>
  <c r="C116" i="5"/>
  <c r="C115" i="5"/>
  <c r="P16" i="66" l="1"/>
  <c r="G16" i="4"/>
  <c r="L142" i="66"/>
  <c r="K428" i="66"/>
  <c r="K532" i="66"/>
  <c r="L532" i="66"/>
  <c r="K220" i="66"/>
  <c r="L220" i="66"/>
  <c r="L90" i="66"/>
  <c r="K90" i="66"/>
  <c r="K272" i="66"/>
  <c r="L272" i="66"/>
  <c r="L298" i="66"/>
  <c r="K298" i="66"/>
  <c r="K636" i="66"/>
  <c r="L636" i="66"/>
  <c r="L12" i="66"/>
  <c r="K12" i="66"/>
  <c r="L584" i="66"/>
  <c r="K584" i="66"/>
  <c r="L558" i="66"/>
  <c r="K558" i="66"/>
  <c r="K454" i="66"/>
  <c r="L454" i="66"/>
  <c r="L402" i="66"/>
  <c r="K402" i="66"/>
  <c r="L350" i="66"/>
  <c r="K350" i="66"/>
  <c r="L168" i="66"/>
  <c r="K168" i="66"/>
  <c r="K64" i="66"/>
  <c r="L64" i="66"/>
  <c r="L610" i="66"/>
  <c r="K610" i="66"/>
  <c r="K506" i="66"/>
  <c r="L506" i="66"/>
  <c r="K480" i="66"/>
  <c r="L480" i="66"/>
  <c r="L246" i="66"/>
  <c r="K246" i="66"/>
  <c r="N10" i="58"/>
  <c r="N11" i="58"/>
  <c r="N12" i="58"/>
  <c r="N13" i="58"/>
  <c r="N14" i="58"/>
  <c r="N15" i="58"/>
  <c r="N16" i="58"/>
  <c r="N17" i="58"/>
  <c r="N18" i="58"/>
  <c r="N19" i="58"/>
  <c r="N20" i="58"/>
  <c r="N21" i="58"/>
  <c r="N22" i="58"/>
  <c r="N23"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P17" i="66" l="1"/>
  <c r="N22" i="11"/>
  <c r="K22" i="11"/>
  <c r="J22" i="11"/>
  <c r="C41" i="54"/>
  <c r="D145" i="11"/>
  <c r="J146" i="11"/>
  <c r="D5" i="5"/>
  <c r="P146" i="11"/>
  <c r="J145" i="11"/>
  <c r="A154" i="11"/>
  <c r="A153" i="11"/>
  <c r="A152" i="11"/>
  <c r="A151" i="11"/>
  <c r="A150" i="11"/>
  <c r="A149" i="11"/>
  <c r="A148" i="11"/>
  <c r="A147" i="11"/>
  <c r="A146" i="11"/>
  <c r="A145" i="11"/>
  <c r="A144" i="11"/>
  <c r="V146" i="11"/>
  <c r="G35" i="45"/>
  <c r="F35" i="45"/>
  <c r="E35" i="45"/>
  <c r="D35" i="45"/>
  <c r="C35" i="45"/>
  <c r="G35" i="14"/>
  <c r="F35" i="14"/>
  <c r="E35" i="14"/>
  <c r="D35" i="14"/>
  <c r="C35" i="14"/>
  <c r="G47" i="27"/>
  <c r="G57" i="27"/>
  <c r="D56" i="27"/>
  <c r="G55" i="27"/>
  <c r="G54" i="27"/>
  <c r="G53" i="27"/>
  <c r="G52" i="27"/>
  <c r="G51" i="27"/>
  <c r="G50" i="27"/>
  <c r="G48" i="27"/>
  <c r="F56" i="27"/>
  <c r="E56" i="27"/>
  <c r="C56" i="27"/>
  <c r="G56" i="27"/>
  <c r="E21" i="27"/>
  <c r="D21" i="27"/>
  <c r="C21" i="27"/>
  <c r="F21" i="27"/>
  <c r="F20" i="27"/>
  <c r="F19" i="27"/>
  <c r="F18" i="27"/>
  <c r="F17" i="27"/>
  <c r="S47" i="4"/>
  <c r="S46" i="4"/>
  <c r="S45" i="4"/>
  <c r="S44" i="4"/>
  <c r="S43" i="4"/>
  <c r="S42" i="4"/>
  <c r="S41" i="4"/>
  <c r="S40" i="4"/>
  <c r="S39" i="4"/>
  <c r="S38" i="4"/>
  <c r="S37" i="4"/>
  <c r="S36" i="4"/>
  <c r="S35" i="4"/>
  <c r="S34" i="4"/>
  <c r="S33" i="4"/>
  <c r="S32" i="4"/>
  <c r="S31" i="4"/>
  <c r="S30" i="4"/>
  <c r="S29" i="4"/>
  <c r="S28" i="4"/>
  <c r="R47" i="4"/>
  <c r="R46" i="4"/>
  <c r="R45" i="4"/>
  <c r="R44" i="4"/>
  <c r="R43" i="4"/>
  <c r="R42" i="4"/>
  <c r="R41" i="4"/>
  <c r="R40" i="4"/>
  <c r="R39" i="4"/>
  <c r="R38" i="4"/>
  <c r="R37" i="4"/>
  <c r="R36" i="4"/>
  <c r="R35" i="4"/>
  <c r="R34" i="4"/>
  <c r="R33" i="4"/>
  <c r="R32" i="4"/>
  <c r="R31" i="4"/>
  <c r="R30" i="4"/>
  <c r="R29" i="4"/>
  <c r="R28" i="4"/>
  <c r="Q47" i="4"/>
  <c r="Q46" i="4"/>
  <c r="Q45" i="4"/>
  <c r="Q44" i="4"/>
  <c r="Q43" i="4"/>
  <c r="Q42" i="4"/>
  <c r="Q41" i="4"/>
  <c r="Q40" i="4"/>
  <c r="Q39" i="4"/>
  <c r="Q38" i="4"/>
  <c r="Q37" i="4"/>
  <c r="Q36" i="4"/>
  <c r="Q35" i="4"/>
  <c r="Q34" i="4"/>
  <c r="Q33" i="4"/>
  <c r="Q32" i="4"/>
  <c r="Q31" i="4"/>
  <c r="Q30" i="4"/>
  <c r="Q29" i="4"/>
  <c r="Q28" i="4"/>
  <c r="M72" i="58"/>
  <c r="L72" i="58"/>
  <c r="M71" i="58"/>
  <c r="L71" i="58"/>
  <c r="M70" i="58"/>
  <c r="L70" i="58"/>
  <c r="M69" i="58"/>
  <c r="L69" i="58"/>
  <c r="M68" i="58"/>
  <c r="L68" i="58"/>
  <c r="M67" i="58"/>
  <c r="L67" i="58"/>
  <c r="M66" i="58"/>
  <c r="L66" i="58"/>
  <c r="M65" i="58"/>
  <c r="L65" i="58"/>
  <c r="M64" i="58"/>
  <c r="L64" i="58"/>
  <c r="M63" i="58"/>
  <c r="L63" i="58"/>
  <c r="M62" i="58"/>
  <c r="L62" i="58"/>
  <c r="M61" i="58"/>
  <c r="L61" i="58"/>
  <c r="M60" i="58"/>
  <c r="L60" i="58"/>
  <c r="M59" i="58"/>
  <c r="L59" i="58"/>
  <c r="M58" i="58"/>
  <c r="L58" i="58"/>
  <c r="M57" i="58"/>
  <c r="L57" i="58"/>
  <c r="M56" i="58"/>
  <c r="L56" i="58"/>
  <c r="M55" i="58"/>
  <c r="L55" i="58"/>
  <c r="M54" i="58"/>
  <c r="L54" i="58"/>
  <c r="M53" i="58"/>
  <c r="L53" i="58"/>
  <c r="M52" i="58"/>
  <c r="L52" i="58"/>
  <c r="M51" i="58"/>
  <c r="L51" i="58"/>
  <c r="M50" i="58"/>
  <c r="L50" i="58"/>
  <c r="M49" i="58"/>
  <c r="L49" i="58"/>
  <c r="M48" i="58"/>
  <c r="L48" i="58"/>
  <c r="M47" i="58"/>
  <c r="L47" i="58"/>
  <c r="M46" i="58"/>
  <c r="L46" i="58"/>
  <c r="M45" i="58"/>
  <c r="L45" i="58"/>
  <c r="M44" i="58"/>
  <c r="L44" i="58"/>
  <c r="M43" i="58"/>
  <c r="L43" i="58"/>
  <c r="M42" i="58"/>
  <c r="L42" i="58"/>
  <c r="M41" i="58"/>
  <c r="L41" i="58"/>
  <c r="M40" i="58"/>
  <c r="L40" i="58"/>
  <c r="M39" i="58"/>
  <c r="L39" i="58"/>
  <c r="M38" i="58"/>
  <c r="L38" i="58"/>
  <c r="M37" i="58"/>
  <c r="L37" i="58"/>
  <c r="M36" i="58"/>
  <c r="L36" i="58"/>
  <c r="M35" i="58"/>
  <c r="L35" i="58"/>
  <c r="M34" i="58"/>
  <c r="L34" i="58"/>
  <c r="M33" i="58"/>
  <c r="L33" i="58"/>
  <c r="M32" i="58"/>
  <c r="L32" i="58"/>
  <c r="M31" i="58"/>
  <c r="L31" i="58"/>
  <c r="M30" i="58"/>
  <c r="L30" i="58"/>
  <c r="M29" i="58"/>
  <c r="L29" i="58"/>
  <c r="M28" i="58"/>
  <c r="L28" i="58"/>
  <c r="M27" i="58"/>
  <c r="L27" i="58"/>
  <c r="M26" i="58"/>
  <c r="L26" i="58"/>
  <c r="M25" i="58"/>
  <c r="L25" i="58"/>
  <c r="M23" i="58"/>
  <c r="L23" i="58"/>
  <c r="M22" i="58"/>
  <c r="L22" i="58"/>
  <c r="M21" i="58"/>
  <c r="L21" i="58"/>
  <c r="M20" i="58"/>
  <c r="L20" i="58"/>
  <c r="M19" i="58"/>
  <c r="L19" i="58"/>
  <c r="M18" i="58"/>
  <c r="L18" i="58"/>
  <c r="M17" i="58"/>
  <c r="L17" i="58"/>
  <c r="M16" i="58"/>
  <c r="L16" i="58"/>
  <c r="A93" i="61"/>
  <c r="A92" i="61"/>
  <c r="A91" i="61"/>
  <c r="A90" i="61"/>
  <c r="A89" i="61"/>
  <c r="A88" i="61"/>
  <c r="A87" i="61"/>
  <c r="A86" i="61"/>
  <c r="A85" i="61"/>
  <c r="A84" i="61"/>
  <c r="A83" i="61"/>
  <c r="A82" i="61"/>
  <c r="A81" i="61"/>
  <c r="A80" i="61"/>
  <c r="A79" i="61"/>
  <c r="A78" i="61"/>
  <c r="A77" i="61"/>
  <c r="A76" i="61"/>
  <c r="A75" i="61"/>
  <c r="A74" i="61"/>
  <c r="A73" i="61"/>
  <c r="K72" i="61"/>
  <c r="A72" i="61"/>
  <c r="A71" i="61"/>
  <c r="K70" i="61"/>
  <c r="A70" i="61"/>
  <c r="K69" i="61"/>
  <c r="A69" i="61"/>
  <c r="J68" i="61"/>
  <c r="I68" i="61"/>
  <c r="H68" i="61"/>
  <c r="G68" i="61"/>
  <c r="F68" i="61"/>
  <c r="E68" i="61"/>
  <c r="D68" i="61"/>
  <c r="C68" i="61"/>
  <c r="K68" i="61"/>
  <c r="A68" i="61"/>
  <c r="A67" i="61"/>
  <c r="K66" i="61"/>
  <c r="A66" i="61"/>
  <c r="A65" i="61"/>
  <c r="K64" i="61"/>
  <c r="A64" i="61"/>
  <c r="K63" i="61"/>
  <c r="A63" i="61"/>
  <c r="K62" i="61"/>
  <c r="A62" i="61"/>
  <c r="J61" i="61"/>
  <c r="J65" i="61"/>
  <c r="J50" i="61"/>
  <c r="I61" i="61"/>
  <c r="I65" i="61"/>
  <c r="I50" i="61"/>
  <c r="H61" i="61"/>
  <c r="H65" i="61"/>
  <c r="H50" i="61"/>
  <c r="G61" i="61"/>
  <c r="G65" i="61"/>
  <c r="G50" i="61"/>
  <c r="F61" i="61"/>
  <c r="F65" i="61"/>
  <c r="F50" i="61"/>
  <c r="E61" i="61"/>
  <c r="E65" i="61"/>
  <c r="E50" i="61"/>
  <c r="D61" i="61"/>
  <c r="D65" i="61"/>
  <c r="D50" i="61"/>
  <c r="C61" i="61"/>
  <c r="C65" i="61"/>
  <c r="C50" i="61"/>
  <c r="A61" i="61"/>
  <c r="K60" i="61"/>
  <c r="A60" i="61"/>
  <c r="K59" i="61"/>
  <c r="A59" i="61"/>
  <c r="K58" i="61"/>
  <c r="A58" i="61"/>
  <c r="J57" i="61"/>
  <c r="I57" i="61"/>
  <c r="H57" i="61"/>
  <c r="G57" i="61"/>
  <c r="F57" i="61"/>
  <c r="E57" i="61"/>
  <c r="D57" i="61"/>
  <c r="C57" i="61"/>
  <c r="K57" i="61"/>
  <c r="A57" i="61"/>
  <c r="K56" i="61"/>
  <c r="A56" i="61"/>
  <c r="K55" i="61"/>
  <c r="A55" i="61"/>
  <c r="K54" i="61"/>
  <c r="A54" i="61"/>
  <c r="J53" i="61"/>
  <c r="I53" i="61"/>
  <c r="H53" i="61"/>
  <c r="G53" i="61"/>
  <c r="F53" i="61"/>
  <c r="E53" i="61"/>
  <c r="D53" i="61"/>
  <c r="C53" i="61"/>
  <c r="K53" i="61"/>
  <c r="A53" i="61"/>
  <c r="K52" i="61"/>
  <c r="A52" i="61"/>
  <c r="K51" i="61"/>
  <c r="A51" i="61"/>
  <c r="A50" i="61"/>
  <c r="K49" i="61"/>
  <c r="A49" i="61"/>
  <c r="K48" i="61"/>
  <c r="A48" i="61"/>
  <c r="K47" i="61"/>
  <c r="A47" i="61"/>
  <c r="K46" i="61"/>
  <c r="A46" i="61"/>
  <c r="K45" i="61"/>
  <c r="A45" i="61"/>
  <c r="A44" i="61"/>
  <c r="A43" i="61"/>
  <c r="A42" i="61"/>
  <c r="K41" i="61"/>
  <c r="A41" i="61"/>
  <c r="K40" i="61"/>
  <c r="A40" i="61"/>
  <c r="K39" i="61"/>
  <c r="J38" i="61"/>
  <c r="I38" i="61"/>
  <c r="H38" i="61"/>
  <c r="G38" i="61"/>
  <c r="F38" i="61"/>
  <c r="E38" i="61"/>
  <c r="D38" i="61"/>
  <c r="C38" i="61"/>
  <c r="K38" i="61"/>
  <c r="K37" i="61"/>
  <c r="K36" i="61"/>
  <c r="K35" i="61"/>
  <c r="J34" i="61"/>
  <c r="I34" i="61"/>
  <c r="H34" i="61"/>
  <c r="G34" i="61"/>
  <c r="F34" i="61"/>
  <c r="E34" i="61"/>
  <c r="D34" i="61"/>
  <c r="C34" i="61"/>
  <c r="K34" i="61"/>
  <c r="K33" i="61"/>
  <c r="A33" i="61"/>
  <c r="A34" i="61"/>
  <c r="A35" i="61"/>
  <c r="A36" i="61"/>
  <c r="A37" i="61"/>
  <c r="A38" i="61"/>
  <c r="A39" i="61"/>
  <c r="K32" i="61"/>
  <c r="A32" i="61"/>
  <c r="K31" i="61"/>
  <c r="A31" i="61"/>
  <c r="J30" i="61"/>
  <c r="I30" i="61"/>
  <c r="I29" i="61"/>
  <c r="H30" i="61"/>
  <c r="G30" i="61"/>
  <c r="F30" i="61"/>
  <c r="E30" i="61"/>
  <c r="D30" i="61"/>
  <c r="D29" i="61"/>
  <c r="C30" i="61"/>
  <c r="K30" i="61"/>
  <c r="A30" i="61"/>
  <c r="J29" i="61"/>
  <c r="H29" i="61"/>
  <c r="G29" i="61"/>
  <c r="F29" i="61"/>
  <c r="E29" i="61"/>
  <c r="C29" i="61"/>
  <c r="A29" i="61"/>
  <c r="K28" i="61"/>
  <c r="A28" i="61"/>
  <c r="K27" i="61"/>
  <c r="A27" i="61"/>
  <c r="J26" i="61"/>
  <c r="J42" i="61"/>
  <c r="I26" i="61"/>
  <c r="I42" i="61"/>
  <c r="H26" i="61"/>
  <c r="H42" i="61"/>
  <c r="G26" i="61"/>
  <c r="G42" i="61"/>
  <c r="F26" i="61"/>
  <c r="F42" i="61"/>
  <c r="E26" i="61"/>
  <c r="E42" i="61"/>
  <c r="D26" i="61"/>
  <c r="D42" i="61"/>
  <c r="C26" i="61"/>
  <c r="C42" i="61"/>
  <c r="A26" i="61"/>
  <c r="A25" i="61"/>
  <c r="A24" i="61"/>
  <c r="K23" i="61"/>
  <c r="A23" i="61"/>
  <c r="K22" i="61"/>
  <c r="A22" i="61"/>
  <c r="K21" i="61"/>
  <c r="A21" i="61"/>
  <c r="J20" i="61"/>
  <c r="I20" i="61"/>
  <c r="H20" i="61"/>
  <c r="G20" i="61"/>
  <c r="F20" i="61"/>
  <c r="E20" i="61"/>
  <c r="D20" i="61"/>
  <c r="C20" i="61"/>
  <c r="K20" i="61"/>
  <c r="A20" i="61"/>
  <c r="K19" i="61"/>
  <c r="A19" i="61"/>
  <c r="K18" i="61"/>
  <c r="A18" i="61"/>
  <c r="K17" i="61"/>
  <c r="A17" i="61"/>
  <c r="J16" i="61"/>
  <c r="I16" i="61"/>
  <c r="H16" i="61"/>
  <c r="G16" i="61"/>
  <c r="F16" i="61"/>
  <c r="E16" i="61"/>
  <c r="D16" i="61"/>
  <c r="C16" i="61"/>
  <c r="K16" i="61"/>
  <c r="K15" i="61"/>
  <c r="A15" i="61"/>
  <c r="A16" i="61"/>
  <c r="K14" i="61"/>
  <c r="A14" i="61"/>
  <c r="K13" i="61"/>
  <c r="A13" i="61"/>
  <c r="J12" i="61"/>
  <c r="I12" i="61"/>
  <c r="H12" i="61"/>
  <c r="G12" i="61"/>
  <c r="G11" i="61"/>
  <c r="F12" i="61"/>
  <c r="E12" i="61"/>
  <c r="D12" i="61"/>
  <c r="D11" i="61"/>
  <c r="C12" i="61"/>
  <c r="K12" i="61"/>
  <c r="K11" i="61"/>
  <c r="A12" i="61"/>
  <c r="J11" i="61"/>
  <c r="I11" i="61"/>
  <c r="H11" i="61"/>
  <c r="F11" i="61"/>
  <c r="E11" i="61"/>
  <c r="C11" i="61"/>
  <c r="A11" i="61"/>
  <c r="K10" i="61"/>
  <c r="A10" i="61"/>
  <c r="K9" i="61"/>
  <c r="A9" i="61"/>
  <c r="J8" i="61"/>
  <c r="J24" i="61"/>
  <c r="I8" i="61"/>
  <c r="I24" i="61"/>
  <c r="H8" i="61"/>
  <c r="H24" i="61"/>
  <c r="G8" i="61"/>
  <c r="G24" i="61"/>
  <c r="F8" i="61"/>
  <c r="F24" i="61"/>
  <c r="E8" i="61"/>
  <c r="E24" i="61"/>
  <c r="D8" i="61"/>
  <c r="D24" i="61"/>
  <c r="C8" i="61"/>
  <c r="C24" i="61" s="1"/>
  <c r="A8" i="61"/>
  <c r="A93" i="60"/>
  <c r="A92" i="60"/>
  <c r="A91" i="60"/>
  <c r="A90" i="60"/>
  <c r="A89" i="60"/>
  <c r="A88" i="60"/>
  <c r="A87" i="60"/>
  <c r="A86" i="60"/>
  <c r="A85" i="60"/>
  <c r="A84" i="60"/>
  <c r="A83" i="60"/>
  <c r="A82" i="60"/>
  <c r="A81" i="60"/>
  <c r="A80" i="60"/>
  <c r="A79" i="60"/>
  <c r="A78" i="60"/>
  <c r="A77" i="60"/>
  <c r="A76" i="60"/>
  <c r="A75" i="60"/>
  <c r="A74" i="60"/>
  <c r="A73" i="60"/>
  <c r="K72" i="60"/>
  <c r="A72" i="60"/>
  <c r="A71" i="60"/>
  <c r="K70" i="60"/>
  <c r="A70" i="60"/>
  <c r="K69" i="60"/>
  <c r="A69" i="60"/>
  <c r="J68" i="60"/>
  <c r="I68" i="60"/>
  <c r="H68" i="60"/>
  <c r="G68" i="60"/>
  <c r="F68" i="60"/>
  <c r="E68" i="60"/>
  <c r="D68" i="60"/>
  <c r="C68" i="60"/>
  <c r="K68" i="60"/>
  <c r="A68" i="60"/>
  <c r="A67" i="60"/>
  <c r="K66" i="60"/>
  <c r="A66" i="60"/>
  <c r="H65" i="60"/>
  <c r="H50" i="60"/>
  <c r="A65" i="60"/>
  <c r="K64" i="60"/>
  <c r="A64" i="60"/>
  <c r="K63" i="60"/>
  <c r="A63" i="60"/>
  <c r="K62" i="60"/>
  <c r="A62" i="60"/>
  <c r="J61" i="60"/>
  <c r="J65" i="60"/>
  <c r="J50" i="60"/>
  <c r="I61" i="60"/>
  <c r="I65" i="60"/>
  <c r="I50" i="60"/>
  <c r="H61" i="60"/>
  <c r="G61" i="60"/>
  <c r="G65" i="60"/>
  <c r="G50" i="60"/>
  <c r="F61" i="60"/>
  <c r="F65" i="60"/>
  <c r="F50" i="60"/>
  <c r="E61" i="60"/>
  <c r="E65" i="60"/>
  <c r="E50" i="60"/>
  <c r="D61" i="60"/>
  <c r="D65" i="60"/>
  <c r="D50" i="60"/>
  <c r="C61" i="60"/>
  <c r="C65" i="60"/>
  <c r="C50" i="60"/>
  <c r="A61" i="60"/>
  <c r="K60" i="60"/>
  <c r="A60" i="60"/>
  <c r="K59" i="60"/>
  <c r="A59" i="60"/>
  <c r="K58" i="60"/>
  <c r="A58" i="60"/>
  <c r="J57" i="60"/>
  <c r="I57" i="60"/>
  <c r="H57" i="60"/>
  <c r="G57" i="60"/>
  <c r="F57" i="60"/>
  <c r="E57" i="60"/>
  <c r="D57" i="60"/>
  <c r="C57" i="60"/>
  <c r="K57" i="60"/>
  <c r="A57" i="60"/>
  <c r="K56" i="60"/>
  <c r="A56" i="60"/>
  <c r="K55" i="60"/>
  <c r="A55" i="60"/>
  <c r="K54" i="60"/>
  <c r="A54" i="60"/>
  <c r="J53" i="60"/>
  <c r="I53" i="60"/>
  <c r="H53" i="60"/>
  <c r="G53" i="60"/>
  <c r="F53" i="60"/>
  <c r="E53" i="60"/>
  <c r="K53" i="60"/>
  <c r="D53" i="60"/>
  <c r="C53" i="60"/>
  <c r="A53" i="60"/>
  <c r="K52" i="60"/>
  <c r="A52" i="60"/>
  <c r="K51" i="60"/>
  <c r="A51" i="60"/>
  <c r="A50" i="60"/>
  <c r="K49" i="60"/>
  <c r="A49" i="60"/>
  <c r="K48" i="60"/>
  <c r="A48" i="60"/>
  <c r="K47" i="60"/>
  <c r="A47" i="60"/>
  <c r="K46" i="60"/>
  <c r="A46" i="60"/>
  <c r="K45" i="60"/>
  <c r="A45" i="60"/>
  <c r="A44" i="60"/>
  <c r="A43" i="60"/>
  <c r="A42" i="60"/>
  <c r="K41" i="60"/>
  <c r="A41" i="60"/>
  <c r="K40" i="60"/>
  <c r="A40" i="60"/>
  <c r="K39" i="60"/>
  <c r="J38" i="60"/>
  <c r="I38" i="60"/>
  <c r="H38" i="60"/>
  <c r="G38" i="60"/>
  <c r="F38" i="60"/>
  <c r="E38" i="60"/>
  <c r="D38" i="60"/>
  <c r="C38" i="60"/>
  <c r="K38" i="60"/>
  <c r="K37" i="60"/>
  <c r="K36" i="60"/>
  <c r="K35" i="60"/>
  <c r="J34" i="60"/>
  <c r="I34" i="60"/>
  <c r="H34" i="60"/>
  <c r="G34" i="60"/>
  <c r="F34" i="60"/>
  <c r="E34" i="60"/>
  <c r="D34" i="60"/>
  <c r="C34" i="60"/>
  <c r="K34" i="60"/>
  <c r="K33" i="60"/>
  <c r="A33" i="60"/>
  <c r="A34" i="60"/>
  <c r="A35" i="60"/>
  <c r="A36" i="60"/>
  <c r="A37" i="60"/>
  <c r="A38" i="60"/>
  <c r="A39" i="60"/>
  <c r="K32" i="60"/>
  <c r="A32" i="60"/>
  <c r="K31" i="60"/>
  <c r="A31" i="60"/>
  <c r="J30" i="60"/>
  <c r="I30" i="60"/>
  <c r="I29" i="60"/>
  <c r="H30" i="60"/>
  <c r="G30" i="60"/>
  <c r="G29" i="60"/>
  <c r="F30" i="60"/>
  <c r="E30" i="60"/>
  <c r="D30" i="60"/>
  <c r="D29" i="60"/>
  <c r="C30" i="60"/>
  <c r="K30" i="60"/>
  <c r="A30" i="60"/>
  <c r="J29" i="60"/>
  <c r="H29" i="60"/>
  <c r="F29" i="60"/>
  <c r="E29" i="60"/>
  <c r="C29" i="60"/>
  <c r="A29" i="60"/>
  <c r="K28" i="60"/>
  <c r="A28" i="60"/>
  <c r="K27" i="60"/>
  <c r="A27" i="60"/>
  <c r="J26" i="60"/>
  <c r="J42" i="60"/>
  <c r="I26" i="60"/>
  <c r="I42" i="60"/>
  <c r="H26" i="60"/>
  <c r="H42" i="60"/>
  <c r="G26" i="60"/>
  <c r="G42" i="60"/>
  <c r="F26" i="60"/>
  <c r="F42" i="60"/>
  <c r="E26" i="60"/>
  <c r="E42" i="60"/>
  <c r="D26" i="60"/>
  <c r="D42" i="60"/>
  <c r="C26" i="60"/>
  <c r="C42" i="60"/>
  <c r="A26" i="60"/>
  <c r="A25" i="60"/>
  <c r="A24" i="60"/>
  <c r="K23" i="60"/>
  <c r="A23" i="60"/>
  <c r="K22" i="60"/>
  <c r="A22" i="60"/>
  <c r="K21" i="60"/>
  <c r="A21" i="60"/>
  <c r="J20" i="60"/>
  <c r="I20" i="60"/>
  <c r="H20" i="60"/>
  <c r="G20" i="60"/>
  <c r="F20" i="60"/>
  <c r="E20" i="60"/>
  <c r="D20" i="60"/>
  <c r="C20" i="60"/>
  <c r="K20" i="60"/>
  <c r="A20" i="60"/>
  <c r="K19" i="60"/>
  <c r="A19" i="60"/>
  <c r="K18" i="60"/>
  <c r="A18" i="60"/>
  <c r="K17" i="60"/>
  <c r="A17" i="60"/>
  <c r="J16" i="60"/>
  <c r="I16" i="60"/>
  <c r="H16" i="60"/>
  <c r="G16" i="60"/>
  <c r="F16" i="60"/>
  <c r="E16" i="60"/>
  <c r="D16" i="60"/>
  <c r="C16" i="60"/>
  <c r="K16" i="60"/>
  <c r="A16" i="60"/>
  <c r="K15" i="60"/>
  <c r="A15" i="60"/>
  <c r="K14" i="60"/>
  <c r="A14" i="60"/>
  <c r="K13" i="60"/>
  <c r="A13" i="60"/>
  <c r="J12" i="60"/>
  <c r="J11" i="60"/>
  <c r="I12" i="60"/>
  <c r="H12" i="60"/>
  <c r="G12" i="60"/>
  <c r="G11" i="60"/>
  <c r="F12" i="60"/>
  <c r="E12" i="60"/>
  <c r="D12" i="60"/>
  <c r="D11" i="60"/>
  <c r="C12" i="60"/>
  <c r="K12" i="60"/>
  <c r="K11" i="60"/>
  <c r="A12" i="60"/>
  <c r="I11" i="60"/>
  <c r="H11" i="60"/>
  <c r="F11" i="60"/>
  <c r="E11" i="60"/>
  <c r="C11" i="60"/>
  <c r="A11" i="60"/>
  <c r="K10" i="60"/>
  <c r="A10" i="60"/>
  <c r="K9" i="60"/>
  <c r="A9" i="60"/>
  <c r="J8" i="60"/>
  <c r="J24" i="60"/>
  <c r="I8" i="60"/>
  <c r="I24" i="60"/>
  <c r="H8" i="60"/>
  <c r="H24" i="60"/>
  <c r="G8" i="60"/>
  <c r="G24" i="60"/>
  <c r="F8" i="60"/>
  <c r="F24" i="60"/>
  <c r="E8" i="60"/>
  <c r="E24" i="60"/>
  <c r="D8" i="60"/>
  <c r="D24" i="60"/>
  <c r="C8" i="60"/>
  <c r="K8" i="60" s="1"/>
  <c r="A8" i="60"/>
  <c r="C95" i="48"/>
  <c r="A93" i="58"/>
  <c r="A92" i="58"/>
  <c r="A65" i="58"/>
  <c r="A64" i="58"/>
  <c r="A63" i="58"/>
  <c r="A62" i="58"/>
  <c r="A61" i="58"/>
  <c r="A60" i="58"/>
  <c r="A59" i="58"/>
  <c r="A58" i="58"/>
  <c r="A57" i="58"/>
  <c r="K60" i="58"/>
  <c r="K59" i="58"/>
  <c r="K58" i="58"/>
  <c r="J57" i="58"/>
  <c r="I57" i="58"/>
  <c r="H57" i="58"/>
  <c r="G57" i="58"/>
  <c r="F57" i="58"/>
  <c r="E57" i="58"/>
  <c r="D57" i="58"/>
  <c r="C57" i="58"/>
  <c r="K37" i="58"/>
  <c r="K36" i="58"/>
  <c r="K35" i="58"/>
  <c r="J34" i="58"/>
  <c r="I34" i="58"/>
  <c r="H34" i="58"/>
  <c r="G34" i="58"/>
  <c r="F34" i="58"/>
  <c r="E34" i="58"/>
  <c r="D34" i="58"/>
  <c r="C34" i="58"/>
  <c r="A17" i="58"/>
  <c r="A18" i="58"/>
  <c r="A19" i="58"/>
  <c r="A20" i="58"/>
  <c r="A21" i="58"/>
  <c r="K19" i="58"/>
  <c r="K18" i="58"/>
  <c r="K17" i="58"/>
  <c r="J16" i="58"/>
  <c r="I16" i="58"/>
  <c r="H16" i="58"/>
  <c r="G16" i="58"/>
  <c r="F16" i="58"/>
  <c r="E16" i="58"/>
  <c r="D16" i="58"/>
  <c r="C16" i="58"/>
  <c r="K29" i="61"/>
  <c r="K26" i="61"/>
  <c r="K42" i="61"/>
  <c r="K61" i="61"/>
  <c r="K65" i="61"/>
  <c r="K50" i="61"/>
  <c r="K8" i="61"/>
  <c r="K24" i="61"/>
  <c r="M24" i="58" s="1"/>
  <c r="K29" i="60"/>
  <c r="K26" i="60"/>
  <c r="K42" i="60"/>
  <c r="K61" i="60"/>
  <c r="K65" i="60"/>
  <c r="K50" i="60"/>
  <c r="K57" i="58"/>
  <c r="K34" i="58"/>
  <c r="K16" i="58"/>
  <c r="D94" i="48"/>
  <c r="E16" i="35"/>
  <c r="D16" i="35"/>
  <c r="C16" i="35"/>
  <c r="G12" i="50"/>
  <c r="D12" i="50"/>
  <c r="C12" i="50"/>
  <c r="I10" i="50"/>
  <c r="H10" i="50"/>
  <c r="I9" i="50"/>
  <c r="H9" i="50"/>
  <c r="I8" i="50"/>
  <c r="H8" i="50"/>
  <c r="I7" i="50"/>
  <c r="H7" i="50"/>
  <c r="A47" i="58"/>
  <c r="A48" i="58"/>
  <c r="A49" i="58"/>
  <c r="A50" i="58"/>
  <c r="A51" i="58"/>
  <c r="A52" i="58"/>
  <c r="A53" i="58"/>
  <c r="A54" i="58"/>
  <c r="A55" i="58"/>
  <c r="A56" i="58"/>
  <c r="K47" i="58"/>
  <c r="I8" i="58"/>
  <c r="H8" i="58"/>
  <c r="I68" i="58"/>
  <c r="H68" i="58"/>
  <c r="I61" i="58"/>
  <c r="I65" i="58"/>
  <c r="I50" i="58"/>
  <c r="H61" i="58"/>
  <c r="H65" i="58"/>
  <c r="H50" i="58"/>
  <c r="I53" i="58"/>
  <c r="H53" i="58"/>
  <c r="I38" i="58"/>
  <c r="H38" i="58"/>
  <c r="I30" i="58"/>
  <c r="I29" i="58"/>
  <c r="H30" i="58"/>
  <c r="H29" i="58"/>
  <c r="I26" i="58"/>
  <c r="I42" i="58"/>
  <c r="H26" i="58"/>
  <c r="I20" i="58"/>
  <c r="H20" i="58"/>
  <c r="H24" i="58"/>
  <c r="I12" i="58"/>
  <c r="I11" i="58"/>
  <c r="H12" i="58"/>
  <c r="H11" i="58"/>
  <c r="M73" i="58"/>
  <c r="L73" i="58"/>
  <c r="B49" i="59"/>
  <c r="D70" i="48" s="1"/>
  <c r="K58" i="59"/>
  <c r="K57" i="59"/>
  <c r="K56" i="59"/>
  <c r="J56" i="59"/>
  <c r="I56" i="59"/>
  <c r="K55" i="59"/>
  <c r="K54" i="59"/>
  <c r="J53" i="59"/>
  <c r="J59" i="59"/>
  <c r="I53" i="59"/>
  <c r="I59" i="59"/>
  <c r="H58" i="59"/>
  <c r="H57" i="59"/>
  <c r="H56" i="59"/>
  <c r="G56" i="59"/>
  <c r="F56" i="59"/>
  <c r="H55" i="59"/>
  <c r="H54" i="59"/>
  <c r="G53" i="59"/>
  <c r="G59" i="59"/>
  <c r="F53" i="59"/>
  <c r="F59" i="59"/>
  <c r="H53" i="59"/>
  <c r="H59" i="59"/>
  <c r="A27" i="59"/>
  <c r="A28" i="59"/>
  <c r="A29" i="59"/>
  <c r="A30" i="59"/>
  <c r="A31" i="59"/>
  <c r="A32" i="59"/>
  <c r="A33" i="59"/>
  <c r="A34" i="59"/>
  <c r="A35" i="59"/>
  <c r="A36" i="59"/>
  <c r="A37" i="59"/>
  <c r="A38" i="59"/>
  <c r="A39" i="59"/>
  <c r="A40" i="59"/>
  <c r="A41" i="59"/>
  <c r="A42" i="59"/>
  <c r="A43" i="59"/>
  <c r="A44" i="59"/>
  <c r="A21" i="59"/>
  <c r="A22" i="59"/>
  <c r="A23" i="59"/>
  <c r="A24" i="59"/>
  <c r="A25" i="59"/>
  <c r="A26" i="59"/>
  <c r="I43" i="59"/>
  <c r="I42" i="59"/>
  <c r="I41" i="59"/>
  <c r="I37" i="59"/>
  <c r="I36" i="59"/>
  <c r="I35" i="59"/>
  <c r="I31" i="59"/>
  <c r="I30" i="59"/>
  <c r="I29" i="59"/>
  <c r="I25" i="59"/>
  <c r="I24" i="59"/>
  <c r="I23" i="59"/>
  <c r="M15" i="58"/>
  <c r="M14" i="58"/>
  <c r="M13" i="58"/>
  <c r="M10" i="58"/>
  <c r="M9" i="58"/>
  <c r="B4" i="61"/>
  <c r="L15" i="58"/>
  <c r="L14" i="58"/>
  <c r="L13" i="58"/>
  <c r="L10" i="58"/>
  <c r="L9" i="58"/>
  <c r="B4" i="60"/>
  <c r="B4" i="59"/>
  <c r="D69" i="48" s="1"/>
  <c r="B4" i="58"/>
  <c r="B144" i="11" s="1"/>
  <c r="I144" i="11" s="1"/>
  <c r="E58" i="59"/>
  <c r="E56" i="59"/>
  <c r="E57" i="59"/>
  <c r="E55" i="59"/>
  <c r="E54" i="59"/>
  <c r="E53" i="59"/>
  <c r="E59" i="59"/>
  <c r="D56" i="59"/>
  <c r="C56" i="59"/>
  <c r="D53" i="59"/>
  <c r="D59" i="59"/>
  <c r="C53" i="59"/>
  <c r="A54" i="59"/>
  <c r="A55" i="59"/>
  <c r="A56" i="59"/>
  <c r="A57" i="59"/>
  <c r="A58" i="59"/>
  <c r="A59" i="59"/>
  <c r="A53" i="59"/>
  <c r="A15" i="59"/>
  <c r="A16" i="59"/>
  <c r="A17" i="59"/>
  <c r="A18" i="59"/>
  <c r="A19" i="59"/>
  <c r="A20" i="59"/>
  <c r="A11" i="59"/>
  <c r="A12" i="59"/>
  <c r="A13" i="59"/>
  <c r="A14" i="59"/>
  <c r="A10" i="59"/>
  <c r="I19" i="59"/>
  <c r="I18" i="59"/>
  <c r="I17" i="59"/>
  <c r="I13" i="59"/>
  <c r="I12" i="59"/>
  <c r="I11" i="59"/>
  <c r="A88" i="58"/>
  <c r="A89" i="58"/>
  <c r="A90" i="58"/>
  <c r="A91" i="58"/>
  <c r="A87" i="58"/>
  <c r="K72" i="58"/>
  <c r="K70" i="58"/>
  <c r="K69" i="58"/>
  <c r="J68" i="58"/>
  <c r="G68" i="58"/>
  <c r="F68" i="58"/>
  <c r="E68" i="58"/>
  <c r="D68" i="58"/>
  <c r="C68" i="58"/>
  <c r="K66" i="58"/>
  <c r="K51" i="58"/>
  <c r="K52" i="58"/>
  <c r="K64" i="58"/>
  <c r="K63" i="58"/>
  <c r="K62" i="58"/>
  <c r="J61" i="58"/>
  <c r="G61" i="58"/>
  <c r="F61" i="58"/>
  <c r="E61" i="58"/>
  <c r="D61" i="58"/>
  <c r="C61" i="58"/>
  <c r="C65" i="58"/>
  <c r="C50" i="58"/>
  <c r="K56" i="58"/>
  <c r="K55" i="58"/>
  <c r="K54" i="58"/>
  <c r="J53" i="58"/>
  <c r="G53" i="58"/>
  <c r="F53" i="58"/>
  <c r="E53" i="58"/>
  <c r="D53" i="58"/>
  <c r="C53" i="58"/>
  <c r="K49" i="58"/>
  <c r="K48" i="58"/>
  <c r="K46" i="58"/>
  <c r="K45" i="58"/>
  <c r="A43" i="58"/>
  <c r="K41" i="58"/>
  <c r="K40" i="58"/>
  <c r="K39" i="58"/>
  <c r="J38" i="58"/>
  <c r="G38" i="58"/>
  <c r="F38" i="58"/>
  <c r="E38" i="58"/>
  <c r="D38" i="58"/>
  <c r="C38" i="58"/>
  <c r="K33" i="58"/>
  <c r="K32" i="58"/>
  <c r="K31" i="58"/>
  <c r="J30" i="58"/>
  <c r="J29" i="58"/>
  <c r="G30" i="58"/>
  <c r="F30" i="58"/>
  <c r="F29" i="58"/>
  <c r="E30" i="58"/>
  <c r="D30" i="58"/>
  <c r="C30" i="58"/>
  <c r="K28" i="58"/>
  <c r="K27" i="58"/>
  <c r="J26" i="58"/>
  <c r="J42" i="58"/>
  <c r="G26" i="58"/>
  <c r="F26" i="58"/>
  <c r="E26" i="58"/>
  <c r="D26" i="58"/>
  <c r="C26" i="58"/>
  <c r="A40" i="58"/>
  <c r="A41" i="58"/>
  <c r="A42" i="58"/>
  <c r="A44" i="58"/>
  <c r="A45" i="58"/>
  <c r="A46" i="58"/>
  <c r="A66" i="58"/>
  <c r="A67" i="58"/>
  <c r="A68" i="58"/>
  <c r="A69" i="58"/>
  <c r="A70" i="58"/>
  <c r="A71" i="58"/>
  <c r="A72" i="58"/>
  <c r="A73" i="58"/>
  <c r="A74" i="58"/>
  <c r="A75" i="58"/>
  <c r="A76" i="58"/>
  <c r="A77" i="58"/>
  <c r="A78" i="58"/>
  <c r="A79" i="58"/>
  <c r="A80" i="58"/>
  <c r="A81" i="58"/>
  <c r="A82" i="58"/>
  <c r="A83" i="58"/>
  <c r="A84" i="58"/>
  <c r="A85" i="58"/>
  <c r="A86" i="58"/>
  <c r="A24" i="58"/>
  <c r="A25" i="58"/>
  <c r="A26" i="58"/>
  <c r="A27" i="58"/>
  <c r="A28" i="58"/>
  <c r="A29" i="58"/>
  <c r="A30" i="58"/>
  <c r="A31" i="58"/>
  <c r="A32" i="58"/>
  <c r="A33" i="58"/>
  <c r="A34" i="58"/>
  <c r="A35" i="58"/>
  <c r="A36" i="58"/>
  <c r="A37" i="58"/>
  <c r="A38" i="58"/>
  <c r="A39" i="58"/>
  <c r="A9" i="58"/>
  <c r="A10" i="58"/>
  <c r="A11" i="58"/>
  <c r="A12" i="58"/>
  <c r="A13" i="58"/>
  <c r="A14" i="58"/>
  <c r="A15" i="58"/>
  <c r="A16" i="58"/>
  <c r="A22" i="58"/>
  <c r="A23" i="58"/>
  <c r="A8" i="58"/>
  <c r="J20" i="58"/>
  <c r="G20" i="58"/>
  <c r="F20" i="58"/>
  <c r="E20" i="58"/>
  <c r="D20" i="58"/>
  <c r="C20" i="58"/>
  <c r="J12" i="58"/>
  <c r="G12" i="58"/>
  <c r="G11" i="58"/>
  <c r="F12" i="58"/>
  <c r="F11" i="58"/>
  <c r="E12" i="58"/>
  <c r="D12" i="58"/>
  <c r="C12" i="58"/>
  <c r="K9" i="58"/>
  <c r="N9" i="58" s="1"/>
  <c r="K10" i="58"/>
  <c r="K13" i="58"/>
  <c r="K14" i="58"/>
  <c r="K15" i="58"/>
  <c r="K21" i="58"/>
  <c r="K22" i="58"/>
  <c r="K23" i="58"/>
  <c r="J8" i="58"/>
  <c r="G8" i="58"/>
  <c r="F8" i="58"/>
  <c r="E8" i="58"/>
  <c r="D8" i="58"/>
  <c r="C8" i="58"/>
  <c r="C59" i="59"/>
  <c r="E4" i="5"/>
  <c r="G55" i="4"/>
  <c r="G56" i="4"/>
  <c r="G57" i="4"/>
  <c r="G58" i="4"/>
  <c r="G59" i="4"/>
  <c r="G60" i="4"/>
  <c r="G13" i="4"/>
  <c r="B9" i="49"/>
  <c r="B10" i="49"/>
  <c r="B11" i="49"/>
  <c r="B12" i="49"/>
  <c r="B13" i="49"/>
  <c r="B14" i="49"/>
  <c r="B16" i="49"/>
  <c r="B17" i="49"/>
  <c r="B18" i="49"/>
  <c r="B19" i="49"/>
  <c r="B21" i="49"/>
  <c r="B22" i="49"/>
  <c r="J22" i="49"/>
  <c r="I22" i="49"/>
  <c r="J21" i="49"/>
  <c r="I21" i="49"/>
  <c r="H21" i="49"/>
  <c r="J19" i="49"/>
  <c r="I19" i="49"/>
  <c r="H19" i="49"/>
  <c r="J18" i="49"/>
  <c r="I18" i="49"/>
  <c r="H18" i="49"/>
  <c r="J17" i="49"/>
  <c r="I17" i="49"/>
  <c r="J16" i="49"/>
  <c r="I16" i="49"/>
  <c r="H16" i="49"/>
  <c r="J14" i="49"/>
  <c r="I14" i="49"/>
  <c r="H14" i="49"/>
  <c r="J12" i="49"/>
  <c r="I12" i="49"/>
  <c r="H12" i="49"/>
  <c r="J11" i="49"/>
  <c r="I11" i="49"/>
  <c r="H11" i="49"/>
  <c r="J10" i="49"/>
  <c r="I10" i="49"/>
  <c r="H10" i="49"/>
  <c r="J9" i="49"/>
  <c r="I9" i="49"/>
  <c r="H9" i="49"/>
  <c r="J8" i="49"/>
  <c r="I8" i="49"/>
  <c r="H8" i="49"/>
  <c r="D115" i="5"/>
  <c r="C114" i="5"/>
  <c r="D114" i="5" s="1"/>
  <c r="C113" i="5"/>
  <c r="D113" i="5" s="1"/>
  <c r="C112" i="5"/>
  <c r="D112" i="5" s="1"/>
  <c r="C105" i="5"/>
  <c r="D105" i="5" s="1"/>
  <c r="C104" i="5"/>
  <c r="D104" i="5" s="1"/>
  <c r="C103" i="5"/>
  <c r="D103" i="5" s="1"/>
  <c r="C102" i="5"/>
  <c r="D102" i="5" s="1"/>
  <c r="C101" i="5"/>
  <c r="D101" i="5" s="1"/>
  <c r="C67" i="5"/>
  <c r="C66" i="5"/>
  <c r="C65" i="5"/>
  <c r="C64" i="5"/>
  <c r="C63" i="5"/>
  <c r="C62"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P32" i="4"/>
  <c r="P33" i="4"/>
  <c r="P34" i="4"/>
  <c r="P35" i="4"/>
  <c r="P36" i="4"/>
  <c r="P37" i="4"/>
  <c r="P38" i="4"/>
  <c r="P39" i="4"/>
  <c r="P40" i="4"/>
  <c r="P41" i="4"/>
  <c r="P42" i="4"/>
  <c r="P43" i="4"/>
  <c r="P44" i="4"/>
  <c r="P45" i="4"/>
  <c r="P46" i="4"/>
  <c r="P47" i="4"/>
  <c r="P48" i="4"/>
  <c r="P49" i="4"/>
  <c r="P50" i="4"/>
  <c r="P51" i="4"/>
  <c r="P52" i="4"/>
  <c r="P53" i="4"/>
  <c r="P54" i="4"/>
  <c r="P55" i="4"/>
  <c r="P29" i="4"/>
  <c r="P30" i="4"/>
  <c r="P31" i="4"/>
  <c r="P28" i="4"/>
  <c r="M25" i="4"/>
  <c r="N27" i="4" s="1"/>
  <c r="J25" i="4"/>
  <c r="J24" i="4"/>
  <c r="B1" i="15" s="1"/>
  <c r="M23" i="4"/>
  <c r="M21" i="4"/>
  <c r="J20" i="4"/>
  <c r="J21" i="4" s="1"/>
  <c r="M17" i="4"/>
  <c r="P16" i="4"/>
  <c r="O18" i="4" s="1"/>
  <c r="N16" i="4"/>
  <c r="N15" i="4"/>
  <c r="N14" i="4"/>
  <c r="F11" i="4"/>
  <c r="O3" i="4"/>
  <c r="B3" i="4"/>
  <c r="P2" i="4"/>
  <c r="V1" i="44" s="1"/>
  <c r="P1" i="4"/>
  <c r="Q18" i="4" s="1"/>
  <c r="A31" i="48"/>
  <c r="A29" i="48"/>
  <c r="A19" i="48"/>
  <c r="U158" i="11"/>
  <c r="U157" i="11"/>
  <c r="U156" i="11"/>
  <c r="U155" i="11"/>
  <c r="U154" i="11"/>
  <c r="U153" i="11"/>
  <c r="U152" i="11"/>
  <c r="U151" i="11"/>
  <c r="U150" i="11"/>
  <c r="U149" i="11"/>
  <c r="U148" i="11"/>
  <c r="U147" i="11"/>
  <c r="I147" i="11"/>
  <c r="I146" i="11"/>
  <c r="U145" i="11"/>
  <c r="I145" i="11"/>
  <c r="U144" i="11"/>
  <c r="O143" i="11"/>
  <c r="I143" i="11"/>
  <c r="A143" i="11"/>
  <c r="Q142" i="11"/>
  <c r="O142" i="11"/>
  <c r="I142" i="11"/>
  <c r="A142" i="11"/>
  <c r="Q141" i="11"/>
  <c r="O141" i="11"/>
  <c r="I141" i="11"/>
  <c r="A141" i="11"/>
  <c r="I140" i="11"/>
  <c r="A140" i="11"/>
  <c r="I139" i="11"/>
  <c r="B139" i="11"/>
  <c r="A139" i="11"/>
  <c r="B138" i="11"/>
  <c r="I138" i="11"/>
  <c r="A138" i="11"/>
  <c r="Q137" i="11"/>
  <c r="O137" i="11"/>
  <c r="L137" i="11"/>
  <c r="E137" i="11"/>
  <c r="B137" i="11"/>
  <c r="I137" i="11"/>
  <c r="A137" i="11"/>
  <c r="Q136" i="11"/>
  <c r="O136" i="11"/>
  <c r="B136" i="11"/>
  <c r="I136" i="11"/>
  <c r="A136" i="11"/>
  <c r="Q135" i="11"/>
  <c r="O135" i="11"/>
  <c r="L135" i="11"/>
  <c r="E135" i="11"/>
  <c r="B135" i="11"/>
  <c r="I135" i="11"/>
  <c r="A135" i="11"/>
  <c r="Q134" i="11"/>
  <c r="O134" i="11"/>
  <c r="I134" i="11"/>
  <c r="B134" i="11"/>
  <c r="A134" i="11"/>
  <c r="Q133" i="11"/>
  <c r="O133" i="11"/>
  <c r="E133" i="11"/>
  <c r="B133" i="11"/>
  <c r="I133" i="11"/>
  <c r="A133" i="11"/>
  <c r="Q132" i="11"/>
  <c r="O132" i="11"/>
  <c r="L132" i="11"/>
  <c r="E132" i="11"/>
  <c r="J132" i="11"/>
  <c r="C132" i="11"/>
  <c r="B132" i="11"/>
  <c r="I132" i="11"/>
  <c r="A132" i="11"/>
  <c r="I131" i="11"/>
  <c r="B131" i="11"/>
  <c r="A131" i="11"/>
  <c r="I130" i="11"/>
  <c r="B130" i="11"/>
  <c r="A130" i="11"/>
  <c r="Q129" i="11"/>
  <c r="O129" i="11"/>
  <c r="I129" i="11"/>
  <c r="B129" i="11"/>
  <c r="A129" i="11"/>
  <c r="Q128" i="11"/>
  <c r="O128" i="11"/>
  <c r="I128" i="11"/>
  <c r="B128" i="11"/>
  <c r="A128" i="11"/>
  <c r="Q127" i="11"/>
  <c r="I127" i="11"/>
  <c r="B127" i="11"/>
  <c r="A127" i="11"/>
  <c r="Q126" i="11"/>
  <c r="O126" i="11"/>
  <c r="B126" i="11"/>
  <c r="I126" i="11"/>
  <c r="A126" i="11"/>
  <c r="Q125" i="11"/>
  <c r="O125" i="11"/>
  <c r="B125" i="11"/>
  <c r="I125" i="11"/>
  <c r="A125" i="11"/>
  <c r="Q124" i="11"/>
  <c r="O124" i="11"/>
  <c r="I124" i="11"/>
  <c r="B124" i="11"/>
  <c r="A124" i="11"/>
  <c r="Q123" i="11"/>
  <c r="O123" i="11"/>
  <c r="I123" i="11"/>
  <c r="C123" i="11"/>
  <c r="B123" i="11"/>
  <c r="A123" i="11"/>
  <c r="Q122" i="11"/>
  <c r="O122" i="11"/>
  <c r="J122" i="11"/>
  <c r="B122" i="11"/>
  <c r="I122" i="11"/>
  <c r="A122" i="11"/>
  <c r="Q121" i="11"/>
  <c r="O121" i="11"/>
  <c r="B121" i="11"/>
  <c r="I121" i="11"/>
  <c r="A121" i="11"/>
  <c r="Q120" i="11"/>
  <c r="O120" i="11"/>
  <c r="I120" i="11"/>
  <c r="C120" i="11"/>
  <c r="B120" i="11"/>
  <c r="A120" i="11"/>
  <c r="Q119" i="11"/>
  <c r="O119" i="11"/>
  <c r="I119" i="11"/>
  <c r="B119" i="11"/>
  <c r="A119" i="11"/>
  <c r="Q118" i="11"/>
  <c r="O118" i="11"/>
  <c r="J118" i="11"/>
  <c r="C118" i="11"/>
  <c r="B118" i="11"/>
  <c r="I118" i="11"/>
  <c r="A118" i="11"/>
  <c r="Q117" i="11"/>
  <c r="O117" i="11"/>
  <c r="I117" i="11"/>
  <c r="B117" i="11"/>
  <c r="A117" i="11"/>
  <c r="Q116" i="11"/>
  <c r="O116" i="11"/>
  <c r="B116" i="11"/>
  <c r="I116" i="11"/>
  <c r="A116" i="11"/>
  <c r="Q115" i="11"/>
  <c r="O115" i="11"/>
  <c r="B115" i="11"/>
  <c r="I115" i="11"/>
  <c r="A115" i="11"/>
  <c r="Q114" i="11"/>
  <c r="O114" i="11"/>
  <c r="C114" i="11"/>
  <c r="B114" i="11"/>
  <c r="I114" i="11"/>
  <c r="A114" i="11"/>
  <c r="I113" i="11"/>
  <c r="A113" i="11"/>
  <c r="Q112" i="11"/>
  <c r="P112" i="11"/>
  <c r="O112" i="11"/>
  <c r="A112" i="11"/>
  <c r="Q111" i="11"/>
  <c r="P111" i="11"/>
  <c r="O111" i="11"/>
  <c r="I111" i="11"/>
  <c r="A111" i="11"/>
  <c r="I110" i="11"/>
  <c r="A110" i="11"/>
  <c r="I109" i="11"/>
  <c r="A109" i="11"/>
  <c r="A108" i="11"/>
  <c r="Q107" i="11"/>
  <c r="P107" i="11"/>
  <c r="O107" i="11"/>
  <c r="I107" i="11"/>
  <c r="A107" i="11"/>
  <c r="Q106" i="11"/>
  <c r="P106" i="11"/>
  <c r="O106" i="11"/>
  <c r="J106" i="11"/>
  <c r="C106" i="11"/>
  <c r="I106" i="11"/>
  <c r="A106" i="11"/>
  <c r="I105" i="11"/>
  <c r="A105" i="11"/>
  <c r="L104" i="11"/>
  <c r="I104" i="11"/>
  <c r="A104" i="11"/>
  <c r="Q103" i="11"/>
  <c r="O103" i="11"/>
  <c r="I103" i="11"/>
  <c r="A103" i="11"/>
  <c r="Q102" i="11"/>
  <c r="O102" i="11"/>
  <c r="I102" i="11"/>
  <c r="A102" i="11"/>
  <c r="A101" i="11"/>
  <c r="Q100" i="11"/>
  <c r="P100" i="11"/>
  <c r="O100" i="11"/>
  <c r="B100" i="11"/>
  <c r="I100" i="11"/>
  <c r="A100" i="11"/>
  <c r="L99" i="11"/>
  <c r="K99" i="11"/>
  <c r="J99" i="11"/>
  <c r="I99" i="11"/>
  <c r="B99" i="11"/>
  <c r="A99" i="11"/>
  <c r="I98" i="11"/>
  <c r="A98" i="11"/>
  <c r="Q97" i="11"/>
  <c r="O97" i="11"/>
  <c r="L97" i="11"/>
  <c r="E97" i="11"/>
  <c r="J97" i="11"/>
  <c r="I97" i="11"/>
  <c r="C97" i="11"/>
  <c r="U97" i="11"/>
  <c r="B97" i="11"/>
  <c r="A97" i="11"/>
  <c r="Q96" i="11"/>
  <c r="O96" i="11"/>
  <c r="L96" i="11"/>
  <c r="E96" i="11"/>
  <c r="J96" i="11"/>
  <c r="B96" i="11"/>
  <c r="I96" i="11"/>
  <c r="A96" i="11"/>
  <c r="I95" i="11"/>
  <c r="E95" i="11"/>
  <c r="U95" i="11"/>
  <c r="C95" i="11"/>
  <c r="A95" i="11"/>
  <c r="Q94" i="11"/>
  <c r="O94" i="11"/>
  <c r="I94" i="11"/>
  <c r="A94" i="11"/>
  <c r="I93" i="11"/>
  <c r="A93" i="11"/>
  <c r="Q92" i="11"/>
  <c r="O92" i="11"/>
  <c r="I92" i="11"/>
  <c r="A92" i="11"/>
  <c r="Q91" i="11"/>
  <c r="O91" i="11"/>
  <c r="I91" i="11"/>
  <c r="A91" i="11"/>
  <c r="Q90" i="11"/>
  <c r="O90" i="11"/>
  <c r="I90" i="11"/>
  <c r="A90" i="11"/>
  <c r="I89" i="11"/>
  <c r="A89" i="11"/>
  <c r="I88" i="11"/>
  <c r="A88" i="11"/>
  <c r="Q87" i="11"/>
  <c r="O87" i="11"/>
  <c r="I87" i="11"/>
  <c r="A87" i="11"/>
  <c r="Q86" i="11"/>
  <c r="O86" i="11"/>
  <c r="I86" i="11"/>
  <c r="A86" i="11"/>
  <c r="Q85" i="11"/>
  <c r="O85" i="11"/>
  <c r="I85" i="11"/>
  <c r="A85" i="11"/>
  <c r="Q84" i="11"/>
  <c r="O84" i="11"/>
  <c r="I84" i="11"/>
  <c r="A84" i="11"/>
  <c r="I83" i="11"/>
  <c r="A83" i="11"/>
  <c r="Q82" i="11"/>
  <c r="O82" i="11"/>
  <c r="I82" i="11"/>
  <c r="A82" i="11"/>
  <c r="Q81" i="11"/>
  <c r="O81" i="11"/>
  <c r="J81" i="11"/>
  <c r="C81" i="11"/>
  <c r="I81" i="11"/>
  <c r="A81" i="11"/>
  <c r="U80" i="11"/>
  <c r="I80" i="11"/>
  <c r="A80" i="11"/>
  <c r="Q79" i="11"/>
  <c r="O79" i="11"/>
  <c r="I79" i="11"/>
  <c r="A79" i="11"/>
  <c r="I78" i="11"/>
  <c r="A78" i="11"/>
  <c r="Q77" i="11"/>
  <c r="O77" i="11"/>
  <c r="I77" i="11"/>
  <c r="A77" i="11"/>
  <c r="Q76" i="11"/>
  <c r="O76" i="11"/>
  <c r="B76" i="11"/>
  <c r="I76" i="11"/>
  <c r="A76" i="11"/>
  <c r="I75" i="11"/>
  <c r="A75" i="11"/>
  <c r="B74" i="11"/>
  <c r="I74" i="11"/>
  <c r="A74" i="11"/>
  <c r="J73" i="11"/>
  <c r="B73" i="11"/>
  <c r="I73" i="11"/>
  <c r="A73" i="11"/>
  <c r="J72" i="11"/>
  <c r="B72" i="11"/>
  <c r="I72" i="11"/>
  <c r="A72" i="11"/>
  <c r="J71" i="11"/>
  <c r="B71" i="11"/>
  <c r="I71" i="11"/>
  <c r="A71" i="11"/>
  <c r="J70" i="11"/>
  <c r="B70" i="11"/>
  <c r="I70" i="11"/>
  <c r="A70" i="11"/>
  <c r="J69" i="11"/>
  <c r="B69" i="11"/>
  <c r="I69" i="11"/>
  <c r="A69" i="11"/>
  <c r="J68" i="11"/>
  <c r="B68" i="11"/>
  <c r="I68" i="11"/>
  <c r="A68" i="11"/>
  <c r="C67" i="11"/>
  <c r="U67" i="11"/>
  <c r="B67" i="11"/>
  <c r="I67" i="11"/>
  <c r="A67" i="11"/>
  <c r="O66" i="11"/>
  <c r="J66" i="11"/>
  <c r="C66" i="11"/>
  <c r="U66" i="11"/>
  <c r="B66" i="11"/>
  <c r="I66" i="11"/>
  <c r="A66" i="11"/>
  <c r="I65" i="11"/>
  <c r="B65" i="11"/>
  <c r="A65" i="11"/>
  <c r="J64" i="11"/>
  <c r="I64" i="11"/>
  <c r="B64" i="11"/>
  <c r="A64" i="11"/>
  <c r="B63" i="11"/>
  <c r="I63" i="11"/>
  <c r="A63" i="11"/>
  <c r="J62" i="11"/>
  <c r="B62" i="11"/>
  <c r="I62" i="11"/>
  <c r="A62" i="11"/>
  <c r="I61" i="11"/>
  <c r="A61" i="11"/>
  <c r="I60" i="11"/>
  <c r="A60" i="11"/>
  <c r="J59" i="11"/>
  <c r="I59" i="11"/>
  <c r="A59" i="11"/>
  <c r="J58" i="11"/>
  <c r="I58" i="11"/>
  <c r="A58" i="11"/>
  <c r="J57" i="11"/>
  <c r="I57" i="11"/>
  <c r="A57" i="11"/>
  <c r="I56" i="11"/>
  <c r="A56" i="11"/>
  <c r="J55" i="11"/>
  <c r="I55" i="11"/>
  <c r="A55" i="11"/>
  <c r="I54" i="11"/>
  <c r="A54" i="11"/>
  <c r="I53" i="11"/>
  <c r="A53" i="11"/>
  <c r="S52" i="11"/>
  <c r="P52" i="11"/>
  <c r="O52" i="11"/>
  <c r="I52" i="11"/>
  <c r="A52" i="11"/>
  <c r="I51" i="11"/>
  <c r="A51" i="11"/>
  <c r="S50" i="11"/>
  <c r="P50" i="11"/>
  <c r="O50" i="11"/>
  <c r="I50" i="11"/>
  <c r="A50" i="11"/>
  <c r="I49" i="11"/>
  <c r="A49" i="11"/>
  <c r="O48" i="11"/>
  <c r="I48" i="11"/>
  <c r="A48" i="11"/>
  <c r="S47" i="11"/>
  <c r="P47" i="11"/>
  <c r="O47" i="11"/>
  <c r="N47" i="11"/>
  <c r="I47" i="11"/>
  <c r="A47" i="11"/>
  <c r="S46" i="11"/>
  <c r="P46" i="11"/>
  <c r="O46" i="11"/>
  <c r="I46" i="11"/>
  <c r="A46" i="11"/>
  <c r="S45" i="11"/>
  <c r="P45" i="11"/>
  <c r="O45" i="11"/>
  <c r="N45" i="11"/>
  <c r="I45" i="11"/>
  <c r="A45" i="11"/>
  <c r="S44" i="11"/>
  <c r="P44" i="11"/>
  <c r="O44" i="11"/>
  <c r="I44" i="11"/>
  <c r="A44" i="11"/>
  <c r="I43" i="11"/>
  <c r="A43" i="11"/>
  <c r="S42" i="11"/>
  <c r="P42" i="11"/>
  <c r="O42" i="11"/>
  <c r="I42" i="11"/>
  <c r="A42" i="11"/>
  <c r="S41" i="11"/>
  <c r="P41" i="11"/>
  <c r="O41" i="11"/>
  <c r="I41" i="11"/>
  <c r="A41" i="11"/>
  <c r="S40" i="11"/>
  <c r="P40" i="11"/>
  <c r="O40" i="11"/>
  <c r="I40" i="11"/>
  <c r="A40" i="11"/>
  <c r="I39" i="11"/>
  <c r="A39" i="11"/>
  <c r="I38" i="11"/>
  <c r="A38" i="11"/>
  <c r="S37" i="11"/>
  <c r="P37" i="11"/>
  <c r="O37" i="11"/>
  <c r="I37" i="11"/>
  <c r="A37" i="11"/>
  <c r="I36" i="11"/>
  <c r="A36" i="11"/>
  <c r="S35" i="11"/>
  <c r="P35" i="11"/>
  <c r="O35" i="11"/>
  <c r="I35" i="11"/>
  <c r="A35" i="11"/>
  <c r="I34" i="11"/>
  <c r="A34" i="11"/>
  <c r="P33" i="11"/>
  <c r="I33" i="11"/>
  <c r="A33" i="11"/>
  <c r="S32" i="11"/>
  <c r="P32" i="11"/>
  <c r="O32" i="11"/>
  <c r="K32" i="11"/>
  <c r="I32" i="11"/>
  <c r="A32" i="11"/>
  <c r="S31" i="11"/>
  <c r="P31" i="11"/>
  <c r="O31" i="11"/>
  <c r="I31" i="11"/>
  <c r="A31" i="11"/>
  <c r="S30" i="11"/>
  <c r="P30" i="11"/>
  <c r="O30" i="11"/>
  <c r="I30" i="11"/>
  <c r="A30" i="11"/>
  <c r="S29" i="11"/>
  <c r="P29" i="11"/>
  <c r="O29" i="11"/>
  <c r="I29" i="11"/>
  <c r="A29" i="11"/>
  <c r="I28" i="11"/>
  <c r="A28" i="11"/>
  <c r="S27" i="11"/>
  <c r="P27" i="11"/>
  <c r="O27" i="11"/>
  <c r="I27" i="11"/>
  <c r="A27" i="11"/>
  <c r="S26" i="11"/>
  <c r="P26" i="11"/>
  <c r="O26" i="11"/>
  <c r="I26" i="11"/>
  <c r="A26" i="11"/>
  <c r="S25" i="11"/>
  <c r="P25" i="11"/>
  <c r="O25" i="11"/>
  <c r="I25" i="11"/>
  <c r="A25" i="11"/>
  <c r="I24" i="11"/>
  <c r="A24" i="11"/>
  <c r="I23" i="11"/>
  <c r="A23" i="11"/>
  <c r="S22" i="11"/>
  <c r="O22" i="11"/>
  <c r="I22" i="11"/>
  <c r="A22" i="11"/>
  <c r="I21" i="11"/>
  <c r="A21" i="11"/>
  <c r="S20" i="11"/>
  <c r="G20" i="11"/>
  <c r="N20" i="11"/>
  <c r="K20" i="11"/>
  <c r="J20" i="11"/>
  <c r="I20" i="11"/>
  <c r="A20" i="11"/>
  <c r="I19" i="11"/>
  <c r="A19" i="11"/>
  <c r="I18" i="11"/>
  <c r="A18" i="11"/>
  <c r="N17" i="11"/>
  <c r="K17" i="11"/>
  <c r="J17" i="11"/>
  <c r="I17" i="11"/>
  <c r="A17" i="11"/>
  <c r="O16" i="11"/>
  <c r="N16" i="11"/>
  <c r="K16" i="11"/>
  <c r="J16" i="11"/>
  <c r="I16" i="11"/>
  <c r="A16" i="11"/>
  <c r="N15" i="11"/>
  <c r="K15" i="11"/>
  <c r="J15" i="11"/>
  <c r="I15" i="11"/>
  <c r="A15" i="11"/>
  <c r="O14" i="11"/>
  <c r="C14" i="11"/>
  <c r="N14" i="11"/>
  <c r="K14" i="11"/>
  <c r="J14" i="11"/>
  <c r="I14" i="11"/>
  <c r="A14" i="11"/>
  <c r="N13" i="11"/>
  <c r="I13" i="11"/>
  <c r="A13" i="11"/>
  <c r="S12" i="11"/>
  <c r="G12" i="11"/>
  <c r="N12" i="11"/>
  <c r="K12" i="11"/>
  <c r="J12" i="11"/>
  <c r="I12" i="11"/>
  <c r="A12" i="11"/>
  <c r="P11" i="11"/>
  <c r="N11" i="11"/>
  <c r="K11" i="11"/>
  <c r="J11" i="11"/>
  <c r="I11" i="11"/>
  <c r="A11" i="11"/>
  <c r="S10" i="11"/>
  <c r="G10" i="11"/>
  <c r="N10" i="11"/>
  <c r="K10" i="11"/>
  <c r="J10" i="11"/>
  <c r="I10" i="11"/>
  <c r="A10" i="11"/>
  <c r="I9" i="11"/>
  <c r="A9" i="11"/>
  <c r="N8" i="11"/>
  <c r="L8" i="11"/>
  <c r="B8" i="11"/>
  <c r="I8" i="11"/>
  <c r="S7" i="11"/>
  <c r="O7" i="11"/>
  <c r="B7" i="11"/>
  <c r="I7" i="11"/>
  <c r="A7" i="11"/>
  <c r="I6" i="11"/>
  <c r="A6" i="11"/>
  <c r="I5" i="11"/>
  <c r="A5" i="11"/>
  <c r="E42" i="10"/>
  <c r="D42" i="10"/>
  <c r="C42" i="10"/>
  <c r="D34" i="10"/>
  <c r="D43" i="10"/>
  <c r="P5" i="11"/>
  <c r="E32" i="10"/>
  <c r="D32" i="10"/>
  <c r="C32" i="10"/>
  <c r="E24" i="10"/>
  <c r="Q130" i="11"/>
  <c r="D24" i="10"/>
  <c r="K5" i="11"/>
  <c r="C24" i="10"/>
  <c r="E21" i="10"/>
  <c r="Q88" i="11"/>
  <c r="D21" i="10"/>
  <c r="C21" i="10"/>
  <c r="Q7" i="10"/>
  <c r="D3" i="10"/>
  <c r="B3" i="10"/>
  <c r="B2" i="10"/>
  <c r="G40" i="14"/>
  <c r="F40" i="14"/>
  <c r="E40" i="14"/>
  <c r="D40" i="14"/>
  <c r="C40" i="14"/>
  <c r="G22" i="11"/>
  <c r="M8" i="11"/>
  <c r="K8" i="11"/>
  <c r="C22" i="11"/>
  <c r="G23" i="14"/>
  <c r="F23" i="14"/>
  <c r="E23" i="14"/>
  <c r="D23" i="14"/>
  <c r="C23" i="14"/>
  <c r="G14" i="14"/>
  <c r="N18" i="11"/>
  <c r="F14" i="14"/>
  <c r="F15" i="14"/>
  <c r="F17" i="14"/>
  <c r="F19" i="14"/>
  <c r="E14" i="14"/>
  <c r="D14" i="14"/>
  <c r="K18" i="11"/>
  <c r="C14" i="14"/>
  <c r="J18" i="11"/>
  <c r="G9" i="14"/>
  <c r="F9" i="14"/>
  <c r="E9" i="14"/>
  <c r="D9" i="14"/>
  <c r="K13" i="11"/>
  <c r="C9" i="14"/>
  <c r="B3" i="14"/>
  <c r="B2" i="14"/>
  <c r="F127" i="15"/>
  <c r="J126" i="15"/>
  <c r="H126" i="15"/>
  <c r="G126" i="15"/>
  <c r="F126" i="15"/>
  <c r="E126" i="15"/>
  <c r="D126" i="15"/>
  <c r="C126" i="15"/>
  <c r="B126" i="15"/>
  <c r="K125" i="15"/>
  <c r="I125" i="15"/>
  <c r="B125" i="15"/>
  <c r="I124" i="15"/>
  <c r="K124" i="15"/>
  <c r="B124" i="15"/>
  <c r="K123" i="15"/>
  <c r="I123" i="15"/>
  <c r="B123" i="15"/>
  <c r="I122" i="15"/>
  <c r="K122" i="15"/>
  <c r="B122" i="15"/>
  <c r="K121" i="15"/>
  <c r="K126" i="15"/>
  <c r="I121" i="15"/>
  <c r="B121" i="15"/>
  <c r="I120" i="15"/>
  <c r="K120" i="15"/>
  <c r="B120" i="15"/>
  <c r="B119" i="15"/>
  <c r="J118" i="15"/>
  <c r="J127" i="15"/>
  <c r="H118" i="15"/>
  <c r="H127" i="15"/>
  <c r="F118" i="15"/>
  <c r="D118" i="15"/>
  <c r="D127" i="15"/>
  <c r="B118" i="15"/>
  <c r="I117" i="15"/>
  <c r="K117" i="15"/>
  <c r="B117" i="15"/>
  <c r="J116" i="15"/>
  <c r="H116" i="15"/>
  <c r="G116" i="15"/>
  <c r="G118" i="15"/>
  <c r="F116" i="15"/>
  <c r="E116" i="15"/>
  <c r="E118" i="15"/>
  <c r="D116" i="15"/>
  <c r="C116" i="15"/>
  <c r="C118" i="15"/>
  <c r="B116" i="15"/>
  <c r="K115" i="15"/>
  <c r="I115" i="15"/>
  <c r="B115" i="15"/>
  <c r="I114" i="15"/>
  <c r="K114" i="15"/>
  <c r="B114" i="15"/>
  <c r="K113" i="15"/>
  <c r="I113" i="15"/>
  <c r="B113" i="15"/>
  <c r="I112" i="15"/>
  <c r="K112" i="15"/>
  <c r="B112" i="15"/>
  <c r="K111" i="15"/>
  <c r="I111" i="15"/>
  <c r="B111" i="15"/>
  <c r="I110" i="15"/>
  <c r="B110" i="15"/>
  <c r="K109" i="15"/>
  <c r="I109" i="15"/>
  <c r="B109" i="15"/>
  <c r="B108" i="15"/>
  <c r="K107" i="15"/>
  <c r="I107" i="15"/>
  <c r="B107" i="15"/>
  <c r="I106" i="15"/>
  <c r="B102" i="15"/>
  <c r="J101" i="15"/>
  <c r="H101" i="15"/>
  <c r="G101" i="15"/>
  <c r="F101" i="15"/>
  <c r="E101" i="15"/>
  <c r="D101" i="15"/>
  <c r="C101" i="15"/>
  <c r="B101" i="15"/>
  <c r="K100" i="15"/>
  <c r="I100" i="15"/>
  <c r="B100" i="15"/>
  <c r="I99" i="15"/>
  <c r="K99" i="15"/>
  <c r="B99" i="15"/>
  <c r="K98" i="15"/>
  <c r="I98" i="15"/>
  <c r="B98" i="15"/>
  <c r="I97" i="15"/>
  <c r="K97" i="15"/>
  <c r="B97" i="15"/>
  <c r="K96" i="15"/>
  <c r="I96" i="15"/>
  <c r="B96" i="15"/>
  <c r="I95" i="15"/>
  <c r="K95" i="15"/>
  <c r="K101" i="15"/>
  <c r="B95" i="15"/>
  <c r="B94" i="15"/>
  <c r="H93" i="15"/>
  <c r="H102" i="15"/>
  <c r="F93" i="15"/>
  <c r="F102" i="15"/>
  <c r="D93" i="15"/>
  <c r="D102" i="15"/>
  <c r="B93" i="15"/>
  <c r="I92" i="15"/>
  <c r="K92" i="15"/>
  <c r="B92" i="15"/>
  <c r="J91" i="15"/>
  <c r="J93" i="15"/>
  <c r="J102" i="15"/>
  <c r="H91" i="15"/>
  <c r="G91" i="15"/>
  <c r="G93" i="15"/>
  <c r="G102" i="15"/>
  <c r="F91" i="15"/>
  <c r="E91" i="15"/>
  <c r="E93" i="15"/>
  <c r="E102" i="15"/>
  <c r="D91" i="15"/>
  <c r="C91" i="15"/>
  <c r="C93" i="15"/>
  <c r="C102" i="15"/>
  <c r="B91" i="15"/>
  <c r="K90" i="15"/>
  <c r="I90" i="15"/>
  <c r="B90" i="15"/>
  <c r="I89" i="15"/>
  <c r="K89" i="15"/>
  <c r="B89" i="15"/>
  <c r="K88" i="15"/>
  <c r="I88" i="15"/>
  <c r="B88" i="15"/>
  <c r="I87" i="15"/>
  <c r="K87" i="15"/>
  <c r="B87" i="15"/>
  <c r="K86" i="15"/>
  <c r="I86" i="15"/>
  <c r="B86" i="15"/>
  <c r="I85" i="15"/>
  <c r="K85" i="15"/>
  <c r="B85" i="15"/>
  <c r="K84" i="15"/>
  <c r="I84" i="15"/>
  <c r="B84" i="15"/>
  <c r="B83" i="15"/>
  <c r="K82" i="15"/>
  <c r="I82" i="15"/>
  <c r="R7" i="11"/>
  <c r="B82" i="15"/>
  <c r="I81" i="15"/>
  <c r="K81" i="15"/>
  <c r="B77" i="15"/>
  <c r="J76" i="15"/>
  <c r="H76" i="15"/>
  <c r="G76" i="15"/>
  <c r="F76" i="15"/>
  <c r="E76" i="15"/>
  <c r="D76" i="15"/>
  <c r="C76" i="15"/>
  <c r="B76" i="15"/>
  <c r="I75" i="15"/>
  <c r="K75" i="15"/>
  <c r="B75" i="15"/>
  <c r="I74" i="15"/>
  <c r="K74" i="15"/>
  <c r="B74" i="15"/>
  <c r="I73" i="15"/>
  <c r="K73" i="15"/>
  <c r="B73" i="15"/>
  <c r="I72" i="15"/>
  <c r="K72" i="15"/>
  <c r="B72" i="15"/>
  <c r="I71" i="15"/>
  <c r="K71" i="15"/>
  <c r="B71" i="15"/>
  <c r="I70" i="15"/>
  <c r="K70" i="15"/>
  <c r="K76" i="15"/>
  <c r="B70" i="15"/>
  <c r="B69" i="15"/>
  <c r="H77" i="15"/>
  <c r="D77" i="15"/>
  <c r="B68" i="15"/>
  <c r="I67" i="15"/>
  <c r="K67" i="15"/>
  <c r="B67" i="15"/>
  <c r="J66" i="15"/>
  <c r="J68" i="15"/>
  <c r="J77" i="15"/>
  <c r="H66" i="15"/>
  <c r="H68" i="15"/>
  <c r="G66" i="15"/>
  <c r="G68" i="15"/>
  <c r="G77" i="15"/>
  <c r="F66" i="15"/>
  <c r="F68" i="15"/>
  <c r="F77" i="15"/>
  <c r="E66" i="15"/>
  <c r="E68" i="15"/>
  <c r="E77" i="15"/>
  <c r="D66" i="15"/>
  <c r="D68" i="15"/>
  <c r="C66" i="15"/>
  <c r="C68" i="15"/>
  <c r="C77" i="15"/>
  <c r="B66" i="15"/>
  <c r="I65" i="15"/>
  <c r="K65" i="15"/>
  <c r="B65" i="15"/>
  <c r="I64" i="15"/>
  <c r="K64" i="15"/>
  <c r="B64" i="15"/>
  <c r="I63" i="15"/>
  <c r="K63" i="15"/>
  <c r="B63" i="15"/>
  <c r="I62" i="15"/>
  <c r="K62" i="15"/>
  <c r="B62" i="15"/>
  <c r="I61" i="15"/>
  <c r="K61" i="15"/>
  <c r="B61" i="15"/>
  <c r="I60" i="15"/>
  <c r="K60" i="15"/>
  <c r="B60" i="15"/>
  <c r="I59" i="15"/>
  <c r="K59" i="15"/>
  <c r="B59" i="15"/>
  <c r="B58" i="15"/>
  <c r="I57" i="15"/>
  <c r="B57" i="15"/>
  <c r="I56" i="15"/>
  <c r="B52" i="15"/>
  <c r="J51" i="15"/>
  <c r="H51" i="15"/>
  <c r="G51" i="15"/>
  <c r="G52" i="15"/>
  <c r="F51" i="15"/>
  <c r="E51" i="15"/>
  <c r="D51" i="15"/>
  <c r="C51" i="15"/>
  <c r="C52" i="15"/>
  <c r="B51" i="15"/>
  <c r="K50" i="15"/>
  <c r="I50" i="15"/>
  <c r="B50" i="15"/>
  <c r="I49" i="15"/>
  <c r="K49" i="15"/>
  <c r="B49" i="15"/>
  <c r="K48" i="15"/>
  <c r="I48" i="15"/>
  <c r="B48" i="15"/>
  <c r="I47" i="15"/>
  <c r="K47" i="15"/>
  <c r="B47" i="15"/>
  <c r="K46" i="15"/>
  <c r="K51" i="15"/>
  <c r="I46" i="15"/>
  <c r="B46" i="15"/>
  <c r="I45" i="15"/>
  <c r="K45" i="15"/>
  <c r="B45" i="15"/>
  <c r="B44" i="15"/>
  <c r="J43" i="15"/>
  <c r="J52" i="15"/>
  <c r="H43" i="15"/>
  <c r="H52" i="15"/>
  <c r="F43" i="15"/>
  <c r="F52" i="15"/>
  <c r="D43" i="15"/>
  <c r="D52" i="15"/>
  <c r="B43" i="15"/>
  <c r="I42" i="15"/>
  <c r="K42" i="15"/>
  <c r="B42" i="15"/>
  <c r="J41" i="15"/>
  <c r="H41" i="15"/>
  <c r="G41" i="15"/>
  <c r="G43" i="15"/>
  <c r="F41" i="15"/>
  <c r="E41" i="15"/>
  <c r="E43" i="15"/>
  <c r="D41" i="15"/>
  <c r="C41" i="15"/>
  <c r="C43" i="15"/>
  <c r="B41" i="15"/>
  <c r="K40" i="15"/>
  <c r="I40" i="15"/>
  <c r="B40" i="15"/>
  <c r="I39" i="15"/>
  <c r="K39" i="15"/>
  <c r="B39" i="15"/>
  <c r="K38" i="15"/>
  <c r="I38" i="15"/>
  <c r="B38" i="15"/>
  <c r="I37" i="15"/>
  <c r="K37" i="15"/>
  <c r="B37" i="15"/>
  <c r="K36" i="15"/>
  <c r="I36" i="15"/>
  <c r="B36" i="15"/>
  <c r="I35" i="15"/>
  <c r="B35" i="15"/>
  <c r="K34" i="15"/>
  <c r="I34" i="15"/>
  <c r="B34" i="15"/>
  <c r="B33" i="15"/>
  <c r="K32" i="15"/>
  <c r="I32" i="15"/>
  <c r="P7" i="11"/>
  <c r="B32" i="15"/>
  <c r="I31" i="15"/>
  <c r="K31" i="15"/>
  <c r="B31" i="15"/>
  <c r="B56" i="15"/>
  <c r="B81" i="15"/>
  <c r="E27" i="15"/>
  <c r="J26" i="15"/>
  <c r="H26" i="15"/>
  <c r="G26" i="15"/>
  <c r="F26" i="15"/>
  <c r="E26" i="15"/>
  <c r="D26" i="15"/>
  <c r="C26" i="15"/>
  <c r="K25" i="15"/>
  <c r="I25" i="15"/>
  <c r="K24" i="15"/>
  <c r="I24" i="15"/>
  <c r="K23" i="15"/>
  <c r="I23" i="15"/>
  <c r="K22" i="15"/>
  <c r="I22" i="15"/>
  <c r="K21" i="15"/>
  <c r="I21" i="15"/>
  <c r="K20" i="15"/>
  <c r="K26" i="15"/>
  <c r="I20" i="15"/>
  <c r="I26" i="15"/>
  <c r="G18" i="15"/>
  <c r="G27" i="15"/>
  <c r="E18" i="15"/>
  <c r="C18" i="15"/>
  <c r="C27" i="15"/>
  <c r="I17" i="15"/>
  <c r="K17" i="15"/>
  <c r="J16" i="15"/>
  <c r="J18" i="15"/>
  <c r="H16" i="15"/>
  <c r="H18" i="15"/>
  <c r="H27" i="15"/>
  <c r="G16" i="15"/>
  <c r="F16" i="15"/>
  <c r="F18" i="15"/>
  <c r="F27" i="15"/>
  <c r="E16" i="15"/>
  <c r="D16" i="15"/>
  <c r="D18" i="15"/>
  <c r="D27" i="15"/>
  <c r="C16" i="15"/>
  <c r="K15" i="15"/>
  <c r="I15" i="15"/>
  <c r="K14" i="15"/>
  <c r="I14" i="15"/>
  <c r="K13" i="15"/>
  <c r="I13" i="15"/>
  <c r="K12" i="15"/>
  <c r="I12" i="15"/>
  <c r="K11" i="15"/>
  <c r="I11" i="15"/>
  <c r="K10" i="15"/>
  <c r="I10" i="15"/>
  <c r="K9" i="15"/>
  <c r="K16" i="15"/>
  <c r="K18" i="15"/>
  <c r="I9" i="15"/>
  <c r="I16" i="15"/>
  <c r="K7" i="15"/>
  <c r="I7" i="15"/>
  <c r="K6" i="15"/>
  <c r="K27" i="15"/>
  <c r="I6" i="15"/>
  <c r="B3" i="15"/>
  <c r="B2" i="15"/>
  <c r="F56" i="16"/>
  <c r="E55" i="16"/>
  <c r="E57" i="16"/>
  <c r="C55" i="16"/>
  <c r="F54" i="16"/>
  <c r="E52" i="16"/>
  <c r="E53" i="16"/>
  <c r="D52" i="16"/>
  <c r="S33" i="11"/>
  <c r="C52" i="16"/>
  <c r="F51" i="16"/>
  <c r="S17" i="11"/>
  <c r="G17" i="11"/>
  <c r="F50" i="16"/>
  <c r="S16" i="11"/>
  <c r="F49" i="16"/>
  <c r="S15" i="11"/>
  <c r="G15" i="11"/>
  <c r="F48" i="16"/>
  <c r="S14" i="11"/>
  <c r="G14" i="11"/>
  <c r="E47" i="16"/>
  <c r="D47" i="16"/>
  <c r="C47" i="16"/>
  <c r="S43" i="11"/>
  <c r="F46" i="16"/>
  <c r="A46" i="16"/>
  <c r="A47" i="16"/>
  <c r="A48" i="16"/>
  <c r="A49" i="16"/>
  <c r="A50" i="16"/>
  <c r="A51" i="16"/>
  <c r="A52" i="16"/>
  <c r="A53" i="16"/>
  <c r="A54" i="16"/>
  <c r="A55" i="16"/>
  <c r="A56" i="16"/>
  <c r="A57" i="16"/>
  <c r="F45" i="16"/>
  <c r="S11" i="11"/>
  <c r="A45" i="16"/>
  <c r="F44" i="16"/>
  <c r="F38" i="16"/>
  <c r="P22" i="11"/>
  <c r="C37" i="16"/>
  <c r="F36" i="16"/>
  <c r="P20" i="11"/>
  <c r="E34" i="16"/>
  <c r="D34" i="16"/>
  <c r="C34" i="16"/>
  <c r="F33" i="16"/>
  <c r="P17" i="11"/>
  <c r="F32" i="16"/>
  <c r="P16" i="11"/>
  <c r="F31" i="16"/>
  <c r="P15" i="11"/>
  <c r="D15" i="11"/>
  <c r="F30" i="16"/>
  <c r="P14" i="11"/>
  <c r="E29" i="16"/>
  <c r="D29" i="16"/>
  <c r="D37" i="16"/>
  <c r="P36" i="11"/>
  <c r="C29" i="16"/>
  <c r="P43" i="11"/>
  <c r="F28" i="16"/>
  <c r="P12" i="11"/>
  <c r="D12" i="11"/>
  <c r="A28" i="16"/>
  <c r="A29" i="16"/>
  <c r="A30" i="16"/>
  <c r="A31" i="16"/>
  <c r="A32" i="16"/>
  <c r="A33" i="16"/>
  <c r="A34" i="16"/>
  <c r="A35" i="16"/>
  <c r="A36" i="16"/>
  <c r="A37" i="16"/>
  <c r="A38" i="16"/>
  <c r="A39" i="16"/>
  <c r="F27" i="16"/>
  <c r="A27" i="16"/>
  <c r="F26" i="16"/>
  <c r="P10" i="11"/>
  <c r="F20" i="16"/>
  <c r="F18" i="16"/>
  <c r="O20" i="11"/>
  <c r="C20" i="11"/>
  <c r="A18" i="16"/>
  <c r="A19" i="16"/>
  <c r="A20" i="16"/>
  <c r="A21" i="16"/>
  <c r="F16" i="16"/>
  <c r="O18" i="11"/>
  <c r="E16" i="16"/>
  <c r="D16" i="16"/>
  <c r="C16" i="16"/>
  <c r="F15" i="16"/>
  <c r="O17" i="11"/>
  <c r="F14" i="16"/>
  <c r="F13" i="16"/>
  <c r="O15" i="11"/>
  <c r="F12" i="16"/>
  <c r="A12" i="16"/>
  <c r="A13" i="16"/>
  <c r="A14" i="16"/>
  <c r="A15" i="16"/>
  <c r="A16" i="16"/>
  <c r="A17" i="16"/>
  <c r="E11" i="16"/>
  <c r="D11" i="16"/>
  <c r="O28" i="11"/>
  <c r="C11" i="16"/>
  <c r="F10" i="16"/>
  <c r="O12" i="11"/>
  <c r="C12" i="11"/>
  <c r="F9" i="16"/>
  <c r="A9" i="16"/>
  <c r="A10" i="16"/>
  <c r="A11" i="16"/>
  <c r="F8" i="16"/>
  <c r="B4" i="16"/>
  <c r="B3" i="16"/>
  <c r="E53" i="17"/>
  <c r="N37" i="11"/>
  <c r="D52" i="17"/>
  <c r="D54" i="17"/>
  <c r="E51" i="17"/>
  <c r="N35" i="11"/>
  <c r="E49" i="17"/>
  <c r="N33" i="11"/>
  <c r="D49" i="17"/>
  <c r="C49" i="17"/>
  <c r="C52" i="17"/>
  <c r="E48" i="17"/>
  <c r="N32" i="11"/>
  <c r="E47" i="17"/>
  <c r="N31" i="11"/>
  <c r="U31" i="11"/>
  <c r="E46" i="17"/>
  <c r="N30" i="11"/>
  <c r="E45" i="17"/>
  <c r="N29" i="11"/>
  <c r="U29" i="11"/>
  <c r="D44" i="17"/>
  <c r="D50" i="17"/>
  <c r="C44" i="17"/>
  <c r="C50" i="17"/>
  <c r="E43" i="17"/>
  <c r="N27" i="11"/>
  <c r="U27" i="11"/>
  <c r="E42" i="17"/>
  <c r="N26" i="11"/>
  <c r="A42" i="17"/>
  <c r="A43" i="17"/>
  <c r="A44" i="17"/>
  <c r="A45" i="17"/>
  <c r="A46" i="17"/>
  <c r="A47" i="17"/>
  <c r="A48" i="17"/>
  <c r="A49" i="17"/>
  <c r="A50" i="17"/>
  <c r="A51" i="17"/>
  <c r="A52" i="17"/>
  <c r="A53" i="17"/>
  <c r="A54" i="17"/>
  <c r="E41" i="17"/>
  <c r="N25" i="11"/>
  <c r="E36" i="17"/>
  <c r="K37" i="11"/>
  <c r="E34" i="17"/>
  <c r="K35" i="11"/>
  <c r="D32" i="17"/>
  <c r="D35" i="17"/>
  <c r="D37" i="17"/>
  <c r="C32" i="17"/>
  <c r="E31" i="17"/>
  <c r="E30" i="17"/>
  <c r="K31" i="11"/>
  <c r="E29" i="17"/>
  <c r="K30" i="11"/>
  <c r="E28" i="17"/>
  <c r="K29" i="11"/>
  <c r="A28" i="17"/>
  <c r="A29" i="17"/>
  <c r="A30" i="17"/>
  <c r="A31" i="17"/>
  <c r="A32" i="17"/>
  <c r="A33" i="17"/>
  <c r="A34" i="17"/>
  <c r="A35" i="17"/>
  <c r="A36" i="17"/>
  <c r="A37" i="17"/>
  <c r="D27" i="17"/>
  <c r="C27" i="17"/>
  <c r="C35" i="17"/>
  <c r="E26" i="17"/>
  <c r="K27" i="11"/>
  <c r="E25" i="17"/>
  <c r="K26" i="11"/>
  <c r="A25" i="17"/>
  <c r="A26" i="17"/>
  <c r="A27" i="17"/>
  <c r="E24" i="17"/>
  <c r="K25" i="11"/>
  <c r="E19" i="17"/>
  <c r="J37" i="11"/>
  <c r="E17" i="17"/>
  <c r="J35" i="11"/>
  <c r="U35" i="11"/>
  <c r="D15" i="17"/>
  <c r="C15" i="17"/>
  <c r="E15" i="17"/>
  <c r="J33" i="11"/>
  <c r="E14" i="17"/>
  <c r="J32" i="11"/>
  <c r="E13" i="17"/>
  <c r="J31" i="11"/>
  <c r="E12" i="17"/>
  <c r="J30" i="11"/>
  <c r="U30" i="11"/>
  <c r="E11" i="17"/>
  <c r="J29" i="11"/>
  <c r="D10" i="17"/>
  <c r="D18" i="17"/>
  <c r="D20" i="17" s="1"/>
  <c r="E20" i="17" s="1"/>
  <c r="J38" i="11" s="1"/>
  <c r="C10" i="17"/>
  <c r="E9" i="17"/>
  <c r="J27" i="11"/>
  <c r="A9" i="17"/>
  <c r="A10" i="17"/>
  <c r="A11" i="17"/>
  <c r="A12" i="17"/>
  <c r="A13" i="17"/>
  <c r="A14" i="17"/>
  <c r="A15" i="17"/>
  <c r="A16" i="17"/>
  <c r="A17" i="17"/>
  <c r="A18" i="17"/>
  <c r="A19" i="17"/>
  <c r="A20" i="17"/>
  <c r="E8" i="17"/>
  <c r="A8" i="17"/>
  <c r="E7" i="17"/>
  <c r="J25" i="11" s="1"/>
  <c r="B4" i="17"/>
  <c r="B3" i="17"/>
  <c r="F53" i="18"/>
  <c r="N52" i="11"/>
  <c r="C52" i="18"/>
  <c r="F51" i="18"/>
  <c r="N50" i="11"/>
  <c r="E49" i="18"/>
  <c r="E52" i="18"/>
  <c r="E54" i="18"/>
  <c r="D49" i="18"/>
  <c r="C49" i="18"/>
  <c r="F48" i="18"/>
  <c r="F47" i="18"/>
  <c r="N46" i="11"/>
  <c r="F46" i="18"/>
  <c r="F45" i="18"/>
  <c r="N44" i="11"/>
  <c r="E44" i="18"/>
  <c r="E50" i="18"/>
  <c r="D44" i="18"/>
  <c r="C44" i="18"/>
  <c r="F43" i="18"/>
  <c r="N42" i="11"/>
  <c r="A43" i="18"/>
  <c r="A44" i="18"/>
  <c r="A45" i="18"/>
  <c r="A46" i="18"/>
  <c r="A47" i="18"/>
  <c r="A48" i="18"/>
  <c r="A49" i="18"/>
  <c r="A50" i="18"/>
  <c r="A51" i="18"/>
  <c r="A52" i="18"/>
  <c r="A53" i="18"/>
  <c r="A54" i="18"/>
  <c r="F42" i="18"/>
  <c r="N41" i="11"/>
  <c r="A42" i="18"/>
  <c r="F41" i="18"/>
  <c r="N40" i="11"/>
  <c r="E39" i="18"/>
  <c r="D39" i="18"/>
  <c r="C39" i="18"/>
  <c r="F36" i="18"/>
  <c r="K52" i="11"/>
  <c r="F34" i="18"/>
  <c r="K50" i="11"/>
  <c r="A34" i="18"/>
  <c r="A35" i="18"/>
  <c r="A36" i="18"/>
  <c r="A37" i="18"/>
  <c r="E32" i="18"/>
  <c r="D32" i="18"/>
  <c r="D33" i="18"/>
  <c r="C32" i="18"/>
  <c r="F31" i="18"/>
  <c r="K47" i="11"/>
  <c r="F30" i="18"/>
  <c r="K46" i="11"/>
  <c r="F29" i="18"/>
  <c r="K45" i="11"/>
  <c r="F28" i="18"/>
  <c r="K44" i="11"/>
  <c r="E27" i="18"/>
  <c r="D27" i="18"/>
  <c r="C27" i="18"/>
  <c r="F26" i="18"/>
  <c r="K42" i="11"/>
  <c r="F25" i="18"/>
  <c r="K41" i="11"/>
  <c r="A25" i="18"/>
  <c r="A26" i="18"/>
  <c r="A27" i="18"/>
  <c r="A28" i="18"/>
  <c r="A29" i="18"/>
  <c r="A30" i="18"/>
  <c r="A31" i="18"/>
  <c r="A32" i="18"/>
  <c r="A33" i="18"/>
  <c r="F24" i="18"/>
  <c r="K40" i="11"/>
  <c r="F22" i="18"/>
  <c r="E22" i="18"/>
  <c r="D22" i="18"/>
  <c r="C22" i="18"/>
  <c r="F19" i="18"/>
  <c r="J52" i="11"/>
  <c r="U52" i="11"/>
  <c r="F17" i="18"/>
  <c r="J50" i="11"/>
  <c r="F15" i="18"/>
  <c r="J48" i="11"/>
  <c r="E15" i="18"/>
  <c r="D15" i="18"/>
  <c r="D18" i="18"/>
  <c r="D20" i="18"/>
  <c r="C15" i="18"/>
  <c r="F14" i="18"/>
  <c r="J47" i="11"/>
  <c r="F13" i="18"/>
  <c r="J46" i="11"/>
  <c r="F12" i="18"/>
  <c r="J45" i="11"/>
  <c r="F11" i="18"/>
  <c r="J44" i="11"/>
  <c r="E10" i="18"/>
  <c r="D10" i="18"/>
  <c r="D16" i="18"/>
  <c r="C10" i="18"/>
  <c r="F9" i="18"/>
  <c r="J42" i="11"/>
  <c r="U42" i="11"/>
  <c r="A9" i="18"/>
  <c r="A10" i="18"/>
  <c r="A11" i="18"/>
  <c r="A12" i="18"/>
  <c r="A13" i="18"/>
  <c r="A14" i="18"/>
  <c r="A15" i="18"/>
  <c r="A16" i="18"/>
  <c r="A17" i="18"/>
  <c r="A18" i="18"/>
  <c r="A19" i="18"/>
  <c r="A20" i="18"/>
  <c r="F8" i="18"/>
  <c r="A8" i="18"/>
  <c r="F7" i="18"/>
  <c r="B4" i="18"/>
  <c r="B3" i="18"/>
  <c r="F52" i="19"/>
  <c r="D50" i="19"/>
  <c r="H49" i="19"/>
  <c r="H48" i="19"/>
  <c r="H47" i="19"/>
  <c r="H46" i="19"/>
  <c r="H45" i="19"/>
  <c r="H44" i="19"/>
  <c r="H43" i="19"/>
  <c r="D42" i="19"/>
  <c r="G40" i="19"/>
  <c r="G42" i="19"/>
  <c r="G50" i="19"/>
  <c r="F40" i="19"/>
  <c r="F42" i="19"/>
  <c r="F50" i="19"/>
  <c r="E40" i="19"/>
  <c r="E42" i="19"/>
  <c r="E50" i="19"/>
  <c r="D40" i="19"/>
  <c r="C40" i="19"/>
  <c r="C42" i="19"/>
  <c r="H39" i="19"/>
  <c r="H38" i="19"/>
  <c r="H37" i="19"/>
  <c r="H36" i="19"/>
  <c r="H35" i="19"/>
  <c r="H34" i="19"/>
  <c r="H33" i="19"/>
  <c r="H32" i="19"/>
  <c r="H40" i="19"/>
  <c r="G29" i="19"/>
  <c r="H28" i="19"/>
  <c r="H27" i="19"/>
  <c r="H26" i="19"/>
  <c r="H25" i="19"/>
  <c r="H24" i="19"/>
  <c r="H23" i="19"/>
  <c r="H22" i="19"/>
  <c r="F21" i="19"/>
  <c r="F29" i="19"/>
  <c r="G19" i="19"/>
  <c r="G21" i="19"/>
  <c r="F19" i="19"/>
  <c r="F53" i="19"/>
  <c r="E19" i="19"/>
  <c r="D19" i="19"/>
  <c r="D21" i="19"/>
  <c r="D29" i="19"/>
  <c r="C19" i="19"/>
  <c r="C21" i="19"/>
  <c r="C29" i="19"/>
  <c r="H18" i="19"/>
  <c r="H17" i="19"/>
  <c r="H16" i="19"/>
  <c r="H15" i="19"/>
  <c r="H14" i="19"/>
  <c r="H19" i="19"/>
  <c r="H13" i="19"/>
  <c r="P12" i="19"/>
  <c r="H12" i="19"/>
  <c r="Q11" i="19"/>
  <c r="H11" i="19"/>
  <c r="B5" i="19"/>
  <c r="D3" i="19"/>
  <c r="B2" i="19"/>
  <c r="O1" i="19"/>
  <c r="G23" i="20"/>
  <c r="D18" i="20"/>
  <c r="D23" i="20"/>
  <c r="F23" i="20"/>
  <c r="H22" i="20"/>
  <c r="E22" i="20"/>
  <c r="H21" i="20"/>
  <c r="E21" i="20"/>
  <c r="H20" i="20"/>
  <c r="E20" i="20"/>
  <c r="H19" i="20"/>
  <c r="E19" i="20"/>
  <c r="H18" i="20"/>
  <c r="C18" i="20"/>
  <c r="G15" i="20"/>
  <c r="F15" i="20"/>
  <c r="B13" i="20"/>
  <c r="D11" i="20"/>
  <c r="C11" i="20"/>
  <c r="B5" i="20"/>
  <c r="O1" i="20"/>
  <c r="E57" i="21"/>
  <c r="C54" i="21"/>
  <c r="I53" i="21"/>
  <c r="I52" i="21"/>
  <c r="I51" i="21"/>
  <c r="I50" i="21"/>
  <c r="I49" i="21"/>
  <c r="I48" i="21"/>
  <c r="I47" i="21"/>
  <c r="I46" i="21"/>
  <c r="H45" i="21"/>
  <c r="H54" i="21"/>
  <c r="F45" i="21"/>
  <c r="F54" i="21"/>
  <c r="D45" i="21"/>
  <c r="D54" i="21"/>
  <c r="H43" i="21"/>
  <c r="G43" i="21"/>
  <c r="G45" i="21"/>
  <c r="G54" i="21"/>
  <c r="F43" i="21"/>
  <c r="E43" i="21"/>
  <c r="E45" i="21"/>
  <c r="E54" i="21"/>
  <c r="D43" i="21"/>
  <c r="C43" i="21"/>
  <c r="C45" i="21"/>
  <c r="I42" i="21"/>
  <c r="I41" i="21"/>
  <c r="I40" i="21"/>
  <c r="I39" i="21"/>
  <c r="I38" i="21"/>
  <c r="I37" i="21"/>
  <c r="I36" i="21"/>
  <c r="I35" i="21"/>
  <c r="I34" i="21"/>
  <c r="E31" i="21"/>
  <c r="I30" i="21"/>
  <c r="I29" i="21"/>
  <c r="I28" i="21"/>
  <c r="I27" i="21"/>
  <c r="I26" i="21"/>
  <c r="I25" i="21"/>
  <c r="I24" i="21"/>
  <c r="I23" i="21"/>
  <c r="H22" i="21"/>
  <c r="H31" i="21"/>
  <c r="H56" i="21"/>
  <c r="F22" i="21"/>
  <c r="F31" i="21"/>
  <c r="D22" i="21"/>
  <c r="D31" i="21"/>
  <c r="D56" i="21"/>
  <c r="H20" i="21"/>
  <c r="H57" i="21"/>
  <c r="G20" i="21"/>
  <c r="G22" i="21"/>
  <c r="G31" i="21"/>
  <c r="F20" i="21"/>
  <c r="F57" i="21"/>
  <c r="E20" i="21"/>
  <c r="E22" i="21"/>
  <c r="D20" i="21"/>
  <c r="D57" i="21"/>
  <c r="C20" i="21"/>
  <c r="C22" i="21"/>
  <c r="C31" i="21"/>
  <c r="I19" i="21"/>
  <c r="I18" i="21"/>
  <c r="I17" i="21"/>
  <c r="I16" i="21"/>
  <c r="I15" i="21"/>
  <c r="I14" i="21"/>
  <c r="I13" i="21"/>
  <c r="I12" i="21"/>
  <c r="I11" i="21"/>
  <c r="M3" i="21"/>
  <c r="B2" i="21"/>
  <c r="A6" i="48" s="1"/>
  <c r="P1" i="21"/>
  <c r="E59" i="22"/>
  <c r="D59" i="22"/>
  <c r="C59" i="22"/>
  <c r="B52" i="22"/>
  <c r="F50" i="22"/>
  <c r="E50" i="22"/>
  <c r="D50" i="22"/>
  <c r="C50" i="22"/>
  <c r="F46" i="22"/>
  <c r="E46" i="22"/>
  <c r="B43" i="22"/>
  <c r="B36" i="22"/>
  <c r="B34" i="22"/>
  <c r="F32" i="22"/>
  <c r="E32" i="22"/>
  <c r="D32" i="22"/>
  <c r="C32" i="22"/>
  <c r="E27" i="22"/>
  <c r="C27" i="22"/>
  <c r="B26" i="22"/>
  <c r="D22" i="22"/>
  <c r="C22" i="22"/>
  <c r="D13" i="22"/>
  <c r="C13" i="22"/>
  <c r="C24" i="22"/>
  <c r="G7" i="22"/>
  <c r="B5" i="22"/>
  <c r="D3" i="22"/>
  <c r="O1" i="22"/>
  <c r="H90" i="23"/>
  <c r="G89" i="23"/>
  <c r="F89" i="23"/>
  <c r="E89" i="23"/>
  <c r="D89" i="23"/>
  <c r="C89" i="23"/>
  <c r="H89" i="23"/>
  <c r="H87" i="23"/>
  <c r="H86" i="23"/>
  <c r="H85" i="23"/>
  <c r="H84" i="23"/>
  <c r="H83" i="23"/>
  <c r="H82" i="23"/>
  <c r="H81" i="23"/>
  <c r="H80" i="23"/>
  <c r="H79" i="23"/>
  <c r="H78" i="23"/>
  <c r="H76" i="23"/>
  <c r="F75" i="23"/>
  <c r="E75" i="23"/>
  <c r="D75" i="23"/>
  <c r="C75" i="23"/>
  <c r="H73" i="23"/>
  <c r="H72" i="23"/>
  <c r="H71" i="23"/>
  <c r="H70" i="23"/>
  <c r="H69" i="23"/>
  <c r="H68" i="23"/>
  <c r="H67" i="23"/>
  <c r="H66" i="23"/>
  <c r="H65" i="23"/>
  <c r="G64" i="23"/>
  <c r="E62" i="23"/>
  <c r="D62" i="23"/>
  <c r="C62" i="23"/>
  <c r="B60" i="23"/>
  <c r="E58" i="23"/>
  <c r="D58" i="23"/>
  <c r="C58" i="23"/>
  <c r="F58" i="23"/>
  <c r="B58" i="23"/>
  <c r="B57" i="23"/>
  <c r="F56" i="23"/>
  <c r="B56" i="23"/>
  <c r="F55" i="23"/>
  <c r="B55" i="23"/>
  <c r="F54" i="23"/>
  <c r="B54" i="23"/>
  <c r="F53" i="23"/>
  <c r="B53" i="23"/>
  <c r="E50" i="23"/>
  <c r="D50" i="23"/>
  <c r="C50" i="23"/>
  <c r="F50" i="23"/>
  <c r="F48" i="23"/>
  <c r="F47" i="23"/>
  <c r="F46" i="23"/>
  <c r="F45" i="23"/>
  <c r="B40" i="23"/>
  <c r="E38" i="23"/>
  <c r="D38" i="23"/>
  <c r="C38" i="23"/>
  <c r="B31" i="23"/>
  <c r="D21" i="23"/>
  <c r="C21" i="23"/>
  <c r="D15" i="23"/>
  <c r="C15" i="23"/>
  <c r="C24" i="23"/>
  <c r="H9" i="23"/>
  <c r="B5" i="23"/>
  <c r="B3" i="23"/>
  <c r="B2" i="23"/>
  <c r="N1" i="23"/>
  <c r="D17" i="24"/>
  <c r="D19" i="24"/>
  <c r="L82" i="11"/>
  <c r="E82" i="11"/>
  <c r="C17" i="24"/>
  <c r="C19" i="24"/>
  <c r="J82" i="11"/>
  <c r="C82" i="11"/>
  <c r="B5" i="24"/>
  <c r="B3" i="24"/>
  <c r="D55" i="25"/>
  <c r="C55" i="25"/>
  <c r="D48" i="25"/>
  <c r="Q89" i="11"/>
  <c r="D47" i="25"/>
  <c r="C47" i="25"/>
  <c r="D40" i="25"/>
  <c r="C40" i="25"/>
  <c r="D32" i="25"/>
  <c r="C32" i="25"/>
  <c r="C48" i="25"/>
  <c r="O89" i="11"/>
  <c r="B22" i="25"/>
  <c r="F20" i="25"/>
  <c r="E20" i="25"/>
  <c r="D20" i="25"/>
  <c r="C20" i="25"/>
  <c r="B20" i="25"/>
  <c r="G19" i="25"/>
  <c r="L87" i="11"/>
  <c r="E87" i="11"/>
  <c r="G18" i="25"/>
  <c r="L86" i="11"/>
  <c r="E86" i="11"/>
  <c r="G17" i="25"/>
  <c r="L85" i="11"/>
  <c r="E85" i="11"/>
  <c r="G16" i="25"/>
  <c r="F14" i="25"/>
  <c r="E14" i="25"/>
  <c r="D14" i="25"/>
  <c r="C14" i="25"/>
  <c r="G14" i="25"/>
  <c r="J88" i="11"/>
  <c r="G13" i="25"/>
  <c r="J87" i="11"/>
  <c r="C87" i="11"/>
  <c r="U87" i="11"/>
  <c r="G12" i="25"/>
  <c r="J86" i="11"/>
  <c r="C86" i="11"/>
  <c r="G11" i="25"/>
  <c r="J85" i="11"/>
  <c r="C85" i="11"/>
  <c r="U85" i="11"/>
  <c r="G10" i="25"/>
  <c r="B5" i="25"/>
  <c r="B3" i="25"/>
  <c r="B88" i="26"/>
  <c r="B77" i="26"/>
  <c r="D73" i="26"/>
  <c r="C73" i="26"/>
  <c r="B71" i="26"/>
  <c r="D68" i="26"/>
  <c r="C68" i="26"/>
  <c r="B56" i="26"/>
  <c r="D53" i="26"/>
  <c r="L91" i="11"/>
  <c r="E91" i="11"/>
  <c r="D52" i="26"/>
  <c r="C52" i="26"/>
  <c r="D48" i="26"/>
  <c r="C48" i="26"/>
  <c r="C53" i="26"/>
  <c r="J91" i="11"/>
  <c r="C91" i="11"/>
  <c r="U91" i="11"/>
  <c r="B39" i="26"/>
  <c r="B23" i="26"/>
  <c r="F19" i="26"/>
  <c r="E19" i="26"/>
  <c r="D19" i="26"/>
  <c r="D20" i="26"/>
  <c r="C19" i="26"/>
  <c r="F14" i="26"/>
  <c r="E14" i="26"/>
  <c r="E20" i="26"/>
  <c r="L90" i="11"/>
  <c r="E90" i="11"/>
  <c r="D14" i="26"/>
  <c r="C14" i="26"/>
  <c r="C20" i="26"/>
  <c r="J90" i="11"/>
  <c r="C90" i="11"/>
  <c r="A11" i="26"/>
  <c r="A12" i="26"/>
  <c r="A13" i="26"/>
  <c r="A14" i="26"/>
  <c r="A15" i="26"/>
  <c r="A16" i="26"/>
  <c r="A17" i="26"/>
  <c r="A18" i="26"/>
  <c r="A19" i="26"/>
  <c r="A20" i="26"/>
  <c r="A21" i="26"/>
  <c r="F8" i="26"/>
  <c r="E8" i="26"/>
  <c r="B5" i="26"/>
  <c r="B3" i="26"/>
  <c r="D87" i="27"/>
  <c r="C87" i="27"/>
  <c r="B81" i="27"/>
  <c r="F79" i="27"/>
  <c r="F77" i="27"/>
  <c r="F75" i="27"/>
  <c r="B71" i="27"/>
  <c r="G69" i="27"/>
  <c r="F68" i="27"/>
  <c r="E68" i="27"/>
  <c r="D68" i="27"/>
  <c r="C68" i="27"/>
  <c r="G68" i="27"/>
  <c r="L93" i="11"/>
  <c r="E93" i="11"/>
  <c r="G67" i="27"/>
  <c r="G66" i="27"/>
  <c r="G65" i="27"/>
  <c r="G64" i="27"/>
  <c r="G63" i="27"/>
  <c r="G62" i="27"/>
  <c r="G60" i="27"/>
  <c r="G59" i="27"/>
  <c r="G45" i="27"/>
  <c r="F44" i="27"/>
  <c r="G43" i="27"/>
  <c r="G42" i="27"/>
  <c r="G41" i="27"/>
  <c r="G40" i="27"/>
  <c r="G39" i="27"/>
  <c r="G38" i="27"/>
  <c r="G36" i="27"/>
  <c r="E44" i="27"/>
  <c r="D44" i="27"/>
  <c r="B29" i="27"/>
  <c r="C99" i="48" s="1"/>
  <c r="E27" i="27"/>
  <c r="Q93" i="11"/>
  <c r="D27" i="27"/>
  <c r="C27" i="27"/>
  <c r="F27" i="27"/>
  <c r="F26" i="27"/>
  <c r="F25" i="27"/>
  <c r="F24" i="27"/>
  <c r="F23" i="27"/>
  <c r="A23" i="27"/>
  <c r="A24" i="27"/>
  <c r="A25" i="27"/>
  <c r="A26" i="27"/>
  <c r="A27" i="27"/>
  <c r="E15" i="27"/>
  <c r="O93" i="11"/>
  <c r="D15" i="27"/>
  <c r="C15" i="27"/>
  <c r="F15" i="27"/>
  <c r="F14" i="27"/>
  <c r="F13" i="27"/>
  <c r="F12" i="27"/>
  <c r="A12" i="27"/>
  <c r="A13" i="27"/>
  <c r="A14" i="27"/>
  <c r="A15" i="27"/>
  <c r="A16" i="27"/>
  <c r="A17" i="27"/>
  <c r="A18" i="27"/>
  <c r="A19" i="27"/>
  <c r="A20" i="27"/>
  <c r="A21" i="27"/>
  <c r="A22" i="27"/>
  <c r="F11" i="27"/>
  <c r="A11" i="27"/>
  <c r="B5" i="27"/>
  <c r="C98" i="48" s="1"/>
  <c r="B3" i="27"/>
  <c r="H47" i="51"/>
  <c r="G47" i="51"/>
  <c r="F47" i="51"/>
  <c r="E47" i="51"/>
  <c r="D47" i="51"/>
  <c r="C47" i="51"/>
  <c r="H39" i="51"/>
  <c r="G39" i="51"/>
  <c r="F39" i="51"/>
  <c r="E39" i="51"/>
  <c r="D39" i="51"/>
  <c r="C39" i="51"/>
  <c r="A35" i="51"/>
  <c r="A36" i="51"/>
  <c r="A37" i="51"/>
  <c r="A38" i="51"/>
  <c r="A39" i="51"/>
  <c r="A40" i="51"/>
  <c r="A41" i="51"/>
  <c r="A42" i="51"/>
  <c r="A43" i="51"/>
  <c r="A44" i="51"/>
  <c r="A45" i="51"/>
  <c r="A46" i="51"/>
  <c r="A47" i="51"/>
  <c r="A33" i="51"/>
  <c r="A34" i="51"/>
  <c r="A32" i="51"/>
  <c r="F29" i="51"/>
  <c r="H29" i="51"/>
  <c r="E29" i="51"/>
  <c r="G29" i="51"/>
  <c r="A14" i="51"/>
  <c r="A15" i="51"/>
  <c r="A16" i="51"/>
  <c r="A17" i="51"/>
  <c r="A18" i="51"/>
  <c r="A19" i="51"/>
  <c r="A20" i="51"/>
  <c r="A21" i="51"/>
  <c r="A22" i="51"/>
  <c r="A23" i="51"/>
  <c r="A24" i="51"/>
  <c r="A25" i="51"/>
  <c r="A26" i="51"/>
  <c r="A12" i="51"/>
  <c r="A13" i="51"/>
  <c r="A11" i="51"/>
  <c r="F8" i="51"/>
  <c r="H8" i="51"/>
  <c r="E8" i="51"/>
  <c r="G8" i="51"/>
  <c r="B5" i="51"/>
  <c r="B3" i="51"/>
  <c r="D49" i="28"/>
  <c r="C49" i="28"/>
  <c r="J74" i="11"/>
  <c r="D38" i="28"/>
  <c r="C38" i="28"/>
  <c r="D29" i="28"/>
  <c r="D31" i="28"/>
  <c r="D33" i="28"/>
  <c r="C29" i="28"/>
  <c r="C31" i="28"/>
  <c r="J63" i="11"/>
  <c r="B23" i="28"/>
  <c r="B22" i="28"/>
  <c r="A18" i="48" s="1"/>
  <c r="C20" i="28"/>
  <c r="E16" i="28"/>
  <c r="D16" i="28"/>
  <c r="C16" i="28"/>
  <c r="E12" i="28"/>
  <c r="D12" i="28"/>
  <c r="C12" i="28"/>
  <c r="B5" i="28"/>
  <c r="B3" i="28"/>
  <c r="N1" i="28"/>
  <c r="D76" i="29"/>
  <c r="K100" i="11"/>
  <c r="D100" i="11"/>
  <c r="E63" i="29"/>
  <c r="E76" i="29"/>
  <c r="L100" i="11"/>
  <c r="E100" i="11"/>
  <c r="D63" i="29"/>
  <c r="C63" i="29"/>
  <c r="C76" i="29"/>
  <c r="J100" i="11"/>
  <c r="C100" i="11"/>
  <c r="B57" i="29"/>
  <c r="D55" i="29"/>
  <c r="C55" i="29"/>
  <c r="B49" i="29"/>
  <c r="I47" i="29"/>
  <c r="J46" i="29"/>
  <c r="J45" i="29"/>
  <c r="J44" i="29"/>
  <c r="J43" i="29"/>
  <c r="J42" i="29"/>
  <c r="J41" i="29"/>
  <c r="J40" i="29"/>
  <c r="J39" i="29"/>
  <c r="J38" i="29"/>
  <c r="H37" i="29"/>
  <c r="H47" i="29"/>
  <c r="D37" i="29"/>
  <c r="D47" i="29"/>
  <c r="I35" i="29"/>
  <c r="I37" i="29"/>
  <c r="H35" i="29"/>
  <c r="G35" i="29"/>
  <c r="G37" i="29"/>
  <c r="G47" i="29"/>
  <c r="F35" i="29"/>
  <c r="F37" i="29"/>
  <c r="F47" i="29"/>
  <c r="E35" i="29"/>
  <c r="E37" i="29"/>
  <c r="E47" i="29"/>
  <c r="D35" i="29"/>
  <c r="J35" i="29"/>
  <c r="L94" i="11"/>
  <c r="E94" i="11"/>
  <c r="C35" i="29"/>
  <c r="C37" i="29"/>
  <c r="J34" i="29"/>
  <c r="J33" i="29"/>
  <c r="J32" i="29"/>
  <c r="J31" i="29"/>
  <c r="J30" i="29"/>
  <c r="J29" i="29"/>
  <c r="J28" i="29"/>
  <c r="J27" i="29"/>
  <c r="J26" i="29"/>
  <c r="J25" i="29"/>
  <c r="B20" i="29"/>
  <c r="D17" i="29"/>
  <c r="C17" i="29"/>
  <c r="D12" i="29"/>
  <c r="D18" i="29"/>
  <c r="C12" i="29"/>
  <c r="C18" i="29"/>
  <c r="B5" i="29"/>
  <c r="B3" i="29"/>
  <c r="O1" i="29"/>
  <c r="B3" i="30"/>
  <c r="N1" i="30"/>
  <c r="D19" i="31"/>
  <c r="L102" i="11"/>
  <c r="E102" i="11"/>
  <c r="C19" i="31"/>
  <c r="J102" i="11"/>
  <c r="C102" i="11"/>
  <c r="B5" i="31"/>
  <c r="B3" i="31"/>
  <c r="D162" i="32"/>
  <c r="C162" i="32"/>
  <c r="D155" i="32"/>
  <c r="B154" i="32"/>
  <c r="E152" i="32"/>
  <c r="D152" i="32"/>
  <c r="F152" i="32"/>
  <c r="C152" i="32"/>
  <c r="F151" i="32"/>
  <c r="F150" i="32"/>
  <c r="F149" i="32"/>
  <c r="F148" i="32"/>
  <c r="F147" i="32"/>
  <c r="F146" i="32"/>
  <c r="F145" i="32"/>
  <c r="E143" i="32"/>
  <c r="D143" i="32"/>
  <c r="C143" i="32"/>
  <c r="F143" i="32"/>
  <c r="F142" i="32"/>
  <c r="F141" i="32"/>
  <c r="F140" i="32"/>
  <c r="F139" i="32"/>
  <c r="F138" i="32"/>
  <c r="F137" i="32"/>
  <c r="F136" i="32"/>
  <c r="F134" i="32"/>
  <c r="E134" i="32"/>
  <c r="D134" i="32"/>
  <c r="C134" i="32"/>
  <c r="F133" i="32"/>
  <c r="F132" i="32"/>
  <c r="F131" i="32"/>
  <c r="F130" i="32"/>
  <c r="F129" i="32"/>
  <c r="F128" i="32"/>
  <c r="F127" i="32"/>
  <c r="B124" i="32"/>
  <c r="K122" i="32"/>
  <c r="J122" i="32"/>
  <c r="I122" i="32"/>
  <c r="H122" i="32"/>
  <c r="G122" i="32"/>
  <c r="F122" i="32"/>
  <c r="E122" i="32"/>
  <c r="D122" i="32"/>
  <c r="C122" i="32"/>
  <c r="C108" i="32"/>
  <c r="H100" i="32"/>
  <c r="G100" i="32"/>
  <c r="F100" i="32"/>
  <c r="E100" i="32"/>
  <c r="D100" i="32"/>
  <c r="C100" i="32"/>
  <c r="H95" i="32"/>
  <c r="G95" i="32"/>
  <c r="F95" i="32"/>
  <c r="B92" i="32"/>
  <c r="D83" i="32"/>
  <c r="B82" i="32"/>
  <c r="E80" i="32"/>
  <c r="D79" i="32"/>
  <c r="C79" i="32"/>
  <c r="E78" i="32"/>
  <c r="B78" i="32"/>
  <c r="E77" i="32"/>
  <c r="B77" i="32"/>
  <c r="E76" i="32"/>
  <c r="B76" i="32"/>
  <c r="E75" i="32"/>
  <c r="B75" i="32"/>
  <c r="E74" i="32"/>
  <c r="B74" i="32"/>
  <c r="E73" i="32"/>
  <c r="B73" i="32"/>
  <c r="E72" i="32"/>
  <c r="B72" i="32"/>
  <c r="E71" i="32"/>
  <c r="B71" i="32"/>
  <c r="E70" i="32"/>
  <c r="E69" i="32"/>
  <c r="E68" i="32"/>
  <c r="E66" i="32"/>
  <c r="E65" i="32"/>
  <c r="E64" i="32"/>
  <c r="E63" i="32"/>
  <c r="E62" i="32"/>
  <c r="E61" i="32"/>
  <c r="E60" i="32"/>
  <c r="E59" i="32"/>
  <c r="C58" i="32"/>
  <c r="C67" i="32"/>
  <c r="B52" i="32"/>
  <c r="F50" i="32"/>
  <c r="E50" i="32"/>
  <c r="D50" i="32"/>
  <c r="C50" i="32"/>
  <c r="B50" i="32"/>
  <c r="F49" i="32"/>
  <c r="B49" i="32"/>
  <c r="F48" i="32"/>
  <c r="B48" i="32"/>
  <c r="D55" i="32"/>
  <c r="F47" i="32"/>
  <c r="B47" i="32"/>
  <c r="C55" i="32"/>
  <c r="E45" i="32"/>
  <c r="J104" i="11"/>
  <c r="D45" i="32"/>
  <c r="C45" i="32"/>
  <c r="F45" i="32"/>
  <c r="F44" i="32"/>
  <c r="F43" i="32"/>
  <c r="F42" i="32"/>
  <c r="B36" i="32"/>
  <c r="D26" i="32"/>
  <c r="B25" i="32"/>
  <c r="E23" i="32"/>
  <c r="F22" i="32"/>
  <c r="E22" i="32"/>
  <c r="D22" i="32"/>
  <c r="C22" i="32"/>
  <c r="F17" i="32"/>
  <c r="F23" i="32"/>
  <c r="E17" i="32"/>
  <c r="D17" i="32"/>
  <c r="D23" i="32"/>
  <c r="L103" i="11"/>
  <c r="E103" i="11"/>
  <c r="C17" i="32"/>
  <c r="C23" i="32"/>
  <c r="J103" i="11"/>
  <c r="C103" i="11"/>
  <c r="U103" i="11"/>
  <c r="B5" i="32"/>
  <c r="B3" i="32"/>
  <c r="J57" i="33"/>
  <c r="F57" i="33"/>
  <c r="D57" i="33"/>
  <c r="K56" i="33"/>
  <c r="J56" i="33"/>
  <c r="I56" i="33"/>
  <c r="G56" i="33"/>
  <c r="F56" i="33"/>
  <c r="D56" i="33"/>
  <c r="C56" i="33"/>
  <c r="K55" i="33"/>
  <c r="H55" i="33"/>
  <c r="E55" i="33"/>
  <c r="K54" i="33"/>
  <c r="H54" i="33"/>
  <c r="E54" i="33"/>
  <c r="E56" i="33"/>
  <c r="K53" i="33"/>
  <c r="H53" i="33"/>
  <c r="H56" i="33"/>
  <c r="E53" i="33"/>
  <c r="J51" i="33"/>
  <c r="I51" i="33"/>
  <c r="G51" i="33"/>
  <c r="G57" i="33"/>
  <c r="F51" i="33"/>
  <c r="D51" i="33"/>
  <c r="C51" i="33"/>
  <c r="C57" i="33"/>
  <c r="K50" i="33"/>
  <c r="H50" i="33"/>
  <c r="E50" i="33"/>
  <c r="K49" i="33"/>
  <c r="K51" i="33"/>
  <c r="K57" i="33"/>
  <c r="H49" i="33"/>
  <c r="E49" i="33"/>
  <c r="E51" i="33"/>
  <c r="E57" i="33"/>
  <c r="K48" i="33"/>
  <c r="H48" i="33"/>
  <c r="H51" i="33"/>
  <c r="H57" i="33"/>
  <c r="E48" i="33"/>
  <c r="K45" i="33"/>
  <c r="I45" i="33"/>
  <c r="H45" i="33"/>
  <c r="G45" i="33"/>
  <c r="J45" i="33"/>
  <c r="F45" i="33"/>
  <c r="B42" i="33"/>
  <c r="K40" i="33"/>
  <c r="J40" i="33"/>
  <c r="I40" i="33"/>
  <c r="H40" i="33"/>
  <c r="G40" i="33"/>
  <c r="F40" i="33"/>
  <c r="E40" i="33"/>
  <c r="D40" i="33"/>
  <c r="C40" i="33"/>
  <c r="J109" i="11"/>
  <c r="B31" i="33"/>
  <c r="E27" i="33"/>
  <c r="L107" i="11"/>
  <c r="E107" i="11"/>
  <c r="D27" i="33"/>
  <c r="K107" i="11"/>
  <c r="D107" i="11"/>
  <c r="U107" i="11"/>
  <c r="C27" i="33"/>
  <c r="J107" i="11"/>
  <c r="C107" i="11"/>
  <c r="D23" i="33"/>
  <c r="K106" i="11"/>
  <c r="D106" i="11"/>
  <c r="E22" i="33"/>
  <c r="D22" i="33"/>
  <c r="C22" i="33"/>
  <c r="E18" i="33"/>
  <c r="D18" i="33"/>
  <c r="C18" i="33"/>
  <c r="E14" i="33"/>
  <c r="E23" i="33"/>
  <c r="D14" i="33"/>
  <c r="C14" i="33"/>
  <c r="C23" i="33"/>
  <c r="C28" i="33"/>
  <c r="B5" i="33"/>
  <c r="B3" i="33"/>
  <c r="O1" i="33"/>
  <c r="E29" i="34"/>
  <c r="D29" i="34"/>
  <c r="C29" i="34"/>
  <c r="E25" i="34"/>
  <c r="D25" i="34"/>
  <c r="C25" i="34"/>
  <c r="E22" i="34"/>
  <c r="D22" i="34"/>
  <c r="C22" i="34"/>
  <c r="E17" i="34"/>
  <c r="D17" i="34"/>
  <c r="C17" i="34"/>
  <c r="E12" i="34"/>
  <c r="D12" i="34"/>
  <c r="C12" i="34"/>
  <c r="B5" i="34"/>
  <c r="B3" i="34"/>
  <c r="O1" i="34"/>
  <c r="E58" i="35"/>
  <c r="D58" i="35"/>
  <c r="C58" i="35"/>
  <c r="B48" i="35"/>
  <c r="E46" i="35"/>
  <c r="D46" i="35"/>
  <c r="C46" i="35"/>
  <c r="B36" i="35"/>
  <c r="E33" i="35"/>
  <c r="C33" i="35"/>
  <c r="E31" i="35"/>
  <c r="D31" i="35"/>
  <c r="D33" i="35"/>
  <c r="C31" i="35"/>
  <c r="B18" i="35"/>
  <c r="K112" i="11"/>
  <c r="D112" i="11"/>
  <c r="E12" i="35"/>
  <c r="L112" i="11"/>
  <c r="D12" i="35"/>
  <c r="C12" i="35"/>
  <c r="J112" i="11"/>
  <c r="C112" i="11"/>
  <c r="B5" i="35"/>
  <c r="B3" i="35"/>
  <c r="O1" i="35"/>
  <c r="H65" i="36"/>
  <c r="G65" i="36"/>
  <c r="F65" i="36"/>
  <c r="E65" i="36"/>
  <c r="B62" i="36"/>
  <c r="H60" i="36"/>
  <c r="F60" i="36"/>
  <c r="D60" i="36"/>
  <c r="H53" i="36"/>
  <c r="G53" i="36"/>
  <c r="F53" i="36"/>
  <c r="E53" i="36"/>
  <c r="B50" i="36"/>
  <c r="B48" i="36"/>
  <c r="B47" i="36"/>
  <c r="B46" i="36"/>
  <c r="B45" i="36"/>
  <c r="B43" i="36"/>
  <c r="B42" i="36"/>
  <c r="B41" i="36"/>
  <c r="B40" i="36"/>
  <c r="B30" i="36"/>
  <c r="B5" i="36"/>
  <c r="A7" i="48" s="1"/>
  <c r="B3" i="36"/>
  <c r="O1" i="36"/>
  <c r="G83" i="37"/>
  <c r="B83" i="37"/>
  <c r="B82" i="37"/>
  <c r="E81" i="37"/>
  <c r="B81" i="37"/>
  <c r="F80" i="37"/>
  <c r="F81" i="37"/>
  <c r="F82" i="37"/>
  <c r="F84" i="37"/>
  <c r="E80" i="37"/>
  <c r="D80" i="37"/>
  <c r="D81" i="37"/>
  <c r="D82" i="37"/>
  <c r="D84" i="37"/>
  <c r="C80" i="37"/>
  <c r="G80" i="37"/>
  <c r="L138" i="11"/>
  <c r="B80" i="37"/>
  <c r="G79" i="37"/>
  <c r="B79" i="37"/>
  <c r="G78" i="37"/>
  <c r="B78" i="37"/>
  <c r="G77" i="37"/>
  <c r="L136" i="11"/>
  <c r="E136" i="11"/>
  <c r="B77" i="37"/>
  <c r="G76" i="37"/>
  <c r="B76" i="37"/>
  <c r="G75" i="37"/>
  <c r="L134" i="11"/>
  <c r="E134" i="11"/>
  <c r="B75" i="37"/>
  <c r="G74" i="37"/>
  <c r="L133" i="11"/>
  <c r="B74" i="37"/>
  <c r="B73" i="37"/>
  <c r="G72" i="37"/>
  <c r="L131" i="11"/>
  <c r="B72" i="37"/>
  <c r="E71" i="37"/>
  <c r="E82" i="37"/>
  <c r="E84" i="37"/>
  <c r="D71" i="37"/>
  <c r="B71" i="37"/>
  <c r="G70" i="37"/>
  <c r="L129" i="11"/>
  <c r="E129" i="11"/>
  <c r="B70" i="37"/>
  <c r="G69" i="37"/>
  <c r="L128" i="11"/>
  <c r="E128" i="11"/>
  <c r="B69" i="37"/>
  <c r="F68" i="37"/>
  <c r="F71" i="37"/>
  <c r="E68" i="37"/>
  <c r="D68" i="37"/>
  <c r="C68" i="37"/>
  <c r="C71" i="37"/>
  <c r="B68" i="37"/>
  <c r="G67" i="37"/>
  <c r="L126" i="11"/>
  <c r="E126" i="11"/>
  <c r="B67" i="37"/>
  <c r="G66" i="37"/>
  <c r="L125" i="11"/>
  <c r="E125" i="11"/>
  <c r="B66" i="37"/>
  <c r="G65" i="37"/>
  <c r="L124" i="11"/>
  <c r="E124" i="11"/>
  <c r="B65" i="37"/>
  <c r="G64" i="37"/>
  <c r="L123" i="11"/>
  <c r="E123" i="11"/>
  <c r="B64" i="37"/>
  <c r="G63" i="37"/>
  <c r="L122" i="11"/>
  <c r="E122" i="11"/>
  <c r="B63" i="37"/>
  <c r="G62" i="37"/>
  <c r="L121" i="11"/>
  <c r="E121" i="11"/>
  <c r="B62" i="37"/>
  <c r="G61" i="37"/>
  <c r="L120" i="11"/>
  <c r="E120" i="11"/>
  <c r="B61" i="37"/>
  <c r="G60" i="37"/>
  <c r="L119" i="11"/>
  <c r="E119" i="11"/>
  <c r="B60" i="37"/>
  <c r="G59" i="37"/>
  <c r="L118" i="11"/>
  <c r="E118" i="11"/>
  <c r="B59" i="37"/>
  <c r="G58" i="37"/>
  <c r="L117" i="11"/>
  <c r="E117" i="11"/>
  <c r="B58" i="37"/>
  <c r="G57" i="37"/>
  <c r="L116" i="11"/>
  <c r="E116" i="11"/>
  <c r="B57" i="37"/>
  <c r="G56" i="37"/>
  <c r="L115" i="11"/>
  <c r="E115" i="11"/>
  <c r="B56" i="37"/>
  <c r="G55" i="37"/>
  <c r="L114" i="11"/>
  <c r="E114" i="11"/>
  <c r="U114" i="11"/>
  <c r="B55" i="37"/>
  <c r="G49" i="37"/>
  <c r="C48" i="37"/>
  <c r="F47" i="37"/>
  <c r="D47" i="37"/>
  <c r="F46" i="37"/>
  <c r="E46" i="37"/>
  <c r="E47" i="37"/>
  <c r="D46" i="37"/>
  <c r="C46" i="37"/>
  <c r="C47" i="37"/>
  <c r="G45" i="37"/>
  <c r="G44" i="37"/>
  <c r="J137" i="11"/>
  <c r="C137" i="11"/>
  <c r="G43" i="37"/>
  <c r="J136" i="11"/>
  <c r="C136" i="11"/>
  <c r="U136" i="11"/>
  <c r="G42" i="37"/>
  <c r="J135" i="11"/>
  <c r="C135" i="11"/>
  <c r="U135" i="11"/>
  <c r="G41" i="37"/>
  <c r="J134" i="11"/>
  <c r="C134" i="11"/>
  <c r="G40" i="37"/>
  <c r="J133" i="11"/>
  <c r="C133" i="11"/>
  <c r="U133" i="11"/>
  <c r="G38" i="37"/>
  <c r="J131" i="11"/>
  <c r="E37" i="37"/>
  <c r="E48" i="37"/>
  <c r="E50" i="37"/>
  <c r="C37" i="37"/>
  <c r="G36" i="37"/>
  <c r="J129" i="11"/>
  <c r="C129" i="11"/>
  <c r="G35" i="37"/>
  <c r="J128" i="11"/>
  <c r="C128" i="11"/>
  <c r="F34" i="37"/>
  <c r="F37" i="37"/>
  <c r="F48" i="37"/>
  <c r="F50" i="37"/>
  <c r="E34" i="37"/>
  <c r="D34" i="37"/>
  <c r="D37" i="37"/>
  <c r="C34" i="37"/>
  <c r="G33" i="37"/>
  <c r="J126" i="11"/>
  <c r="C126" i="11"/>
  <c r="U126" i="11"/>
  <c r="G32" i="37"/>
  <c r="J125" i="11"/>
  <c r="C125" i="11"/>
  <c r="G31" i="37"/>
  <c r="J124" i="11"/>
  <c r="C124" i="11"/>
  <c r="U124" i="11"/>
  <c r="G30" i="37"/>
  <c r="J123" i="11"/>
  <c r="G28" i="37"/>
  <c r="J121" i="11"/>
  <c r="C121" i="11"/>
  <c r="G27" i="37"/>
  <c r="J120" i="11"/>
  <c r="G26" i="37"/>
  <c r="J119" i="11"/>
  <c r="C119" i="11"/>
  <c r="G25" i="37"/>
  <c r="G24" i="37"/>
  <c r="J117" i="11"/>
  <c r="C117" i="11"/>
  <c r="G23" i="37"/>
  <c r="J116" i="11"/>
  <c r="C116" i="11"/>
  <c r="G22" i="37"/>
  <c r="J115" i="11"/>
  <c r="C115" i="11"/>
  <c r="G21" i="37"/>
  <c r="J114" i="11"/>
  <c r="B17" i="37"/>
  <c r="B15" i="37"/>
  <c r="B14" i="37"/>
  <c r="B5" i="37"/>
  <c r="B3" i="37"/>
  <c r="O1" i="37"/>
  <c r="H58" i="38"/>
  <c r="G58" i="38"/>
  <c r="L142" i="11"/>
  <c r="E142" i="11"/>
  <c r="F58" i="38"/>
  <c r="L141" i="11"/>
  <c r="E141" i="11"/>
  <c r="D58" i="38"/>
  <c r="C58" i="38"/>
  <c r="J141" i="11"/>
  <c r="C141" i="11"/>
  <c r="H57" i="38"/>
  <c r="E57" i="38"/>
  <c r="H56" i="38"/>
  <c r="E56" i="38"/>
  <c r="H54" i="38"/>
  <c r="G54" i="38"/>
  <c r="F54" i="38"/>
  <c r="B52" i="38"/>
  <c r="H50" i="38"/>
  <c r="B50" i="38"/>
  <c r="H48" i="38"/>
  <c r="B43" i="38"/>
  <c r="F41" i="38"/>
  <c r="E41" i="38"/>
  <c r="D41" i="38"/>
  <c r="C41" i="38"/>
  <c r="B41" i="38"/>
  <c r="G40" i="38"/>
  <c r="H40" i="38"/>
  <c r="G39" i="38"/>
  <c r="H39" i="38"/>
  <c r="G38" i="38"/>
  <c r="H38" i="38"/>
  <c r="G37" i="38"/>
  <c r="H37" i="38"/>
  <c r="G36" i="38"/>
  <c r="H36" i="38"/>
  <c r="G35" i="38"/>
  <c r="H35" i="38"/>
  <c r="G34" i="38"/>
  <c r="H34" i="38"/>
  <c r="G33" i="38"/>
  <c r="H33" i="38"/>
  <c r="G32" i="38"/>
  <c r="H32" i="38"/>
  <c r="G31" i="38"/>
  <c r="H31" i="38"/>
  <c r="G30" i="38"/>
  <c r="H30" i="38"/>
  <c r="G29" i="38"/>
  <c r="H29" i="38"/>
  <c r="F23" i="38"/>
  <c r="E23" i="38"/>
  <c r="D23" i="38"/>
  <c r="C23" i="38"/>
  <c r="G22" i="38"/>
  <c r="H22" i="38"/>
  <c r="G21" i="38"/>
  <c r="H21" i="38"/>
  <c r="G20" i="38"/>
  <c r="H20" i="38"/>
  <c r="G19" i="38"/>
  <c r="H19" i="38"/>
  <c r="G18" i="38"/>
  <c r="H18" i="38"/>
  <c r="G17" i="38"/>
  <c r="H17" i="38"/>
  <c r="G16" i="38"/>
  <c r="H16" i="38"/>
  <c r="G15" i="38"/>
  <c r="H15" i="38"/>
  <c r="G14" i="38"/>
  <c r="H14" i="38"/>
  <c r="G13" i="38"/>
  <c r="H13" i="38"/>
  <c r="G12" i="38"/>
  <c r="H12" i="38"/>
  <c r="G11" i="38"/>
  <c r="H11" i="38"/>
  <c r="B6" i="38"/>
  <c r="B3" i="38"/>
  <c r="O1" i="38"/>
  <c r="G44" i="39"/>
  <c r="B44" i="39"/>
  <c r="E43" i="39"/>
  <c r="B43" i="39"/>
  <c r="F42" i="39"/>
  <c r="E42" i="39"/>
  <c r="D42" i="39"/>
  <c r="C42" i="39"/>
  <c r="G42" i="39"/>
  <c r="B42" i="39"/>
  <c r="G41" i="39"/>
  <c r="B41" i="39"/>
  <c r="G40" i="39"/>
  <c r="B40" i="39"/>
  <c r="G39" i="39"/>
  <c r="B39" i="39"/>
  <c r="G38" i="39"/>
  <c r="B38" i="39"/>
  <c r="B37" i="39"/>
  <c r="F36" i="39"/>
  <c r="F43" i="39"/>
  <c r="E36" i="39"/>
  <c r="D36" i="39"/>
  <c r="D43" i="39"/>
  <c r="C36" i="39"/>
  <c r="B36" i="39"/>
  <c r="G35" i="39"/>
  <c r="B35" i="39"/>
  <c r="G34" i="39"/>
  <c r="B34" i="39"/>
  <c r="G33" i="39"/>
  <c r="B33" i="39"/>
  <c r="B32" i="39"/>
  <c r="B31" i="39"/>
  <c r="G28" i="39"/>
  <c r="F28" i="39"/>
  <c r="E28" i="39"/>
  <c r="D28" i="39"/>
  <c r="C28" i="39"/>
  <c r="G24" i="39"/>
  <c r="D23" i="39"/>
  <c r="F22" i="39"/>
  <c r="E22" i="39"/>
  <c r="E23" i="39"/>
  <c r="D22" i="39"/>
  <c r="C22" i="39"/>
  <c r="G22" i="39"/>
  <c r="G21" i="39"/>
  <c r="G20" i="39"/>
  <c r="G19" i="39"/>
  <c r="G18" i="39"/>
  <c r="F16" i="39"/>
  <c r="F23" i="39"/>
  <c r="E16" i="39"/>
  <c r="D16" i="39"/>
  <c r="C16" i="39"/>
  <c r="G15" i="39"/>
  <c r="G14" i="39"/>
  <c r="G13" i="39"/>
  <c r="B6" i="39"/>
  <c r="B3" i="39"/>
  <c r="O1" i="39"/>
  <c r="G44" i="40"/>
  <c r="B44" i="40"/>
  <c r="E43" i="40"/>
  <c r="C43" i="40"/>
  <c r="B43" i="40"/>
  <c r="F42" i="40"/>
  <c r="E42" i="40"/>
  <c r="D42" i="40"/>
  <c r="C42" i="40"/>
  <c r="G42" i="40"/>
  <c r="B42" i="40"/>
  <c r="G41" i="40"/>
  <c r="B41" i="40"/>
  <c r="G40" i="40"/>
  <c r="B40" i="40"/>
  <c r="G39" i="40"/>
  <c r="B39" i="40"/>
  <c r="G38" i="40"/>
  <c r="B38" i="40"/>
  <c r="B37" i="40"/>
  <c r="F36" i="40"/>
  <c r="F43" i="40"/>
  <c r="E36" i="40"/>
  <c r="D36" i="40"/>
  <c r="D43" i="40"/>
  <c r="C36" i="40"/>
  <c r="B36" i="40"/>
  <c r="G35" i="40"/>
  <c r="B35" i="40"/>
  <c r="G34" i="40"/>
  <c r="B34" i="40"/>
  <c r="G33" i="40"/>
  <c r="B33" i="40"/>
  <c r="B32" i="40"/>
  <c r="B31" i="40"/>
  <c r="G28" i="40"/>
  <c r="F28" i="40"/>
  <c r="E28" i="40"/>
  <c r="D28" i="40"/>
  <c r="C28" i="40"/>
  <c r="C27" i="40"/>
  <c r="G24" i="40"/>
  <c r="C23" i="40"/>
  <c r="G23" i="40"/>
  <c r="F22" i="40"/>
  <c r="E22" i="40"/>
  <c r="D22" i="40"/>
  <c r="D23" i="40"/>
  <c r="C22" i="40"/>
  <c r="G22" i="40"/>
  <c r="G21" i="40"/>
  <c r="G20" i="40"/>
  <c r="G19" i="40"/>
  <c r="G18" i="40"/>
  <c r="F16" i="40"/>
  <c r="F23" i="40"/>
  <c r="E16" i="40"/>
  <c r="E23" i="40"/>
  <c r="D16" i="40"/>
  <c r="C16" i="40"/>
  <c r="G16" i="40"/>
  <c r="G15" i="40"/>
  <c r="G14" i="40"/>
  <c r="G13" i="40"/>
  <c r="B6" i="40"/>
  <c r="B3" i="40"/>
  <c r="O1" i="40"/>
  <c r="F37" i="41"/>
  <c r="E37" i="41"/>
  <c r="D37" i="41"/>
  <c r="C37" i="41"/>
  <c r="B37" i="41"/>
  <c r="G36" i="41"/>
  <c r="B36" i="41"/>
  <c r="G35" i="41"/>
  <c r="B35" i="41"/>
  <c r="B34" i="41"/>
  <c r="G33" i="41"/>
  <c r="B33" i="41"/>
  <c r="G32" i="41"/>
  <c r="B32" i="41"/>
  <c r="G31" i="41"/>
  <c r="B31" i="41"/>
  <c r="G30" i="41"/>
  <c r="B30" i="41"/>
  <c r="G29" i="41"/>
  <c r="B29" i="41"/>
  <c r="B28" i="41"/>
  <c r="G25" i="41"/>
  <c r="F25" i="41"/>
  <c r="E25" i="41"/>
  <c r="D25" i="41"/>
  <c r="C25" i="41"/>
  <c r="F20" i="41"/>
  <c r="E20" i="41"/>
  <c r="D20" i="41"/>
  <c r="C20" i="41"/>
  <c r="G20" i="41"/>
  <c r="G19" i="41"/>
  <c r="G18" i="41"/>
  <c r="G16" i="41"/>
  <c r="G15" i="41"/>
  <c r="G14" i="41"/>
  <c r="G13" i="41"/>
  <c r="G12" i="41"/>
  <c r="B6" i="41"/>
  <c r="B3" i="41"/>
  <c r="O1" i="41"/>
  <c r="F37" i="42"/>
  <c r="E37" i="42"/>
  <c r="D37" i="42"/>
  <c r="C37" i="42"/>
  <c r="G37" i="42"/>
  <c r="B37" i="42"/>
  <c r="G36" i="42"/>
  <c r="B36" i="42"/>
  <c r="G35" i="42"/>
  <c r="B35" i="42"/>
  <c r="B34" i="42"/>
  <c r="G33" i="42"/>
  <c r="B33" i="42"/>
  <c r="G32" i="42"/>
  <c r="B32" i="42"/>
  <c r="G31" i="42"/>
  <c r="B31" i="42"/>
  <c r="G30" i="42"/>
  <c r="B30" i="42"/>
  <c r="G29" i="42"/>
  <c r="B29" i="42"/>
  <c r="B28" i="42"/>
  <c r="G25" i="42"/>
  <c r="F25" i="42"/>
  <c r="E25" i="42"/>
  <c r="D25" i="42"/>
  <c r="C25" i="42"/>
  <c r="C24" i="42"/>
  <c r="F20" i="42"/>
  <c r="E20" i="42"/>
  <c r="D20" i="42"/>
  <c r="C20" i="42"/>
  <c r="G19" i="42"/>
  <c r="G18" i="42"/>
  <c r="G16" i="42"/>
  <c r="G15" i="42"/>
  <c r="G14" i="42"/>
  <c r="G13" i="42"/>
  <c r="G12" i="42"/>
  <c r="B6" i="42"/>
  <c r="B3" i="42"/>
  <c r="O1" i="42"/>
  <c r="E46" i="43"/>
  <c r="C46" i="43"/>
  <c r="D46" i="43"/>
  <c r="D45" i="43"/>
  <c r="D44" i="43"/>
  <c r="D43" i="43"/>
  <c r="D42" i="43"/>
  <c r="D41" i="43"/>
  <c r="D40" i="43"/>
  <c r="D39" i="43"/>
  <c r="D38" i="43"/>
  <c r="D37" i="43"/>
  <c r="D36" i="43"/>
  <c r="D35" i="43"/>
  <c r="D34" i="43"/>
  <c r="D33" i="43"/>
  <c r="D32" i="43"/>
  <c r="E25" i="43"/>
  <c r="D25" i="43"/>
  <c r="C25" i="43"/>
  <c r="D24" i="43"/>
  <c r="D23" i="43"/>
  <c r="D22" i="43"/>
  <c r="D21" i="43"/>
  <c r="D20" i="43"/>
  <c r="D19" i="43"/>
  <c r="D18" i="43"/>
  <c r="D17" i="43"/>
  <c r="D16" i="43"/>
  <c r="D15" i="43"/>
  <c r="D14" i="43"/>
  <c r="D13" i="43"/>
  <c r="D12" i="43"/>
  <c r="D11" i="43"/>
  <c r="E5" i="43"/>
  <c r="D5" i="43"/>
  <c r="C5" i="43"/>
  <c r="B5" i="43"/>
  <c r="B3" i="43"/>
  <c r="O1" i="43"/>
  <c r="B5" i="52"/>
  <c r="B3" i="52"/>
  <c r="O1" i="52"/>
  <c r="E40" i="46"/>
  <c r="E41" i="46"/>
  <c r="D40" i="46"/>
  <c r="C40" i="46"/>
  <c r="C41" i="46"/>
  <c r="E32" i="46"/>
  <c r="D32" i="46"/>
  <c r="D41" i="46"/>
  <c r="C32" i="46"/>
  <c r="E24" i="46"/>
  <c r="D24" i="46"/>
  <c r="C24" i="46"/>
  <c r="E21" i="46"/>
  <c r="D21" i="46"/>
  <c r="C21" i="46"/>
  <c r="B3" i="46"/>
  <c r="B2" i="46"/>
  <c r="G40" i="45"/>
  <c r="F40" i="45"/>
  <c r="E40" i="45"/>
  <c r="D40" i="45"/>
  <c r="C40" i="45"/>
  <c r="G23" i="45"/>
  <c r="F23" i="45"/>
  <c r="E23" i="45"/>
  <c r="D23" i="45"/>
  <c r="C23" i="45"/>
  <c r="E19" i="45"/>
  <c r="E36" i="45"/>
  <c r="G15" i="45"/>
  <c r="G17" i="45"/>
  <c r="G19" i="45"/>
  <c r="G36" i="45"/>
  <c r="G14" i="45"/>
  <c r="F14" i="45"/>
  <c r="E14" i="45"/>
  <c r="D14" i="45"/>
  <c r="D15" i="45"/>
  <c r="D17" i="45"/>
  <c r="D19" i="45"/>
  <c r="D36" i="45"/>
  <c r="C14" i="45"/>
  <c r="G9" i="45"/>
  <c r="F9" i="45"/>
  <c r="E9" i="45"/>
  <c r="E15" i="45"/>
  <c r="E17" i="45"/>
  <c r="D9" i="45"/>
  <c r="C9" i="45"/>
  <c r="C15" i="45"/>
  <c r="C17" i="45"/>
  <c r="C19" i="45"/>
  <c r="B3" i="45"/>
  <c r="B2" i="45"/>
  <c r="H126" i="44"/>
  <c r="G126" i="44"/>
  <c r="F126" i="44"/>
  <c r="E126" i="44"/>
  <c r="D126" i="44"/>
  <c r="C126" i="44"/>
  <c r="I125" i="44"/>
  <c r="I124" i="44"/>
  <c r="I123" i="44"/>
  <c r="I122" i="44"/>
  <c r="I121" i="44"/>
  <c r="I120" i="44"/>
  <c r="I126" i="44"/>
  <c r="F118" i="44"/>
  <c r="F127" i="44"/>
  <c r="I117" i="44"/>
  <c r="H116" i="44"/>
  <c r="H118" i="44"/>
  <c r="H127" i="44"/>
  <c r="G116" i="44"/>
  <c r="G118" i="44"/>
  <c r="F116" i="44"/>
  <c r="E116" i="44"/>
  <c r="E118" i="44"/>
  <c r="E127" i="44"/>
  <c r="D116" i="44"/>
  <c r="D118" i="44"/>
  <c r="D127" i="44"/>
  <c r="C116" i="44"/>
  <c r="C118" i="44"/>
  <c r="I115" i="44"/>
  <c r="I114" i="44"/>
  <c r="I113" i="44"/>
  <c r="I112" i="44"/>
  <c r="I111" i="44"/>
  <c r="I110" i="44"/>
  <c r="I109" i="44"/>
  <c r="I116" i="44"/>
  <c r="I107" i="44"/>
  <c r="I106" i="44"/>
  <c r="H101" i="44"/>
  <c r="G101" i="44"/>
  <c r="F101" i="44"/>
  <c r="E101" i="44"/>
  <c r="D101" i="44"/>
  <c r="C101" i="44"/>
  <c r="I100" i="44"/>
  <c r="I99" i="44"/>
  <c r="I98" i="44"/>
  <c r="I97" i="44"/>
  <c r="I96" i="44"/>
  <c r="I95" i="44"/>
  <c r="I101" i="44"/>
  <c r="D93" i="44"/>
  <c r="D102" i="44"/>
  <c r="I92" i="44"/>
  <c r="H91" i="44"/>
  <c r="H93" i="44"/>
  <c r="H102" i="44"/>
  <c r="G91" i="44"/>
  <c r="G93" i="44"/>
  <c r="G102" i="44"/>
  <c r="F91" i="44"/>
  <c r="F93" i="44"/>
  <c r="F102" i="44"/>
  <c r="E91" i="44"/>
  <c r="E93" i="44"/>
  <c r="E102" i="44"/>
  <c r="D91" i="44"/>
  <c r="C91" i="44"/>
  <c r="C93" i="44"/>
  <c r="C102" i="44"/>
  <c r="I90" i="44"/>
  <c r="I89" i="44"/>
  <c r="I88" i="44"/>
  <c r="I87" i="44"/>
  <c r="I86" i="44"/>
  <c r="I85" i="44"/>
  <c r="I84" i="44"/>
  <c r="I82" i="44"/>
  <c r="I81" i="44"/>
  <c r="F77" i="44"/>
  <c r="H76" i="44"/>
  <c r="G76" i="44"/>
  <c r="F76" i="44"/>
  <c r="E76" i="44"/>
  <c r="D76" i="44"/>
  <c r="C76" i="44"/>
  <c r="I75" i="44"/>
  <c r="I74" i="44"/>
  <c r="I73" i="44"/>
  <c r="I72" i="44"/>
  <c r="I71" i="44"/>
  <c r="I70" i="44"/>
  <c r="F68" i="44"/>
  <c r="I67" i="44"/>
  <c r="H66" i="44"/>
  <c r="H68" i="44"/>
  <c r="H77" i="44"/>
  <c r="G66" i="44"/>
  <c r="G68" i="44"/>
  <c r="F66" i="44"/>
  <c r="E66" i="44"/>
  <c r="E68" i="44"/>
  <c r="E77" i="44"/>
  <c r="D66" i="44"/>
  <c r="D68" i="44"/>
  <c r="D77" i="44"/>
  <c r="C66" i="44"/>
  <c r="C68" i="44"/>
  <c r="I65" i="44"/>
  <c r="I64" i="44"/>
  <c r="I63" i="44"/>
  <c r="I62" i="44"/>
  <c r="I61" i="44"/>
  <c r="I60" i="44"/>
  <c r="I59" i="44"/>
  <c r="I66" i="44"/>
  <c r="I57" i="44"/>
  <c r="I56" i="44"/>
  <c r="H52" i="44"/>
  <c r="H51" i="44"/>
  <c r="G51" i="44"/>
  <c r="F51" i="44"/>
  <c r="E51" i="44"/>
  <c r="D51" i="44"/>
  <c r="C51" i="44"/>
  <c r="I50" i="44"/>
  <c r="I49" i="44"/>
  <c r="I48" i="44"/>
  <c r="I47" i="44"/>
  <c r="I46" i="44"/>
  <c r="I45" i="44"/>
  <c r="I51" i="44"/>
  <c r="H43" i="44"/>
  <c r="I42" i="44"/>
  <c r="H41" i="44"/>
  <c r="G41" i="44"/>
  <c r="G43" i="44"/>
  <c r="G52" i="44"/>
  <c r="F41" i="44"/>
  <c r="F43" i="44"/>
  <c r="F52" i="44"/>
  <c r="E41" i="44"/>
  <c r="E43" i="44"/>
  <c r="E52" i="44"/>
  <c r="D41" i="44"/>
  <c r="D43" i="44"/>
  <c r="D52" i="44"/>
  <c r="C41" i="44"/>
  <c r="C43" i="44"/>
  <c r="C52" i="44"/>
  <c r="I40" i="44"/>
  <c r="I39" i="44"/>
  <c r="I38" i="44"/>
  <c r="I37" i="44"/>
  <c r="I36" i="44"/>
  <c r="I35" i="44"/>
  <c r="I34" i="44"/>
  <c r="I41" i="44"/>
  <c r="I43" i="44"/>
  <c r="I32" i="44"/>
  <c r="I31" i="44"/>
  <c r="F27" i="44"/>
  <c r="H26" i="44"/>
  <c r="G26" i="44"/>
  <c r="F26" i="44"/>
  <c r="E26" i="44"/>
  <c r="D26" i="44"/>
  <c r="C26" i="44"/>
  <c r="I25" i="44"/>
  <c r="I24" i="44"/>
  <c r="I23" i="44"/>
  <c r="I22" i="44"/>
  <c r="I21" i="44"/>
  <c r="I20" i="44"/>
  <c r="I26" i="44"/>
  <c r="F18" i="44"/>
  <c r="I17" i="44"/>
  <c r="H16" i="44"/>
  <c r="H18" i="44"/>
  <c r="H27" i="44"/>
  <c r="G16" i="44"/>
  <c r="G18" i="44"/>
  <c r="G27" i="44"/>
  <c r="F16" i="44"/>
  <c r="E16" i="44"/>
  <c r="E18" i="44"/>
  <c r="D16" i="44"/>
  <c r="D18" i="44"/>
  <c r="D27" i="44"/>
  <c r="C16" i="44"/>
  <c r="C18" i="44"/>
  <c r="C27" i="44"/>
  <c r="I15" i="44"/>
  <c r="I14" i="44"/>
  <c r="I13" i="44"/>
  <c r="I12" i="44"/>
  <c r="I11" i="44"/>
  <c r="I10" i="44"/>
  <c r="I9" i="44"/>
  <c r="I16" i="44"/>
  <c r="I7" i="44"/>
  <c r="I6" i="44"/>
  <c r="B3" i="44"/>
  <c r="B2" i="44"/>
  <c r="E57" i="53"/>
  <c r="F56" i="53"/>
  <c r="F54" i="53"/>
  <c r="E53" i="53"/>
  <c r="E52" i="53"/>
  <c r="D52" i="53"/>
  <c r="C52" i="53"/>
  <c r="F51" i="53"/>
  <c r="F50" i="53"/>
  <c r="F49" i="53"/>
  <c r="F48" i="53"/>
  <c r="E47" i="53"/>
  <c r="E55" i="53"/>
  <c r="D47" i="53"/>
  <c r="C47" i="53"/>
  <c r="F46" i="53"/>
  <c r="F45" i="53"/>
  <c r="A45" i="53"/>
  <c r="A46" i="53"/>
  <c r="A47" i="53"/>
  <c r="A48" i="53"/>
  <c r="A49" i="53"/>
  <c r="A50" i="53"/>
  <c r="A51" i="53"/>
  <c r="A52" i="53"/>
  <c r="A53" i="53"/>
  <c r="A54" i="53"/>
  <c r="A55" i="53"/>
  <c r="A56" i="53"/>
  <c r="A57" i="53"/>
  <c r="F44" i="53"/>
  <c r="E39" i="53"/>
  <c r="F38" i="53"/>
  <c r="D37" i="53"/>
  <c r="D39" i="53"/>
  <c r="F36" i="53"/>
  <c r="E35" i="53"/>
  <c r="E34" i="53"/>
  <c r="D34" i="53"/>
  <c r="F34" i="53"/>
  <c r="C34" i="53"/>
  <c r="F33" i="53"/>
  <c r="F32" i="53"/>
  <c r="F31" i="53"/>
  <c r="A31" i="53"/>
  <c r="A32" i="53"/>
  <c r="A33" i="53"/>
  <c r="A34" i="53"/>
  <c r="A35" i="53"/>
  <c r="A36" i="53"/>
  <c r="A37" i="53"/>
  <c r="A38" i="53"/>
  <c r="A39" i="53"/>
  <c r="F30" i="53"/>
  <c r="A30" i="53"/>
  <c r="E29" i="53"/>
  <c r="E37" i="53"/>
  <c r="D29" i="53"/>
  <c r="D35" i="53"/>
  <c r="C29" i="53"/>
  <c r="F28" i="53"/>
  <c r="A28" i="53"/>
  <c r="A29" i="53"/>
  <c r="F27" i="53"/>
  <c r="A27" i="53"/>
  <c r="F26" i="53"/>
  <c r="F20" i="53"/>
  <c r="F18" i="53"/>
  <c r="A18" i="53"/>
  <c r="A19" i="53"/>
  <c r="A20" i="53"/>
  <c r="A21" i="53"/>
  <c r="E16" i="53"/>
  <c r="D16" i="53"/>
  <c r="D17" i="53"/>
  <c r="C16" i="53"/>
  <c r="F15" i="53"/>
  <c r="F14" i="53"/>
  <c r="F13" i="53"/>
  <c r="F12" i="53"/>
  <c r="E11" i="53"/>
  <c r="D11" i="53"/>
  <c r="C11" i="53"/>
  <c r="F10" i="53"/>
  <c r="F9" i="53"/>
  <c r="A9" i="53"/>
  <c r="A10" i="53"/>
  <c r="A11" i="53"/>
  <c r="A12" i="53"/>
  <c r="A13" i="53"/>
  <c r="A14" i="53"/>
  <c r="A15" i="53"/>
  <c r="A16" i="53"/>
  <c r="A17" i="53"/>
  <c r="F8" i="53"/>
  <c r="B4" i="53"/>
  <c r="B3" i="53"/>
  <c r="I34" i="49"/>
  <c r="J33" i="49"/>
  <c r="I33" i="49"/>
  <c r="J32" i="49"/>
  <c r="I32" i="49"/>
  <c r="J31" i="49"/>
  <c r="I31" i="49"/>
  <c r="J30" i="49"/>
  <c r="I30" i="49"/>
  <c r="J29" i="49"/>
  <c r="I29" i="49"/>
  <c r="J28" i="49"/>
  <c r="I28" i="49"/>
  <c r="J27" i="49"/>
  <c r="I27" i="49"/>
  <c r="J26" i="49"/>
  <c r="I26" i="49"/>
  <c r="J25" i="49"/>
  <c r="I25" i="49"/>
  <c r="J24" i="49"/>
  <c r="I24" i="49"/>
  <c r="J23" i="49"/>
  <c r="I23" i="49"/>
  <c r="C2" i="49"/>
  <c r="C31" i="54"/>
  <c r="C21" i="54"/>
  <c r="C16" i="54"/>
  <c r="C12" i="54"/>
  <c r="C8" i="54"/>
  <c r="B3" i="54"/>
  <c r="D1" i="54"/>
  <c r="C537" i="1"/>
  <c r="J534" i="1"/>
  <c r="M533" i="1"/>
  <c r="J532" i="1"/>
  <c r="M532" i="1"/>
  <c r="M531" i="1"/>
  <c r="J531" i="1"/>
  <c r="J530" i="1"/>
  <c r="M530" i="1"/>
  <c r="M529" i="1"/>
  <c r="J529" i="1"/>
  <c r="L528" i="1"/>
  <c r="J528" i="1"/>
  <c r="M528" i="1"/>
  <c r="K528" i="1"/>
  <c r="M527" i="1"/>
  <c r="J527" i="1"/>
  <c r="J526" i="1"/>
  <c r="M526" i="1"/>
  <c r="L525" i="1"/>
  <c r="J525" i="1"/>
  <c r="K525" i="1"/>
  <c r="M524" i="1"/>
  <c r="M523" i="1"/>
  <c r="J523" i="1"/>
  <c r="J522" i="1"/>
  <c r="M522" i="1"/>
  <c r="M521" i="1"/>
  <c r="J521" i="1"/>
  <c r="J520" i="1"/>
  <c r="M520" i="1"/>
  <c r="M519" i="1"/>
  <c r="J519" i="1"/>
  <c r="J518" i="1"/>
  <c r="M518" i="1"/>
  <c r="M517" i="1"/>
  <c r="J517" i="1"/>
  <c r="L516" i="1"/>
  <c r="J516" i="1"/>
  <c r="M516" i="1"/>
  <c r="K516" i="1"/>
  <c r="M515" i="1"/>
  <c r="J515" i="1"/>
  <c r="J514" i="1"/>
  <c r="M514" i="1"/>
  <c r="M513" i="1"/>
  <c r="J513" i="1"/>
  <c r="L512" i="1"/>
  <c r="K512" i="1"/>
  <c r="J512" i="1"/>
  <c r="M512" i="1"/>
  <c r="M511" i="1"/>
  <c r="J511" i="1"/>
  <c r="F511" i="1"/>
  <c r="M510" i="1"/>
  <c r="J510" i="1"/>
  <c r="F510" i="1"/>
  <c r="M509" i="1"/>
  <c r="J509" i="1"/>
  <c r="F509" i="1"/>
  <c r="L508" i="1"/>
  <c r="K508" i="1"/>
  <c r="J508" i="1"/>
  <c r="M508" i="1"/>
  <c r="J507" i="1"/>
  <c r="M507" i="1"/>
  <c r="F507" i="1"/>
  <c r="J506" i="1"/>
  <c r="M506" i="1"/>
  <c r="F506" i="1"/>
  <c r="J505" i="1"/>
  <c r="M505" i="1"/>
  <c r="F505" i="1"/>
  <c r="L504" i="1"/>
  <c r="L503" i="1"/>
  <c r="L502" i="1"/>
  <c r="K504" i="1"/>
  <c r="J504" i="1"/>
  <c r="M504" i="1"/>
  <c r="K503" i="1"/>
  <c r="J503" i="1"/>
  <c r="M503" i="1"/>
  <c r="M501" i="1"/>
  <c r="J500" i="1"/>
  <c r="M500" i="1"/>
  <c r="M499" i="1"/>
  <c r="J499" i="1"/>
  <c r="J498" i="1"/>
  <c r="M498" i="1"/>
  <c r="M497" i="1"/>
  <c r="J497" i="1"/>
  <c r="J496" i="1"/>
  <c r="M496" i="1"/>
  <c r="M495" i="1"/>
  <c r="J495" i="1"/>
  <c r="L494" i="1"/>
  <c r="K494" i="1"/>
  <c r="J494" i="1"/>
  <c r="O59" i="11"/>
  <c r="M493" i="1"/>
  <c r="J492" i="1"/>
  <c r="M491" i="1"/>
  <c r="J490" i="1"/>
  <c r="M490" i="1"/>
  <c r="M489" i="1"/>
  <c r="J489" i="1"/>
  <c r="L488" i="1"/>
  <c r="L484" i="1"/>
  <c r="K488" i="1"/>
  <c r="M487" i="1"/>
  <c r="J487" i="1"/>
  <c r="J486" i="1"/>
  <c r="M486" i="1"/>
  <c r="M485" i="1"/>
  <c r="L485" i="1"/>
  <c r="K485" i="1"/>
  <c r="J485" i="1"/>
  <c r="K484" i="1"/>
  <c r="J484" i="1"/>
  <c r="O58" i="11"/>
  <c r="M483" i="1"/>
  <c r="J482" i="1"/>
  <c r="M482" i="1"/>
  <c r="M481" i="1"/>
  <c r="J481" i="1"/>
  <c r="L480" i="1"/>
  <c r="J480" i="1"/>
  <c r="M480" i="1"/>
  <c r="K480" i="1"/>
  <c r="M479" i="1"/>
  <c r="J479" i="1"/>
  <c r="J478" i="1"/>
  <c r="M478" i="1"/>
  <c r="L477" i="1"/>
  <c r="K477" i="1"/>
  <c r="L476" i="1"/>
  <c r="L468" i="1"/>
  <c r="M475" i="1"/>
  <c r="J475" i="1"/>
  <c r="M474" i="1"/>
  <c r="J474" i="1"/>
  <c r="M473" i="1"/>
  <c r="L473" i="1"/>
  <c r="K473" i="1"/>
  <c r="J473" i="1"/>
  <c r="M472" i="1"/>
  <c r="J472" i="1"/>
  <c r="M471" i="1"/>
  <c r="J471" i="1"/>
  <c r="L470" i="1"/>
  <c r="K470" i="1"/>
  <c r="J470" i="1"/>
  <c r="M470" i="1"/>
  <c r="L469" i="1"/>
  <c r="K469" i="1"/>
  <c r="M467" i="1"/>
  <c r="J467" i="1"/>
  <c r="J466" i="1"/>
  <c r="M466" i="1"/>
  <c r="L465" i="1"/>
  <c r="K465" i="1"/>
  <c r="J464" i="1"/>
  <c r="M464" i="1"/>
  <c r="J463" i="1"/>
  <c r="M463" i="1"/>
  <c r="L462" i="1"/>
  <c r="K462" i="1"/>
  <c r="K461" i="1"/>
  <c r="J460" i="1"/>
  <c r="M460" i="1"/>
  <c r="J459" i="1"/>
  <c r="M459" i="1"/>
  <c r="L458" i="1"/>
  <c r="K458" i="1"/>
  <c r="J457" i="1"/>
  <c r="M457" i="1"/>
  <c r="J456" i="1"/>
  <c r="M456" i="1"/>
  <c r="M455" i="1"/>
  <c r="L455" i="1"/>
  <c r="K455" i="1"/>
  <c r="J455" i="1"/>
  <c r="K454" i="1"/>
  <c r="M451" i="1"/>
  <c r="J450" i="1"/>
  <c r="M450" i="1"/>
  <c r="M449" i="1"/>
  <c r="J449" i="1"/>
  <c r="M448" i="1"/>
  <c r="J448" i="1"/>
  <c r="L447" i="1"/>
  <c r="K447" i="1"/>
  <c r="J447" i="1"/>
  <c r="M447" i="1"/>
  <c r="M446" i="1"/>
  <c r="J446" i="1"/>
  <c r="M445" i="1"/>
  <c r="J445" i="1"/>
  <c r="J444" i="1"/>
  <c r="M444" i="1"/>
  <c r="M443" i="1"/>
  <c r="J443" i="1"/>
  <c r="J442" i="1"/>
  <c r="M442" i="1"/>
  <c r="M441" i="1"/>
  <c r="J441" i="1"/>
  <c r="J440" i="1"/>
  <c r="M440" i="1"/>
  <c r="M439" i="1"/>
  <c r="J439" i="1"/>
  <c r="J438" i="1"/>
  <c r="M438" i="1"/>
  <c r="L437" i="1"/>
  <c r="K437" i="1"/>
  <c r="J437" i="1"/>
  <c r="M437" i="1"/>
  <c r="J436" i="1"/>
  <c r="M436" i="1"/>
  <c r="M435" i="1"/>
  <c r="J435" i="1"/>
  <c r="J434" i="1"/>
  <c r="M434" i="1"/>
  <c r="M433" i="1"/>
  <c r="J433" i="1"/>
  <c r="J432" i="1"/>
  <c r="M432" i="1"/>
  <c r="M431" i="1"/>
  <c r="J431" i="1"/>
  <c r="J430" i="1"/>
  <c r="M430" i="1"/>
  <c r="M429" i="1"/>
  <c r="J429" i="1"/>
  <c r="J428" i="1"/>
  <c r="M428" i="1"/>
  <c r="M427" i="1"/>
  <c r="L427" i="1"/>
  <c r="K427" i="1"/>
  <c r="J427" i="1"/>
  <c r="J426" i="1"/>
  <c r="M426" i="1"/>
  <c r="M425" i="1"/>
  <c r="J425" i="1"/>
  <c r="J424" i="1"/>
  <c r="M424" i="1"/>
  <c r="M423" i="1"/>
  <c r="J423" i="1"/>
  <c r="J422" i="1"/>
  <c r="M422" i="1"/>
  <c r="M421" i="1"/>
  <c r="J421" i="1"/>
  <c r="J420" i="1"/>
  <c r="M420" i="1"/>
  <c r="M419" i="1"/>
  <c r="J419" i="1"/>
  <c r="J418" i="1"/>
  <c r="M418" i="1"/>
  <c r="L417" i="1"/>
  <c r="K417" i="1"/>
  <c r="L416" i="1"/>
  <c r="L415" i="1"/>
  <c r="M414" i="1"/>
  <c r="M413" i="1"/>
  <c r="J413" i="1"/>
  <c r="J412" i="1"/>
  <c r="M412" i="1"/>
  <c r="M411" i="1"/>
  <c r="J411" i="1"/>
  <c r="J410" i="1"/>
  <c r="M410" i="1"/>
  <c r="L409" i="1"/>
  <c r="K409" i="1"/>
  <c r="J409" i="1"/>
  <c r="M409" i="1"/>
  <c r="J408" i="1"/>
  <c r="M408" i="1"/>
  <c r="M407" i="1"/>
  <c r="J407" i="1"/>
  <c r="J406" i="1"/>
  <c r="M406" i="1"/>
  <c r="M405" i="1"/>
  <c r="J405" i="1"/>
  <c r="L404" i="1"/>
  <c r="K404" i="1"/>
  <c r="J404" i="1"/>
  <c r="M404" i="1"/>
  <c r="M403" i="1"/>
  <c r="J403" i="1"/>
  <c r="J402" i="1"/>
  <c r="M402" i="1"/>
  <c r="M401" i="1"/>
  <c r="J401" i="1"/>
  <c r="J400" i="1"/>
  <c r="M400" i="1"/>
  <c r="M399" i="1"/>
  <c r="J399" i="1"/>
  <c r="L398" i="1"/>
  <c r="J398" i="1"/>
  <c r="M398" i="1"/>
  <c r="K398" i="1"/>
  <c r="M397" i="1"/>
  <c r="J397" i="1"/>
  <c r="J396" i="1"/>
  <c r="M396" i="1"/>
  <c r="M395" i="1"/>
  <c r="J395" i="1"/>
  <c r="L394" i="1"/>
  <c r="K394" i="1"/>
  <c r="J394" i="1"/>
  <c r="M394" i="1"/>
  <c r="M393" i="1"/>
  <c r="J393" i="1"/>
  <c r="J392" i="1"/>
  <c r="M392" i="1"/>
  <c r="K391" i="1"/>
  <c r="K390" i="1"/>
  <c r="M389" i="1"/>
  <c r="J388" i="1"/>
  <c r="M388" i="1"/>
  <c r="M387" i="1"/>
  <c r="J387" i="1"/>
  <c r="J386" i="1"/>
  <c r="M386" i="1"/>
  <c r="M385" i="1"/>
  <c r="J385" i="1"/>
  <c r="L384" i="1"/>
  <c r="K384" i="1"/>
  <c r="M383" i="1"/>
  <c r="J383" i="1"/>
  <c r="J382" i="1"/>
  <c r="M382" i="1"/>
  <c r="M381" i="1"/>
  <c r="J381" i="1"/>
  <c r="J380" i="1"/>
  <c r="M380" i="1"/>
  <c r="M379" i="1"/>
  <c r="J379" i="1"/>
  <c r="J378" i="1"/>
  <c r="M378" i="1"/>
  <c r="L377" i="1"/>
  <c r="K377" i="1"/>
  <c r="J377" i="1"/>
  <c r="M377" i="1"/>
  <c r="J376" i="1"/>
  <c r="M376" i="1"/>
  <c r="M375" i="1"/>
  <c r="J375" i="1"/>
  <c r="J374" i="1"/>
  <c r="M374" i="1"/>
  <c r="M373" i="1"/>
  <c r="J373" i="1"/>
  <c r="J372" i="1"/>
  <c r="M372" i="1"/>
  <c r="M371" i="1"/>
  <c r="J371" i="1"/>
  <c r="L370" i="1"/>
  <c r="K370" i="1"/>
  <c r="J370" i="1"/>
  <c r="M370" i="1"/>
  <c r="M369" i="1"/>
  <c r="J369" i="1"/>
  <c r="J368" i="1"/>
  <c r="M368" i="1"/>
  <c r="M367" i="1"/>
  <c r="J367" i="1"/>
  <c r="J366" i="1"/>
  <c r="M366" i="1"/>
  <c r="M365" i="1"/>
  <c r="J365" i="1"/>
  <c r="J364" i="1"/>
  <c r="M364" i="1"/>
  <c r="L363" i="1"/>
  <c r="K363" i="1"/>
  <c r="M361" i="1"/>
  <c r="J361" i="1"/>
  <c r="J360" i="1"/>
  <c r="M360" i="1"/>
  <c r="M359" i="1"/>
  <c r="J359" i="1"/>
  <c r="J358" i="1"/>
  <c r="M358" i="1"/>
  <c r="M357" i="1"/>
  <c r="L357" i="1"/>
  <c r="K357" i="1"/>
  <c r="J357" i="1"/>
  <c r="J356" i="1"/>
  <c r="M356" i="1"/>
  <c r="M355" i="1"/>
  <c r="J355" i="1"/>
  <c r="J354" i="1"/>
  <c r="M354" i="1"/>
  <c r="M353" i="1"/>
  <c r="J353" i="1"/>
  <c r="J352" i="1"/>
  <c r="M352" i="1"/>
  <c r="M351" i="1"/>
  <c r="J351" i="1"/>
  <c r="L350" i="1"/>
  <c r="J350" i="1"/>
  <c r="M350" i="1"/>
  <c r="K350" i="1"/>
  <c r="M349" i="1"/>
  <c r="J349" i="1"/>
  <c r="J348" i="1"/>
  <c r="M348" i="1"/>
  <c r="M347" i="1"/>
  <c r="J347" i="1"/>
  <c r="J346" i="1"/>
  <c r="M346" i="1"/>
  <c r="M345" i="1"/>
  <c r="J345" i="1"/>
  <c r="J344" i="1"/>
  <c r="M344" i="1"/>
  <c r="L343" i="1"/>
  <c r="K343" i="1"/>
  <c r="J343" i="1"/>
  <c r="M343" i="1"/>
  <c r="J342" i="1"/>
  <c r="M342" i="1"/>
  <c r="M341" i="1"/>
  <c r="J341" i="1"/>
  <c r="J340" i="1"/>
  <c r="M340" i="1"/>
  <c r="M339" i="1"/>
  <c r="J339" i="1"/>
  <c r="J338" i="1"/>
  <c r="M338" i="1"/>
  <c r="M337" i="1"/>
  <c r="J337" i="1"/>
  <c r="L336" i="1"/>
  <c r="K336" i="1"/>
  <c r="J336" i="1"/>
  <c r="M336" i="1"/>
  <c r="M333" i="1"/>
  <c r="J333" i="1"/>
  <c r="J332" i="1"/>
  <c r="M332" i="1"/>
  <c r="M331" i="1"/>
  <c r="J331" i="1"/>
  <c r="J330" i="1"/>
  <c r="M330" i="1"/>
  <c r="L329" i="1"/>
  <c r="K329" i="1"/>
  <c r="J329" i="1"/>
  <c r="M329" i="1"/>
  <c r="J328" i="1"/>
  <c r="M328" i="1"/>
  <c r="M327" i="1"/>
  <c r="J327" i="1"/>
  <c r="J326" i="1"/>
  <c r="M326" i="1"/>
  <c r="M325" i="1"/>
  <c r="J325" i="1"/>
  <c r="J324" i="1"/>
  <c r="M324" i="1"/>
  <c r="M323" i="1"/>
  <c r="J323" i="1"/>
  <c r="L322" i="1"/>
  <c r="K322" i="1"/>
  <c r="J322" i="1"/>
  <c r="M322" i="1"/>
  <c r="M321" i="1"/>
  <c r="J321" i="1"/>
  <c r="J320" i="1"/>
  <c r="M320" i="1"/>
  <c r="M319" i="1"/>
  <c r="J319" i="1"/>
  <c r="J318" i="1"/>
  <c r="M318" i="1"/>
  <c r="M317" i="1"/>
  <c r="J317" i="1"/>
  <c r="J316" i="1"/>
  <c r="M316" i="1"/>
  <c r="L315" i="1"/>
  <c r="K315" i="1"/>
  <c r="J314" i="1"/>
  <c r="M314" i="1"/>
  <c r="M313" i="1"/>
  <c r="J313" i="1"/>
  <c r="J312" i="1"/>
  <c r="M312" i="1"/>
  <c r="M311" i="1"/>
  <c r="J311" i="1"/>
  <c r="J310" i="1"/>
  <c r="M310" i="1"/>
  <c r="M309" i="1"/>
  <c r="J309" i="1"/>
  <c r="L308" i="1"/>
  <c r="L307" i="1"/>
  <c r="K308" i="1"/>
  <c r="J308" i="1"/>
  <c r="M308" i="1"/>
  <c r="J306" i="1"/>
  <c r="M306" i="1"/>
  <c r="M305" i="1"/>
  <c r="J305" i="1"/>
  <c r="J304" i="1"/>
  <c r="M304" i="1"/>
  <c r="M303" i="1"/>
  <c r="J303" i="1"/>
  <c r="L302" i="1"/>
  <c r="K302" i="1"/>
  <c r="M301" i="1"/>
  <c r="J301" i="1"/>
  <c r="J300" i="1"/>
  <c r="M300" i="1"/>
  <c r="M299" i="1"/>
  <c r="J299" i="1"/>
  <c r="J298" i="1"/>
  <c r="M298" i="1"/>
  <c r="M297" i="1"/>
  <c r="J297" i="1"/>
  <c r="J296" i="1"/>
  <c r="M296" i="1"/>
  <c r="L295" i="1"/>
  <c r="K295" i="1"/>
  <c r="J295" i="1"/>
  <c r="M295" i="1"/>
  <c r="J294" i="1"/>
  <c r="M294" i="1"/>
  <c r="M293" i="1"/>
  <c r="J293" i="1"/>
  <c r="J292" i="1"/>
  <c r="M292" i="1"/>
  <c r="M291" i="1"/>
  <c r="J291" i="1"/>
  <c r="J290" i="1"/>
  <c r="M290" i="1"/>
  <c r="M289" i="1"/>
  <c r="J289" i="1"/>
  <c r="L288" i="1"/>
  <c r="K288" i="1"/>
  <c r="J288" i="1"/>
  <c r="M288" i="1"/>
  <c r="M287" i="1"/>
  <c r="J287" i="1"/>
  <c r="J286" i="1"/>
  <c r="M286" i="1"/>
  <c r="M285" i="1"/>
  <c r="J285" i="1"/>
  <c r="J284" i="1"/>
  <c r="M284" i="1"/>
  <c r="M283" i="1"/>
  <c r="J283" i="1"/>
  <c r="J282" i="1"/>
  <c r="M282" i="1"/>
  <c r="L281" i="1"/>
  <c r="K281" i="1"/>
  <c r="M277" i="1"/>
  <c r="J276" i="1"/>
  <c r="M276" i="1"/>
  <c r="M275" i="1"/>
  <c r="J275" i="1"/>
  <c r="J274" i="1"/>
  <c r="M274" i="1"/>
  <c r="M273" i="1"/>
  <c r="J273" i="1"/>
  <c r="J272" i="1"/>
  <c r="M272" i="1"/>
  <c r="M271" i="1"/>
  <c r="J271" i="1"/>
  <c r="J270" i="1"/>
  <c r="M270" i="1"/>
  <c r="M269" i="1"/>
  <c r="J269" i="1"/>
  <c r="J268" i="1"/>
  <c r="M268" i="1"/>
  <c r="M267" i="1"/>
  <c r="J267" i="1"/>
  <c r="L266" i="1"/>
  <c r="K266" i="1"/>
  <c r="J266" i="1"/>
  <c r="M266" i="1"/>
  <c r="M265" i="1"/>
  <c r="J265" i="1"/>
  <c r="J264" i="1"/>
  <c r="M264" i="1"/>
  <c r="M263" i="1"/>
  <c r="J263" i="1"/>
  <c r="J262" i="1"/>
  <c r="M262" i="1"/>
  <c r="M261" i="1"/>
  <c r="J261" i="1"/>
  <c r="J260" i="1"/>
  <c r="M260" i="1"/>
  <c r="M259" i="1"/>
  <c r="J259" i="1"/>
  <c r="J258" i="1"/>
  <c r="M258" i="1"/>
  <c r="M257" i="1"/>
  <c r="J257" i="1"/>
  <c r="J256" i="1"/>
  <c r="M256" i="1"/>
  <c r="L255" i="1"/>
  <c r="K255" i="1"/>
  <c r="L254" i="1"/>
  <c r="M253" i="1"/>
  <c r="J253" i="1"/>
  <c r="J252" i="1"/>
  <c r="M252" i="1"/>
  <c r="M251" i="1"/>
  <c r="J251" i="1"/>
  <c r="J250" i="1"/>
  <c r="M250" i="1"/>
  <c r="M249" i="1"/>
  <c r="J249" i="1"/>
  <c r="J248" i="1"/>
  <c r="M248" i="1"/>
  <c r="M247" i="1"/>
  <c r="J247" i="1"/>
  <c r="J246" i="1"/>
  <c r="M246" i="1"/>
  <c r="M245" i="1"/>
  <c r="J245" i="1"/>
  <c r="J244" i="1"/>
  <c r="M244" i="1"/>
  <c r="M243" i="1"/>
  <c r="L243" i="1"/>
  <c r="K243" i="1"/>
  <c r="J243" i="1"/>
  <c r="J242" i="1"/>
  <c r="M242" i="1"/>
  <c r="M241" i="1"/>
  <c r="J241" i="1"/>
  <c r="J240" i="1"/>
  <c r="M240" i="1"/>
  <c r="M239" i="1"/>
  <c r="J239" i="1"/>
  <c r="J238" i="1"/>
  <c r="M238" i="1"/>
  <c r="M237" i="1"/>
  <c r="J237" i="1"/>
  <c r="J236" i="1"/>
  <c r="M236" i="1"/>
  <c r="M235" i="1"/>
  <c r="J235" i="1"/>
  <c r="L234" i="1"/>
  <c r="K234" i="1"/>
  <c r="K233" i="1"/>
  <c r="M231" i="1"/>
  <c r="J230" i="1"/>
  <c r="M230" i="1"/>
  <c r="M229" i="1"/>
  <c r="J229" i="1"/>
  <c r="J228" i="1"/>
  <c r="M228" i="1"/>
  <c r="M227" i="1"/>
  <c r="J227" i="1"/>
  <c r="L226" i="1"/>
  <c r="K226" i="1"/>
  <c r="J226" i="1"/>
  <c r="M226" i="1"/>
  <c r="M225" i="1"/>
  <c r="J225" i="1"/>
  <c r="L224" i="1"/>
  <c r="J224" i="1"/>
  <c r="M224" i="1"/>
  <c r="K224" i="1"/>
  <c r="M223" i="1"/>
  <c r="J223" i="1"/>
  <c r="J222" i="1"/>
  <c r="M222" i="1"/>
  <c r="M221" i="1"/>
  <c r="J221" i="1"/>
  <c r="J220" i="1"/>
  <c r="M220" i="1"/>
  <c r="M219" i="1"/>
  <c r="J219" i="1"/>
  <c r="L218" i="1"/>
  <c r="K218" i="1"/>
  <c r="J218" i="1"/>
  <c r="M218" i="1"/>
  <c r="M217" i="1"/>
  <c r="J217" i="1"/>
  <c r="L216" i="1"/>
  <c r="K216" i="1"/>
  <c r="K215" i="1"/>
  <c r="M214" i="1"/>
  <c r="M213" i="1"/>
  <c r="J213" i="1"/>
  <c r="J212" i="1"/>
  <c r="M212" i="1"/>
  <c r="L211" i="1"/>
  <c r="K211" i="1"/>
  <c r="J210" i="1"/>
  <c r="M210" i="1"/>
  <c r="M209" i="1"/>
  <c r="J209" i="1"/>
  <c r="L208" i="1"/>
  <c r="K208" i="1"/>
  <c r="J208" i="1"/>
  <c r="M208" i="1"/>
  <c r="L207" i="1"/>
  <c r="M206" i="1"/>
  <c r="M205" i="1"/>
  <c r="J205" i="1"/>
  <c r="J204" i="1"/>
  <c r="M204" i="1"/>
  <c r="M203" i="1"/>
  <c r="J203" i="1"/>
  <c r="J202" i="1"/>
  <c r="M202" i="1"/>
  <c r="L201" i="1"/>
  <c r="K201" i="1"/>
  <c r="J200" i="1"/>
  <c r="M200" i="1"/>
  <c r="M199" i="1"/>
  <c r="J199" i="1"/>
  <c r="J198" i="1"/>
  <c r="M198" i="1"/>
  <c r="M197" i="1"/>
  <c r="J197" i="1"/>
  <c r="L196" i="1"/>
  <c r="J196" i="1"/>
  <c r="M196" i="1"/>
  <c r="K196" i="1"/>
  <c r="L195" i="1"/>
  <c r="M194" i="1"/>
  <c r="M193" i="1"/>
  <c r="J193" i="1"/>
  <c r="J192" i="1"/>
  <c r="M192" i="1"/>
  <c r="M191" i="1"/>
  <c r="J191" i="1"/>
  <c r="J190" i="1"/>
  <c r="M190" i="1"/>
  <c r="L189" i="1"/>
  <c r="K189" i="1"/>
  <c r="J188" i="1"/>
  <c r="M188" i="1"/>
  <c r="L187" i="1"/>
  <c r="M186" i="1"/>
  <c r="M185" i="1"/>
  <c r="J185" i="1"/>
  <c r="J184" i="1"/>
  <c r="M184" i="1"/>
  <c r="M183" i="1"/>
  <c r="J183" i="1"/>
  <c r="J182" i="1"/>
  <c r="M182" i="1"/>
  <c r="L181" i="1"/>
  <c r="K181" i="1"/>
  <c r="J180" i="1"/>
  <c r="M180" i="1"/>
  <c r="M179" i="1"/>
  <c r="J179" i="1"/>
  <c r="J178" i="1"/>
  <c r="M178" i="1"/>
  <c r="M177" i="1"/>
  <c r="J177" i="1"/>
  <c r="J176" i="1"/>
  <c r="M176" i="1"/>
  <c r="M175" i="1"/>
  <c r="J175" i="1"/>
  <c r="L174" i="1"/>
  <c r="K174" i="1"/>
  <c r="J174" i="1"/>
  <c r="M174" i="1"/>
  <c r="L173" i="1"/>
  <c r="M172" i="1"/>
  <c r="M171" i="1"/>
  <c r="J171" i="1"/>
  <c r="J170" i="1"/>
  <c r="M170" i="1"/>
  <c r="M169" i="1"/>
  <c r="L169" i="1"/>
  <c r="K169" i="1"/>
  <c r="J169" i="1"/>
  <c r="J168" i="1"/>
  <c r="M168" i="1"/>
  <c r="M167" i="1"/>
  <c r="J167" i="1"/>
  <c r="J166" i="1"/>
  <c r="M166" i="1"/>
  <c r="L165" i="1"/>
  <c r="K165" i="1"/>
  <c r="L164" i="1"/>
  <c r="M163" i="1"/>
  <c r="J163" i="1"/>
  <c r="J162" i="1"/>
  <c r="M162" i="1"/>
  <c r="M161" i="1"/>
  <c r="J161" i="1"/>
  <c r="J160" i="1"/>
  <c r="M160" i="1"/>
  <c r="M159" i="1"/>
  <c r="J159" i="1"/>
  <c r="J158" i="1"/>
  <c r="M158" i="1"/>
  <c r="M157" i="1"/>
  <c r="J157" i="1"/>
  <c r="L156" i="1"/>
  <c r="L155" i="1"/>
  <c r="K156" i="1"/>
  <c r="J156" i="1"/>
  <c r="M156" i="1"/>
  <c r="K155" i="1"/>
  <c r="L154" i="1"/>
  <c r="L153" i="1"/>
  <c r="M152" i="1"/>
  <c r="M151" i="1"/>
  <c r="J151" i="1"/>
  <c r="J150" i="1"/>
  <c r="M150" i="1"/>
  <c r="M149" i="1"/>
  <c r="J149" i="1"/>
  <c r="J148" i="1"/>
  <c r="M148" i="1"/>
  <c r="L147" i="1"/>
  <c r="K147" i="1"/>
  <c r="M146" i="1"/>
  <c r="J146" i="1"/>
  <c r="M145" i="1"/>
  <c r="J145" i="1"/>
  <c r="J144" i="1"/>
  <c r="M144" i="1"/>
  <c r="L143" i="1"/>
  <c r="K143" i="1"/>
  <c r="J143" i="1"/>
  <c r="M143" i="1"/>
  <c r="J142" i="1"/>
  <c r="M142" i="1"/>
  <c r="M141" i="1"/>
  <c r="J141" i="1"/>
  <c r="J140" i="1"/>
  <c r="M140" i="1"/>
  <c r="J139" i="1"/>
  <c r="M139" i="1"/>
  <c r="L138" i="1"/>
  <c r="J138" i="1"/>
  <c r="M138" i="1"/>
  <c r="K138" i="1"/>
  <c r="J137" i="1"/>
  <c r="M137" i="1"/>
  <c r="J136" i="1"/>
  <c r="M136" i="1"/>
  <c r="M135" i="1"/>
  <c r="J135" i="1"/>
  <c r="L134" i="1"/>
  <c r="L133" i="1"/>
  <c r="K134" i="1"/>
  <c r="J132" i="1"/>
  <c r="M132" i="1"/>
  <c r="M131" i="1"/>
  <c r="J131" i="1"/>
  <c r="J130" i="1"/>
  <c r="M130" i="1"/>
  <c r="J129" i="1"/>
  <c r="M129" i="1"/>
  <c r="L128" i="1"/>
  <c r="J128" i="1"/>
  <c r="M128" i="1"/>
  <c r="K128" i="1"/>
  <c r="J127" i="1"/>
  <c r="M127" i="1"/>
  <c r="J126" i="1"/>
  <c r="M126" i="1"/>
  <c r="M125" i="1"/>
  <c r="J125" i="1"/>
  <c r="J124" i="1"/>
  <c r="M124" i="1"/>
  <c r="L123" i="1"/>
  <c r="K123" i="1"/>
  <c r="J122" i="1"/>
  <c r="M122" i="1"/>
  <c r="J121" i="1"/>
  <c r="M121" i="1"/>
  <c r="J120" i="1"/>
  <c r="M120" i="1"/>
  <c r="M119" i="1"/>
  <c r="J119" i="1"/>
  <c r="L118" i="1"/>
  <c r="K118" i="1"/>
  <c r="J118" i="1"/>
  <c r="M118" i="1"/>
  <c r="M117" i="1"/>
  <c r="J117" i="1"/>
  <c r="J116" i="1"/>
  <c r="M116" i="1"/>
  <c r="J115" i="1"/>
  <c r="M115" i="1"/>
  <c r="J114" i="1"/>
  <c r="M114" i="1"/>
  <c r="L113" i="1"/>
  <c r="K113" i="1"/>
  <c r="J113" i="1"/>
  <c r="M113" i="1"/>
  <c r="M111" i="1"/>
  <c r="J111" i="1"/>
  <c r="J110" i="1"/>
  <c r="M110" i="1"/>
  <c r="M109" i="1"/>
  <c r="J109" i="1"/>
  <c r="M108" i="1"/>
  <c r="J108" i="1"/>
  <c r="L107" i="1"/>
  <c r="K107" i="1"/>
  <c r="M106" i="1"/>
  <c r="J106" i="1"/>
  <c r="M105" i="1"/>
  <c r="J105" i="1"/>
  <c r="J104" i="1"/>
  <c r="M104" i="1"/>
  <c r="M103" i="1"/>
  <c r="J103" i="1"/>
  <c r="M102" i="1"/>
  <c r="L102" i="1"/>
  <c r="J102" i="1"/>
  <c r="K102" i="1"/>
  <c r="M101" i="1"/>
  <c r="J101" i="1"/>
  <c r="M100" i="1"/>
  <c r="J100" i="1"/>
  <c r="M99" i="1"/>
  <c r="J99" i="1"/>
  <c r="J98" i="1"/>
  <c r="M98" i="1"/>
  <c r="L97" i="1"/>
  <c r="K97" i="1"/>
  <c r="J97" i="1"/>
  <c r="M97" i="1"/>
  <c r="L96" i="1"/>
  <c r="M93" i="1"/>
  <c r="J92" i="1"/>
  <c r="M92" i="1"/>
  <c r="M91" i="1"/>
  <c r="J91" i="1"/>
  <c r="J90" i="1"/>
  <c r="M90" i="1"/>
  <c r="J89" i="1"/>
  <c r="M89" i="1"/>
  <c r="L88" i="1"/>
  <c r="J88" i="1"/>
  <c r="M88" i="1"/>
  <c r="K88" i="1"/>
  <c r="J87" i="1"/>
  <c r="M87" i="1"/>
  <c r="J86" i="1"/>
  <c r="M86" i="1"/>
  <c r="M85" i="1"/>
  <c r="J85" i="1"/>
  <c r="L84" i="1"/>
  <c r="L74" i="1"/>
  <c r="K84" i="1"/>
  <c r="M83" i="1"/>
  <c r="J83" i="1"/>
  <c r="J82" i="1"/>
  <c r="M82" i="1"/>
  <c r="J81" i="1"/>
  <c r="M81" i="1"/>
  <c r="J80" i="1"/>
  <c r="M80" i="1"/>
  <c r="L79" i="1"/>
  <c r="K79" i="1"/>
  <c r="J79" i="1"/>
  <c r="M79" i="1"/>
  <c r="J78" i="1"/>
  <c r="M78" i="1"/>
  <c r="M77" i="1"/>
  <c r="J77" i="1"/>
  <c r="M76" i="1"/>
  <c r="J76" i="1"/>
  <c r="L75" i="1"/>
  <c r="K75" i="1"/>
  <c r="M73" i="1"/>
  <c r="J73" i="1"/>
  <c r="J72" i="1"/>
  <c r="M72" i="1"/>
  <c r="J71" i="1"/>
  <c r="M71" i="1"/>
  <c r="L70" i="1"/>
  <c r="K70" i="1"/>
  <c r="J70" i="1"/>
  <c r="M70" i="1"/>
  <c r="J69" i="1"/>
  <c r="M69" i="1"/>
  <c r="J68" i="1"/>
  <c r="M68" i="1"/>
  <c r="M67" i="1"/>
  <c r="J67" i="1"/>
  <c r="L66" i="1"/>
  <c r="K66" i="1"/>
  <c r="J66" i="1"/>
  <c r="M66" i="1"/>
  <c r="M65" i="1"/>
  <c r="J65" i="1"/>
  <c r="J64" i="1"/>
  <c r="M64" i="1"/>
  <c r="J63" i="1"/>
  <c r="M63" i="1"/>
  <c r="L62" i="1"/>
  <c r="K62" i="1"/>
  <c r="J62" i="1"/>
  <c r="M62" i="1"/>
  <c r="J61" i="1"/>
  <c r="M61" i="1"/>
  <c r="J60" i="1"/>
  <c r="M60" i="1"/>
  <c r="M59" i="1"/>
  <c r="J59" i="1"/>
  <c r="L58" i="1"/>
  <c r="L57" i="1"/>
  <c r="K58" i="1"/>
  <c r="J58" i="1"/>
  <c r="M58" i="1"/>
  <c r="M57" i="1"/>
  <c r="K57" i="1"/>
  <c r="J57" i="1"/>
  <c r="J56" i="1"/>
  <c r="M56" i="1"/>
  <c r="M55" i="1"/>
  <c r="J55" i="1"/>
  <c r="J54" i="1"/>
  <c r="M54" i="1"/>
  <c r="M53" i="1"/>
  <c r="L53" i="1"/>
  <c r="K53" i="1"/>
  <c r="J53" i="1"/>
  <c r="J52" i="1"/>
  <c r="M52" i="1"/>
  <c r="M51" i="1"/>
  <c r="J51" i="1"/>
  <c r="J50" i="1"/>
  <c r="M50" i="1"/>
  <c r="L49" i="1"/>
  <c r="K49" i="1"/>
  <c r="J49" i="1"/>
  <c r="M49" i="1"/>
  <c r="J48" i="1"/>
  <c r="M48" i="1"/>
  <c r="M47" i="1"/>
  <c r="J47" i="1"/>
  <c r="J46" i="1"/>
  <c r="M46" i="1"/>
  <c r="L45" i="1"/>
  <c r="K45" i="1"/>
  <c r="L44" i="1"/>
  <c r="L43" i="1"/>
  <c r="M41" i="1"/>
  <c r="J40" i="1"/>
  <c r="M40" i="1"/>
  <c r="M39" i="1"/>
  <c r="J39" i="1"/>
  <c r="L38" i="1"/>
  <c r="L34" i="1"/>
  <c r="L23" i="1"/>
  <c r="K38" i="1"/>
  <c r="M37" i="1"/>
  <c r="J37" i="1"/>
  <c r="J36" i="1"/>
  <c r="M36" i="1"/>
  <c r="L35" i="1"/>
  <c r="K35" i="1"/>
  <c r="M33" i="1"/>
  <c r="J33" i="1"/>
  <c r="J32" i="1"/>
  <c r="M32" i="1"/>
  <c r="M31" i="1"/>
  <c r="L31" i="1"/>
  <c r="K31" i="1"/>
  <c r="J31" i="1"/>
  <c r="J30" i="1"/>
  <c r="M30" i="1"/>
  <c r="M29" i="1"/>
  <c r="J29" i="1"/>
  <c r="J28" i="1"/>
  <c r="M28" i="1"/>
  <c r="M27" i="1"/>
  <c r="J27" i="1"/>
  <c r="J26" i="1"/>
  <c r="M26" i="1"/>
  <c r="L25" i="1"/>
  <c r="K25" i="1"/>
  <c r="L24" i="1"/>
  <c r="M21" i="1"/>
  <c r="M20" i="1"/>
  <c r="J20" i="1"/>
  <c r="J19" i="1"/>
  <c r="M19" i="1"/>
  <c r="M18" i="1"/>
  <c r="L18" i="1"/>
  <c r="L9" i="1"/>
  <c r="K18" i="1"/>
  <c r="J18" i="1"/>
  <c r="J17" i="1"/>
  <c r="M17" i="1"/>
  <c r="M16" i="1"/>
  <c r="J16" i="1"/>
  <c r="J15" i="1"/>
  <c r="M15" i="1"/>
  <c r="M14" i="1"/>
  <c r="J14" i="1"/>
  <c r="J13" i="1"/>
  <c r="M13" i="1"/>
  <c r="M12" i="1"/>
  <c r="J12"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J11" i="1"/>
  <c r="M11" i="1"/>
  <c r="L10" i="1"/>
  <c r="K10" i="1"/>
  <c r="A10" i="1"/>
  <c r="A11" i="1"/>
  <c r="A9" i="1"/>
  <c r="B3" i="1"/>
  <c r="L1" i="1"/>
  <c r="E17" i="9"/>
  <c r="B3" i="9"/>
  <c r="A3" i="9"/>
  <c r="F1" i="9"/>
  <c r="A1" i="9"/>
  <c r="K137" i="5"/>
  <c r="L137" i="5"/>
  <c r="M137" i="5"/>
  <c r="N137" i="5"/>
  <c r="O137" i="5"/>
  <c r="P137" i="5"/>
  <c r="Q137" i="5"/>
  <c r="R137" i="5"/>
  <c r="J137" i="5"/>
  <c r="R136" i="5"/>
  <c r="R135" i="5"/>
  <c r="R134" i="5"/>
  <c r="S133" i="5"/>
  <c r="S134" i="5"/>
  <c r="S135" i="5"/>
  <c r="R133" i="5"/>
  <c r="R132" i="5"/>
  <c r="R131" i="5"/>
  <c r="S130" i="5"/>
  <c r="S131" i="5"/>
  <c r="R130" i="5"/>
  <c r="S129" i="5"/>
  <c r="R129" i="5"/>
  <c r="R128" i="5"/>
  <c r="R127" i="5"/>
  <c r="R126" i="5"/>
  <c r="L126" i="5"/>
  <c r="R125" i="5"/>
  <c r="L125" i="5"/>
  <c r="R124" i="5"/>
  <c r="R122" i="5"/>
  <c r="P121" i="5"/>
  <c r="N121" i="5" s="1"/>
  <c r="M121" i="5" s="1"/>
  <c r="D117" i="5"/>
  <c r="D116" i="5"/>
  <c r="K114" i="5"/>
  <c r="K113" i="5"/>
  <c r="B112" i="5"/>
  <c r="B113" i="5"/>
  <c r="B114" i="5"/>
  <c r="B115" i="5"/>
  <c r="B116" i="5"/>
  <c r="B117" i="5" s="1"/>
  <c r="C110" i="5"/>
  <c r="B104" i="5"/>
  <c r="B105" i="5"/>
  <c r="B102" i="5"/>
  <c r="B103" i="5"/>
  <c r="B101" i="5"/>
  <c r="E100" i="5"/>
  <c r="E99" i="5"/>
  <c r="L98" i="5"/>
  <c r="L97" i="5"/>
  <c r="L95" i="5"/>
  <c r="L94" i="5"/>
  <c r="L93" i="5"/>
  <c r="L92" i="5"/>
  <c r="B84" i="5"/>
  <c r="B85" i="5"/>
  <c r="B86" i="5"/>
  <c r="B87" i="5"/>
  <c r="B83" i="5"/>
  <c r="D82" i="5"/>
  <c r="F77" i="5"/>
  <c r="F76" i="5"/>
  <c r="F75" i="5"/>
  <c r="B75" i="5"/>
  <c r="B76" i="5"/>
  <c r="B77" i="5"/>
  <c r="F74" i="5"/>
  <c r="F73" i="5"/>
  <c r="B73" i="5"/>
  <c r="B74" i="5"/>
  <c r="F72"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22" i="5"/>
  <c r="B23" i="5"/>
  <c r="B20" i="5"/>
  <c r="B21" i="5"/>
  <c r="D19" i="5"/>
  <c r="O146" i="11" s="1"/>
  <c r="C146" i="11" s="1"/>
  <c r="U146" i="11" s="1"/>
  <c r="D14" i="5"/>
  <c r="B11" i="5"/>
  <c r="B12" i="5"/>
  <c r="B14" i="5"/>
  <c r="B15" i="5"/>
  <c r="D9" i="5"/>
  <c r="L20" i="3"/>
  <c r="D8" i="5"/>
  <c r="L18" i="3"/>
  <c r="O70" i="11"/>
  <c r="B7" i="5"/>
  <c r="B8" i="5"/>
  <c r="B9" i="5"/>
  <c r="B10" i="5"/>
  <c r="B6" i="5"/>
  <c r="K6" i="3"/>
  <c r="B3" i="5"/>
  <c r="D1" i="5"/>
  <c r="V52" i="3"/>
  <c r="V53" i="3"/>
  <c r="V54" i="3"/>
  <c r="V48" i="3"/>
  <c r="V49" i="3"/>
  <c r="V50" i="3"/>
  <c r="V45" i="3"/>
  <c r="V46" i="3"/>
  <c r="U42" i="3"/>
  <c r="V43" i="3" s="1"/>
  <c r="J38" i="3"/>
  <c r="O64" i="11"/>
  <c r="C64" i="11"/>
  <c r="U64" i="11"/>
  <c r="O71" i="11"/>
  <c r="C71" i="11"/>
  <c r="U71" i="11"/>
  <c r="E21" i="9"/>
  <c r="G21" i="9"/>
  <c r="F13" i="3"/>
  <c r="H13" i="3"/>
  <c r="J13" i="3"/>
  <c r="O69" i="11"/>
  <c r="C69" i="11"/>
  <c r="U69" i="11"/>
  <c r="B3" i="3"/>
  <c r="J1" i="3"/>
  <c r="A11" i="50"/>
  <c r="B3" i="50"/>
  <c r="B2" i="50"/>
  <c r="D77" i="48" s="1"/>
  <c r="C33" i="28"/>
  <c r="O130" i="11"/>
  <c r="J13" i="11"/>
  <c r="C15" i="14"/>
  <c r="K66" i="15"/>
  <c r="K68" i="15"/>
  <c r="K91" i="15"/>
  <c r="K93" i="15"/>
  <c r="K102" i="15"/>
  <c r="I76" i="15"/>
  <c r="I91" i="15"/>
  <c r="I93" i="15"/>
  <c r="K56" i="15"/>
  <c r="I66" i="15"/>
  <c r="I68" i="15"/>
  <c r="I101" i="15"/>
  <c r="J5" i="11"/>
  <c r="J60" i="11"/>
  <c r="C70" i="11"/>
  <c r="U70" i="11"/>
  <c r="C17" i="14"/>
  <c r="J21" i="11"/>
  <c r="J19" i="11"/>
  <c r="C36" i="45"/>
  <c r="F36" i="14"/>
  <c r="M7" i="11"/>
  <c r="E15" i="14"/>
  <c r="E17" i="14"/>
  <c r="E19" i="14"/>
  <c r="G15" i="14"/>
  <c r="G17" i="14"/>
  <c r="N21" i="11"/>
  <c r="U100" i="11"/>
  <c r="G16" i="11"/>
  <c r="D20" i="11"/>
  <c r="U20" i="11"/>
  <c r="J8" i="11"/>
  <c r="D42" i="58"/>
  <c r="F65" i="58"/>
  <c r="F50" i="58"/>
  <c r="E65" i="58"/>
  <c r="E50" i="58"/>
  <c r="D29" i="58"/>
  <c r="D65" i="58"/>
  <c r="D50" i="58"/>
  <c r="J11" i="58"/>
  <c r="E42" i="58"/>
  <c r="E29" i="58"/>
  <c r="G65" i="58"/>
  <c r="G50" i="58"/>
  <c r="C11" i="58"/>
  <c r="J65" i="58"/>
  <c r="J50" i="58"/>
  <c r="D11" i="58"/>
  <c r="E11" i="58"/>
  <c r="C24" i="58"/>
  <c r="G24" i="58"/>
  <c r="D14" i="50"/>
  <c r="B11" i="50"/>
  <c r="F42" i="58"/>
  <c r="J24" i="58"/>
  <c r="G42" i="58"/>
  <c r="G29" i="58"/>
  <c r="H42" i="58"/>
  <c r="K20" i="58"/>
  <c r="D24" i="58"/>
  <c r="I24" i="58"/>
  <c r="E24" i="58"/>
  <c r="C42" i="58"/>
  <c r="C29" i="58"/>
  <c r="K38" i="58"/>
  <c r="K68" i="58"/>
  <c r="F24" i="58"/>
  <c r="K53" i="58"/>
  <c r="K61" i="58"/>
  <c r="K65" i="58"/>
  <c r="K50" i="58"/>
  <c r="M1" i="39"/>
  <c r="N1" i="39" s="1"/>
  <c r="D74" i="26"/>
  <c r="L92" i="11"/>
  <c r="E92" i="11"/>
  <c r="E112" i="11"/>
  <c r="U112" i="11"/>
  <c r="D11" i="11"/>
  <c r="D16" i="11"/>
  <c r="U16" i="11"/>
  <c r="C15" i="11"/>
  <c r="U15" i="11"/>
  <c r="C16" i="11"/>
  <c r="D17" i="11"/>
  <c r="U17" i="11"/>
  <c r="F7" i="11"/>
  <c r="G11" i="11"/>
  <c r="D14" i="11"/>
  <c r="U14" i="11"/>
  <c r="C17" i="11"/>
  <c r="Q20" i="4"/>
  <c r="C39" i="28"/>
  <c r="J65" i="11"/>
  <c r="Q8" i="11"/>
  <c r="E8" i="11"/>
  <c r="I77" i="15"/>
  <c r="J10" i="1"/>
  <c r="M10" i="1"/>
  <c r="K9" i="1"/>
  <c r="R8" i="11"/>
  <c r="F8" i="11"/>
  <c r="I102" i="15"/>
  <c r="J165" i="1"/>
  <c r="M165" i="1"/>
  <c r="K164" i="1"/>
  <c r="J164" i="1"/>
  <c r="M164" i="1"/>
  <c r="E18" i="18"/>
  <c r="E20" i="18"/>
  <c r="E16" i="18"/>
  <c r="C35" i="18"/>
  <c r="F27" i="18"/>
  <c r="C33" i="18"/>
  <c r="E52" i="17"/>
  <c r="N36" i="11"/>
  <c r="C54" i="17"/>
  <c r="E54" i="17"/>
  <c r="N38" i="11"/>
  <c r="J23" i="11"/>
  <c r="O99" i="11"/>
  <c r="C99" i="11"/>
  <c r="C19" i="14"/>
  <c r="J38" i="1"/>
  <c r="M38" i="1"/>
  <c r="J75" i="1"/>
  <c r="M75" i="1"/>
  <c r="K74" i="1"/>
  <c r="J74" i="1"/>
  <c r="M74" i="1"/>
  <c r="L112" i="1"/>
  <c r="L95" i="1"/>
  <c r="L94" i="1"/>
  <c r="L233" i="1"/>
  <c r="L232" i="1"/>
  <c r="J234" i="1"/>
  <c r="M234" i="1"/>
  <c r="J255" i="1"/>
  <c r="M255" i="1"/>
  <c r="K254" i="1"/>
  <c r="J254" i="1"/>
  <c r="M254" i="1"/>
  <c r="J315" i="1"/>
  <c r="M315" i="1"/>
  <c r="K307" i="1"/>
  <c r="J307" i="1"/>
  <c r="M307" i="1"/>
  <c r="J384" i="1"/>
  <c r="M384" i="1"/>
  <c r="L362" i="1"/>
  <c r="F11" i="53"/>
  <c r="C19" i="53"/>
  <c r="C17" i="53"/>
  <c r="I31" i="21"/>
  <c r="I56" i="21"/>
  <c r="J79" i="11"/>
  <c r="C79" i="11"/>
  <c r="I43" i="21"/>
  <c r="I45" i="21"/>
  <c r="I54" i="21"/>
  <c r="O11" i="11"/>
  <c r="C11" i="11"/>
  <c r="E19" i="16"/>
  <c r="E21" i="16"/>
  <c r="E17" i="16"/>
  <c r="S28" i="11"/>
  <c r="D55" i="16"/>
  <c r="D53" i="16"/>
  <c r="S34" i="11"/>
  <c r="F47" i="16"/>
  <c r="C58" i="11"/>
  <c r="U58" i="11"/>
  <c r="J35" i="1"/>
  <c r="M35" i="1"/>
  <c r="K34" i="1"/>
  <c r="J34" i="1"/>
  <c r="M34" i="1"/>
  <c r="J45" i="1"/>
  <c r="M45" i="1"/>
  <c r="K44" i="1"/>
  <c r="J302" i="1"/>
  <c r="M302" i="1"/>
  <c r="L280" i="1"/>
  <c r="L279" i="1"/>
  <c r="G71" i="37"/>
  <c r="L130" i="11"/>
  <c r="E130" i="11"/>
  <c r="G68" i="37"/>
  <c r="L127" i="11"/>
  <c r="E127" i="11"/>
  <c r="C18" i="17"/>
  <c r="C16" i="17"/>
  <c r="E10" i="17"/>
  <c r="J25" i="1"/>
  <c r="M25" i="1"/>
  <c r="K24" i="1"/>
  <c r="J147" i="1"/>
  <c r="M147" i="1"/>
  <c r="K133" i="1"/>
  <c r="J133" i="1"/>
  <c r="M133" i="1"/>
  <c r="L215" i="1"/>
  <c r="J215" i="1"/>
  <c r="J216" i="1"/>
  <c r="M216" i="1"/>
  <c r="J363" i="1"/>
  <c r="M363" i="1"/>
  <c r="K362" i="1"/>
  <c r="J362" i="1"/>
  <c r="M362" i="1"/>
  <c r="L454" i="1"/>
  <c r="J458" i="1"/>
  <c r="M458" i="1"/>
  <c r="D53" i="53"/>
  <c r="D55" i="53"/>
  <c r="D57" i="53"/>
  <c r="F52" i="53"/>
  <c r="C50" i="19"/>
  <c r="C52" i="19"/>
  <c r="H52" i="19"/>
  <c r="J76" i="11"/>
  <c r="C76" i="11"/>
  <c r="U76" i="11"/>
  <c r="H42" i="19"/>
  <c r="H50" i="19"/>
  <c r="J233" i="1"/>
  <c r="M233" i="1"/>
  <c r="K232" i="1"/>
  <c r="J232" i="1"/>
  <c r="L127" i="5"/>
  <c r="L42" i="1"/>
  <c r="J84" i="1"/>
  <c r="M84" i="1"/>
  <c r="J107" i="1"/>
  <c r="M107" i="1"/>
  <c r="K96" i="1"/>
  <c r="K112" i="1"/>
  <c r="J112" i="1"/>
  <c r="M112" i="1"/>
  <c r="J134" i="1"/>
  <c r="M134" i="1"/>
  <c r="J281" i="1"/>
  <c r="M281" i="1"/>
  <c r="K280" i="1"/>
  <c r="L461" i="1"/>
  <c r="J462" i="1"/>
  <c r="M462" i="1"/>
  <c r="J469" i="1"/>
  <c r="M469" i="1"/>
  <c r="I76" i="44"/>
  <c r="U115" i="11"/>
  <c r="U113" i="11"/>
  <c r="U119" i="11"/>
  <c r="D48" i="37"/>
  <c r="D50" i="37"/>
  <c r="G37" i="37"/>
  <c r="J130" i="11"/>
  <c r="C130" i="11"/>
  <c r="U130" i="11"/>
  <c r="G48" i="37"/>
  <c r="G50" i="37"/>
  <c r="C50" i="37"/>
  <c r="C54" i="18"/>
  <c r="G77" i="44"/>
  <c r="I91" i="44"/>
  <c r="I93" i="44"/>
  <c r="I102" i="44"/>
  <c r="U117" i="11"/>
  <c r="D28" i="33"/>
  <c r="D24" i="22"/>
  <c r="G56" i="21"/>
  <c r="E35" i="18"/>
  <c r="E37" i="18"/>
  <c r="E33" i="18"/>
  <c r="C37" i="17"/>
  <c r="E37" i="17"/>
  <c r="K38" i="11"/>
  <c r="E35" i="17"/>
  <c r="K36" i="11"/>
  <c r="O10" i="11"/>
  <c r="U10" i="11"/>
  <c r="O43" i="11"/>
  <c r="C19" i="16"/>
  <c r="F11" i="16"/>
  <c r="C17" i="16"/>
  <c r="O49" i="11"/>
  <c r="C39" i="16"/>
  <c r="P51" i="11"/>
  <c r="K35" i="15"/>
  <c r="K41" i="15"/>
  <c r="K43" i="15"/>
  <c r="K52" i="15"/>
  <c r="I41" i="15"/>
  <c r="I43" i="15"/>
  <c r="P8" i="11"/>
  <c r="D8" i="11"/>
  <c r="I51" i="15"/>
  <c r="H5" i="49"/>
  <c r="C5" i="49"/>
  <c r="L391" i="1"/>
  <c r="L390" i="1"/>
  <c r="J390" i="1"/>
  <c r="E19" i="53"/>
  <c r="E21" i="53"/>
  <c r="E17" i="53"/>
  <c r="C77" i="44"/>
  <c r="U121" i="11"/>
  <c r="D30" i="34"/>
  <c r="D24" i="23"/>
  <c r="L81" i="11"/>
  <c r="E81" i="11"/>
  <c r="C56" i="21"/>
  <c r="F10" i="18"/>
  <c r="C18" i="18"/>
  <c r="J123" i="1"/>
  <c r="M123" i="1"/>
  <c r="J181" i="1"/>
  <c r="M181" i="1"/>
  <c r="K173" i="1"/>
  <c r="J173" i="1"/>
  <c r="K187" i="1"/>
  <c r="J187" i="1"/>
  <c r="J189" i="1"/>
  <c r="M189" i="1"/>
  <c r="J211" i="1"/>
  <c r="M211" i="1"/>
  <c r="K207" i="1"/>
  <c r="J207" i="1"/>
  <c r="J454" i="1"/>
  <c r="M454" i="1"/>
  <c r="G43" i="40"/>
  <c r="J37" i="29"/>
  <c r="J47" i="29"/>
  <c r="J94" i="11"/>
  <c r="C94" i="11"/>
  <c r="U94" i="11"/>
  <c r="C47" i="29"/>
  <c r="E56" i="21"/>
  <c r="P11" i="19"/>
  <c r="Q10" i="19"/>
  <c r="D52" i="18"/>
  <c r="D54" i="18"/>
  <c r="D50" i="18"/>
  <c r="D33" i="17"/>
  <c r="I18" i="15"/>
  <c r="U81" i="11"/>
  <c r="J155" i="1"/>
  <c r="M155" i="1"/>
  <c r="K154" i="1"/>
  <c r="J201" i="1"/>
  <c r="M201" i="1"/>
  <c r="K195" i="1"/>
  <c r="J195" i="1"/>
  <c r="K335" i="1"/>
  <c r="L335" i="1"/>
  <c r="L334" i="1"/>
  <c r="J417" i="1"/>
  <c r="M417" i="1"/>
  <c r="K416" i="1"/>
  <c r="K453" i="1"/>
  <c r="K502" i="1"/>
  <c r="J502" i="1"/>
  <c r="C36" i="54"/>
  <c r="C40" i="54"/>
  <c r="C37" i="54"/>
  <c r="E27" i="44"/>
  <c r="I52" i="44"/>
  <c r="C127" i="44"/>
  <c r="G127" i="44"/>
  <c r="E79" i="32"/>
  <c r="Q104" i="11"/>
  <c r="E104" i="11"/>
  <c r="D58" i="32"/>
  <c r="D39" i="28"/>
  <c r="U90" i="11"/>
  <c r="L89" i="11"/>
  <c r="E89" i="11"/>
  <c r="L84" i="11"/>
  <c r="E84" i="11"/>
  <c r="F56" i="21"/>
  <c r="L78" i="11"/>
  <c r="L77" i="11"/>
  <c r="E77" i="11"/>
  <c r="E18" i="20"/>
  <c r="C23" i="20"/>
  <c r="E23" i="20"/>
  <c r="O78" i="11"/>
  <c r="D52" i="19"/>
  <c r="D53" i="19"/>
  <c r="C16" i="18"/>
  <c r="F44" i="18"/>
  <c r="U12" i="11"/>
  <c r="U123" i="11"/>
  <c r="J477" i="1"/>
  <c r="M477" i="1"/>
  <c r="K476" i="1"/>
  <c r="J476" i="1"/>
  <c r="M476" i="1"/>
  <c r="F16" i="53"/>
  <c r="C37" i="53"/>
  <c r="F29" i="53"/>
  <c r="F35" i="53"/>
  <c r="C35" i="53"/>
  <c r="I18" i="44"/>
  <c r="I118" i="44"/>
  <c r="G37" i="41"/>
  <c r="G36" i="39"/>
  <c r="C43" i="39"/>
  <c r="G43" i="39"/>
  <c r="L143" i="11"/>
  <c r="G23" i="38"/>
  <c r="H23" i="38"/>
  <c r="J142" i="11"/>
  <c r="C142" i="11"/>
  <c r="U142" i="11"/>
  <c r="E58" i="38"/>
  <c r="U125" i="11"/>
  <c r="U137" i="11"/>
  <c r="D35" i="34"/>
  <c r="K111" i="11"/>
  <c r="D111" i="11"/>
  <c r="E30" i="34"/>
  <c r="E35" i="34"/>
  <c r="L111" i="11"/>
  <c r="E111" i="11"/>
  <c r="I57" i="33"/>
  <c r="F20" i="26"/>
  <c r="H64" i="23"/>
  <c r="G75" i="23"/>
  <c r="H75" i="23"/>
  <c r="I20" i="21"/>
  <c r="G57" i="21"/>
  <c r="J41" i="11"/>
  <c r="U41" i="11"/>
  <c r="F32" i="18"/>
  <c r="K48" i="11"/>
  <c r="F49" i="18"/>
  <c r="N48" i="11"/>
  <c r="C50" i="18"/>
  <c r="E32" i="17"/>
  <c r="K33" i="11"/>
  <c r="E52" i="15"/>
  <c r="K57" i="15"/>
  <c r="K77" i="15"/>
  <c r="Q7" i="11"/>
  <c r="K110" i="15"/>
  <c r="I116" i="15"/>
  <c r="I118" i="15"/>
  <c r="S8" i="11"/>
  <c r="G8" i="11"/>
  <c r="I126" i="15"/>
  <c r="C18" i="11"/>
  <c r="D5" i="11"/>
  <c r="Q131" i="11"/>
  <c r="E131" i="11"/>
  <c r="E34" i="10"/>
  <c r="Q138" i="11"/>
  <c r="E138" i="11"/>
  <c r="E43" i="10"/>
  <c r="U118" i="11"/>
  <c r="K12" i="58"/>
  <c r="K11" i="58"/>
  <c r="J461" i="1"/>
  <c r="M461" i="1"/>
  <c r="J465" i="1"/>
  <c r="M465" i="1"/>
  <c r="J488" i="1"/>
  <c r="M488" i="1"/>
  <c r="D19" i="53"/>
  <c r="D21" i="53"/>
  <c r="F47" i="53"/>
  <c r="F53" i="53"/>
  <c r="C55" i="53"/>
  <c r="C53" i="53"/>
  <c r="I27" i="44"/>
  <c r="I68" i="44"/>
  <c r="I77" i="44"/>
  <c r="I127" i="44"/>
  <c r="F15" i="45"/>
  <c r="F17" i="45"/>
  <c r="F19" i="45"/>
  <c r="F36" i="45"/>
  <c r="G20" i="42"/>
  <c r="G36" i="40"/>
  <c r="G16" i="39"/>
  <c r="G41" i="38"/>
  <c r="H41" i="38"/>
  <c r="G34" i="37"/>
  <c r="J127" i="11"/>
  <c r="U128" i="11"/>
  <c r="G47" i="37"/>
  <c r="J139" i="11"/>
  <c r="G46" i="37"/>
  <c r="J138" i="11"/>
  <c r="C138" i="11"/>
  <c r="C30" i="34"/>
  <c r="C35" i="34"/>
  <c r="J111" i="11"/>
  <c r="C111" i="11"/>
  <c r="L106" i="11"/>
  <c r="E106" i="11"/>
  <c r="U106" i="11"/>
  <c r="U105" i="11"/>
  <c r="E28" i="33"/>
  <c r="C74" i="26"/>
  <c r="J92" i="11"/>
  <c r="C92" i="11"/>
  <c r="G20" i="25"/>
  <c r="L88" i="11"/>
  <c r="E88" i="11"/>
  <c r="U82" i="11"/>
  <c r="F5" i="23"/>
  <c r="C57" i="21"/>
  <c r="H23" i="20"/>
  <c r="Q78" i="11"/>
  <c r="E53" i="19"/>
  <c r="G52" i="19"/>
  <c r="J40" i="11"/>
  <c r="U40" i="11"/>
  <c r="D35" i="18"/>
  <c r="D37" i="18"/>
  <c r="E44" i="17"/>
  <c r="U32" i="11"/>
  <c r="O33" i="11"/>
  <c r="U33" i="11"/>
  <c r="D17" i="16"/>
  <c r="O34" i="11"/>
  <c r="D19" i="16"/>
  <c r="E35" i="16"/>
  <c r="E37" i="16"/>
  <c r="E39" i="16"/>
  <c r="S51" i="11"/>
  <c r="C57" i="16"/>
  <c r="F55" i="16"/>
  <c r="S21" i="11"/>
  <c r="G21" i="11"/>
  <c r="K116" i="15"/>
  <c r="K118" i="15"/>
  <c r="O131" i="11"/>
  <c r="C131" i="11"/>
  <c r="C34" i="10"/>
  <c r="C43" i="10"/>
  <c r="O138" i="11"/>
  <c r="U11" i="11"/>
  <c r="N23" i="11"/>
  <c r="J26" i="11"/>
  <c r="U26" i="11"/>
  <c r="U120" i="11"/>
  <c r="C23" i="39"/>
  <c r="G23" i="39"/>
  <c r="J143" i="11"/>
  <c r="C143" i="11"/>
  <c r="U141" i="11"/>
  <c r="U140" i="11"/>
  <c r="C81" i="37"/>
  <c r="G81" i="37"/>
  <c r="L139" i="11"/>
  <c r="U86" i="11"/>
  <c r="E21" i="19"/>
  <c r="E29" i="19"/>
  <c r="E52" i="19"/>
  <c r="C53" i="19"/>
  <c r="H53" i="19"/>
  <c r="L76" i="11"/>
  <c r="E76" i="11"/>
  <c r="G53" i="19"/>
  <c r="U44" i="11"/>
  <c r="U46" i="11"/>
  <c r="U45" i="11"/>
  <c r="U47" i="11"/>
  <c r="D16" i="17"/>
  <c r="C33" i="17"/>
  <c r="P48" i="11"/>
  <c r="F34" i="16"/>
  <c r="P18" i="11"/>
  <c r="D18" i="11"/>
  <c r="D35" i="16"/>
  <c r="P34" i="11"/>
  <c r="D39" i="16"/>
  <c r="P38" i="11"/>
  <c r="S48" i="11"/>
  <c r="F52" i="16"/>
  <c r="S18" i="11"/>
  <c r="G18" i="11"/>
  <c r="J27" i="15"/>
  <c r="E127" i="15"/>
  <c r="L7" i="11"/>
  <c r="E36" i="14"/>
  <c r="D15" i="14"/>
  <c r="N19" i="11"/>
  <c r="P28" i="11"/>
  <c r="C96" i="11"/>
  <c r="U96" i="11"/>
  <c r="U132" i="11"/>
  <c r="U116" i="11"/>
  <c r="U129" i="11"/>
  <c r="U134" i="11"/>
  <c r="U102" i="11"/>
  <c r="J84" i="11"/>
  <c r="C84" i="11"/>
  <c r="U84" i="11"/>
  <c r="J89" i="11"/>
  <c r="C89" i="11"/>
  <c r="U89" i="11"/>
  <c r="J77" i="11"/>
  <c r="C77" i="11"/>
  <c r="J78" i="11"/>
  <c r="C78" i="11"/>
  <c r="U50" i="11"/>
  <c r="E27" i="17"/>
  <c r="F29" i="16"/>
  <c r="I52" i="15"/>
  <c r="I127" i="15"/>
  <c r="K106" i="15"/>
  <c r="K127" i="15"/>
  <c r="C127" i="15"/>
  <c r="G127" i="15"/>
  <c r="Q99" i="11"/>
  <c r="E99" i="11"/>
  <c r="G19" i="14"/>
  <c r="D22" i="11"/>
  <c r="U22" i="11"/>
  <c r="C59" i="11"/>
  <c r="U59" i="11"/>
  <c r="C35" i="16"/>
  <c r="P49" i="11"/>
  <c r="M11" i="58"/>
  <c r="C53" i="16"/>
  <c r="S49" i="11"/>
  <c r="O88" i="11"/>
  <c r="C88" i="11"/>
  <c r="U88" i="11"/>
  <c r="O127" i="11"/>
  <c r="J56" i="11"/>
  <c r="L5" i="11"/>
  <c r="C122" i="11"/>
  <c r="U122" i="11"/>
  <c r="Q143" i="11"/>
  <c r="E143" i="11"/>
  <c r="U143" i="11"/>
  <c r="K8" i="58"/>
  <c r="M8" i="58"/>
  <c r="K53" i="59"/>
  <c r="K59" i="59"/>
  <c r="K30" i="58"/>
  <c r="L12" i="58"/>
  <c r="L11" i="58"/>
  <c r="M12" i="58"/>
  <c r="K26" i="58"/>
  <c r="N19" i="4"/>
  <c r="O19" i="4" s="1"/>
  <c r="G12" i="4"/>
  <c r="E7" i="11"/>
  <c r="K42" i="58"/>
  <c r="K29" i="58"/>
  <c r="U92" i="11"/>
  <c r="O139" i="11"/>
  <c r="O5" i="11"/>
  <c r="C5" i="11"/>
  <c r="U111" i="11"/>
  <c r="U110" i="11"/>
  <c r="U131" i="11"/>
  <c r="C44" i="27"/>
  <c r="G44" i="27"/>
  <c r="J93" i="11"/>
  <c r="C93" i="11"/>
  <c r="U93" i="11"/>
  <c r="G35" i="27"/>
  <c r="S53" i="11"/>
  <c r="O36" i="11"/>
  <c r="D21" i="16"/>
  <c r="O38" i="11"/>
  <c r="N28" i="11"/>
  <c r="E50" i="17"/>
  <c r="N34" i="11"/>
  <c r="U138" i="11"/>
  <c r="H21" i="19"/>
  <c r="H29" i="19"/>
  <c r="D6" i="4"/>
  <c r="U77" i="11"/>
  <c r="K415" i="1"/>
  <c r="J415" i="1"/>
  <c r="J416" i="1"/>
  <c r="M416" i="1"/>
  <c r="Q9" i="19"/>
  <c r="P10" i="19"/>
  <c r="J43" i="11"/>
  <c r="F16" i="18"/>
  <c r="K23" i="1"/>
  <c r="J24" i="1"/>
  <c r="M24" i="1"/>
  <c r="J28" i="11"/>
  <c r="E16" i="17"/>
  <c r="J34" i="11" s="1"/>
  <c r="L278" i="1"/>
  <c r="L22" i="1"/>
  <c r="L8" i="1"/>
  <c r="L535" i="1"/>
  <c r="S36" i="11"/>
  <c r="D57" i="16"/>
  <c r="S38" i="11"/>
  <c r="K43" i="11"/>
  <c r="F33" i="18"/>
  <c r="K49" i="11"/>
  <c r="J9" i="1"/>
  <c r="O55" i="11"/>
  <c r="C55" i="11"/>
  <c r="U55" i="11"/>
  <c r="C139" i="11"/>
  <c r="C57" i="53"/>
  <c r="F57" i="53"/>
  <c r="F55" i="53"/>
  <c r="Q139" i="11"/>
  <c r="E139" i="11"/>
  <c r="Q5" i="11"/>
  <c r="E5" i="11"/>
  <c r="U48" i="11"/>
  <c r="E78" i="11"/>
  <c r="U78" i="11"/>
  <c r="D67" i="32"/>
  <c r="E67" i="32"/>
  <c r="O104" i="11"/>
  <c r="C104" i="11"/>
  <c r="U104" i="11"/>
  <c r="U101" i="11"/>
  <c r="E58" i="32"/>
  <c r="O13" i="11"/>
  <c r="C13" i="11"/>
  <c r="F17" i="16"/>
  <c r="O19" i="11"/>
  <c r="C19" i="11"/>
  <c r="F52" i="18"/>
  <c r="N51" i="11"/>
  <c r="L453" i="1"/>
  <c r="L452" i="1"/>
  <c r="F19" i="53"/>
  <c r="C21" i="53"/>
  <c r="F21" i="53"/>
  <c r="C36" i="14"/>
  <c r="J7" i="11"/>
  <c r="C7" i="11"/>
  <c r="F35" i="18"/>
  <c r="K51" i="11"/>
  <c r="C37" i="18"/>
  <c r="F37" i="18"/>
  <c r="K53" i="11"/>
  <c r="P13" i="11"/>
  <c r="D13" i="11"/>
  <c r="F35" i="16"/>
  <c r="P19" i="11"/>
  <c r="I22" i="21"/>
  <c r="I57" i="21"/>
  <c r="L79" i="11"/>
  <c r="E79" i="11"/>
  <c r="F37" i="53"/>
  <c r="C39" i="53"/>
  <c r="F39" i="53"/>
  <c r="N43" i="11"/>
  <c r="F50" i="18"/>
  <c r="N49" i="11"/>
  <c r="K153" i="1"/>
  <c r="J153" i="1"/>
  <c r="J154" i="1"/>
  <c r="M154" i="1"/>
  <c r="J391" i="1"/>
  <c r="M391" i="1"/>
  <c r="F37" i="16"/>
  <c r="P21" i="11"/>
  <c r="O51" i="11"/>
  <c r="F19" i="16"/>
  <c r="O21" i="11"/>
  <c r="C21" i="11"/>
  <c r="C21" i="16"/>
  <c r="F54" i="18"/>
  <c r="N53" i="11"/>
  <c r="C20" i="17"/>
  <c r="J44" i="1"/>
  <c r="M44" i="1"/>
  <c r="K43" i="1"/>
  <c r="S13" i="11"/>
  <c r="G13" i="11"/>
  <c r="F53" i="16"/>
  <c r="S19" i="11"/>
  <c r="G19" i="11"/>
  <c r="U79" i="11"/>
  <c r="F17" i="53"/>
  <c r="A1" i="53"/>
  <c r="U36" i="11"/>
  <c r="N7" i="11"/>
  <c r="G7" i="11"/>
  <c r="G36" i="14"/>
  <c r="K28" i="11"/>
  <c r="E33" i="17"/>
  <c r="K34" i="11"/>
  <c r="K19" i="11"/>
  <c r="D17" i="14"/>
  <c r="C127" i="11"/>
  <c r="U127" i="11"/>
  <c r="U18" i="11"/>
  <c r="U37" i="11"/>
  <c r="J453" i="1"/>
  <c r="M453" i="1"/>
  <c r="K452" i="1"/>
  <c r="J452" i="1"/>
  <c r="O57" i="11"/>
  <c r="C57" i="11"/>
  <c r="U57" i="11"/>
  <c r="J335" i="1"/>
  <c r="M335" i="1"/>
  <c r="K334" i="1"/>
  <c r="J334" i="1"/>
  <c r="M334" i="1"/>
  <c r="O8" i="11"/>
  <c r="C8" i="11"/>
  <c r="U8" i="11"/>
  <c r="I27" i="15"/>
  <c r="D8" i="4"/>
  <c r="F18" i="18"/>
  <c r="J51" i="11"/>
  <c r="U51" i="11"/>
  <c r="C20" i="18"/>
  <c r="F20" i="18"/>
  <c r="J53" i="11"/>
  <c r="P53" i="11"/>
  <c r="F39" i="16"/>
  <c r="P23" i="11"/>
  <c r="K468" i="1"/>
  <c r="J468" i="1"/>
  <c r="M468" i="1"/>
  <c r="J280" i="1"/>
  <c r="M280" i="1"/>
  <c r="K279" i="1"/>
  <c r="K95" i="1"/>
  <c r="J96" i="1"/>
  <c r="M96" i="1"/>
  <c r="C82" i="37"/>
  <c r="D19" i="11"/>
  <c r="U19" i="11"/>
  <c r="U83" i="11"/>
  <c r="U75" i="11"/>
  <c r="J279" i="1"/>
  <c r="M279" i="1"/>
  <c r="K278" i="1"/>
  <c r="J278" i="1"/>
  <c r="J43" i="1"/>
  <c r="M43" i="1"/>
  <c r="K42" i="1"/>
  <c r="J42" i="1"/>
  <c r="U139" i="11"/>
  <c r="U43" i="11"/>
  <c r="J95" i="1"/>
  <c r="M95" i="1"/>
  <c r="K94" i="1"/>
  <c r="J94" i="1"/>
  <c r="P99" i="11"/>
  <c r="D99" i="11"/>
  <c r="U99" i="11"/>
  <c r="U98" i="11"/>
  <c r="K21" i="11"/>
  <c r="D19" i="14"/>
  <c r="O53" i="11"/>
  <c r="U53" i="11"/>
  <c r="F21" i="16"/>
  <c r="O23" i="11"/>
  <c r="C23" i="11"/>
  <c r="A1" i="16"/>
  <c r="U38" i="11"/>
  <c r="K22" i="1"/>
  <c r="K8" i="1"/>
  <c r="J23" i="1"/>
  <c r="J22" i="1"/>
  <c r="Q7" i="19"/>
  <c r="P9" i="19"/>
  <c r="U34" i="11"/>
  <c r="F57" i="16"/>
  <c r="S23" i="11"/>
  <c r="G23" i="11"/>
  <c r="G82" i="37"/>
  <c r="G84" i="37"/>
  <c r="C84" i="37"/>
  <c r="U13" i="11"/>
  <c r="J49" i="11"/>
  <c r="U49" i="11"/>
  <c r="A1" i="18"/>
  <c r="D14" i="4"/>
  <c r="U28" i="11"/>
  <c r="U5" i="11"/>
  <c r="K535" i="1"/>
  <c r="J535" i="1"/>
  <c r="O60" i="11"/>
  <c r="C60" i="11"/>
  <c r="U60" i="11"/>
  <c r="J8" i="1"/>
  <c r="K7" i="11"/>
  <c r="D7" i="11"/>
  <c r="U7" i="11"/>
  <c r="U6" i="11"/>
  <c r="D36" i="14"/>
  <c r="Q6" i="19"/>
  <c r="P7" i="19"/>
  <c r="D12" i="4"/>
  <c r="K23" i="11"/>
  <c r="D23" i="11"/>
  <c r="D21" i="11"/>
  <c r="U21" i="11"/>
  <c r="U23" i="11"/>
  <c r="U9" i="11"/>
  <c r="D7" i="4"/>
  <c r="Q5" i="19"/>
  <c r="P6" i="19"/>
  <c r="G6" i="4"/>
  <c r="O56" i="11"/>
  <c r="C56" i="11"/>
  <c r="U56" i="11"/>
  <c r="U54" i="11"/>
  <c r="A3" i="1"/>
  <c r="A1" i="1"/>
  <c r="Q4" i="19"/>
  <c r="P4" i="19"/>
  <c r="P5" i="19"/>
  <c r="C25" i="11" l="1"/>
  <c r="U25" i="11" s="1"/>
  <c r="U24" i="11" s="1"/>
  <c r="E18" i="17"/>
  <c r="J36" i="11" s="1"/>
  <c r="U39" i="11"/>
  <c r="M1" i="35"/>
  <c r="N1" i="35" s="1"/>
  <c r="M3" i="35" s="1"/>
  <c r="N24" i="4"/>
  <c r="M1" i="34"/>
  <c r="N1" i="34" s="1"/>
  <c r="M2" i="34" s="1"/>
  <c r="L1" i="23"/>
  <c r="M1" i="23" s="1"/>
  <c r="L5" i="23" s="1"/>
  <c r="P18" i="66"/>
  <c r="B2" i="4"/>
  <c r="B1" i="19" s="1"/>
  <c r="A14" i="48"/>
  <c r="M24" i="4"/>
  <c r="B1" i="53" s="1"/>
  <c r="B1" i="44"/>
  <c r="M27" i="4"/>
  <c r="P6" i="4" s="1"/>
  <c r="D83" i="27" s="1"/>
  <c r="B1" i="3"/>
  <c r="B1" i="9" s="1"/>
  <c r="B1" i="59"/>
  <c r="C1" i="69"/>
  <c r="B1" i="66"/>
  <c r="B1" i="45"/>
  <c r="B1" i="20"/>
  <c r="B1" i="1"/>
  <c r="B1" i="46"/>
  <c r="C1" i="49" s="1"/>
  <c r="B1" i="58"/>
  <c r="B1" i="54"/>
  <c r="B1" i="10"/>
  <c r="B1" i="60"/>
  <c r="B1" i="14"/>
  <c r="B1" i="21"/>
  <c r="B1" i="5"/>
  <c r="B1" i="61"/>
  <c r="B1" i="50"/>
  <c r="D100" i="5"/>
  <c r="J101" i="5" s="1"/>
  <c r="D111" i="5"/>
  <c r="O145" i="11"/>
  <c r="K100" i="5"/>
  <c r="O109" i="11"/>
  <c r="C109" i="11" s="1"/>
  <c r="U109" i="11" s="1"/>
  <c r="U108" i="11" s="1"/>
  <c r="D6" i="5"/>
  <c r="C24" i="60"/>
  <c r="K24" i="58"/>
  <c r="N24" i="58" s="1"/>
  <c r="N8" i="58"/>
  <c r="X1" i="15"/>
  <c r="R8" i="4"/>
  <c r="R7" i="4"/>
  <c r="Q26" i="4"/>
  <c r="P12" i="4" s="1"/>
  <c r="R11" i="4"/>
  <c r="M1" i="38"/>
  <c r="N1" i="38" s="1"/>
  <c r="M3" i="38" s="1"/>
  <c r="L1" i="28"/>
  <c r="M1" i="28" s="1"/>
  <c r="L4" i="28" s="1"/>
  <c r="M1" i="42"/>
  <c r="N1" i="42" s="1"/>
  <c r="M2" i="42" s="1"/>
  <c r="M1" i="52"/>
  <c r="N1" i="52" s="1"/>
  <c r="M3" i="52" s="1"/>
  <c r="N1" i="21"/>
  <c r="O1" i="21" s="1"/>
  <c r="N4" i="21" s="1"/>
  <c r="M1" i="37"/>
  <c r="N1" i="37" s="1"/>
  <c r="M3" i="37" s="1"/>
  <c r="M1" i="36"/>
  <c r="N1" i="36" s="1"/>
  <c r="M4" i="36" s="1"/>
  <c r="L1" i="30"/>
  <c r="M1" i="30" s="1"/>
  <c r="L3" i="30" s="1"/>
  <c r="M1" i="41"/>
  <c r="N1" i="41" s="1"/>
  <c r="M4" i="41" s="1"/>
  <c r="M1" i="20"/>
  <c r="N1" i="20" s="1"/>
  <c r="M4" i="20" s="1"/>
  <c r="M1" i="40"/>
  <c r="N1" i="40" s="1"/>
  <c r="M3" i="40" s="1"/>
  <c r="M1" i="43"/>
  <c r="N1" i="43" s="1"/>
  <c r="M4" i="43" s="1"/>
  <c r="M1" i="33"/>
  <c r="N1" i="33" s="1"/>
  <c r="M3" i="33" s="1"/>
  <c r="M1" i="29"/>
  <c r="N1" i="29" s="1"/>
  <c r="M3" i="29" s="1"/>
  <c r="N26" i="4"/>
  <c r="M4" i="34"/>
  <c r="M1" i="19"/>
  <c r="N1" i="19" s="1"/>
  <c r="M4" i="19" s="1"/>
  <c r="S18" i="4"/>
  <c r="R18" i="4"/>
  <c r="O121" i="5"/>
  <c r="R9" i="4"/>
  <c r="R10" i="4"/>
  <c r="K24" i="60"/>
  <c r="L24" i="58" s="1"/>
  <c r="L8" i="58"/>
  <c r="O17" i="4"/>
  <c r="P15" i="4" s="1"/>
  <c r="K9" i="4" s="1"/>
  <c r="L3" i="23"/>
  <c r="L4" i="23"/>
  <c r="M125" i="5"/>
  <c r="M124" i="5"/>
  <c r="M127" i="5"/>
  <c r="M123" i="5"/>
  <c r="M126" i="5" s="1"/>
  <c r="M4" i="39"/>
  <c r="M3" i="39"/>
  <c r="M2" i="39"/>
  <c r="G54" i="4"/>
  <c r="J22" i="4"/>
  <c r="M4" i="35" l="1"/>
  <c r="M2" i="35"/>
  <c r="D13" i="4"/>
  <c r="A1" i="17"/>
  <c r="L2" i="23"/>
  <c r="M3" i="34"/>
  <c r="L6" i="23"/>
  <c r="P19" i="66"/>
  <c r="M2" i="19"/>
  <c r="P4" i="4"/>
  <c r="C94" i="32" s="1"/>
  <c r="D84" i="32"/>
  <c r="M3" i="36"/>
  <c r="M2" i="33"/>
  <c r="F117" i="32"/>
  <c r="I117" i="32" s="1"/>
  <c r="B27" i="41"/>
  <c r="B30" i="40"/>
  <c r="D51" i="29"/>
  <c r="D28" i="32"/>
  <c r="N2" i="21"/>
  <c r="M3" i="19"/>
  <c r="M2" i="38"/>
  <c r="M4" i="38"/>
  <c r="M2" i="36"/>
  <c r="E7" i="26"/>
  <c r="D7" i="20"/>
  <c r="E4" i="46"/>
  <c r="C117" i="32"/>
  <c r="E45" i="22"/>
  <c r="B27" i="38"/>
  <c r="B15" i="25"/>
  <c r="F33" i="33"/>
  <c r="I33" i="33" s="1"/>
  <c r="B27" i="42"/>
  <c r="D25" i="26"/>
  <c r="C3" i="66"/>
  <c r="B19" i="36"/>
  <c r="D28" i="22"/>
  <c r="C28" i="22"/>
  <c r="C58" i="26"/>
  <c r="D7" i="22"/>
  <c r="D41" i="26"/>
  <c r="B46" i="32"/>
  <c r="B30" i="39"/>
  <c r="D58" i="26"/>
  <c r="D7" i="24"/>
  <c r="B13" i="37"/>
  <c r="B57" i="21"/>
  <c r="B54" i="37"/>
  <c r="D8" i="32"/>
  <c r="F8" i="32" s="1"/>
  <c r="D79" i="26"/>
  <c r="D90" i="26" s="1"/>
  <c r="M53" i="4"/>
  <c r="M48" i="4"/>
  <c r="M34" i="4"/>
  <c r="M32" i="4"/>
  <c r="M41" i="4"/>
  <c r="M47" i="4"/>
  <c r="M46" i="4"/>
  <c r="M29" i="4"/>
  <c r="M37" i="4"/>
  <c r="M42" i="4"/>
  <c r="M40" i="4"/>
  <c r="M36" i="4"/>
  <c r="M33" i="4"/>
  <c r="M52" i="4"/>
  <c r="M50" i="4"/>
  <c r="M54" i="4"/>
  <c r="M49" i="4"/>
  <c r="M38" i="4"/>
  <c r="M44" i="4"/>
  <c r="M1" i="22" s="1"/>
  <c r="N1" i="22" s="1"/>
  <c r="M39" i="4"/>
  <c r="M55" i="4"/>
  <c r="M51" i="4"/>
  <c r="M45" i="4"/>
  <c r="M35" i="4"/>
  <c r="M28" i="4"/>
  <c r="M30" i="4"/>
  <c r="M43" i="4"/>
  <c r="M31" i="4"/>
  <c r="D3" i="33"/>
  <c r="F53" i="38"/>
  <c r="D24" i="28"/>
  <c r="D7" i="23"/>
  <c r="B52" i="23" s="1"/>
  <c r="B30" i="43"/>
  <c r="E4" i="10"/>
  <c r="Q113" i="11" s="1"/>
  <c r="F28" i="22"/>
  <c r="D24" i="25"/>
  <c r="G2" i="69"/>
  <c r="D7" i="31"/>
  <c r="B9" i="38"/>
  <c r="C84" i="32"/>
  <c r="C79" i="26"/>
  <c r="C90" i="26" s="1"/>
  <c r="F94" i="32"/>
  <c r="C53" i="38"/>
  <c r="B49" i="38"/>
  <c r="B1" i="18"/>
  <c r="B1" i="17"/>
  <c r="B1" i="16"/>
  <c r="N3" i="21"/>
  <c r="M4" i="40"/>
  <c r="M3" i="41"/>
  <c r="M2" i="37"/>
  <c r="M3" i="43"/>
  <c r="M2" i="43"/>
  <c r="N5" i="21"/>
  <c r="M4" i="37"/>
  <c r="B1" i="22"/>
  <c r="B1" i="11"/>
  <c r="M3" i="20"/>
  <c r="M6" i="20"/>
  <c r="M6" i="19"/>
  <c r="J111" i="5"/>
  <c r="I113" i="5"/>
  <c r="J100" i="5"/>
  <c r="J102" i="5" s="1"/>
  <c r="J110" i="5"/>
  <c r="L87" i="5"/>
  <c r="F11" i="3"/>
  <c r="H11" i="3" s="1"/>
  <c r="F10" i="3"/>
  <c r="H10" i="3" s="1"/>
  <c r="L4" i="30"/>
  <c r="M4" i="42"/>
  <c r="M3" i="42"/>
  <c r="L3" i="28"/>
  <c r="M5" i="20"/>
  <c r="M2" i="40"/>
  <c r="M5" i="19"/>
  <c r="M2" i="20"/>
  <c r="M4" i="52"/>
  <c r="M2" i="52"/>
  <c r="N6" i="21"/>
  <c r="M2" i="41"/>
  <c r="M4" i="29"/>
  <c r="M4" i="33"/>
  <c r="B10" i="37" l="1"/>
  <c r="B10" i="42"/>
  <c r="D3" i="52"/>
  <c r="B112" i="32"/>
  <c r="D3" i="51"/>
  <c r="A3" i="51" s="1"/>
  <c r="H22" i="51" s="1"/>
  <c r="B9" i="59"/>
  <c r="B41" i="32"/>
  <c r="C8" i="32"/>
  <c r="C28" i="32"/>
  <c r="B9" i="36"/>
  <c r="D3" i="27"/>
  <c r="B10" i="27" s="1"/>
  <c r="D3" i="39"/>
  <c r="B47" i="38"/>
  <c r="D3" i="37"/>
  <c r="B9" i="25"/>
  <c r="C24" i="25"/>
  <c r="D3" i="38"/>
  <c r="C7" i="20"/>
  <c r="B9" i="43"/>
  <c r="C83" i="27"/>
  <c r="D3" i="32"/>
  <c r="D4" i="58"/>
  <c r="G4" i="60" s="1"/>
  <c r="D3" i="25"/>
  <c r="D3" i="23"/>
  <c r="C7" i="26"/>
  <c r="E28" i="22"/>
  <c r="C45" i="22"/>
  <c r="D3" i="36"/>
  <c r="B20" i="37"/>
  <c r="C33" i="33"/>
  <c r="B10" i="40"/>
  <c r="B3" i="11"/>
  <c r="D3" i="21"/>
  <c r="D3" i="34"/>
  <c r="C51" i="29"/>
  <c r="B56" i="21"/>
  <c r="D3" i="42"/>
  <c r="D3" i="43"/>
  <c r="C7" i="24"/>
  <c r="C7" i="22"/>
  <c r="D3" i="30"/>
  <c r="C4" i="10"/>
  <c r="C7" i="51" s="1"/>
  <c r="C28" i="51" s="1"/>
  <c r="C7" i="23"/>
  <c r="B44" i="23" s="1"/>
  <c r="C7" i="31"/>
  <c r="E101" i="11"/>
  <c r="D3" i="31"/>
  <c r="C25" i="26"/>
  <c r="E8" i="32"/>
  <c r="P20" i="66"/>
  <c r="D3" i="35"/>
  <c r="D3" i="20"/>
  <c r="C4" i="46"/>
  <c r="D3" i="26"/>
  <c r="C24" i="28"/>
  <c r="B10" i="39"/>
  <c r="D3" i="24"/>
  <c r="D3" i="40"/>
  <c r="D3" i="41"/>
  <c r="D3" i="29"/>
  <c r="D3" i="28"/>
  <c r="B10" i="41"/>
  <c r="C41" i="26"/>
  <c r="O75" i="11"/>
  <c r="O108" i="11"/>
  <c r="B144" i="32"/>
  <c r="Q75" i="11"/>
  <c r="L4" i="11"/>
  <c r="C6" i="52"/>
  <c r="B19" i="52" s="1"/>
  <c r="L113" i="11"/>
  <c r="C21" i="51"/>
  <c r="E4" i="11"/>
  <c r="D156" i="32"/>
  <c r="C156" i="32"/>
  <c r="G7" i="51"/>
  <c r="G28" i="51" s="1"/>
  <c r="E75" i="11"/>
  <c r="J108" i="11"/>
  <c r="L83" i="11"/>
  <c r="E140" i="11"/>
  <c r="O113" i="11"/>
  <c r="B78" i="27"/>
  <c r="Q83" i="11"/>
  <c r="Q4" i="11"/>
  <c r="B20" i="52"/>
  <c r="E83" i="11"/>
  <c r="Q140" i="11"/>
  <c r="E113" i="11"/>
  <c r="H21" i="51"/>
  <c r="L75" i="11"/>
  <c r="G23" i="51"/>
  <c r="H20" i="51"/>
  <c r="F16" i="51"/>
  <c r="D22" i="51"/>
  <c r="D15" i="51"/>
  <c r="F24" i="51"/>
  <c r="E16" i="51"/>
  <c r="G20" i="51"/>
  <c r="E24" i="51"/>
  <c r="G24" i="51"/>
  <c r="D20" i="51"/>
  <c r="G17" i="51"/>
  <c r="G21" i="51"/>
  <c r="B22" i="27"/>
  <c r="L140" i="11"/>
  <c r="J83" i="11"/>
  <c r="C113" i="11"/>
  <c r="C61" i="11"/>
  <c r="F20" i="51"/>
  <c r="F25" i="51"/>
  <c r="H17" i="51"/>
  <c r="H16" i="51"/>
  <c r="F15" i="51"/>
  <c r="C25" i="51"/>
  <c r="F23" i="51"/>
  <c r="F22" i="51"/>
  <c r="P3" i="4"/>
  <c r="M26" i="4"/>
  <c r="J26" i="4" s="1"/>
  <c r="V42" i="3"/>
  <c r="H25" i="51"/>
  <c r="E20" i="51"/>
  <c r="H15" i="51"/>
  <c r="H23" i="51"/>
  <c r="D24" i="51"/>
  <c r="F12" i="51"/>
  <c r="E21" i="51"/>
  <c r="H24" i="51"/>
  <c r="E25" i="51"/>
  <c r="D25" i="51"/>
  <c r="C15" i="51"/>
  <c r="C16" i="51"/>
  <c r="D23" i="51"/>
  <c r="H12" i="51"/>
  <c r="E23" i="51"/>
  <c r="E22" i="51"/>
  <c r="D16" i="51"/>
  <c r="G16" i="51"/>
  <c r="C23" i="51"/>
  <c r="M3" i="22"/>
  <c r="M4" i="22"/>
  <c r="M6" i="22"/>
  <c r="M2" i="22"/>
  <c r="M5" i="22"/>
  <c r="B1" i="29"/>
  <c r="B1" i="31"/>
  <c r="B1" i="25"/>
  <c r="B1" i="32"/>
  <c r="B1" i="37"/>
  <c r="B1" i="38"/>
  <c r="B1" i="23"/>
  <c r="B1" i="41"/>
  <c r="B1" i="35"/>
  <c r="B1" i="51"/>
  <c r="B1" i="43"/>
  <c r="B1" i="27"/>
  <c r="B1" i="52"/>
  <c r="B1" i="39"/>
  <c r="B1" i="28"/>
  <c r="B1" i="30"/>
  <c r="B1" i="36"/>
  <c r="B1" i="24"/>
  <c r="B1" i="42"/>
  <c r="B1" i="34"/>
  <c r="B1" i="26"/>
  <c r="B1" i="40"/>
  <c r="B1" i="33"/>
  <c r="J112" i="5"/>
  <c r="J113" i="5" s="1"/>
  <c r="D110" i="5" s="1"/>
  <c r="D11" i="5" s="1"/>
  <c r="F30" i="3" s="1"/>
  <c r="K30" i="3" s="1"/>
  <c r="J106" i="5"/>
  <c r="J103" i="5"/>
  <c r="D99" i="5" s="1"/>
  <c r="D10" i="5" s="1"/>
  <c r="J11" i="3"/>
  <c r="M87" i="5"/>
  <c r="E93" i="5" s="1"/>
  <c r="O91" i="5"/>
  <c r="N91" i="5" s="1"/>
  <c r="C13" i="51" l="1"/>
  <c r="G15" i="51"/>
  <c r="C20" i="51"/>
  <c r="F21" i="51"/>
  <c r="G22" i="51"/>
  <c r="E17" i="51"/>
  <c r="H13" i="51"/>
  <c r="C12" i="51"/>
  <c r="C18" i="51" s="1"/>
  <c r="C24" i="51"/>
  <c r="C22" i="51"/>
  <c r="E12" i="51"/>
  <c r="F17" i="51"/>
  <c r="C17" i="51"/>
  <c r="F13" i="51"/>
  <c r="D17" i="51"/>
  <c r="D21" i="51"/>
  <c r="G12" i="51"/>
  <c r="D12" i="51"/>
  <c r="G25" i="51"/>
  <c r="G13" i="51"/>
  <c r="E13" i="51"/>
  <c r="D13" i="51"/>
  <c r="E15" i="51"/>
  <c r="D66" i="48"/>
  <c r="G4" i="61"/>
  <c r="J113" i="11"/>
  <c r="C101" i="11"/>
  <c r="C140" i="11"/>
  <c r="B126" i="32"/>
  <c r="E3" i="50"/>
  <c r="J54" i="11"/>
  <c r="J4" i="11"/>
  <c r="C108" i="11"/>
  <c r="K2" i="1"/>
  <c r="C83" i="11"/>
  <c r="J61" i="11"/>
  <c r="O140" i="11"/>
  <c r="C54" i="11"/>
  <c r="O83" i="11"/>
  <c r="C75" i="11"/>
  <c r="J140" i="11"/>
  <c r="O61" i="11"/>
  <c r="B74" i="27"/>
  <c r="J75" i="11"/>
  <c r="O54" i="11"/>
  <c r="O4" i="11"/>
  <c r="C4" i="11"/>
  <c r="P21" i="66"/>
  <c r="G26" i="51"/>
  <c r="E18" i="51"/>
  <c r="G18" i="51"/>
  <c r="C26" i="51"/>
  <c r="H26" i="51"/>
  <c r="H18" i="51"/>
  <c r="E26" i="51"/>
  <c r="D18" i="51"/>
  <c r="D26" i="51"/>
  <c r="F26" i="51"/>
  <c r="F18" i="51"/>
  <c r="J23" i="4"/>
  <c r="K26" i="4"/>
  <c r="K25" i="4"/>
  <c r="K11" i="4" s="1"/>
  <c r="S21" i="4"/>
  <c r="U1" i="44"/>
  <c r="Q24" i="4"/>
  <c r="P10" i="4" s="1"/>
  <c r="R20" i="4"/>
  <c r="S19" i="4"/>
  <c r="D4" i="61"/>
  <c r="R21" i="4"/>
  <c r="B33" i="59"/>
  <c r="W1" i="15"/>
  <c r="R23" i="4"/>
  <c r="R24" i="4"/>
  <c r="Q19" i="4"/>
  <c r="P5" i="4" s="1"/>
  <c r="B21" i="59" s="1"/>
  <c r="R19" i="4"/>
  <c r="S25" i="4"/>
  <c r="Q25" i="4"/>
  <c r="P11" i="4" s="1"/>
  <c r="S24" i="4"/>
  <c r="S20" i="4"/>
  <c r="Q23" i="4"/>
  <c r="P9" i="4" s="1"/>
  <c r="Q22" i="4"/>
  <c r="P8" i="4" s="1"/>
  <c r="Q21" i="4"/>
  <c r="P7" i="4" s="1"/>
  <c r="S22" i="4"/>
  <c r="R22" i="4"/>
  <c r="R25" i="4"/>
  <c r="S23" i="4"/>
  <c r="F28" i="3"/>
  <c r="K28" i="3" s="1"/>
  <c r="G9" i="4"/>
  <c r="E94" i="5"/>
  <c r="F24" i="3" s="1"/>
  <c r="H24" i="3" s="1"/>
  <c r="F23" i="3"/>
  <c r="O68" i="11"/>
  <c r="C68" i="11" s="1"/>
  <c r="U68" i="11" s="1"/>
  <c r="K15" i="3"/>
  <c r="L16" i="3" s="1"/>
  <c r="P22" i="66" l="1"/>
  <c r="V7" i="15"/>
  <c r="V6" i="15"/>
  <c r="V4" i="15"/>
  <c r="V5" i="15"/>
  <c r="V3" i="15"/>
  <c r="T3" i="44"/>
  <c r="T5" i="44"/>
  <c r="T7" i="44"/>
  <c r="T4" i="44"/>
  <c r="T6" i="44"/>
  <c r="B60" i="21"/>
  <c r="B39" i="36"/>
  <c r="R4" i="44"/>
  <c r="Q4" i="44" s="1"/>
  <c r="S4" i="44" s="1"/>
  <c r="B57" i="27"/>
  <c r="D20" i="35"/>
  <c r="B53" i="19"/>
  <c r="B79" i="32"/>
  <c r="D4" i="14"/>
  <c r="B19" i="19"/>
  <c r="B40" i="19" s="1"/>
  <c r="D7" i="29"/>
  <c r="D4" i="45"/>
  <c r="B35" i="29"/>
  <c r="D33" i="23"/>
  <c r="D50" i="35"/>
  <c r="F52" i="59"/>
  <c r="B70" i="32"/>
  <c r="T4" i="15"/>
  <c r="B23" i="17"/>
  <c r="B11" i="19"/>
  <c r="B32" i="19" s="1"/>
  <c r="F44" i="33"/>
  <c r="E64" i="36"/>
  <c r="B25" i="29"/>
  <c r="B80" i="32"/>
  <c r="B25" i="16"/>
  <c r="D36" i="22"/>
  <c r="F16" i="20"/>
  <c r="D38" i="35"/>
  <c r="D7" i="34"/>
  <c r="G33" i="33"/>
  <c r="B30" i="15"/>
  <c r="E52" i="36"/>
  <c r="G7" i="33"/>
  <c r="B56" i="19"/>
  <c r="B23" i="18"/>
  <c r="D59" i="29"/>
  <c r="B25" i="53"/>
  <c r="D7" i="33"/>
  <c r="B47" i="27"/>
  <c r="B30" i="44"/>
  <c r="D7" i="35"/>
  <c r="D7" i="28"/>
  <c r="B56" i="27"/>
  <c r="E4" i="14"/>
  <c r="B55" i="44"/>
  <c r="T5" i="15"/>
  <c r="R5" i="44"/>
  <c r="Q5" i="44" s="1"/>
  <c r="S5" i="44" s="1"/>
  <c r="E4" i="45"/>
  <c r="B55" i="15"/>
  <c r="E36" i="22"/>
  <c r="E33" i="23"/>
  <c r="G4" i="14"/>
  <c r="E7" i="34"/>
  <c r="B43" i="16"/>
  <c r="G64" i="36"/>
  <c r="B40" i="18"/>
  <c r="R7" i="44"/>
  <c r="E7" i="35"/>
  <c r="B40" i="17"/>
  <c r="E38" i="35"/>
  <c r="B69" i="27"/>
  <c r="B59" i="27"/>
  <c r="T7" i="15"/>
  <c r="E7" i="33"/>
  <c r="H7" i="33"/>
  <c r="B44" i="36"/>
  <c r="B43" i="53"/>
  <c r="L1" i="49"/>
  <c r="D1" i="49" s="1"/>
  <c r="B68" i="27"/>
  <c r="E7" i="28"/>
  <c r="I52" i="59"/>
  <c r="B105" i="15"/>
  <c r="B105" i="44"/>
  <c r="E20" i="35"/>
  <c r="E59" i="29"/>
  <c r="I44" i="33"/>
  <c r="E50" i="35"/>
  <c r="G52" i="36"/>
  <c r="J33" i="33"/>
  <c r="G4" i="45"/>
  <c r="R17" i="4"/>
  <c r="F1" i="4"/>
  <c r="D4" i="60"/>
  <c r="D4" i="46"/>
  <c r="D4" i="10"/>
  <c r="F4" i="45"/>
  <c r="R6" i="44"/>
  <c r="B80" i="44"/>
  <c r="F4" i="14"/>
  <c r="T6" i="15"/>
  <c r="S6" i="15" s="1"/>
  <c r="U6" i="15" s="1"/>
  <c r="B80" i="15"/>
  <c r="B5" i="15"/>
  <c r="B7" i="16"/>
  <c r="B59" i="21"/>
  <c r="B6" i="17"/>
  <c r="C7" i="29"/>
  <c r="B6" i="18"/>
  <c r="B29" i="19"/>
  <c r="B50" i="19" s="1"/>
  <c r="C44" i="33"/>
  <c r="B34" i="36"/>
  <c r="C16" i="20"/>
  <c r="B35" i="27"/>
  <c r="B55" i="19"/>
  <c r="B68" i="32"/>
  <c r="C59" i="29"/>
  <c r="C38" i="35"/>
  <c r="C52" i="36"/>
  <c r="C36" i="22"/>
  <c r="F7" i="33"/>
  <c r="C64" i="36"/>
  <c r="C4" i="14"/>
  <c r="C33" i="23"/>
  <c r="B58" i="32"/>
  <c r="C7" i="33"/>
  <c r="C7" i="35"/>
  <c r="B44" i="27"/>
  <c r="B37" i="29"/>
  <c r="D33" i="33"/>
  <c r="C50" i="35"/>
  <c r="B7" i="53"/>
  <c r="B21" i="19"/>
  <c r="B42" i="19" s="1"/>
  <c r="C104" i="32"/>
  <c r="R3" i="44"/>
  <c r="Q3" i="44" s="1"/>
  <c r="S3" i="44" s="1"/>
  <c r="B67" i="32"/>
  <c r="B5" i="44"/>
  <c r="C20" i="35"/>
  <c r="C7" i="28"/>
  <c r="T3" i="15"/>
  <c r="S3" i="15" s="1"/>
  <c r="U3" i="15" s="1"/>
  <c r="C4" i="45"/>
  <c r="C52" i="59"/>
  <c r="B52" i="19"/>
  <c r="B45" i="27"/>
  <c r="B47" i="29"/>
  <c r="C7" i="34"/>
  <c r="J4" i="58"/>
  <c r="J4" i="60"/>
  <c r="D68" i="48"/>
  <c r="M6" i="58"/>
  <c r="M2" i="58" s="1"/>
  <c r="L32" i="3"/>
  <c r="O73" i="11" s="1"/>
  <c r="C73" i="11" s="1"/>
  <c r="U73" i="11" s="1"/>
  <c r="S7" i="44" l="1"/>
  <c r="P23" i="66"/>
  <c r="Q6" i="44"/>
  <c r="S6" i="44" s="1"/>
  <c r="S5" i="15"/>
  <c r="U5" i="15" s="1"/>
  <c r="F36" i="22"/>
  <c r="C54" i="22"/>
  <c r="N9" i="11"/>
  <c r="G6" i="11"/>
  <c r="G9" i="11"/>
  <c r="Q98" i="11"/>
  <c r="E105" i="11"/>
  <c r="K63" i="23"/>
  <c r="G39" i="11"/>
  <c r="Q110" i="11"/>
  <c r="L98" i="11"/>
  <c r="S9" i="11"/>
  <c r="N24" i="11"/>
  <c r="E110" i="11"/>
  <c r="N6" i="11"/>
  <c r="N39" i="11"/>
  <c r="S6" i="11"/>
  <c r="S24" i="11"/>
  <c r="G24" i="11"/>
  <c r="S39" i="11"/>
  <c r="E98" i="11"/>
  <c r="L110" i="11"/>
  <c r="Q6" i="11"/>
  <c r="E6" i="11"/>
  <c r="L6" i="11"/>
  <c r="J110" i="11"/>
  <c r="C105" i="11"/>
  <c r="O39" i="11"/>
  <c r="J9" i="11"/>
  <c r="C24" i="11"/>
  <c r="C98" i="11"/>
  <c r="O9" i="11"/>
  <c r="J98" i="11"/>
  <c r="C39" i="11"/>
  <c r="O6" i="11"/>
  <c r="C110" i="11"/>
  <c r="O110" i="11"/>
  <c r="O24" i="11"/>
  <c r="C9" i="11"/>
  <c r="J39" i="11"/>
  <c r="J24" i="11"/>
  <c r="J6" i="11"/>
  <c r="C6" i="54"/>
  <c r="C6" i="11"/>
  <c r="O98" i="11"/>
  <c r="K64" i="23"/>
  <c r="L6" i="58"/>
  <c r="L2" i="58" s="1"/>
  <c r="G4" i="58"/>
  <c r="N6" i="58" s="1"/>
  <c r="D67" i="48"/>
  <c r="J4" i="61"/>
  <c r="P140" i="11"/>
  <c r="D140" i="11"/>
  <c r="D113" i="11"/>
  <c r="P4" i="11"/>
  <c r="K4" i="11"/>
  <c r="K83" i="11"/>
  <c r="E7" i="51"/>
  <c r="E28" i="51" s="1"/>
  <c r="D75" i="11"/>
  <c r="K140" i="11"/>
  <c r="B16" i="27"/>
  <c r="D83" i="11"/>
  <c r="D4" i="11"/>
  <c r="D101" i="11"/>
  <c r="K75" i="11"/>
  <c r="K113" i="11"/>
  <c r="P75" i="11"/>
  <c r="P113" i="11"/>
  <c r="B76" i="27"/>
  <c r="B135" i="32"/>
  <c r="P83" i="11"/>
  <c r="E54" i="22"/>
  <c r="H36" i="22"/>
  <c r="D54" i="22"/>
  <c r="G36" i="22"/>
  <c r="S4" i="15"/>
  <c r="U4" i="15" s="1"/>
  <c r="U7" i="15" s="1"/>
  <c r="M6" i="11"/>
  <c r="F6" i="11"/>
  <c r="R6" i="11"/>
  <c r="D6" i="11"/>
  <c r="D110" i="11"/>
  <c r="D24" i="11"/>
  <c r="P110" i="11"/>
  <c r="K24" i="11"/>
  <c r="P39" i="11"/>
  <c r="P6" i="11"/>
  <c r="P9" i="11"/>
  <c r="K98" i="11"/>
  <c r="K39" i="11"/>
  <c r="D9" i="11"/>
  <c r="K6" i="11"/>
  <c r="P98" i="11"/>
  <c r="P24" i="11"/>
  <c r="K110" i="11"/>
  <c r="D105" i="11"/>
  <c r="D98" i="11"/>
  <c r="D39" i="11"/>
  <c r="K9" i="11"/>
  <c r="F25" i="3"/>
  <c r="H25" i="3" s="1"/>
  <c r="L25" i="3" s="1"/>
  <c r="M34" i="3" s="1"/>
  <c r="P24" i="66" l="1"/>
  <c r="B75" i="23"/>
  <c r="B64" i="23"/>
  <c r="B89" i="23"/>
  <c r="B78" i="23"/>
  <c r="O58" i="58"/>
  <c r="O57" i="58"/>
  <c r="O26" i="58"/>
  <c r="O90" i="58"/>
  <c r="O19" i="58"/>
  <c r="O83" i="58"/>
  <c r="O28" i="58"/>
  <c r="O92" i="58"/>
  <c r="O54" i="58"/>
  <c r="O47" i="58"/>
  <c r="O32" i="58"/>
  <c r="O65" i="58"/>
  <c r="O34" i="58"/>
  <c r="O29" i="58"/>
  <c r="O27" i="58"/>
  <c r="O91" i="58"/>
  <c r="O36" i="58"/>
  <c r="O13" i="58"/>
  <c r="O70" i="58"/>
  <c r="O55" i="58"/>
  <c r="O40" i="58"/>
  <c r="O6" i="58"/>
  <c r="O50" i="58"/>
  <c r="O45" i="58"/>
  <c r="O71" i="58"/>
  <c r="O89" i="58"/>
  <c r="O61" i="58"/>
  <c r="O15" i="58"/>
  <c r="O9" i="58"/>
  <c r="O73" i="58"/>
  <c r="O42" i="58"/>
  <c r="O77" i="58"/>
  <c r="O35" i="58"/>
  <c r="O21" i="58"/>
  <c r="O44" i="58"/>
  <c r="O53" i="58"/>
  <c r="O86" i="58"/>
  <c r="O63" i="58"/>
  <c r="O48" i="58"/>
  <c r="O7" i="58"/>
  <c r="O25" i="58"/>
  <c r="O33" i="58"/>
  <c r="O37" i="58"/>
  <c r="O66" i="58"/>
  <c r="O62" i="58"/>
  <c r="O59" i="58"/>
  <c r="O85" i="58"/>
  <c r="O68" i="58"/>
  <c r="O14" i="58"/>
  <c r="O23" i="58"/>
  <c r="O87" i="58"/>
  <c r="O72" i="58"/>
  <c r="O18" i="58"/>
  <c r="O11" i="58"/>
  <c r="O20" i="58"/>
  <c r="O38" i="58"/>
  <c r="O24" i="58"/>
  <c r="O17" i="58"/>
  <c r="O43" i="58"/>
  <c r="O69" i="58"/>
  <c r="O56" i="58"/>
  <c r="O46" i="58"/>
  <c r="O60" i="58"/>
  <c r="O79" i="58"/>
  <c r="O41" i="58"/>
  <c r="O10" i="58"/>
  <c r="O74" i="58"/>
  <c r="O78" i="58"/>
  <c r="O67" i="58"/>
  <c r="O12" i="58"/>
  <c r="O76" i="58"/>
  <c r="O30" i="58"/>
  <c r="O31" i="58"/>
  <c r="O16" i="58"/>
  <c r="O80" i="58"/>
  <c r="O49" i="58"/>
  <c r="O82" i="58"/>
  <c r="O75" i="58"/>
  <c r="O84" i="58"/>
  <c r="O39" i="58"/>
  <c r="O88" i="58"/>
  <c r="O81" i="58"/>
  <c r="O22" i="58"/>
  <c r="O52" i="58"/>
  <c r="O8" i="58"/>
  <c r="O51" i="58"/>
  <c r="O93" i="58"/>
  <c r="O64" i="58"/>
  <c r="O72" i="11"/>
  <c r="C72" i="11" s="1"/>
  <c r="U72" i="11" s="1"/>
  <c r="O74" i="11"/>
  <c r="C74" i="11" s="1"/>
  <c r="U74" i="11" s="1"/>
  <c r="J39" i="3"/>
  <c r="P25" i="66" l="1"/>
  <c r="E20" i="9"/>
  <c r="G20" i="9" s="1"/>
  <c r="G22" i="9" s="1"/>
  <c r="G25" i="9" s="1"/>
  <c r="G7" i="4" s="1"/>
  <c r="O63" i="11"/>
  <c r="C63" i="11" s="1"/>
  <c r="U63" i="11" s="1"/>
  <c r="O62" i="11"/>
  <c r="C62" i="11" s="1"/>
  <c r="U62" i="11" s="1"/>
  <c r="J40" i="3"/>
  <c r="P26" i="66" l="1"/>
  <c r="J42" i="3"/>
  <c r="G10" i="4" s="1"/>
  <c r="O65" i="11"/>
  <c r="C65" i="11" s="1"/>
  <c r="U65" i="11" s="1"/>
  <c r="U61" i="11" s="1"/>
  <c r="P27" i="66" l="1"/>
  <c r="P28" i="66" l="1"/>
  <c r="P29" i="66" l="1"/>
  <c r="P30" i="66" l="1"/>
  <c r="P31" i="66" l="1"/>
  <c r="P32" i="66" l="1"/>
  <c r="P33" i="66" l="1"/>
  <c r="P34" i="66" l="1"/>
  <c r="P35" i="66" l="1"/>
  <c r="P37" i="66" l="1"/>
  <c r="P36" i="66"/>
  <c r="P11" i="66" s="1"/>
  <c r="B8" i="66" s="1"/>
  <c r="P38" i="66" l="1"/>
  <c r="P39" i="66" l="1"/>
  <c r="P40" i="66" l="1"/>
  <c r="P41" i="66" l="1"/>
  <c r="P42" i="66" l="1"/>
  <c r="P43" i="66" l="1"/>
  <c r="P44" i="66" l="1"/>
  <c r="P45" i="66" l="1"/>
  <c r="P46" i="66" l="1"/>
  <c r="P47" i="66" l="1"/>
  <c r="P48" i="66" l="1"/>
  <c r="P49" i="66" l="1"/>
  <c r="P50" i="66" l="1"/>
  <c r="P51" i="66" l="1"/>
  <c r="P52" i="66" l="1"/>
  <c r="P53" i="66" l="1"/>
  <c r="P54" i="66" l="1"/>
  <c r="P55" i="66" l="1"/>
  <c r="P56" i="66" l="1"/>
  <c r="P57" i="66" l="1"/>
  <c r="P58" i="66" l="1"/>
  <c r="P59" i="66" l="1"/>
  <c r="P60" i="66" l="1"/>
  <c r="P61" i="66" l="1"/>
  <c r="P62" i="66" l="1"/>
  <c r="P63" i="66" l="1"/>
</calcChain>
</file>

<file path=xl/sharedStrings.xml><?xml version="1.0" encoding="utf-8"?>
<sst xmlns="http://schemas.openxmlformats.org/spreadsheetml/2006/main" count="48463" uniqueCount="5974">
  <si>
    <t xml:space="preserve"> </t>
  </si>
  <si>
    <t>סה"כ הנכסים ויתרות חובה</t>
  </si>
  <si>
    <t>שורה</t>
  </si>
  <si>
    <t>1.</t>
  </si>
  <si>
    <t>השקעות</t>
  </si>
  <si>
    <t>א.</t>
  </si>
  <si>
    <t>מזומנים ושווי מזומנים</t>
  </si>
  <si>
    <t>(1</t>
  </si>
  <si>
    <t>בישראל</t>
  </si>
  <si>
    <t>א)</t>
  </si>
  <si>
    <t>יתרות מזומנים ועו"ש בשקלים חדשים</t>
  </si>
  <si>
    <t>ב)</t>
  </si>
  <si>
    <t xml:space="preserve">יתרות מזומנים ועו"ש נקובים במט"ח </t>
  </si>
  <si>
    <t>ג)</t>
  </si>
  <si>
    <t>פח"ק/פר"י</t>
  </si>
  <si>
    <t>ד)</t>
  </si>
  <si>
    <t>פק"מ לתקופה של עד שלושה חודשים</t>
  </si>
  <si>
    <t>ה)</t>
  </si>
  <si>
    <t>פיקדון צמוד מדד עד שלושה חודשים</t>
  </si>
  <si>
    <t>ו)</t>
  </si>
  <si>
    <t>פיקדון צמוד מט"ח עד שלושה חודשים (פצ"מ)</t>
  </si>
  <si>
    <t>ז)</t>
  </si>
  <si>
    <t>פיקדונות במט"ח עד שלושה חודשים</t>
  </si>
  <si>
    <t>(2</t>
  </si>
  <si>
    <t>בחו"ל</t>
  </si>
  <si>
    <t>יתרות מזומנים ועו"ש נקובים במט"ח</t>
  </si>
  <si>
    <t>ב.</t>
  </si>
  <si>
    <t>ניירות ערך (למעט בחברות מוחזקות)</t>
  </si>
  <si>
    <t>אגרות חוב ממשלתיות:</t>
  </si>
  <si>
    <t>(1)</t>
  </si>
  <si>
    <t>סחיר</t>
  </si>
  <si>
    <t>(א)</t>
  </si>
  <si>
    <t xml:space="preserve">     צמוד מדד</t>
  </si>
  <si>
    <t>(ג)</t>
  </si>
  <si>
    <t>לא צמוד בריבית קבועה</t>
  </si>
  <si>
    <t>(ד)</t>
  </si>
  <si>
    <t>לא צמוד בריבית משתנה</t>
  </si>
  <si>
    <t>(ה)</t>
  </si>
  <si>
    <t xml:space="preserve">צמוד מט"ח  </t>
  </si>
  <si>
    <t>(ו)</t>
  </si>
  <si>
    <t>מק"מ</t>
  </si>
  <si>
    <t>(2)</t>
  </si>
  <si>
    <t>לא סחיר</t>
  </si>
  <si>
    <t>אג"ח מיועדות - הסכמי "חץ" כולל אג"ח של חברת החשמל</t>
  </si>
  <si>
    <t>(ב)</t>
  </si>
  <si>
    <t>אג"ח לא סחירות אחרות</t>
  </si>
  <si>
    <t xml:space="preserve">ממשלת ישראל שהונפקו בחו"ל </t>
  </si>
  <si>
    <t xml:space="preserve">שהנפיקה ממשלה זרה </t>
  </si>
  <si>
    <t xml:space="preserve">תעודות חוב מסחריות: </t>
  </si>
  <si>
    <t xml:space="preserve">דרוג AA- ומעלה </t>
  </si>
  <si>
    <t>a</t>
  </si>
  <si>
    <t xml:space="preserve">צמוד מדד </t>
  </si>
  <si>
    <t>b</t>
  </si>
  <si>
    <t>לא צמוד</t>
  </si>
  <si>
    <t>c</t>
  </si>
  <si>
    <t>צמוד מט"ח</t>
  </si>
  <si>
    <t xml:space="preserve">דרוג BBB- ועד A+ </t>
  </si>
  <si>
    <t xml:space="preserve">דרוג נמוך מ- BBB- או לא מדורג </t>
  </si>
  <si>
    <t xml:space="preserve">בדרוג נמוך מ- BBB- או לא מדורג עם בטוחה מספקת </t>
  </si>
  <si>
    <t>סחיר - חברות ישראליות</t>
  </si>
  <si>
    <t xml:space="preserve">דרוג A- ומעלה </t>
  </si>
  <si>
    <t>דרוג BBB- ועד BBB+</t>
  </si>
  <si>
    <t>לא סחיר - חברות ישראליות</t>
  </si>
  <si>
    <t>(3)</t>
  </si>
  <si>
    <t>סחיר - חברות זרות</t>
  </si>
  <si>
    <t>(4)</t>
  </si>
  <si>
    <t>לא סחיר - חברות זרות</t>
  </si>
  <si>
    <t>(3</t>
  </si>
  <si>
    <t>אג"ח קונצרני:</t>
  </si>
  <si>
    <t>d</t>
  </si>
  <si>
    <t>אחר</t>
  </si>
  <si>
    <t>צמוד מדד</t>
  </si>
  <si>
    <t>4)</t>
  </si>
  <si>
    <t>מניות (למעט חברות מוחזקות)</t>
  </si>
  <si>
    <t>ת"א 25</t>
  </si>
  <si>
    <t>מניות</t>
  </si>
  <si>
    <t>אופציה 001 Call ח  (Long)</t>
  </si>
  <si>
    <t>אופציה 001 Call ח  (Short)</t>
  </si>
  <si>
    <t>ת"א 75</t>
  </si>
  <si>
    <t>מניות היתר</t>
  </si>
  <si>
    <t>מניות זרות הנסחרות בארץ</t>
  </si>
  <si>
    <t>חברות ישראליות</t>
  </si>
  <si>
    <t>חברות זרות החזקה מתחת  ל-10%</t>
  </si>
  <si>
    <t>חברות זרות החזקה של 10% ומעלה</t>
  </si>
  <si>
    <t>חברות זרות</t>
  </si>
  <si>
    <t>5)</t>
  </si>
  <si>
    <t>(5)</t>
  </si>
  <si>
    <t>בחסר</t>
  </si>
  <si>
    <t>(6)</t>
  </si>
  <si>
    <t>6)</t>
  </si>
  <si>
    <t>תעודות השתתפות בקרנות נאמנות</t>
  </si>
  <si>
    <t>אג"ח קנצרני</t>
  </si>
  <si>
    <t>אג"ח ממשלתי</t>
  </si>
  <si>
    <t>7)</t>
  </si>
  <si>
    <t>קרנות השקעה</t>
  </si>
  <si>
    <t>קרנות הון סיכון</t>
  </si>
  <si>
    <t>קרנות גידור</t>
  </si>
  <si>
    <t>קרנות נדל"ן</t>
  </si>
  <si>
    <t>קרנות השקעה אחרות</t>
  </si>
  <si>
    <t>8)</t>
  </si>
  <si>
    <t>כתבי אופציה (WARRANTS)</t>
  </si>
  <si>
    <t>סחירים</t>
  </si>
  <si>
    <t>לא סחירים</t>
  </si>
  <si>
    <t>9)</t>
  </si>
  <si>
    <t>חוזים עתידיים</t>
  </si>
  <si>
    <t>סחיר (Future) - ביטחון הנדרש ירשם בנספח א'</t>
  </si>
  <si>
    <t>לא סחיר (Forward, Swap)</t>
  </si>
  <si>
    <t>מדדים כולל מניות</t>
  </si>
  <si>
    <t>₪ / מט"ח</t>
  </si>
  <si>
    <t>מט"ח / מט"ח</t>
  </si>
  <si>
    <t>ריבית</t>
  </si>
  <si>
    <t>מטבע</t>
  </si>
  <si>
    <t>10)</t>
  </si>
  <si>
    <t>אופציות - (OPTIONS)</t>
  </si>
  <si>
    <t>מדדים כולל מניות (Long)</t>
  </si>
  <si>
    <t>₪ /  מט"ח          (Long)</t>
  </si>
  <si>
    <t>ריבית                (Long)</t>
  </si>
  <si>
    <t>אחר                  (Long)</t>
  </si>
  <si>
    <t>מדדים כולל מניות  (Short)</t>
  </si>
  <si>
    <t>₪ /  מט"ח           (Short)</t>
  </si>
  <si>
    <t>(ז)</t>
  </si>
  <si>
    <t>ריבית                 (Short)</t>
  </si>
  <si>
    <t>(ח)</t>
  </si>
  <si>
    <t>אחר                   (Short)</t>
  </si>
  <si>
    <t>מדדים כולל מניות            (Long)</t>
  </si>
  <si>
    <t xml:space="preserve"> ₪ / מט"ח                (Long) </t>
  </si>
  <si>
    <t xml:space="preserve">מט"ח / מט"ח        (Long)  </t>
  </si>
  <si>
    <t>ריבית                           (Long)</t>
  </si>
  <si>
    <t>אחר                             (Long)</t>
  </si>
  <si>
    <t>מדדים כולל מניות            (Short)</t>
  </si>
  <si>
    <t xml:space="preserve">₪ / מט"ח             (Short) </t>
  </si>
  <si>
    <t xml:space="preserve">מט"ח / מט"ח        (Short) </t>
  </si>
  <si>
    <t>(ט)</t>
  </si>
  <si>
    <t>ריבית                           (Short)</t>
  </si>
  <si>
    <t>(י)</t>
  </si>
  <si>
    <t>אחר                             (Short)</t>
  </si>
  <si>
    <t>מדדים כולל מניות   (Long)</t>
  </si>
  <si>
    <t>מטבע                       (Long)</t>
  </si>
  <si>
    <t>ריבית                        (Long)</t>
  </si>
  <si>
    <t xml:space="preserve">סחורות                    (Long)  </t>
  </si>
  <si>
    <t>אחר                         (Long)</t>
  </si>
  <si>
    <t>מדדים כולל מניות   (Short)</t>
  </si>
  <si>
    <t>מטבע                       (Short)</t>
  </si>
  <si>
    <t>ריבית                        (Short)</t>
  </si>
  <si>
    <t xml:space="preserve">סחורות                      (Short)  </t>
  </si>
  <si>
    <t>אחר                            (Short)</t>
  </si>
  <si>
    <t>מדדים כולל מניות             (Long)</t>
  </si>
  <si>
    <t>מטבע                                 (Long)</t>
  </si>
  <si>
    <t>ריבית                                  (Long)</t>
  </si>
  <si>
    <t xml:space="preserve">סחורות                              (Long)             </t>
  </si>
  <si>
    <t>אחר                                  (Long)</t>
  </si>
  <si>
    <t>מדדים כולל מניות               (Short)</t>
  </si>
  <si>
    <t>מטבע                                (Short)</t>
  </si>
  <si>
    <t>ריבית                                 (Short)</t>
  </si>
  <si>
    <t xml:space="preserve">סחורות                               (Short)             </t>
  </si>
  <si>
    <t>אחר                                  (Short)</t>
  </si>
  <si>
    <t>11)</t>
  </si>
  <si>
    <t>מוצרים מובנים</t>
  </si>
  <si>
    <t>קרן מובטחת</t>
  </si>
  <si>
    <t>נכס בסיס - אשראי</t>
  </si>
  <si>
    <t>נכס בסיס - מניות</t>
  </si>
  <si>
    <t>נכס בסיס - ריבית</t>
  </si>
  <si>
    <t>נכס בסיס - מטבע</t>
  </si>
  <si>
    <t>נכס בסיס - מדד</t>
  </si>
  <si>
    <t>נכס בסיס - אחר</t>
  </si>
  <si>
    <t>קרן לא מובטחת</t>
  </si>
  <si>
    <t>פקדונות מובנים</t>
  </si>
  <si>
    <t>מוצרים מאוגחים</t>
  </si>
  <si>
    <t>שכבת חוב (Tranch) בדירוג AA- ומעלה</t>
  </si>
  <si>
    <t xml:space="preserve">שכבת חוב (Tranch) בדירוג BBB- ועד A+ </t>
  </si>
  <si>
    <t>שכבת חוב (Tranch) בדירוג BB ומטה</t>
  </si>
  <si>
    <t>שכבת הון (Equity Tranch)</t>
  </si>
  <si>
    <t xml:space="preserve">ג. </t>
  </si>
  <si>
    <t>הלוואות (למעט לחברות מוחזקות):</t>
  </si>
  <si>
    <t>1)</t>
  </si>
  <si>
    <t>כנגד פוליסות ביטוח חיים</t>
  </si>
  <si>
    <t>מובטחות במשכנתא</t>
  </si>
  <si>
    <t>מובטחות בערבות בנקאית</t>
  </si>
  <si>
    <t>מובטחות בבטחונות אחרים</t>
  </si>
  <si>
    <t>מובטחות בשעבוד כלי רכב</t>
  </si>
  <si>
    <t>לסוכנים</t>
  </si>
  <si>
    <t xml:space="preserve">מובטחות בתזרים עמלות </t>
  </si>
  <si>
    <t>ביטחונות אחרים</t>
  </si>
  <si>
    <t>לעובדים</t>
  </si>
  <si>
    <t>ח)</t>
  </si>
  <si>
    <t>לא מובטחות</t>
  </si>
  <si>
    <t>2)</t>
  </si>
  <si>
    <t xml:space="preserve">ד. </t>
  </si>
  <si>
    <t>פיקדונות בבנקים ובמוסדות כספיים</t>
  </si>
  <si>
    <t>צמוד מדד לתקופה מעל 3 חודשים עד שנה</t>
  </si>
  <si>
    <t>לא צמוד בש"ח מעל 3 חודשים עד שנה</t>
  </si>
  <si>
    <t>נקובים במט"ח מעל 3 חודשים עד שנה</t>
  </si>
  <si>
    <t>צמוד מט"ח מעל 3 חודשים עד שנה</t>
  </si>
  <si>
    <t>צמוד מדד לתקופה מעל שנה</t>
  </si>
  <si>
    <t>לא צמוד בש"ח מעל שנה</t>
  </si>
  <si>
    <t>(7)</t>
  </si>
  <si>
    <t>נקובים במט"ח מעל שנה</t>
  </si>
  <si>
    <t>(8)</t>
  </si>
  <si>
    <t>צמוד מט"ח מעל שנה</t>
  </si>
  <si>
    <t>(9)</t>
  </si>
  <si>
    <t>ה.</t>
  </si>
  <si>
    <t>השקעות בחברות מוחזקות:</t>
  </si>
  <si>
    <t xml:space="preserve"> חברות ביטוח</t>
  </si>
  <si>
    <t>בנות</t>
  </si>
  <si>
    <t>כלולות</t>
  </si>
  <si>
    <t xml:space="preserve"> חברות שאינן חברות ביטוח</t>
  </si>
  <si>
    <t>ו.</t>
  </si>
  <si>
    <t>זכויות במקרקעין</t>
  </si>
  <si>
    <t>מניב</t>
  </si>
  <si>
    <t>לא מניב</t>
  </si>
  <si>
    <t>ז.</t>
  </si>
  <si>
    <t>השקעות אחרות</t>
  </si>
  <si>
    <t>2.</t>
  </si>
  <si>
    <t>רכוש קבוע</t>
  </si>
  <si>
    <t>מקרקעין</t>
  </si>
  <si>
    <t>זכויות שכירות ושיפורים במושכר</t>
  </si>
  <si>
    <t>ג.</t>
  </si>
  <si>
    <t>כלי רכב</t>
  </si>
  <si>
    <t>ריהוט וציוד משרדי</t>
  </si>
  <si>
    <t>רכוש קבוע אחר</t>
  </si>
  <si>
    <t>3.</t>
  </si>
  <si>
    <t>סכומים לקבל</t>
  </si>
  <si>
    <t xml:space="preserve">חברות ביטוח </t>
  </si>
  <si>
    <t>3)</t>
  </si>
  <si>
    <t xml:space="preserve">דרוג AA- מעלה (חו"ל A-) </t>
  </si>
  <si>
    <t>דרוג BBB- ועד A+  (חו"ל BBB+)</t>
  </si>
  <si>
    <t xml:space="preserve">דרוג נמוך מ- BBB- וללא דירוג </t>
  </si>
  <si>
    <t xml:space="preserve"> חייבים ויתרות חובה:</t>
  </si>
  <si>
    <t>עובדים</t>
  </si>
  <si>
    <t>מוסדות</t>
  </si>
  <si>
    <t>חברות מוחזקות</t>
  </si>
  <si>
    <t>בעלי עניין</t>
  </si>
  <si>
    <t>מקדמות ע"ח עמלה לסוכני ביטוח</t>
  </si>
  <si>
    <t>אחרים</t>
  </si>
  <si>
    <t>ד.</t>
  </si>
  <si>
    <t xml:space="preserve"> נכסים אחרים</t>
  </si>
  <si>
    <t>4.</t>
  </si>
  <si>
    <t xml:space="preserve"> הוצאות רכישה נדחות ורכוש אחר</t>
  </si>
  <si>
    <t xml:space="preserve">א. </t>
  </si>
  <si>
    <t xml:space="preserve"> רכוש אחר</t>
  </si>
  <si>
    <t>הוצאות יסוד \ תוכנה</t>
  </si>
  <si>
    <t>הוצאות הנפקה ונכיון של אג"ח</t>
  </si>
  <si>
    <t>הפרש מקורי</t>
  </si>
  <si>
    <t>מסים נידחים לקבל לזמן ארוך</t>
  </si>
  <si>
    <t>5. פרטים מיוחדים</t>
  </si>
  <si>
    <t>ס"ה נכסים ויתרות חובה</t>
  </si>
  <si>
    <t>שם :</t>
  </si>
  <si>
    <t>תפקיד:</t>
  </si>
  <si>
    <t>. 1</t>
  </si>
  <si>
    <t>הגבוה מבין הסכומים שלהלן:</t>
  </si>
  <si>
    <t xml:space="preserve"> מהסכום</t>
  </si>
  <si>
    <t>. 2</t>
  </si>
  <si>
    <t>. 3</t>
  </si>
  <si>
    <t>. 4</t>
  </si>
  <si>
    <t>. 5</t>
  </si>
  <si>
    <t>תוספת הון בגין דרישות מיוחדות</t>
  </si>
  <si>
    <t>עודף (גרעון):</t>
  </si>
  <si>
    <t>הון עצמי</t>
  </si>
  <si>
    <t>קיים</t>
  </si>
  <si>
    <t>נדרש</t>
  </si>
  <si>
    <t>Factor</t>
  </si>
  <si>
    <t>שם:</t>
  </si>
  <si>
    <t>לבחור שם חברה</t>
  </si>
  <si>
    <t>חזרה</t>
  </si>
  <si>
    <t>לתוכן עניינים</t>
  </si>
  <si>
    <t xml:space="preserve">בחר את שם החברה </t>
  </si>
  <si>
    <t>בחר  את התקופה</t>
  </si>
  <si>
    <t>Q3</t>
  </si>
  <si>
    <t>גיליון</t>
  </si>
  <si>
    <t>דוחות כספיים:</t>
  </si>
  <si>
    <t xml:space="preserve">1. יש לבחור את שם החברה מהרשימה </t>
  </si>
  <si>
    <t>טופס 106:</t>
  </si>
  <si>
    <t>סה"כ</t>
  </si>
  <si>
    <t>טופס 101:</t>
  </si>
  <si>
    <t>saveas</t>
  </si>
  <si>
    <t>ליום:</t>
  </si>
  <si>
    <t>Q1</t>
  </si>
  <si>
    <t>P</t>
  </si>
  <si>
    <t>Q2</t>
  </si>
  <si>
    <t>Q</t>
  </si>
  <si>
    <t>R</t>
  </si>
  <si>
    <t>Q4</t>
  </si>
  <si>
    <t>S</t>
  </si>
  <si>
    <t>30.06.2013</t>
  </si>
  <si>
    <t>התחייבויות אחרות ועודף הון</t>
  </si>
  <si>
    <t xml:space="preserve">הון עצמי מזערי </t>
  </si>
  <si>
    <t>הון התחלתי נדרש</t>
  </si>
  <si>
    <t>הון מזערי נדרש</t>
  </si>
  <si>
    <t>מנכסים מנוהלים:</t>
  </si>
  <si>
    <t>נכסים מנוהלים</t>
  </si>
  <si>
    <t>הוצאות שנתיות</t>
  </si>
  <si>
    <t>מהוצאות שנתיות</t>
  </si>
  <si>
    <t>דרישות הון מיוחדות</t>
  </si>
  <si>
    <t>הקלות בדרישות ההון</t>
  </si>
  <si>
    <t>תוספת הון בגין חברות מנהלות נשלטות</t>
  </si>
  <si>
    <t>מסכום ביטוח עודף</t>
  </si>
  <si>
    <t>מהון מזערי נדרש</t>
  </si>
  <si>
    <t>בגין עריכת ביטוח - הנמוך מבין:</t>
  </si>
  <si>
    <t>סה"כ הון עצמי מזערי נדרש בגין החברה</t>
  </si>
  <si>
    <t>קופות גמל</t>
  </si>
  <si>
    <t>שם חברה מנהלת</t>
  </si>
  <si>
    <t>הון עצמי נדרש</t>
  </si>
  <si>
    <t>סה"כ תוספת הון נדרשת</t>
  </si>
  <si>
    <t>הסבר</t>
  </si>
  <si>
    <t>סכום</t>
  </si>
  <si>
    <t>סכום ביטוח עודף</t>
  </si>
  <si>
    <t>סכום ביטוח אחריות מקצועית או ביטוח לכיסוי מעילה באמון של עובדים</t>
  </si>
  <si>
    <t>סכום ביטוח לפי תקנה 41ה(ו1) לתקנות מס הכנסה</t>
  </si>
  <si>
    <t>סכום ביטוח</t>
  </si>
  <si>
    <t>היקף נכסים</t>
  </si>
  <si>
    <t>מהון נדרש בגין נכסים</t>
  </si>
  <si>
    <t>סה"כ ההון העצמי המזערי הנדרש</t>
  </si>
  <si>
    <t>הון נדרש ישן</t>
  </si>
  <si>
    <t>קופות גמל וקרנות פנסיה</t>
  </si>
  <si>
    <t>קרנות פנסיה חדשות</t>
  </si>
  <si>
    <t>1</t>
  </si>
  <si>
    <t>נספח 1</t>
  </si>
  <si>
    <t>נספח 2</t>
  </si>
  <si>
    <t xml:space="preserve">דרישת הון - </t>
  </si>
  <si>
    <t xml:space="preserve">סה"כ - </t>
  </si>
  <si>
    <t xml:space="preserve">שם הקופה </t>
  </si>
  <si>
    <t>נספח 5</t>
  </si>
  <si>
    <t>נומינלי</t>
  </si>
  <si>
    <t>מתואם</t>
  </si>
  <si>
    <t>הון עצמי קיים</t>
  </si>
  <si>
    <t>הון נדרש ישן :</t>
  </si>
  <si>
    <t>הוצאות רכישה נדחות ליום הדוח</t>
  </si>
  <si>
    <t>גמל</t>
  </si>
  <si>
    <t>פנסיה</t>
  </si>
  <si>
    <t>יתרות סוכנים</t>
  </si>
  <si>
    <t>30.06.2012</t>
  </si>
  <si>
    <t>31.03.2012</t>
  </si>
  <si>
    <t>30.09.2012</t>
  </si>
  <si>
    <t>31.12.2012</t>
  </si>
  <si>
    <t>31.03.2013</t>
  </si>
  <si>
    <t>30.09.2013</t>
  </si>
  <si>
    <t>31.12.2013</t>
  </si>
  <si>
    <t>31.03.2014</t>
  </si>
  <si>
    <t>30.06.2014</t>
  </si>
  <si>
    <t>30.09.2014</t>
  </si>
  <si>
    <t>31.12.2014</t>
  </si>
  <si>
    <t>חברה מנהלת רגילה</t>
  </si>
  <si>
    <t>חברה מנהלת רק קופות גמל בניהול אישי</t>
  </si>
  <si>
    <t>סה"כ הנכסים ליום הדוח</t>
  </si>
  <si>
    <t>הראל גמל והשתלמות בע"מ</t>
  </si>
  <si>
    <t>512205204</t>
  </si>
  <si>
    <t>פעיל</t>
  </si>
  <si>
    <t>513026484</t>
  </si>
  <si>
    <t xml:space="preserve">אקסלנס גמל פלטינום </t>
  </si>
  <si>
    <t>512065202</t>
  </si>
  <si>
    <t>דש תגמולים</t>
  </si>
  <si>
    <t>פסגות קופות גמל ופנסיה בע"מ</t>
  </si>
  <si>
    <t>513765347</t>
  </si>
  <si>
    <t>פסגות גדיש כללי</t>
  </si>
  <si>
    <t>הלמן - אלדובי קופות גמל ופנסיה בע"מ</t>
  </si>
  <si>
    <t>512227265</t>
  </si>
  <si>
    <t>תגב - כללי</t>
  </si>
  <si>
    <t>הגומל חברה לניהול קופות גמל  בע"מ</t>
  </si>
  <si>
    <t>520027624</t>
  </si>
  <si>
    <t>קופת גמל הגומל מסלול כללי</t>
  </si>
  <si>
    <t>אנליסט קופות גמל בע"מ</t>
  </si>
  <si>
    <t>511880460</t>
  </si>
  <si>
    <t>אנליסט קופה מרכזית לפיצויים מסלול כללי</t>
  </si>
  <si>
    <t>מנורה מבטחים גמל בע"מ</t>
  </si>
  <si>
    <t>512790221</t>
  </si>
  <si>
    <t>מיטב גמל ופנסיה בע"מ</t>
  </si>
  <si>
    <t>513456376</t>
  </si>
  <si>
    <t>אקסלנס גמולה</t>
  </si>
  <si>
    <t>שובל - חברה לניהול קופת גמל מפעלית בע"מ</t>
  </si>
  <si>
    <t>520042631</t>
  </si>
  <si>
    <t>שובל -  קופת גמל ענפית</t>
  </si>
  <si>
    <t>12</t>
  </si>
  <si>
    <t>איילון-פיסגה קרן פנסיה</t>
  </si>
  <si>
    <t>הדס ארזים קופות גמל בע"מ</t>
  </si>
  <si>
    <t>514016567</t>
  </si>
  <si>
    <t>קרנות השתלמות</t>
  </si>
  <si>
    <t>דש קפיטל קופת גמל מרכזית לפיצויים</t>
  </si>
  <si>
    <t>הלמן - אלדובי השתלמות</t>
  </si>
  <si>
    <t>כלל פנסיה וגמל בע"מ</t>
  </si>
  <si>
    <t>512244146</t>
  </si>
  <si>
    <t>כלל ברזל - קופה מרכזית לפיצויים</t>
  </si>
  <si>
    <t>הנדסאים וטכנאים - חברה לניהול קופות גמל בע"מ</t>
  </si>
  <si>
    <t>520042607</t>
  </si>
  <si>
    <t>קופת גמל הנדסאים - קופ"ג לתגמולים ופיצויים לשכירים ועצמאיים מסלול כללי</t>
  </si>
  <si>
    <t>520042615</t>
  </si>
  <si>
    <t>עו"ס - חברה לניהול קופות גמל בע"מ</t>
  </si>
  <si>
    <t>520042573</t>
  </si>
  <si>
    <t>קופת גמל עו"ס מסלול כללי</t>
  </si>
  <si>
    <t>שדות - חברה לניהול קופות גמל בע"מ</t>
  </si>
  <si>
    <t>520042599</t>
  </si>
  <si>
    <t>שדות מסלול כללי</t>
  </si>
  <si>
    <t>עמ"י - חברה לניהול קופות גמל ענפיות בע"מ</t>
  </si>
  <si>
    <t>520042581</t>
  </si>
  <si>
    <t>קופת גמל עמ"י מסלול כללי</t>
  </si>
  <si>
    <t>מגדל מקפת קרנות פנסיה וקופות גמל בע"מ</t>
  </si>
  <si>
    <t>512237744</t>
  </si>
  <si>
    <t>512245812</t>
  </si>
  <si>
    <t>מיטבית - עתודות קרן פנסיה בהתאמה אישית</t>
  </si>
  <si>
    <t>אקסלנס טפחות מרכזית</t>
  </si>
  <si>
    <t>קופת תגמולים של עובדי אל על נתיבי אוויר לישראל בע"מ אגודה שיתופית</t>
  </si>
  <si>
    <t>570011767</t>
  </si>
  <si>
    <t>הפניקס פנסיה וגמל בע"מ</t>
  </si>
  <si>
    <t>511751513</t>
  </si>
  <si>
    <t>הפניקס פנסיה מקיפה</t>
  </si>
  <si>
    <t>אקסלנס גמל זהב</t>
  </si>
  <si>
    <t>512267592</t>
  </si>
  <si>
    <t>קופת הפיצויים של עובדי אמישראגז בע"מ</t>
  </si>
  <si>
    <t>520020801</t>
  </si>
  <si>
    <t>קופת פיצויים של עובדי אמישראגז בע"מ</t>
  </si>
  <si>
    <t>חברה לניהול קופת גמל מפעלית ליד קופת התגמולים לעובדים אקדמאיים של אוניברסיטת תל אביב (1965) בע"מ</t>
  </si>
  <si>
    <t>520027004</t>
  </si>
  <si>
    <t>קופת התגמולים לעובדים האקדמאים של אוניברסיטת תל אביב (1965) בע"מ</t>
  </si>
  <si>
    <t>אלמוג קופה מרכזית לפיצויים ליד כלל ישראל</t>
  </si>
  <si>
    <t>החברה לניהול קופות גמל של עובדי בנק דיסקונט בע"מ</t>
  </si>
  <si>
    <t>520014614</t>
  </si>
  <si>
    <t>קופת התגמולים לעובדי בנק דיסקונט</t>
  </si>
  <si>
    <t>520005497</t>
  </si>
  <si>
    <t>קופת התגמולים של עובדי בנק לאומי למשכנתאות</t>
  </si>
  <si>
    <t>קופת התגמולים של עובדי בנק לאומי</t>
  </si>
  <si>
    <t>עומרים קופה מרכזית לפיצויים</t>
  </si>
  <si>
    <t>חברת ב'ת למ'ד דל'ת בע"מ</t>
  </si>
  <si>
    <t>510142789</t>
  </si>
  <si>
    <t>קופת בל"ד</t>
  </si>
  <si>
    <t>פסגות פיצויים כללי</t>
  </si>
  <si>
    <t>קופה כללית לפיצויים</t>
  </si>
  <si>
    <t>כלל פיצויים למעסיק</t>
  </si>
  <si>
    <t>513741017</t>
  </si>
  <si>
    <t>איילון אגוד תגמולים</t>
  </si>
  <si>
    <t>כלל תמר</t>
  </si>
  <si>
    <t>מיטב קרן השפע</t>
  </si>
  <si>
    <t>בר יציב הדס ארזים - קופת תגמולים ופיצויים לשכירים ועצמאיים</t>
  </si>
  <si>
    <t>מנורה מבטחים אמיר כללי</t>
  </si>
  <si>
    <t>היהלום - א.ש. לבטוח הדדי של חברי בורסת היהלומים</t>
  </si>
  <si>
    <t>570024109</t>
  </si>
  <si>
    <t>היהלום - א.ש. לביטוח הדדי של חברי בורסת היהלומים</t>
  </si>
  <si>
    <t>בר קרן גמולים קופת גמל לתגמולים ופיצויים בניהול כלל גמל בע"מ</t>
  </si>
  <si>
    <t>הביטחון-קופת גמל מרכזית לפיצויים</t>
  </si>
  <si>
    <t>קופה לתגמולים ופנסיה של עובדי הסוכנות היהודית לא"י בע"מ</t>
  </si>
  <si>
    <t>עגור חברה לניהול קופות גמל וקרנות השתלמות בע"מ</t>
  </si>
  <si>
    <t>520024985</t>
  </si>
  <si>
    <t>קרן השתלמות למורים בבתיה"ס העי"ס במכללות ובסמינרים (מקוצר)</t>
  </si>
  <si>
    <t>קרנות השתלמות למורים ולגננות - חברה מנהלת בע"מ</t>
  </si>
  <si>
    <t>520027251</t>
  </si>
  <si>
    <t>קרן השתלמות למורים וגננות (מסלול מקוצר)</t>
  </si>
  <si>
    <t>קרנות השתלמות למורים תיכוניים, מורי סמינרים ומפקחים - חברה מנהלת בע"מ</t>
  </si>
  <si>
    <t>520028390</t>
  </si>
  <si>
    <t>מנורה מבטחים והסתדרות המהנדסים ניהול קופות גמל בע"מ</t>
  </si>
  <si>
    <t>520027715</t>
  </si>
  <si>
    <t>אומגה קרן השתלמות</t>
  </si>
  <si>
    <t>החברה לניהול קרן השתלמות לאקדמאים במדעי החברה והרוח בע"מ</t>
  </si>
  <si>
    <t>520027954</t>
  </si>
  <si>
    <t>קרן השתלמות לאקדמאים במדעי החברה והרוח מסלול כללי</t>
  </si>
  <si>
    <t>קרן השתלמות לעובדי בנק ישראל</t>
  </si>
  <si>
    <t>החברה לניהול קרן ההשתלמות להנדסאים וטכנאים בע"מ</t>
  </si>
  <si>
    <t>520028556</t>
  </si>
  <si>
    <t>עומר קרן לביטוח הדדי</t>
  </si>
  <si>
    <t>520028655</t>
  </si>
  <si>
    <t>החברה לניהול קרן השתלמות למשפטנים בע"מ</t>
  </si>
  <si>
    <t>520028861</t>
  </si>
  <si>
    <t>קרן השתלמות למשפטנים בע"מ</t>
  </si>
  <si>
    <t>החברה לניהול קרן השתלמות לביוכימאים  ומקרוביולוגים בע"מ</t>
  </si>
  <si>
    <t>520029620</t>
  </si>
  <si>
    <t>ק.ס.מ. קרן השתלמות לביוכימאים ומקרוביולוגים בע"מ</t>
  </si>
  <si>
    <t>החברה לניהול קרן השתלמות לשופטים בע"מ</t>
  </si>
  <si>
    <t>520030743</t>
  </si>
  <si>
    <t>קרן השתלמות לשופטים</t>
  </si>
  <si>
    <t>ק.ה.ר - קרן השתלמות לרוקחים בע"מ</t>
  </si>
  <si>
    <t>520030198</t>
  </si>
  <si>
    <t>ק.ה.ר. קרן השתלמות לרוקחים בע"מ</t>
  </si>
  <si>
    <t>ארם גמולים - חברה לניהול קופות גמל בע''מ</t>
  </si>
  <si>
    <t>510773922</t>
  </si>
  <si>
    <t>ארם - קופת גמל לתגמולים של ארגון הרופאים עובדי המדינה מסלול קלאסי</t>
  </si>
  <si>
    <t>החברה המנהלת של מינהל קרן ההשתלמות לפקידים עובדי המנהל והשירותים בע"מ</t>
  </si>
  <si>
    <t>520030990</t>
  </si>
  <si>
    <t>מינהל - קרן ההשתלמות לפקידים עובדי המינהל והשרותים - מסלול כללי</t>
  </si>
  <si>
    <t>קו הבריאות חברה לניהול קופות גמל בע"מ</t>
  </si>
  <si>
    <t>512008335</t>
  </si>
  <si>
    <t>570007476</t>
  </si>
  <si>
    <t>קרן חופשה - חקלאים</t>
  </si>
  <si>
    <t>קרן חופשה לעובדים בחקלאות בע"מ</t>
  </si>
  <si>
    <t>קרן מקפת מרכז לפנסיה ותגמולים אגודה שיתופית בע"מ</t>
  </si>
  <si>
    <t>570009852</t>
  </si>
  <si>
    <t>מבטחים מוסד לביטוח סוציאלי של העובדים בע"מ</t>
  </si>
  <si>
    <t>520019688</t>
  </si>
  <si>
    <t>מבטחים קרן חופשה כללית</t>
  </si>
  <si>
    <t>570011445</t>
  </si>
  <si>
    <t>קופת תגמולים ופיצויים של מפעלי נייר חדרה</t>
  </si>
  <si>
    <t>תגמולים של עובדים בעירית ת"א-יפו א.ש. בע"מ</t>
  </si>
  <si>
    <t>570002618</t>
  </si>
  <si>
    <t>קופת תגמולים של העובדים בעירית תל אביב- יפו אגודה שיתופית בע"מ</t>
  </si>
  <si>
    <t>קופת"ג של עובדי עירית חיפה</t>
  </si>
  <si>
    <t>570005959</t>
  </si>
  <si>
    <t>קופת התגמולים של עובדי עירית חיפה אגודה שיתופית בע"מ</t>
  </si>
  <si>
    <t>570009449</t>
  </si>
  <si>
    <t>עוצ"מ - אגודה שיתופית לניהול קופות גמל בע"מ - מסלול כללי</t>
  </si>
  <si>
    <t>הפניקס קרנות פנסיה מאוזנות וותיקות בע"מ</t>
  </si>
  <si>
    <t>513477505</t>
  </si>
  <si>
    <t>דש שבעת הכוכבים</t>
  </si>
  <si>
    <t>קרן הביטוח והפנסיה של פועלי בנין ועבודות ציבוריות אגודה שיתופית בע"מ</t>
  </si>
  <si>
    <t>570005850</t>
  </si>
  <si>
    <t>קופת תגמולים של עובדי הקואופרציה הצרכנית אגודה שיתופית בע"מ</t>
  </si>
  <si>
    <t>שיבולת - חברה לניהול קופות גמל בע"מ</t>
  </si>
  <si>
    <t>520030693</t>
  </si>
  <si>
    <t>שיבולת קופת תגמולים</t>
  </si>
  <si>
    <t>קופת תגמולים של עובדי התעשיה האוירית לישראל בע"מ</t>
  </si>
  <si>
    <t>570014928</t>
  </si>
  <si>
    <t>אגודה שיתופית של עובדי התעשיה האוירית לניהול קופות גמל בע"מ מסלול כללי</t>
  </si>
  <si>
    <t>ק.ל.ע. - חברה לניהול קרן השתלמות לעובדים סוציאליים בע"מ</t>
  </si>
  <si>
    <t>520030941</t>
  </si>
  <si>
    <t>ק.ל.ע - קרן השתלמות לעובדים סוציאלים מסלול כללי</t>
  </si>
  <si>
    <t>520032269</t>
  </si>
  <si>
    <t>קרן ביטוח הדדי לחברי הסתדרות עובדי המדינה בישראל בע"מ</t>
  </si>
  <si>
    <t>510800402</t>
  </si>
  <si>
    <t>מגדל קהל השתלמות</t>
  </si>
  <si>
    <t>מיטב משתלם א'</t>
  </si>
  <si>
    <t>קרן השתלמות לעובדי הקואופרציה  הצרכנית א.ש. בע"מ</t>
  </si>
  <si>
    <t>רעות חברה לניהול קופות גמל בע"מ</t>
  </si>
  <si>
    <t>510806870</t>
  </si>
  <si>
    <t>עוצ"מ חברה לניהול קופות גמל והשתלמות בע"מ</t>
  </si>
  <si>
    <t>520031659</t>
  </si>
  <si>
    <t>קרן השתלמות עוצ"מ</t>
  </si>
  <si>
    <t>פסגות שיא השתלמות</t>
  </si>
  <si>
    <t xml:space="preserve">אקסלנס השתלמות פלטינום </t>
  </si>
  <si>
    <t>513173393</t>
  </si>
  <si>
    <t>אשכול קופה מרכזית לפיצויי פיטורין מסלול כללי</t>
  </si>
  <si>
    <t>החברה המנהלת של רום קרן ההשתלמות לעובדי הרשויות המקומיות בע"מ</t>
  </si>
  <si>
    <t>520031824</t>
  </si>
  <si>
    <t>רום קרן השתלמות לעובדי הרשויות המקומיות מסלול קלאסי</t>
  </si>
  <si>
    <t>הלמן אלדובי - יהבית</t>
  </si>
  <si>
    <t>הלמן-אלדובי יהבית השתלמות</t>
  </si>
  <si>
    <t>הראל עתידית קופות גמל בע"מ</t>
  </si>
  <si>
    <t>512867367</t>
  </si>
  <si>
    <t>מנורה מבטחים תעוש - מסלול כללי</t>
  </si>
  <si>
    <t>יהב אחים ואחיות - חברה לניהול קופות גמל בע"מ</t>
  </si>
  <si>
    <t>510927536</t>
  </si>
  <si>
    <t>יהב-קרן השתלמות וחיסכון לאחים ואחיות בע"מ - מסלול כללי</t>
  </si>
  <si>
    <t>יהב רופאים - חברה לניהול קופות גמל בע"מ</t>
  </si>
  <si>
    <t>510930654</t>
  </si>
  <si>
    <t>רופאים קרן השתלמות</t>
  </si>
  <si>
    <t>יהב - פ.ר.ח. - חברה לניהול קופות גמל בע"מ</t>
  </si>
  <si>
    <t>510930670</t>
  </si>
  <si>
    <t>יהב קרן השתלמות וחסכון פ.ר.ח - מסלול כללי</t>
  </si>
  <si>
    <t>החברה המנהלת של קרן השתלמות של עובדי חברת החשמל לישראל בע"מ</t>
  </si>
  <si>
    <t>520034968</t>
  </si>
  <si>
    <t>קרן השתלמות של עובדי חברת החשמל לישראל בע"מ</t>
  </si>
  <si>
    <t>קופת תגמולים לעובדי האוניברסיטה העברית ירושלים בע"מ</t>
  </si>
  <si>
    <t>510960586</t>
  </si>
  <si>
    <t>קופת התגמולים לעובדי האוניברסיטה העברית בירושלים בע"מ</t>
  </si>
  <si>
    <t>קרן השתלמות נירית כללית</t>
  </si>
  <si>
    <t>קרן החסכון לצבא הקבע - חברה לניהול קופות גמל בע"מ</t>
  </si>
  <si>
    <t>511033060</t>
  </si>
  <si>
    <t>קרן החיסכון לצבא הקבע - קרן השתלמות</t>
  </si>
  <si>
    <t>כלל גמל קופה מרכזית לפיצויים</t>
  </si>
  <si>
    <t>כלל איתן</t>
  </si>
  <si>
    <t>להיט קופה לתגמולים ופיצויים כללי</t>
  </si>
  <si>
    <t>כלל השתלמות</t>
  </si>
  <si>
    <t>דש דור ברגר קופת פיצויים</t>
  </si>
  <si>
    <t>קרן השתלמות למורים בבתיה"ס העי"ס במכללות ובסמינרים</t>
  </si>
  <si>
    <t>קרן השתלמות למורים וגננות - המסלול הרגיל</t>
  </si>
  <si>
    <t>קרן בטוח ופנסיה לפועלים חקלאים  ובלתי מקצועיים בישראל א.ש. בע"מ</t>
  </si>
  <si>
    <t>איפקס ניהול קופות גמל בע"מ</t>
  </si>
  <si>
    <t>513139006</t>
  </si>
  <si>
    <t>יובלים - קופת גמל לחגים והבראה</t>
  </si>
  <si>
    <t>איילון מקפת תגמולים - כללי</t>
  </si>
  <si>
    <t>קרן מקפת - קרנות למטרה אחרת</t>
  </si>
  <si>
    <t>איילון מקפת השתלמות - כללי</t>
  </si>
  <si>
    <t>מגן קרן פנסיה מרכזית בע"מ - קופת תגמולים</t>
  </si>
  <si>
    <t>מגן קרן פנסיה מרכזית בע"מ - קופה מרכזית לפיצויים</t>
  </si>
  <si>
    <t>קרן הביטוח ופנסיה של פועלי בנין ועבודות ציבוריות אגודה שיתופית בע"מ</t>
  </si>
  <si>
    <t>מבטחים - קופת גמל למחלה ותאונה</t>
  </si>
  <si>
    <t>דש  גמל</t>
  </si>
  <si>
    <t>דש - מרכזית לפיצויים</t>
  </si>
  <si>
    <t>דש - קרן השתלמות</t>
  </si>
  <si>
    <t>מחוג - מינהל גמל לעובדי חברת חשמל לישראל בע"מ</t>
  </si>
  <si>
    <t>512362914</t>
  </si>
  <si>
    <t>מחוג 5  - קופת תגמולים</t>
  </si>
  <si>
    <t>אנליסט קרן השתלמות כללי</t>
  </si>
  <si>
    <t>שיבולת -  קרן השתלמות</t>
  </si>
  <si>
    <t>כור-תדיראן גמל בע"מ</t>
  </si>
  <si>
    <t>512459751</t>
  </si>
  <si>
    <t>כור-תדיראן קופת גמל מרכזית לפיצויים</t>
  </si>
  <si>
    <t>כור-תדיראן קופת גמל אישית לתגמולים ולפיצויים</t>
  </si>
  <si>
    <t>יובלים - קופת גמל לחופשה</t>
  </si>
  <si>
    <t>יובלים - קופה מרכזית לפיצויים</t>
  </si>
  <si>
    <t>יובלים - קרן דמי מחלה והשלמה לדמי פגיעה בעבודה של ה.ע.ל</t>
  </si>
  <si>
    <t>כלל גמל מרכזית-מסלולית</t>
  </si>
  <si>
    <t>תצפית - ק. מסלולים מרכזית לפיצויים</t>
  </si>
  <si>
    <t>פסגות מסלולית לפיצויים</t>
  </si>
  <si>
    <t>פסגות קופה לתשלום דמי מחלה</t>
  </si>
  <si>
    <t>512709858</t>
  </si>
  <si>
    <t>512711409</t>
  </si>
  <si>
    <t>גל - קופת גמל למורים - מסלול כללי</t>
  </si>
  <si>
    <t>מקבץ קופת פיצויים מרכזית בניהול אישי</t>
  </si>
  <si>
    <t>הדס קופה מרכזית לפיצויים</t>
  </si>
  <si>
    <t>אקסלנס גמל</t>
  </si>
  <si>
    <t>אקסלנס השתלמות</t>
  </si>
  <si>
    <t>אקסלנס מרכזית לפיצויים</t>
  </si>
  <si>
    <t>כלל מושלם תגמולים</t>
  </si>
  <si>
    <t>כלל ורד</t>
  </si>
  <si>
    <t>פסגות גמל אג"ח עד 10% מניות</t>
  </si>
  <si>
    <t>כלל מושלם השתלמות</t>
  </si>
  <si>
    <t>כלל מושלם פיצויים</t>
  </si>
  <si>
    <t>אנליסט קתדרה קופת גמל - מסלול כללי</t>
  </si>
  <si>
    <t>מיטב מרום רבת מסלולים</t>
  </si>
  <si>
    <t>מגדל-קופ"ג מרכזית לפיצויים</t>
  </si>
  <si>
    <t>איפקס-קופה לתגמולים ופיצויים</t>
  </si>
  <si>
    <t>איפקס קופה מרכזית לפיצויים</t>
  </si>
  <si>
    <t>איפקס קרן השתלמות</t>
  </si>
  <si>
    <t>אלטשולר שחם קופה מרכזית לפיצויים</t>
  </si>
  <si>
    <t>אלטשולר שחם יהלום מסלול כללי</t>
  </si>
  <si>
    <t>אלטשולר שחם קרנות השתלמות</t>
  </si>
  <si>
    <t>תמיר פישמן גמל והשתלמות בע"מ</t>
  </si>
  <si>
    <t>513571273</t>
  </si>
  <si>
    <t>אקסלנס משכית - מסלול שקלי</t>
  </si>
  <si>
    <t>מעלות כלל השתלמות</t>
  </si>
  <si>
    <t>הראל פרופיל אישי למעסיק</t>
  </si>
  <si>
    <t>דש אקונומיסט השתלמות</t>
  </si>
  <si>
    <t>מבטחים מרכזית לפיצויים</t>
  </si>
  <si>
    <t>מנורה מבטחים השתלמות מסלול כללי</t>
  </si>
  <si>
    <t>פסגות שיא פיצויים כספית</t>
  </si>
  <si>
    <t>הראל - דקל קופת גמל לדמי מחלה</t>
  </si>
  <si>
    <t>מגדל פלטינום לתגמולים שקלי קצר</t>
  </si>
  <si>
    <t>מגדל פלטינום למעסיק</t>
  </si>
  <si>
    <t>פסגות מרפא קופת גמל מרכזית לדמי מחלה</t>
  </si>
  <si>
    <t>מיטב תגמולים מסלול כללי</t>
  </si>
  <si>
    <t>מיטב השתלמות מסלול כללי</t>
  </si>
  <si>
    <t>מיטב מסלולית לפיצויים - רבת מסלולים</t>
  </si>
  <si>
    <t>חברה לניהול קופות גמל של העובדים בעיריית תל - אביב יפו בע"מ</t>
  </si>
  <si>
    <t>513452003</t>
  </si>
  <si>
    <t>קופת גמל אישית לפיצויים של העובדים בעיריית תל-אביב יפו - מסלול צבר</t>
  </si>
  <si>
    <t>כלל מרכזית לדמי מחלה</t>
  </si>
  <si>
    <t>הפניקס מרכזית</t>
  </si>
  <si>
    <t>אפסילון ניהול קופות גמל בע"מ</t>
  </si>
  <si>
    <t>513544122</t>
  </si>
  <si>
    <t>הפניקס תגמולים ופיצויים - מסלול כללי</t>
  </si>
  <si>
    <t>הפניקס השתלמות - מסלול כללי</t>
  </si>
  <si>
    <t>חברה לניהול קופות גמל של העובדים באוניברסיטה העברית בירושלים בע"מ</t>
  </si>
  <si>
    <t>513485482</t>
  </si>
  <si>
    <t>קופת גמל אישית לפיצויים של העובדים באוניברסיטה העברית בירושלים</t>
  </si>
  <si>
    <t>תמיר פישמן גמל שקלי קצר</t>
  </si>
  <si>
    <t>תמיר פישמן השתלמות שקלי קצר</t>
  </si>
  <si>
    <t>תמיר פישמן מרכזית לפיצויים כללי</t>
  </si>
  <si>
    <t>ילין לפידות ניהול קופות גמל בע"מ</t>
  </si>
  <si>
    <t>513611509</t>
  </si>
  <si>
    <t>ילין לפידות קופת גמל</t>
  </si>
  <si>
    <t>ילין לפידות קרן השתלמות</t>
  </si>
  <si>
    <t>ילין לפידות קופה מרכזית לפיצויים</t>
  </si>
  <si>
    <t>איילון השתלמות מסלול מניות</t>
  </si>
  <si>
    <t>איילון גמל מסלול מניות</t>
  </si>
  <si>
    <t>איילון לפיצויים מסלול מט"ח</t>
  </si>
  <si>
    <t>אינפיניטי ניהול השתלמות וגמל בע"מ</t>
  </si>
  <si>
    <t>513621110</t>
  </si>
  <si>
    <t>אלטשולר שחם גמל</t>
  </si>
  <si>
    <t>אלטשולר שחם השתלמות מסלול כללי</t>
  </si>
  <si>
    <t xml:space="preserve">אלטשולר שחם פיצויים </t>
  </si>
  <si>
    <t>אינפיניטי פיצויים סל אג"ח</t>
  </si>
  <si>
    <t>אינפיניטי ניהול קופת גמל מרכזית לקצבה בע"מ</t>
  </si>
  <si>
    <t>514383272</t>
  </si>
  <si>
    <t>מיטב דינאמית להשתלמות מסלול אג"ח</t>
  </si>
  <si>
    <t>מיטב גמל פלוס</t>
  </si>
  <si>
    <t>מיטב השתלמות פלוס</t>
  </si>
  <si>
    <t>מיטב פיצויים פלוס</t>
  </si>
  <si>
    <t>מיטב דינאמית גמל מסלול אג"ח</t>
  </si>
  <si>
    <t>כלל גמל מניות</t>
  </si>
  <si>
    <t>מיטב פנסיה מקיפה</t>
  </si>
  <si>
    <t>מנורה מרכזית לפיצויים כללי</t>
  </si>
  <si>
    <t>מנורה גמל כללי</t>
  </si>
  <si>
    <t>מנורה השתלמות כללי</t>
  </si>
  <si>
    <t>מבטחים קופת גמל למטרות חופשה, חגים והבראה</t>
  </si>
  <si>
    <t>מקפת דמי מחלה</t>
  </si>
  <si>
    <t>קרן השתלמות של העובדים באוניברסיטה העברית בירושלים</t>
  </si>
  <si>
    <t>פסגות השתלמות כללי</t>
  </si>
  <si>
    <t>לאומי קמ"פ בע"מ</t>
  </si>
  <si>
    <t>510694821</t>
  </si>
  <si>
    <t>לאומי קופה מרכזית לפציויים (2006)</t>
  </si>
  <si>
    <t>בנק לאומי למשכנתאות קופה מרכזית לפיצויים</t>
  </si>
  <si>
    <t>בנק ערבי ישראלי קופה מרכזית לפיצויים</t>
  </si>
  <si>
    <t>513789842</t>
  </si>
  <si>
    <t>אי.בי.אי מרכזית לפיצויים מסלול כללי</t>
  </si>
  <si>
    <t>פסגות קמה</t>
  </si>
  <si>
    <t>קידמה חברה לניהול קופות גמל בע"מ</t>
  </si>
  <si>
    <t>511599862</t>
  </si>
  <si>
    <t>קופה מרכזית לפיצויים של קבוצת הבנק הבינלאומי הראשון</t>
  </si>
  <si>
    <t>קופה מרכזית לפיצויים של קבוצת יובנק</t>
  </si>
  <si>
    <t>קופה מרכזית לפיצויים של קבוצת בנק פועלי אגודת ישראל</t>
  </si>
  <si>
    <t>מיטב גמל אג"ח (ללא מניות)</t>
  </si>
  <si>
    <t>מיטב השתלמות אג"ח (ללא מניות)</t>
  </si>
  <si>
    <t>מיטב גמל חכם מסלול מנייתי</t>
  </si>
  <si>
    <t>מיטב השתלמות חכם מסלולית - מנייתי</t>
  </si>
  <si>
    <t>מנורה מבטחים משתתפת בפנסיה תקציבית</t>
  </si>
  <si>
    <t>קופה מרכזית להשתתפות בפנסיה תקציבית של העובדים בעיריית תל-אביב יפו</t>
  </si>
  <si>
    <t>פסגות מרכזית להשתתפות בפנסיה תקציבית</t>
  </si>
  <si>
    <t>כלל תקציבית</t>
  </si>
  <si>
    <t>מיטב תשואה פנסיונית</t>
  </si>
  <si>
    <t>מור מנורה מבטחים מסלול כללי</t>
  </si>
  <si>
    <t>הראל קופה לפנסיה תקציבית</t>
  </si>
  <si>
    <t>מקפת תקציבית</t>
  </si>
  <si>
    <t>פסגות עתיד גמל מרכזית להשתתפות בפנסיה תקציבית</t>
  </si>
  <si>
    <t>הדס ארזים קופת גמל מרכזית להשתתפות בפנסיה תקציבית</t>
  </si>
  <si>
    <t>הדס ארזים לפרישה 2020</t>
  </si>
  <si>
    <t>אלטשולר שחם אופל</t>
  </si>
  <si>
    <t>הדס ארזים משתלמת מסלול כספית</t>
  </si>
  <si>
    <t>הילה</t>
  </si>
  <si>
    <t>כלנית</t>
  </si>
  <si>
    <t>מיטב גמל בניהול אישי</t>
  </si>
  <si>
    <t>מיטב השתלמות בניהול אישי</t>
  </si>
  <si>
    <t>תגמולים שיטת הפניקס סל עוקב מדד ת"א 100</t>
  </si>
  <si>
    <t>תגמולים שיטת הפניקס סל עוקב מדד תל בונד 20</t>
  </si>
  <si>
    <t>תגמולים שיטת הפניקס סל עוקב מדד ממשלתי צמוד 0-2</t>
  </si>
  <si>
    <t>תגמולים שיטת הפניקס סל עוקב מדד ממשלתי צמוד 2-5</t>
  </si>
  <si>
    <t>תגמולים שיטת הפניקס סל עוקב מדד ממשלתי צמוד 5-7</t>
  </si>
  <si>
    <t>תגמולים שיטת הפניקס סל עוקב מדד ממשלתי צמוד 7-10</t>
  </si>
  <si>
    <t>תגמולים שיטת הפניקס סל עוקב מדד מק"מ</t>
  </si>
  <si>
    <t>תגמולים שיטת הפניקס סל עוקב מדד אג"ח לא צמוד ריבית קבועה</t>
  </si>
  <si>
    <t>תגמולים שיטת הפניקס סל עוקב מדד דאו ג'ונס יורוסטוקס 50</t>
  </si>
  <si>
    <t>תגמולים שיטת הפניקס סל עוקב מדד s&amp;p 500</t>
  </si>
  <si>
    <t>השתלמות שיטת הפניקס סל עוקב מדד ת"א 100</t>
  </si>
  <si>
    <t>השתלמות שיטת הפניקס סל עוקב מדד תל בונד 20</t>
  </si>
  <si>
    <t>השתלמות שיטת הפניקס סל עוקב מדד ממשלתי צמוד 0-2</t>
  </si>
  <si>
    <t>השתלמות שיטת הפניקס סל עוקב מדד ממשלתי צמוד 2-5</t>
  </si>
  <si>
    <t>השתלמות שיטת הפניקס סל עוקב מדד ממשלתי צמוד 5-7</t>
  </si>
  <si>
    <t>השתלמות שיטת הפניקס סל עוקב מדד ממשלתי צמוד 7-10</t>
  </si>
  <si>
    <t>השתלמות שיטת הפניקס סל עוקב מדד מק"מ</t>
  </si>
  <si>
    <t>השתלמות שיטת הפניקס סל עוקב מדד אג"ח לא צמוד ריבית קבועה</t>
  </si>
  <si>
    <t>השתלמות שיטת הפניקס סל עוקב מדד דאו ג'ונס יורוסטוק 50</t>
  </si>
  <si>
    <t>השתלמות שיטת הפניקס סל עוקב מדד s$p500</t>
  </si>
  <si>
    <t>השתלמות שיטת הפניקס סל עוקב מדד msci שווקים מתעוררים</t>
  </si>
  <si>
    <t>פסגות גמל בניהול אישי</t>
  </si>
  <si>
    <t>פסגות השתלמות בניהול אישי</t>
  </si>
  <si>
    <t>פסגות פנסיה מקיפה</t>
  </si>
  <si>
    <t>פסגות קרן פנסיה כללית</t>
  </si>
  <si>
    <t>אקסלנס תגמולים בניהול אישי</t>
  </si>
  <si>
    <t>אקסלנס השתלמות בניהול אישי</t>
  </si>
  <si>
    <t>הפניקס גמל בניהול אישי</t>
  </si>
  <si>
    <t>הפניקס השתלמות בניהול אישי</t>
  </si>
  <si>
    <t>מספר קופה</t>
  </si>
  <si>
    <t>נספח 2. תוספת הון בגין חברות מנהלות נשלטות</t>
  </si>
  <si>
    <t>נספח 3</t>
  </si>
  <si>
    <t>נספח 4. סכום ביטוח עודף</t>
  </si>
  <si>
    <t xml:space="preserve">אגרות חוב ממשלתייות סחירות </t>
  </si>
  <si>
    <t>מזומנים</t>
  </si>
  <si>
    <t>פיקדונות אשר מועד פירעונם יחול בתוך 3 חודשים או שניתן לפרעם בתוך 3 חודשים</t>
  </si>
  <si>
    <t>איגרות חוב בלתי סחירות והלוואות בדירוג השקעה שמועד פירעונן יחול בתוך 3 חודשים או שניתן לפרען בתוך 3 חודשים</t>
  </si>
  <si>
    <t xml:space="preserve">נייר ערך מסחרי שמועד פירעונם יחול בתוך 3 חודשים או שניתן לפרעם בתוך 3 חודשים; </t>
  </si>
  <si>
    <t>יחידות בקרן ותעודות סל שניתנות לפירעון בכל עת</t>
  </si>
  <si>
    <t xml:space="preserve">מניות הכלולות במדד תל אביב 25; </t>
  </si>
  <si>
    <t>מניות הכלולות במדדי מניות בעלות שווי שוק הגבוה ביותר, הרשומות למסחר בבורסת חוץ או בשוק מוסדר בכל מדינת חוץ מאושרת</t>
  </si>
  <si>
    <t xml:space="preserve">איגרות חוב סחירות בדירוג השקעה </t>
  </si>
  <si>
    <t>אופציית רכש 001</t>
  </si>
  <si>
    <t>(יא)</t>
  </si>
  <si>
    <t>עסקת מכר חוזר בניירות ערך שמועד תום התקופה שנקבעה בה יחול בתוך 3 חודשים;</t>
  </si>
  <si>
    <t>(יב)</t>
  </si>
  <si>
    <t>סה"כ נכסים נזילים</t>
  </si>
  <si>
    <t>2. חישוב סכום הנכסים הנזילים הנדרש</t>
  </si>
  <si>
    <t>סה"כ נכסים נזילים נדרשים - חברה</t>
  </si>
  <si>
    <t>סה"כ נכסים נזילים נדרשים - חברה בניכוי דרישות עבור חברות בנות</t>
  </si>
  <si>
    <t>`</t>
  </si>
  <si>
    <t>טופס 106, נספח - חישוב נכסים נזילים</t>
  </si>
  <si>
    <t>1. חישוב הנכסים הנזילים המוחזקים כנגד הון עצמי מזערי נדרש:</t>
  </si>
  <si>
    <t>ביכוי דרישות הנזילות של חברות מנהלות נשלטות</t>
  </si>
  <si>
    <t>3.עודף (גרעון) של נכסים נזילים 1(יב) - 2 (ג)</t>
  </si>
  <si>
    <t>_____חברה מנהלת</t>
  </si>
  <si>
    <t>טופס 101 -  הון עצמי מזערי הנדרש מחברה מנהלת</t>
  </si>
  <si>
    <t>הנתונים באלפי ש"ח</t>
  </si>
  <si>
    <t>5. הגיליונות מוגנים עם סיסמאות אבל אפשר לשנות את רוחב הטורים, גובה השורות ולהקפיא שורות או עמודות
החלונות</t>
  </si>
  <si>
    <t>4. נא לא לשנות נוסחאות  או להוסיף שורות או טורים.</t>
  </si>
  <si>
    <t>2. יש לשמור את הקובץ לפי השם הבא:</t>
  </si>
  <si>
    <t>נספח 6. קופות גמל מבטיחות תשואה</t>
  </si>
  <si>
    <t>נספח 6</t>
  </si>
  <si>
    <t>נספח 3. דרישות הון מיוחדות</t>
  </si>
  <si>
    <t>נספח 5. דרישות הון בגין קרנות ותיקות</t>
  </si>
  <si>
    <t>שם הקרן</t>
  </si>
  <si>
    <t>קרנות פנסיה ותיקות</t>
  </si>
  <si>
    <t>טופס 106, פירוט נכסים לפי סוגי התחייבויות</t>
  </si>
  <si>
    <t>טופס 101 -  גיליון הקלדת נתונים</t>
  </si>
  <si>
    <t>שיעור החזקה באחוזים</t>
  </si>
  <si>
    <t>דרישות הון בגין קרנות ותיקות - לצורך חישוב ההקלה</t>
  </si>
  <si>
    <t>דרישות הון עבור קופות גמל מבטיחות תשואה - לצורך חישוב ההקלה</t>
  </si>
  <si>
    <t>מספר קרן</t>
  </si>
  <si>
    <t>סכום הביטוח של החברה לא עומד בהוראות הדין</t>
  </si>
  <si>
    <t>1. בגין קרן ותיקה</t>
  </si>
  <si>
    <t>2. בגין קופת גמל מבטיחה תשואה</t>
  </si>
  <si>
    <t>הקלות בגין קרן ותיקה וקופת גמל מבטיחה תשואה:</t>
  </si>
  <si>
    <t>סך הקלה מותרת בגין קרן ותיקה וקופת גמל מבטיחה תשואה</t>
  </si>
  <si>
    <t>. 6</t>
  </si>
  <si>
    <t xml:space="preserve">ט' 106 נספח - חישוב נכסים נזילים </t>
  </si>
  <si>
    <t xml:space="preserve">ט' 106 ליום הדו"ח  </t>
  </si>
  <si>
    <t>גיליון הקלדת נתונים</t>
  </si>
  <si>
    <t>ט' 101 - הון נדרש</t>
  </si>
  <si>
    <t>T101_N</t>
  </si>
  <si>
    <t>T101</t>
  </si>
  <si>
    <t>106N</t>
  </si>
  <si>
    <t>סוג הקופה</t>
  </si>
  <si>
    <t>סוג קופות מנוהלות</t>
  </si>
  <si>
    <t>שם הקובץ הנוכחי</t>
  </si>
  <si>
    <t>הערות :</t>
  </si>
  <si>
    <t>11/01</t>
  </si>
  <si>
    <t>31.12.2011</t>
  </si>
  <si>
    <t>BASE</t>
  </si>
  <si>
    <t>12/11</t>
  </si>
  <si>
    <t>12/12</t>
  </si>
  <si>
    <t>12/13</t>
  </si>
  <si>
    <t>12/14</t>
  </si>
  <si>
    <t xml:space="preserve"> - Amounts are increased for the Change in CPI usin XXXX as the base Need to UPDATE the index annually</t>
  </si>
  <si>
    <t>מאזן</t>
  </si>
  <si>
    <t>נכסים:</t>
  </si>
  <si>
    <t xml:space="preserve">נכסים בלתי מוחשיים </t>
  </si>
  <si>
    <t>נכסי מיסים נדחים</t>
  </si>
  <si>
    <t>הוצאות רכישה נדחות</t>
  </si>
  <si>
    <t>נכסים בגין הטבות לעובדים</t>
  </si>
  <si>
    <t>השקעות בחברות כלולות</t>
  </si>
  <si>
    <t>נדל"ן להשקעה</t>
  </si>
  <si>
    <t>נכסי מסים שוטפים</t>
  </si>
  <si>
    <t>חייבים ויתרות חובה</t>
  </si>
  <si>
    <t xml:space="preserve"> השקעות פיננסיות:</t>
  </si>
  <si>
    <t xml:space="preserve">נכסי חוב סחירים </t>
  </si>
  <si>
    <t>נכסי חוב שאינם סחירים</t>
  </si>
  <si>
    <t>אחרות</t>
  </si>
  <si>
    <t>סך כל השקעות פיננסיות</t>
  </si>
  <si>
    <t>סך כל הנכסים</t>
  </si>
  <si>
    <r>
      <t>הון</t>
    </r>
    <r>
      <rPr>
        <sz val="12"/>
        <rFont val="David"/>
        <family val="2"/>
        <charset val="177"/>
      </rPr>
      <t>:</t>
    </r>
  </si>
  <si>
    <t>הון מניות</t>
  </si>
  <si>
    <t>פרמיה על מניות</t>
  </si>
  <si>
    <t>קרנות הון</t>
  </si>
  <si>
    <t>שטרי הון צמיתים</t>
  </si>
  <si>
    <t>עודפים</t>
  </si>
  <si>
    <t>סך כל ההון המיוחס לבעלי המניות של החברה</t>
  </si>
  <si>
    <t>זכויות שאינן מקנות שליטה</t>
  </si>
  <si>
    <t xml:space="preserve">סך כל הון </t>
  </si>
  <si>
    <t>התחייבויות:</t>
  </si>
  <si>
    <t>התחייבויות בגין מסים נדחים</t>
  </si>
  <si>
    <t>התחייבויות בשל הטבות לעובדים, נטו</t>
  </si>
  <si>
    <t>התחייבויות בגין מסים שוטפים</t>
  </si>
  <si>
    <t>זכאים ויתרות זכות</t>
  </si>
  <si>
    <t>התחייבויות פיננסיות</t>
  </si>
  <si>
    <t>סך כל ההתחייבויות</t>
  </si>
  <si>
    <t>סך כל ההון וההתחייבויות</t>
  </si>
  <si>
    <t>year</t>
  </si>
  <si>
    <t>quarter</t>
  </si>
  <si>
    <t>03</t>
  </si>
  <si>
    <t>06</t>
  </si>
  <si>
    <t>09</t>
  </si>
  <si>
    <t>Period1</t>
  </si>
  <si>
    <t>Date1</t>
  </si>
  <si>
    <t>Date2</t>
  </si>
  <si>
    <t>Date3</t>
  </si>
  <si>
    <t>Period2</t>
  </si>
  <si>
    <t>Period3</t>
  </si>
  <si>
    <t>Period4</t>
  </si>
  <si>
    <t>אפריל - יוני</t>
  </si>
  <si>
    <t>ינואר - ספטמבר</t>
  </si>
  <si>
    <t>ינואר - דצמבר</t>
  </si>
  <si>
    <t>אקטובר - דצמבר</t>
  </si>
  <si>
    <t>דוח רווח והפסד</t>
  </si>
  <si>
    <t>Period5</t>
  </si>
  <si>
    <t xml:space="preserve">הכנסות מדמי ניהול  מקופות גמל ומקרנות פנסיה, נטו </t>
  </si>
  <si>
    <t>רווחים (הפסדים) מהשקעות, נטו והכנסות מימון</t>
  </si>
  <si>
    <t>הכנסות אחרות</t>
  </si>
  <si>
    <t>סך כל ההכנסות</t>
  </si>
  <si>
    <t>עמלות, הוצאות שיווק והוצאות רכישה אחרות</t>
  </si>
  <si>
    <t xml:space="preserve">הוצאות הנהלה וכלליות </t>
  </si>
  <si>
    <t>הוצאות אחרות</t>
  </si>
  <si>
    <t>הוצאות מימון</t>
  </si>
  <si>
    <t>סך כל ההוצאות</t>
  </si>
  <si>
    <t>חלק ברווחי (הפסדי) חברות מוחזקות המטופלות לפי שיטת השווי המאזני</t>
  </si>
  <si>
    <t>רווח (הפסד) לפני מסים על ההכנסה</t>
  </si>
  <si>
    <t>מסים על הכנסה</t>
  </si>
  <si>
    <t>רווח (הפסד) לתקופה</t>
  </si>
  <si>
    <t>מיוחס ל:</t>
  </si>
  <si>
    <t>בעלי המניות של החברה</t>
  </si>
  <si>
    <t>רווח (הפסד) כולל אחר לתקופה:</t>
  </si>
  <si>
    <t>הערכה מחדש בגין שערוך רכוש קבוע, נטו</t>
  </si>
  <si>
    <t>שינוי נטו בשווי ההוגן של נכסים פיננסיים המסווגים כזמינים למכירה</t>
  </si>
  <si>
    <t>שינוי נטו בשווי ההוגן של נכסים פיננסיים המסווגים כזמינים למכירה שהועבר לדוח רווח והפסד</t>
  </si>
  <si>
    <t>רווחים (הפסדים) אקטואריים מתוכנית הטבה מוגדרת לעובדים</t>
  </si>
  <si>
    <t>חלק הקבוצה ברווח כולל אחר של חברות מוחזקות המטופלות לפי שיטת השווי המאזני</t>
  </si>
  <si>
    <t>מסים על הכנסה המתייחסים לרכיבים של רווח כולל אחר</t>
  </si>
  <si>
    <t>סך כל הרווח (הפסד) כולל אחר לתקופה, נטו ממס</t>
  </si>
  <si>
    <t xml:space="preserve">סך כל הרווח (הפסד) הכולל לתקופה </t>
  </si>
  <si>
    <t>רווח (הפסד) כולל לתקופה</t>
  </si>
  <si>
    <t>הפסד מירידת ערך של נכסים פיננסיים המסווגים כזמינים למכירה שהועבר לדוח רווח והפסד</t>
  </si>
  <si>
    <t>ביאור מגזרי פעילות</t>
  </si>
  <si>
    <t xml:space="preserve">הכנסות מדמי ניהול </t>
  </si>
  <si>
    <t xml:space="preserve">סך כל ההכנסות </t>
  </si>
  <si>
    <t>הוצאות הנהלה וכלליות</t>
  </si>
  <si>
    <t>חלק הקבוצה ברווחי (הפסדי) חברות מוחזקות הכלולות לפי שיטת השווי המאזני</t>
  </si>
  <si>
    <t>לא מיוחס למגזרי פעילות</t>
  </si>
  <si>
    <t>רווח (הפסד)</t>
  </si>
  <si>
    <t>סה"כ רווח (הפסד) כולל אחר לתקופה, נטו ממס</t>
  </si>
  <si>
    <t>עסקאות עם בעלים שנזקפו ישירות להון:</t>
  </si>
  <si>
    <t>הנפקת מניות</t>
  </si>
  <si>
    <t>המרת אגרות חוב להמרה במניות</t>
  </si>
  <si>
    <t>תשלום מבוסס מניות (נטו ממס)</t>
  </si>
  <si>
    <t>דיבידנד לבעלי המניות של החברה</t>
  </si>
  <si>
    <t xml:space="preserve">פרמיה על מניות </t>
  </si>
  <si>
    <t>קרן הון בגין עסקה עם בעל שליטה</t>
  </si>
  <si>
    <t xml:space="preserve">קרן הון בגין נכסים זמינים למכירה </t>
  </si>
  <si>
    <t xml:space="preserve">יתרת עודפים </t>
  </si>
  <si>
    <t xml:space="preserve">סה"כ </t>
  </si>
  <si>
    <t>סה"כ רווח כולל אחר לפני מסים</t>
  </si>
  <si>
    <t>סה"כ עסקאות עם בעלים שנזקפו ישירות להון</t>
  </si>
  <si>
    <t xml:space="preserve">יתרה ליום 1 בינואר, </t>
  </si>
  <si>
    <t>יתרה ליום 1 ב</t>
  </si>
  <si>
    <t>ינואר - מרץ</t>
  </si>
  <si>
    <t>ינואר - יוני</t>
  </si>
  <si>
    <t>BEGIN</t>
  </si>
  <si>
    <t>END</t>
  </si>
  <si>
    <t>יתרת לסוף</t>
  </si>
  <si>
    <t>מרץ</t>
  </si>
  <si>
    <t>יוני</t>
  </si>
  <si>
    <t>ספטמבר</t>
  </si>
  <si>
    <t>דצמבר</t>
  </si>
  <si>
    <t>קרן פנסיה ותיקה</t>
  </si>
  <si>
    <t>קרן פנסיה חדשה</t>
  </si>
  <si>
    <t>קופות אישיות לתגמולים ולפיצויים</t>
  </si>
  <si>
    <t>31.12.2010</t>
  </si>
  <si>
    <t>מוניטין</t>
  </si>
  <si>
    <t>דמי ניהול עתידיים</t>
  </si>
  <si>
    <t>מותג</t>
  </si>
  <si>
    <t>תוכנות מחשב</t>
  </si>
  <si>
    <t>סה''כ</t>
  </si>
  <si>
    <t>31.12.2009</t>
  </si>
  <si>
    <t>עלות</t>
  </si>
  <si>
    <t>31.12.2008</t>
  </si>
  <si>
    <t>שנה קודמת</t>
  </si>
  <si>
    <t xml:space="preserve">יתרה ליום 31 בדצמבר, </t>
  </si>
  <si>
    <t>31.12.2007</t>
  </si>
  <si>
    <t>תוספות</t>
  </si>
  <si>
    <t xml:space="preserve">בשנת </t>
  </si>
  <si>
    <t>31.12.2006</t>
  </si>
  <si>
    <t>נכסים מיועדים למימוש</t>
  </si>
  <si>
    <t>הערכות מחדש</t>
  </si>
  <si>
    <t>גריעות</t>
  </si>
  <si>
    <t>התאמות הנובעות מתרגום דוחות כספיים של פעילויות חוץ</t>
  </si>
  <si>
    <t>שנה נוכחית</t>
  </si>
  <si>
    <t>הפחתה שנצברה והפסדים מירידת ערך שנצברו</t>
  </si>
  <si>
    <t>הפחתה שהוכרה במהלך השנה</t>
  </si>
  <si>
    <t>ירידת ערך</t>
  </si>
  <si>
    <t>ערך בספרים נטו</t>
  </si>
  <si>
    <t>* תוספות בגין תוכנות מחשב כוללות תוספות בגין פיתוח עצמי</t>
  </si>
  <si>
    <t>הנתונים באלפי ₪</t>
  </si>
  <si>
    <t>B5</t>
  </si>
  <si>
    <t>באלפי ₪</t>
  </si>
  <si>
    <t>סה"כ הוצאות רכישה נדחות</t>
  </si>
  <si>
    <t>יתרה ליום 1 בינואר</t>
  </si>
  <si>
    <t>עמלות רכישה</t>
  </si>
  <si>
    <t>סה"כ תוספות</t>
  </si>
  <si>
    <t>הפחתה שוטפת</t>
  </si>
  <si>
    <t>הפחתה בגין ביטולים</t>
  </si>
  <si>
    <t>יתרה ליום 31 בדצמבר</t>
  </si>
  <si>
    <t>באור 6א' - הוצאות רכישה נדחות - ההרכב</t>
  </si>
  <si>
    <t>B6</t>
  </si>
  <si>
    <t xml:space="preserve">יתרת עלות ליום 1 בינואר, </t>
  </si>
  <si>
    <t xml:space="preserve">יתרת פחת ליום 1 בינואר, </t>
  </si>
  <si>
    <t>תוספות במשך השנה</t>
  </si>
  <si>
    <t xml:space="preserve">יתרת עלות ליום 31 בדצמבר, </t>
  </si>
  <si>
    <t xml:space="preserve">יתרת פחת ליום 31 בדצמבר, </t>
  </si>
  <si>
    <t>גריעות במשך השנה</t>
  </si>
  <si>
    <t xml:space="preserve">יתרת עלות מופחתת ליום 31 בדצמבר, </t>
  </si>
  <si>
    <t xml:space="preserve">גריעות בגין סיווג נכסים מיועדים למימוש </t>
  </si>
  <si>
    <t>העברה לנדל"ן להשקעה</t>
  </si>
  <si>
    <t>חברה שהופסק איחודה</t>
  </si>
  <si>
    <t>פחת שנצבר</t>
  </si>
  <si>
    <t>גריעות בגין סיווג נכסים מיועדים למימוש</t>
  </si>
  <si>
    <t>קיזוז פחת שנצבר על רכוש שהועבר לנדל"ן להשקעה</t>
  </si>
  <si>
    <t xml:space="preserve">רווח (הפסד) </t>
  </si>
  <si>
    <t>רווח (הפסד) כולל אחר לפני מסים על הכנסה</t>
  </si>
  <si>
    <t>סך כל הרווח (הפסד) הכולל לתקופה לפני מסים על הכנסה</t>
  </si>
  <si>
    <t>הערך בספרים</t>
  </si>
  <si>
    <t xml:space="preserve">ליום 31 בדצמבר, </t>
  </si>
  <si>
    <t>אורך חיים שימושיים (בשנים)</t>
  </si>
  <si>
    <t>B7</t>
  </si>
  <si>
    <t>באור 7  - רכוש קבוע - הרכב ותנועה</t>
  </si>
  <si>
    <t>עלות המניות</t>
  </si>
  <si>
    <t>חלק החברה ברווחים (הפסדים) שנצברו ממועד הרכישה, נטו</t>
  </si>
  <si>
    <t>חלק החברה בקרנות הון שנוצרו לאחר הרכישה</t>
  </si>
  <si>
    <t>התאמות מתרגום דוחות כספיים של פעילויות חוץ</t>
  </si>
  <si>
    <t xml:space="preserve">כתבי אופציה </t>
  </si>
  <si>
    <t xml:space="preserve">רכיב החוב באגרות חוב הניתנות להמרה במניות </t>
  </si>
  <si>
    <t>רכיב ההמרה באגרות חוב הניתנות להמרה במניות</t>
  </si>
  <si>
    <t xml:space="preserve">אגרות חוב </t>
  </si>
  <si>
    <t xml:space="preserve">הלוואות ויתרות חובה לזמן ארוך  </t>
  </si>
  <si>
    <t>תשלומים על חשבון מניות</t>
  </si>
  <si>
    <t>שטרי הון</t>
  </si>
  <si>
    <t>סה"כ השקעות אחרות</t>
  </si>
  <si>
    <t xml:space="preserve">בניכוי - הפרשה לירידת ערך </t>
  </si>
  <si>
    <t>סה"כ השקעות בחברות מוחזקות המטופלות לפי שיטת השווי המאזני</t>
  </si>
  <si>
    <t xml:space="preserve">נכסים </t>
  </si>
  <si>
    <t xml:space="preserve">התחייבויות </t>
  </si>
  <si>
    <t>נכסים נטו</t>
  </si>
  <si>
    <t>הכנסות</t>
  </si>
  <si>
    <t>רווח (הפסד) נקי</t>
  </si>
  <si>
    <t xml:space="preserve">מתוכם: </t>
  </si>
  <si>
    <t>בגין פעילות שהופסקה</t>
  </si>
  <si>
    <t>חברות כלולות</t>
  </si>
  <si>
    <t>חברות בשליטה משותפת</t>
  </si>
  <si>
    <t>סכום מקורי</t>
  </si>
  <si>
    <t>יתרה</t>
  </si>
  <si>
    <t xml:space="preserve">בגין חברות כלולות </t>
  </si>
  <si>
    <t>סה"כ מוניטין אשר נבע מרכישת ההשקעות בחברות מוחזקות</t>
  </si>
  <si>
    <t>באור 8ה' -דיבידנדים שהתקבלו מחברות מוחזקות</t>
  </si>
  <si>
    <t>מחברות כלולות</t>
  </si>
  <si>
    <t xml:space="preserve"> מחברות בשליטה משותפת</t>
  </si>
  <si>
    <t>מחברות מאוחדות</t>
  </si>
  <si>
    <t>B9</t>
  </si>
  <si>
    <t>B8</t>
  </si>
  <si>
    <t xml:space="preserve">יתרה ליום 1 בינואר </t>
  </si>
  <si>
    <t>רכישות ותוספות לנכסים קיימים</t>
  </si>
  <si>
    <t>עלויות ישירות שהוונו</t>
  </si>
  <si>
    <t>העברה מרכוש קבוע</t>
  </si>
  <si>
    <t>גריעות במהלך השנה</t>
  </si>
  <si>
    <t>מימושים</t>
  </si>
  <si>
    <t>העברה לנכסים מיועדים למימוש</t>
  </si>
  <si>
    <t>העברה לרכוש קבוע</t>
  </si>
  <si>
    <t>סה"כ גריעות</t>
  </si>
  <si>
    <t xml:space="preserve">יתרה ליום 31 בדצמבר </t>
  </si>
  <si>
    <t>כולל</t>
  </si>
  <si>
    <t>בבעלות</t>
  </si>
  <si>
    <t>בחכירה בלתי מהוונת</t>
  </si>
  <si>
    <t>בחכירה מהוונת</t>
  </si>
  <si>
    <t>הכנסות שכירות</t>
  </si>
  <si>
    <t>הוצאות תפעוליות ישירות מנדל"ן להשקעה שהפיק הכנסות שכירות במהלך התקופה</t>
  </si>
  <si>
    <t>הוצאות תפעוליות ישירות מנדל"ן להשקעה שלא הפיק הכנסות שכירות במהלך התקופה</t>
  </si>
  <si>
    <t>באור 9א' - נדל"ן להשקעה</t>
  </si>
  <si>
    <t>באור 9ב' - סכומים שהוכרו בדוח רווח והפסד</t>
  </si>
  <si>
    <t>סה"כ סכומים שהוכרו בדוח רווח והפסד</t>
  </si>
  <si>
    <t>באור 10 - חייבים ויתרות חובה</t>
  </si>
  <si>
    <t>B10</t>
  </si>
  <si>
    <t>הכנסות לקבל</t>
  </si>
  <si>
    <t>הוצאות מראש</t>
  </si>
  <si>
    <t xml:space="preserve">מוסדות </t>
  </si>
  <si>
    <t xml:space="preserve">צדדים קשורים </t>
  </si>
  <si>
    <t>ריבית ודיבידנד לקבל</t>
  </si>
  <si>
    <t xml:space="preserve">הלוואות לעובדים </t>
  </si>
  <si>
    <t>חייבים אחרים</t>
  </si>
  <si>
    <t>בניכוי הפרשה לחובות מסופקים</t>
  </si>
  <si>
    <t>סה"כ חייבים ויתרות חובה</t>
  </si>
  <si>
    <t>סה"כ חייבים לפני הפרשות</t>
  </si>
  <si>
    <t>באור 11א' -פירוט השקעות פיננסיות</t>
  </si>
  <si>
    <t>זמינים למכירה</t>
  </si>
  <si>
    <t>מוחזקים לפדיון</t>
  </si>
  <si>
    <t>הלוואות וחייבים</t>
  </si>
  <si>
    <t>נכסי חוב סחירים</t>
  </si>
  <si>
    <t>סך כל השקעות פיננסיות אחרות</t>
  </si>
  <si>
    <t>פירוט השקעות פיננסיות</t>
  </si>
  <si>
    <t>אגרות חוב ממשלתיות</t>
  </si>
  <si>
    <r>
      <t>מוצגות בשווי הוגן דרך רווח או הפסד</t>
    </r>
    <r>
      <rPr>
        <b/>
        <sz val="11"/>
        <rFont val="David"/>
        <family val="2"/>
        <charset val="177"/>
      </rPr>
      <t>:</t>
    </r>
  </si>
  <si>
    <t>שיועדו בעת ההכרה לראשונה</t>
  </si>
  <si>
    <t>מוחזקות למסחר</t>
  </si>
  <si>
    <t>מוחזקות לפדיון</t>
  </si>
  <si>
    <t>זמינות למכירה</t>
  </si>
  <si>
    <t>סך הכל אגרות חוב ממשלתיות</t>
  </si>
  <si>
    <t>נכסי חוב אחרים:</t>
  </si>
  <si>
    <t>שאינם ניתנים להמרה</t>
  </si>
  <si>
    <r>
      <t>מוצגים בשווי הוגן דרך רווח או הפסד</t>
    </r>
    <r>
      <rPr>
        <b/>
        <sz val="11"/>
        <rFont val="David"/>
        <family val="2"/>
        <charset val="177"/>
      </rPr>
      <t>:</t>
    </r>
  </si>
  <si>
    <t>מוחזקים למסחר</t>
  </si>
  <si>
    <t>סך הכל נכסי חוב אחרים שאינם ניתנים להמרה</t>
  </si>
  <si>
    <t>ניתנים להמרה</t>
  </si>
  <si>
    <t>מוצגים בשווי הוגן דרך רווח או הפסד:</t>
  </si>
  <si>
    <t>סך הכל נכסי חוב אחרים הניתנים להמרה</t>
  </si>
  <si>
    <t>סך הכל נכסי חוב סחירים</t>
  </si>
  <si>
    <t>ירידות ערך קבועות שנזקפו לרווח והפסד (במצטבר)</t>
  </si>
  <si>
    <t>השווי ההוגן של נכסי החוב הסחירים המוחזקים לפדיון:</t>
  </si>
  <si>
    <t>אג"ח ממשלתיות</t>
  </si>
  <si>
    <t>סך הכל שווי הוגן של נכסי חוב סחירים המוחזקים לפדיון</t>
  </si>
  <si>
    <t>באור 11ב' -נכסי חוב סחירים</t>
  </si>
  <si>
    <t>B11A</t>
  </si>
  <si>
    <t>B11B</t>
  </si>
  <si>
    <t>באור 11ג' -נכסי חוב שאינם סחירים</t>
  </si>
  <si>
    <t>מוצגות כהלוואות וחייבים, לרבות פיקדונות בבנקים</t>
  </si>
  <si>
    <t>מוצגות כהלוואות וחייבים</t>
  </si>
  <si>
    <t>סך הכל נכסי חוב שאינם סחירים</t>
  </si>
  <si>
    <t>מוצגים בשווי הוגן דרך רווח או הפסד שיועדו בעת ההכרה לראשונה</t>
  </si>
  <si>
    <t>באור 11ד' - פרטים בדבר ריבית והצמדה בגין נכסי חוב</t>
  </si>
  <si>
    <t>ריבית אפקטיבית</t>
  </si>
  <si>
    <t>בסיס הצמדה - נכסי חוב סחירים</t>
  </si>
  <si>
    <t>שקלי</t>
  </si>
  <si>
    <t>בסיס הצמדה - נכסי חוב שאינם סחירים</t>
  </si>
  <si>
    <t>באור 11ה' - מניות</t>
  </si>
  <si>
    <t>סחירות</t>
  </si>
  <si>
    <t>סך הכל מניות סחירות</t>
  </si>
  <si>
    <t>שאינן סחירות</t>
  </si>
  <si>
    <t>סך הכל מניות שאינן סחירות</t>
  </si>
  <si>
    <t>סך הכל מניות</t>
  </si>
  <si>
    <t>מוצגות בשווי הוגן דרך רווח או הפסד שיועדו בעת ההכרה לראשונה</t>
  </si>
  <si>
    <t>מסווגות כמוחזקים למסחר</t>
  </si>
  <si>
    <t>מכשירים נגזרים</t>
  </si>
  <si>
    <t>זמן ארוך</t>
  </si>
  <si>
    <t>זמן קצר</t>
  </si>
  <si>
    <t>סך הכל השקעות פיננסיות סחירות</t>
  </si>
  <si>
    <t>סך הכל השקעות פיננסיות שאינן סחירות</t>
  </si>
  <si>
    <t>סך הכל השקעות פיננסיות אחרות</t>
  </si>
  <si>
    <t>באור 11ו' - השקעות פיננסיות אחרות</t>
  </si>
  <si>
    <t>מוצגות בשווי הוגן דרך רווח והפסד שיועדו בעת ההכרה לראשונה</t>
  </si>
  <si>
    <t>מדד</t>
  </si>
  <si>
    <t>מטבע זר</t>
  </si>
  <si>
    <t>סחורות</t>
  </si>
  <si>
    <t>באור 11ו1' - מכשירים נגזרים - סכום החשיפה</t>
  </si>
  <si>
    <t>באחוזים</t>
  </si>
  <si>
    <t>עבור נכסי חוב שאינם סחירים לפי דירוג</t>
  </si>
  <si>
    <t>AA ומעלה</t>
  </si>
  <si>
    <t>A</t>
  </si>
  <si>
    <t>BBB</t>
  </si>
  <si>
    <t>נמוך מ- BBB</t>
  </si>
  <si>
    <t>לא מדורג</t>
  </si>
  <si>
    <t xml:space="preserve">מוצגים בשווי הוגן </t>
  </si>
  <si>
    <t>רמה 1</t>
  </si>
  <si>
    <t>רמה 2</t>
  </si>
  <si>
    <t>רמה 3</t>
  </si>
  <si>
    <t xml:space="preserve"> סה"כ</t>
  </si>
  <si>
    <t>B11C</t>
  </si>
  <si>
    <t>באור 11ז2' - שווי הוגן של הכסים פיננסיים בחלוקה לרמות</t>
  </si>
  <si>
    <t>השקעות פיננסיות אחרות</t>
  </si>
  <si>
    <r>
      <t xml:space="preserve">סך הרווחים (ההפסדים) שהוכרו </t>
    </r>
    <r>
      <rPr>
        <b/>
        <sz val="11"/>
        <rFont val="David"/>
        <family val="2"/>
        <charset val="177"/>
      </rPr>
      <t xml:space="preserve">ברווח והפסד </t>
    </r>
  </si>
  <si>
    <r>
      <t xml:space="preserve">סך הרווחים (ההפסדים) שהוכרו </t>
    </r>
    <r>
      <rPr>
        <b/>
        <sz val="11"/>
        <rFont val="David"/>
        <family val="2"/>
        <charset val="177"/>
      </rPr>
      <t>ברווח כולל אחר</t>
    </r>
  </si>
  <si>
    <t xml:space="preserve">רכישות </t>
  </si>
  <si>
    <t>מכירות</t>
  </si>
  <si>
    <t>פדיונות</t>
  </si>
  <si>
    <t>העברות אל רמה 3</t>
  </si>
  <si>
    <t>העברות מתוך רמה 3</t>
  </si>
  <si>
    <t>באור 11ז3' - השקעות פיננסיות אחרות הנמדדים בשווי הוגן ברמה 3</t>
  </si>
  <si>
    <t>מזומנים ופקדונות למשיכה מיידית</t>
  </si>
  <si>
    <t>פקדונות לזמן קצר</t>
  </si>
  <si>
    <t>סה"כ מזומנים ושווי מזומנים</t>
  </si>
  <si>
    <t>בתקופה שהסתיימה ב:</t>
  </si>
  <si>
    <t>דיבידנד שהוכרז ושולם</t>
  </si>
  <si>
    <t xml:space="preserve">למניה רגילה </t>
  </si>
  <si>
    <t xml:space="preserve">למנית בכורה שאינה ניתנת לפדיון </t>
  </si>
  <si>
    <t>סה"כ דיבידנדים שהוכרזו ושולמו</t>
  </si>
  <si>
    <t>הדיבידנדים שהוכרזו וטרם שולמו לתאריך המאזן</t>
  </si>
  <si>
    <t>סה"כ דיבידנדים שהוכרזו וטרם שולמו לתאריך המאזן</t>
  </si>
  <si>
    <t>דיבידנדים שהוכרזו  לאחר תאריך המאזן</t>
  </si>
  <si>
    <t>סה"כ דיבידנדים שהוכרזו  לאחר תאריך המאזן</t>
  </si>
  <si>
    <t>באור 13א' - הון עצמי ודרישות הון - דיבידנד</t>
  </si>
  <si>
    <t>הון עצמי מינימלי</t>
  </si>
  <si>
    <t>עודף (גרעון)</t>
  </si>
  <si>
    <t>הסכום הנדרש כולל, דרישות הון בגין:</t>
  </si>
  <si>
    <t>באור 13ב' - הון עצמי ודרישות הון - הון עצמי מינימלי</t>
  </si>
  <si>
    <t>הסכום הנדרש על פי תקנות ההון</t>
  </si>
  <si>
    <t>אחוז מההפרש הנדרש להשלמה</t>
  </si>
  <si>
    <t>פעולות לאחר תאריך המאזן</t>
  </si>
  <si>
    <t>חלוקת דיבידנד</t>
  </si>
  <si>
    <t xml:space="preserve">אחר </t>
  </si>
  <si>
    <t>סה"כ פעולות לאחר תאריך המאזן</t>
  </si>
  <si>
    <t xml:space="preserve">סכום ההון העצמי הנדרש שאין כנגדו נכסים העומדים בכללי הנזילות וההשקעה </t>
  </si>
  <si>
    <t>היקף נכסים מנוהלים</t>
  </si>
  <si>
    <t>חברות מנהלות נשלטות</t>
  </si>
  <si>
    <t>דרישות הון מיוחדות על פי הנחיות הממונה</t>
  </si>
  <si>
    <t>הקלה בגין עריכת ביטוח</t>
  </si>
  <si>
    <t>הקלות אחרות בהתאם לחוזר הממונה</t>
  </si>
  <si>
    <t>סך כל הסכום הנדרש</t>
  </si>
  <si>
    <t xml:space="preserve">ערך בספרים </t>
  </si>
  <si>
    <t>שווי הוגן</t>
  </si>
  <si>
    <t>Percent</t>
  </si>
  <si>
    <t>מסים בגין שנים קודמות</t>
  </si>
  <si>
    <t>סה"כ מסים על ההכנסה הכלולים בדוחות רווח והפסד</t>
  </si>
  <si>
    <t>הוצאות (הכנסות) מסים שוטפים</t>
  </si>
  <si>
    <t>בגין השנה השוטפת</t>
  </si>
  <si>
    <t>התאמות בגין שנים קודמות, נטו</t>
  </si>
  <si>
    <t>הוצאות מסים נדחים</t>
  </si>
  <si>
    <t>שינוי בשיעורי המס</t>
  </si>
  <si>
    <t>סה"כ הוצאות (הכנסות) מסים שוטפים</t>
  </si>
  <si>
    <t>סה"כ הוצאות מסים נדחים</t>
  </si>
  <si>
    <t xml:space="preserve">הוצאות רכישה נדחות </t>
  </si>
  <si>
    <t>הטבות לעובדים</t>
  </si>
  <si>
    <t xml:space="preserve">מכשירים פיננסיים </t>
  </si>
  <si>
    <t>הפסדים לצורכי מס</t>
  </si>
  <si>
    <t>שינויים אשר נזקפו לרווח והפסד</t>
  </si>
  <si>
    <t>שינויים אשר נזקפו להון</t>
  </si>
  <si>
    <t>השפעת השינוי בשיעור המס</t>
  </si>
  <si>
    <t>העברה לקבוצת נכסים מיועדים למימוש</t>
  </si>
  <si>
    <t>B14</t>
  </si>
  <si>
    <t>שינויים אשר נזקפו לרווח כולל אחר</t>
  </si>
  <si>
    <t>באור 14ב' מסים נדחים הרכב</t>
  </si>
  <si>
    <t>באור 14א' מסים על ההכנסה הכלולים בדוחות רווח והפסד</t>
  </si>
  <si>
    <t>נכסי מסים נדחים</t>
  </si>
  <si>
    <t>יתרת נכס (התחייבות) מס נדחה לסוף התקופה</t>
  </si>
  <si>
    <t>שיעור המס הסטטוטורי הכולל החל על מוסדות כספיים</t>
  </si>
  <si>
    <t>עלייה (ירידה) במסים על ההכנסה הנובעת מהגורמים הבאים</t>
  </si>
  <si>
    <t>הוצאות שאינן מותרות בניכוי לצורכי מס</t>
  </si>
  <si>
    <t xml:space="preserve">הכנסות פטורות </t>
  </si>
  <si>
    <t>הכנסות החייבות בשיעורי מס מיוחדים</t>
  </si>
  <si>
    <t>חלק הקבוצה ברווחי (בהפסדי) חברות כלולות</t>
  </si>
  <si>
    <t>הפרשים בבסיס המדידה (מדד לצורכי מס ומטבע חוץ בדוחות הכספיים)</t>
  </si>
  <si>
    <t>הפרשים זמניים בגינם לא נזקפו מסים נדחים</t>
  </si>
  <si>
    <t>גידול בהפסדים לצורכי מס בגינם לא נזקפו מסים נדחים</t>
  </si>
  <si>
    <t xml:space="preserve">ניצול הפסדים לצורכי מס משנים קודמות, בגינם לא נזקפו מסים </t>
  </si>
  <si>
    <t>עדכון יתרות מסים נדחים בגין שינויים בשיעורי המס</t>
  </si>
  <si>
    <t>סה"כ מסים על ההכנסה</t>
  </si>
  <si>
    <t>שיעור מס אפקטיבי ממוצע</t>
  </si>
  <si>
    <t>באור 14ד' - מסים על ההכנסה - מס תיאורטי</t>
  </si>
  <si>
    <t>עובדים והתחייבויות אחרות בשל שכר ומשכורת</t>
  </si>
  <si>
    <t xml:space="preserve">הוצאות לשלם </t>
  </si>
  <si>
    <t>ספקים ונותני שירותים</t>
  </si>
  <si>
    <t>מוסדות ורשויות ממשלתיות</t>
  </si>
  <si>
    <t>מבוטחים ועמיתים</t>
  </si>
  <si>
    <t xml:space="preserve">אחרים  </t>
  </si>
  <si>
    <t>סך הכל זכאים ויתרות זכות</t>
  </si>
  <si>
    <t>באור 16 - זכאים ויתרות זכות</t>
  </si>
  <si>
    <t>B16</t>
  </si>
  <si>
    <t>הכנסות מראש</t>
  </si>
  <si>
    <t>צדדים קשורים</t>
  </si>
  <si>
    <t>הפרשה לחופשה</t>
  </si>
  <si>
    <t>ערך בספרים</t>
  </si>
  <si>
    <t>התחייבויות פיננסיות המוצגות בעלות מופחתת:</t>
  </si>
  <si>
    <t>הלוואות מתאגידים בנקאיים</t>
  </si>
  <si>
    <t>הלוואות מתאגידים שאינם בנקאיים</t>
  </si>
  <si>
    <t xml:space="preserve">התחייבות לרכישה חוזרת (REPO) </t>
  </si>
  <si>
    <t xml:space="preserve">הלוואות מבעל עניין </t>
  </si>
  <si>
    <t>אגרות חוב</t>
  </si>
  <si>
    <t>כתבי התחייבויות נדחים</t>
  </si>
  <si>
    <t xml:space="preserve">התחייבויות אחרות </t>
  </si>
  <si>
    <t>סה"כ התחייבויות פיננסיות המוצגות בעלות מופחתת</t>
  </si>
  <si>
    <t>התחייבויות פיננסיות המוצגות בשווי הוגן דרך רווח והפסד:</t>
  </si>
  <si>
    <t>נגזרים</t>
  </si>
  <si>
    <t>מכירה בחסר</t>
  </si>
  <si>
    <t>סה"כ התחייבויות פיננסיות המוצגות בשווי הוגן דרך רווח והפסד</t>
  </si>
  <si>
    <t>סך התחייבויות פיננסיות</t>
  </si>
  <si>
    <t>בסיס הצמדה</t>
  </si>
  <si>
    <t xml:space="preserve">צמוד מט"ח </t>
  </si>
  <si>
    <t>באור 17ב' - התחייבויות פיננסיות - המוצגות בעלות מופחתת - פרטים בדבר ריבית והצמדה</t>
  </si>
  <si>
    <t>B17</t>
  </si>
  <si>
    <t>מוצגים בשווי ההוגן דרך רווח והפסד</t>
  </si>
  <si>
    <t xml:space="preserve">סך הרווחים (ההפסדים) שהוכרו ברווח והפסד </t>
  </si>
  <si>
    <t>סך הרווחים (ההפסדים) שהוכרו ברווח כולל אחר</t>
  </si>
  <si>
    <t>הנפקות</t>
  </si>
  <si>
    <t>באור 17ג' - שווי הוגן של התחייבויות פיננסיות המוצגות בשווי הוגן דרך דוח רווח והפסד בחלוקה לרמות</t>
  </si>
  <si>
    <t>באור 17ד' - התנועה בהתחייבויות הנמדדות בשווי הוגן והמסווגות לרמה 3</t>
  </si>
  <si>
    <t xml:space="preserve">סך הרווחים (ההפסדים) לתקופה שנכללו ברווח והפסד בגין התחייבויות פיננסיות המוחזקות כון ליום 31 בדצמבר </t>
  </si>
  <si>
    <t>דמי חכירה מינימאליים עתידיים</t>
  </si>
  <si>
    <t>מרכיב ריבית</t>
  </si>
  <si>
    <t>ערך נוכחי של דמי חכירה מינימאליים</t>
  </si>
  <si>
    <t>פחות משנה</t>
  </si>
  <si>
    <t>משנה עד חמש שנים</t>
  </si>
  <si>
    <t>יותר מחמש שנים</t>
  </si>
  <si>
    <t>סה"כ התחייבות בגין חכירה מימונית</t>
  </si>
  <si>
    <t>התחייבויות פיננסיות:</t>
  </si>
  <si>
    <t xml:space="preserve">הלוואות </t>
  </si>
  <si>
    <t>התחייבויות פיננסיות אחרות</t>
  </si>
  <si>
    <t>באור 17ה' - התחייבויות פיננסיות המוצגות בשווי הוגן - שיעורי הריבית ששימשו בקביעת השווי ההוגן</t>
  </si>
  <si>
    <t>באור 17ו' - התחייבות בגין חכירה מימונית</t>
  </si>
  <si>
    <t>תמורה מהנפקת אגרות חוב ניתנות להמרה במניות</t>
  </si>
  <si>
    <t>עלויות עסקה</t>
  </si>
  <si>
    <t>תמורה, נטו</t>
  </si>
  <si>
    <t>סכום שהוכר לראשונה כהתחייבות</t>
  </si>
  <si>
    <t>ריבית שנצברה</t>
  </si>
  <si>
    <t xml:space="preserve">[1] </t>
  </si>
  <si>
    <t>באור 17ז' -אגרות חוב ניתנות להמרה במניות</t>
  </si>
  <si>
    <t>ערך בספרים של ההתחייבות ליום:</t>
  </si>
  <si>
    <t>סכום שהוכר כהון (*)</t>
  </si>
  <si>
    <t>באור 17ח' -ערבויות פיננסיות - המוצגות כהתחייבות פיננסית</t>
  </si>
  <si>
    <t>החשיפה המרבית</t>
  </si>
  <si>
    <t>יתרה בדוחות הכספיים</t>
  </si>
  <si>
    <t>התחייבות בגין מתן ערבות לחברה כלולה</t>
  </si>
  <si>
    <t>התחייבויות בגין מתן ערבות לחברת ______</t>
  </si>
  <si>
    <t xml:space="preserve">סה"כ ערבויות פיננסיות </t>
  </si>
  <si>
    <t>B18</t>
  </si>
  <si>
    <t>דמי ניהול מקרנות פנסיה</t>
  </si>
  <si>
    <t>דמי ניהול מקרן פנסיה חדשה מקיפה:</t>
  </si>
  <si>
    <t>מדמי גמולים</t>
  </si>
  <si>
    <t>מצבירה</t>
  </si>
  <si>
    <t>דמי ניהול מקרן פנסיה חדשה כללית</t>
  </si>
  <si>
    <t>סך הכל דמי ניהול מקרנות פנסיה</t>
  </si>
  <si>
    <t>דמי ניהול מקופות גמל</t>
  </si>
  <si>
    <t>סך הכל דמי ניהול מקופות גמל</t>
  </si>
  <si>
    <t>סך דמי ניהול</t>
  </si>
  <si>
    <t>שיעור ממוצע באחוזים</t>
  </si>
  <si>
    <t>תקבולים</t>
  </si>
  <si>
    <t>תשלומים</t>
  </si>
  <si>
    <t>קרן פנסיה חדשה מקיפה</t>
  </si>
  <si>
    <t>קרן פנסיה חדשה כללית</t>
  </si>
  <si>
    <t>סך הכל</t>
  </si>
  <si>
    <t xml:space="preserve">סך נכסים </t>
  </si>
  <si>
    <t>סה"כ דמי ניהול מקרן פנסיה ותיקה</t>
  </si>
  <si>
    <t>קרנות פנסיה</t>
  </si>
  <si>
    <t>העברות לחברה מגופים אחרים</t>
  </si>
  <si>
    <t>העברות מחברות ביטוח</t>
  </si>
  <si>
    <t>העברות מקרנות פנסיה</t>
  </si>
  <si>
    <t>העברות מקופות גמל</t>
  </si>
  <si>
    <t>סך כל העברות לחברה</t>
  </si>
  <si>
    <t>העברות מהחברה לגופים אחרים</t>
  </si>
  <si>
    <t>העברות לחברות ביטוח</t>
  </si>
  <si>
    <t>העברות לקרנות פנסיה</t>
  </si>
  <si>
    <t>העברות לקופות גמל</t>
  </si>
  <si>
    <t>סך כל העברות מהחברה</t>
  </si>
  <si>
    <t>העברות, נטו</t>
  </si>
  <si>
    <t xml:space="preserve">     </t>
  </si>
  <si>
    <t>הכנסות מנדל"ן להשקעה:</t>
  </si>
  <si>
    <t>הכנסות מדיבידנד</t>
  </si>
  <si>
    <t xml:space="preserve">[2] </t>
  </si>
  <si>
    <t>הכנסות ריבית והפרשי הצמדה מנכסים פיננסים בשווי הוגן דרך רווח והפסד</t>
  </si>
  <si>
    <t>שערוך נדל"ן להשקעה</t>
  </si>
  <si>
    <t>הכנסות שוטפות בגין נדל"ן להשקעה</t>
  </si>
  <si>
    <t>סך הכל הכנסות מנדל"ן להשקעה</t>
  </si>
  <si>
    <t>רווחים (הפסדים) מהשקעות פיננסיות, למעט ריבית הפרשי הצמדה  הפרשי שער ודיבידנד בגין:</t>
  </si>
  <si>
    <t>א. נכסים זמינים למכירה</t>
  </si>
  <si>
    <t xml:space="preserve">רווחים (הפסדים) נטו מניירות ערך שמומשו </t>
  </si>
  <si>
    <t xml:space="preserve">ירידות ערך נטו שנזקפו לרווח והפסד </t>
  </si>
  <si>
    <t>סך הכל רווחים (הפסדים) מהשקעות בגין נכסים זמינים למכירה</t>
  </si>
  <si>
    <t>ב. נכסים המוצגים בשווי הוגן דרך רווח או הפסד</t>
  </si>
  <si>
    <t xml:space="preserve">שינויים בשווי ההוגן נטו, לרבות רווח ממימוש: </t>
  </si>
  <si>
    <t>בגין נכסים שיועדו בעת ההכרה הראשונית</t>
  </si>
  <si>
    <t>בגין נכסים מוחזקים למסחר</t>
  </si>
  <si>
    <t>סך הכל רווחים (הפסדים) מהשקעות בגין נכסים המוצגים בשווי הוגן דרך רווח או הפסד</t>
  </si>
  <si>
    <t>ג. נכסים המוחזקים לפדיון</t>
  </si>
  <si>
    <t>ירידות ערך נטו שנזקפו לרווח והפסד</t>
  </si>
  <si>
    <t>סך הכל רווחים (הפסדים) מהשקעות בגין נכסים המוחזקים לפדיון</t>
  </si>
  <si>
    <t>ד. נכסים המוצגים כהלוואות וחייבים</t>
  </si>
  <si>
    <t>רווחים (הפסדים) נטו ממימוש נכסים המוצגים כהלוואות וחייבים</t>
  </si>
  <si>
    <t xml:space="preserve"> ירידות ערך נטו שנזקפו לרווח והפסד</t>
  </si>
  <si>
    <t>סך הכל רווחים (הפסדים) מהשקעות בגין נכסים המוצגים כהלוואות ויתרות חובה</t>
  </si>
  <si>
    <t>הכנסות ריבית והפרשי הצמדה  מנכסים פיננסים שאינם בשווי הוגן דרך רווח והפסד</t>
  </si>
  <si>
    <t>רווח (הפסד) מהפרשי שער בגין השקעות שאינן נמדדות בשווי הוגן דרך רווח והפסד ומנכסים אחרים</t>
  </si>
  <si>
    <t>סך הכל רווחים (הפסדים) מהשקעות נטו והכנסות מימון</t>
  </si>
  <si>
    <t>בהכנסות הנ"ל כלולה ריבית בגין נכסים פיננסים אשר אינם מוצגים בשווי הוגן דרך רווח והפסד שערכם נפגם</t>
  </si>
  <si>
    <t>הוצאות רכישה:</t>
  </si>
  <si>
    <t>שינוי בהוצאות רכישה נדחות</t>
  </si>
  <si>
    <t xml:space="preserve">סה"כ הוצאות רכישה </t>
  </si>
  <si>
    <t>עמלות שוטפות אחרות</t>
  </si>
  <si>
    <t>סה"כ עמלות, הוצאות שיווק והוצאות רכישה אחרות</t>
  </si>
  <si>
    <t>הוצאות שיווק ורכישה אחרות</t>
  </si>
  <si>
    <t>ביטוחים</t>
  </si>
  <si>
    <t>אחזקת משרדים ותקשורת</t>
  </si>
  <si>
    <t>שיווק ופרסום</t>
  </si>
  <si>
    <t>דמי ניהול לחברת האם</t>
  </si>
  <si>
    <t>ייעוץ משפטי ומקצועי</t>
  </si>
  <si>
    <t>בניכוי סכומים שסווגו בסעיף עמלות, הוצאות שיווק והוצאות רכישה אחרות</t>
  </si>
  <si>
    <t>שכר עבודה ונלוות</t>
  </si>
  <si>
    <t>פחת והפחתות</t>
  </si>
  <si>
    <t>תשלום לגורם מתפעל</t>
  </si>
  <si>
    <t>סה"כ הוצאות הנהלה וכלליות</t>
  </si>
  <si>
    <t xml:space="preserve"> הוצאות הנהלה וכלליות כוללות הוצאות בגין מיכון בסך </t>
  </si>
  <si>
    <t>B20</t>
  </si>
  <si>
    <t>B22</t>
  </si>
  <si>
    <t>הפסד ממימוש השקעה בחברה מוחזקת</t>
  </si>
  <si>
    <t>הפסד ממימוש רכוש קבוע</t>
  </si>
  <si>
    <t>הפסד מירידת ערך נכסים בלתי מוחשיים ורכוש קבוע</t>
  </si>
  <si>
    <t>סה"כ הוצאות אחרות</t>
  </si>
  <si>
    <t>הוצאות ריבית והפרשי הצמדה בגין:</t>
  </si>
  <si>
    <t>התחייבויות לבנקים</t>
  </si>
  <si>
    <t xml:space="preserve">אגרות חוב שהונפקו </t>
  </si>
  <si>
    <t>סך הכל הוצאות מימון</t>
  </si>
  <si>
    <t>כולל הוצאות ריבית, הפרשי הצמדה, הפרשי שער ושינויים בשווי ההוגן.</t>
  </si>
  <si>
    <t>עמלה שבמהותה מהווה עלות אשראי.</t>
  </si>
  <si>
    <t>הוצאות מימון בגין התחייבויות המוצגות בשווי הוגן דרך רווח או הפסד</t>
  </si>
  <si>
    <t>הפרשי שער, נטו בגין התחייבויות</t>
  </si>
  <si>
    <t>עמלות והוצאות מימון אחרות</t>
  </si>
  <si>
    <t>בעל שליטה (החברה האם)</t>
  </si>
  <si>
    <t>חברות השולטות בשליטה משותפת או בעלות השפעה מהותית על החברה</t>
  </si>
  <si>
    <t xml:space="preserve">בעל עניין וצדדים קשורים אחרים </t>
  </si>
  <si>
    <t xml:space="preserve">נכסי חוב </t>
  </si>
  <si>
    <t>דמי ניהול</t>
  </si>
  <si>
    <t>B26</t>
  </si>
  <si>
    <t>מס' אנשים</t>
  </si>
  <si>
    <t xml:space="preserve">הטבות לזמן קצר </t>
  </si>
  <si>
    <t>הטבות לאחר העסקה</t>
  </si>
  <si>
    <t xml:space="preserve">הטבות אחרות לזמן ארוך </t>
  </si>
  <si>
    <t>הטבות בגין פיטורין</t>
  </si>
  <si>
    <t>תשלום מבוסס מניות</t>
  </si>
  <si>
    <t>סה"כ הטבות לאנשי מפתח ניהוליים</t>
  </si>
  <si>
    <t>דמי ניהול לשאינם מועסקים בחברה או מטעמה</t>
  </si>
  <si>
    <t>השקעות במכשירים הוניים</t>
  </si>
  <si>
    <t>שיעור השינוי במדד המחירים לצרכן</t>
  </si>
  <si>
    <t>שיעור השינוי בשע"ח של מט"ח</t>
  </si>
  <si>
    <t>1%+</t>
  </si>
  <si>
    <t>1%-</t>
  </si>
  <si>
    <t>10%+</t>
  </si>
  <si>
    <t>10%-</t>
  </si>
  <si>
    <t>הכנסה כוללת (הון עצמי)</t>
  </si>
  <si>
    <t>לשנה קודמת</t>
  </si>
  <si>
    <t>בש"ח לא צמוד</t>
  </si>
  <si>
    <t>בש"ח צמוד למדד</t>
  </si>
  <si>
    <t>במטבע חוץ או בהצמדה אליו</t>
  </si>
  <si>
    <t>פריטים לא פינננסי ואחרים</t>
  </si>
  <si>
    <t>נכסים בלתי מוחשים</t>
  </si>
  <si>
    <t>נכסי מיסים שוטפים</t>
  </si>
  <si>
    <t>סך הכל נכסים</t>
  </si>
  <si>
    <t xml:space="preserve">סך הכל הון </t>
  </si>
  <si>
    <t>התחייבויות מסים נדחים</t>
  </si>
  <si>
    <t>התחייבות בשל הטבות לעובדים, נטו</t>
  </si>
  <si>
    <t xml:space="preserve">התחייבויות פיננסיות </t>
  </si>
  <si>
    <t xml:space="preserve">סך הכל התחייבויות </t>
  </si>
  <si>
    <t>סך הכל הון והתחייבויות</t>
  </si>
  <si>
    <t>סך הכל חשיפה מאזנית</t>
  </si>
  <si>
    <t>חשיפה לנכסי בסיס באמצעות מכשירים נגזרים במונחי דלתא</t>
  </si>
  <si>
    <t>סה"כ השקעות פיננסיות</t>
  </si>
  <si>
    <t>השקעות פיננסיות</t>
  </si>
  <si>
    <t>סך הכל חשיפה</t>
  </si>
  <si>
    <t>B27A</t>
  </si>
  <si>
    <t>אלפי ₪</t>
  </si>
  <si>
    <t>%</t>
  </si>
  <si>
    <t>% מסה"כ</t>
  </si>
  <si>
    <t xml:space="preserve">ענף משק </t>
  </si>
  <si>
    <t>תעשיה</t>
  </si>
  <si>
    <t>בינוי ונדל"ן</t>
  </si>
  <si>
    <t>חשמל ומים</t>
  </si>
  <si>
    <t>מסחר</t>
  </si>
  <si>
    <t>מלונאות תיירות</t>
  </si>
  <si>
    <t>תחבורה ואחסנה</t>
  </si>
  <si>
    <t>תקשורת ושרותי מחשב</t>
  </si>
  <si>
    <t>בנקים</t>
  </si>
  <si>
    <t>שירותים פיננסיים</t>
  </si>
  <si>
    <t>שירותים עסקיים אחרים</t>
  </si>
  <si>
    <t>שירותים ציבוריים</t>
  </si>
  <si>
    <t>סך הכל השקעה במכשירים  הוניים</t>
  </si>
  <si>
    <t>באור 27ג' - פירוט החשיפה לענפי משק עבור השקעות במכשירים הוניים</t>
  </si>
  <si>
    <t>מעל שנה ועד 5 שנים</t>
  </si>
  <si>
    <t>מעל 5 שנים ועד 10 שנים</t>
  </si>
  <si>
    <t>מעל 10 שנים ועד 15 שנים</t>
  </si>
  <si>
    <t>מעל 15 שנים</t>
  </si>
  <si>
    <t>באור 27ד' - מועדי פירעון עתידיים של התחייבויות פיננסיות</t>
  </si>
  <si>
    <t xml:space="preserve">התחייבויות פיננסיות ל: </t>
  </si>
  <si>
    <t>עד שנה</t>
  </si>
  <si>
    <t>B27B</t>
  </si>
  <si>
    <t>שאינם סחירים</t>
  </si>
  <si>
    <t>נכסי חוב בארץ</t>
  </si>
  <si>
    <t>נכסי חוב בחו"ל</t>
  </si>
  <si>
    <t>סה"כ נכסי חוב</t>
  </si>
  <si>
    <t>באור 27ה' - חלוקת נכסי חוב על פי מיקומם</t>
  </si>
  <si>
    <t>דירוג מקומי</t>
  </si>
  <si>
    <r>
      <t>AA</t>
    </r>
    <r>
      <rPr>
        <b/>
        <sz val="11"/>
        <rFont val="David"/>
        <family val="2"/>
        <charset val="177"/>
      </rPr>
      <t xml:space="preserve"> ומעלה</t>
    </r>
  </si>
  <si>
    <r>
      <t>BBB</t>
    </r>
    <r>
      <rPr>
        <b/>
        <sz val="11"/>
        <rFont val="David"/>
        <family val="2"/>
        <charset val="177"/>
      </rPr>
      <t xml:space="preserve"> ו- </t>
    </r>
    <r>
      <rPr>
        <b/>
        <sz val="11"/>
        <rFont val="Arial"/>
        <family val="2"/>
      </rPr>
      <t>A</t>
    </r>
  </si>
  <si>
    <t>נמוך מ-BBB</t>
  </si>
  <si>
    <t>אגרות חוב קונצרניות</t>
  </si>
  <si>
    <t>נכסי חוב אחרים</t>
  </si>
  <si>
    <t>סך הכל נכסי חוב סחירים בארץ</t>
  </si>
  <si>
    <t>פיקדונות בבנקים ובמוסדות פיננסיים</t>
  </si>
  <si>
    <t>סך הכל נכסי חוב שאינם סחירים בארץ</t>
  </si>
  <si>
    <t>סך הכל נכסי חוב בארץ</t>
  </si>
  <si>
    <t>מזה- נכסי חוב בדירוג פנימי</t>
  </si>
  <si>
    <r>
      <t>A</t>
    </r>
    <r>
      <rPr>
        <b/>
        <sz val="11"/>
        <rFont val="David"/>
        <family val="2"/>
        <charset val="177"/>
      </rPr>
      <t xml:space="preserve"> ומעלה</t>
    </r>
  </si>
  <si>
    <t>סך הכל נכסי חוב שאינם סחירים בחו"ל</t>
  </si>
  <si>
    <t>סך הכל נכסי חוב בחו"ל</t>
  </si>
  <si>
    <t>באור27ו1' - סיכוני אשראי - נכסי חוב בארץ לפי דרוגים</t>
  </si>
  <si>
    <t>באור27ו2' - סיכוני אשראי - נכסי חוב בחו"ל לפי דרוגים</t>
  </si>
  <si>
    <t>B27C1</t>
  </si>
  <si>
    <t>B27C2</t>
  </si>
  <si>
    <t>סיכון אשראי בגין נכסים אחרים מידע נוסף</t>
  </si>
  <si>
    <t>הלוואות לחברות כלולות</t>
  </si>
  <si>
    <t xml:space="preserve"> נכסי מסים נדחים</t>
  </si>
  <si>
    <t xml:space="preserve"> השקעות פיננסיות אחרות</t>
  </si>
  <si>
    <t xml:space="preserve"> מזומנים ושווי מזומנים</t>
  </si>
  <si>
    <t>מכשרים חוץ מאזנים</t>
  </si>
  <si>
    <t>מסגרות אשראי בלתי מנוצלות</t>
  </si>
  <si>
    <t>סה"כ חשיפת אשראי בגין ערבויות פיננסיות ומסגרות אשראי בלתי מנוצלות</t>
  </si>
  <si>
    <t>ערבויות פיננסיות שניתנו</t>
  </si>
  <si>
    <t>B27C3</t>
  </si>
  <si>
    <t>B27C4</t>
  </si>
  <si>
    <t>סיכון אשראי מאזני</t>
  </si>
  <si>
    <t>סיכון חוץ מאזני</t>
  </si>
  <si>
    <t>אנשים פרטיים</t>
  </si>
  <si>
    <t>אג"ח מדינה</t>
  </si>
  <si>
    <t>סך הכל השקעה בנכסי חוב</t>
  </si>
  <si>
    <t>S1</t>
  </si>
  <si>
    <t>S2</t>
  </si>
  <si>
    <t>S3</t>
  </si>
  <si>
    <t>מאזן - סולו</t>
  </si>
  <si>
    <t>דוח רווח והפסד - סולו</t>
  </si>
  <si>
    <t>השקעות בחברות מוחזקות</t>
  </si>
  <si>
    <t xml:space="preserve">                </t>
  </si>
  <si>
    <t>סה"כ הון</t>
  </si>
  <si>
    <t>B3.1A</t>
  </si>
  <si>
    <t>B3.1B</t>
  </si>
  <si>
    <t>B3.1C</t>
  </si>
  <si>
    <t>באור 3ב' מגזרי פעילות - נתונים נוספים לגבי מגזר פנסיה</t>
  </si>
  <si>
    <t>באור 3ג' מגזרי פעילות - נתונים נוספים לגבי מגזר גמל</t>
  </si>
  <si>
    <t>דיווח רבעוני</t>
  </si>
  <si>
    <t>דיווח שנתי</t>
  </si>
  <si>
    <t>עודף (גרעון) לתאריך פירסום הדוח:</t>
  </si>
  <si>
    <t>7.</t>
  </si>
  <si>
    <t>8.</t>
  </si>
  <si>
    <t>דוח חריגים - דיווח לפי IFRS</t>
  </si>
  <si>
    <t>תאור בדיקה</t>
  </si>
  <si>
    <t>סה"כ טופס (מאזן  פאסיב) = סה"כ (מאזן אקטיב)</t>
  </si>
  <si>
    <t xml:space="preserve">variance </t>
  </si>
  <si>
    <t>דוח רווח והפסד - שינוי במצב ההון</t>
  </si>
  <si>
    <t>דוח רווח והפסד - באור מגזרים (B3.1A)</t>
  </si>
  <si>
    <t>מגזר פנסיה (B3.1B) - באור מגזרים (B3.1A)</t>
  </si>
  <si>
    <t>מגזר גמל (B3.1C) - באור מגזרים (B3.1A)</t>
  </si>
  <si>
    <t>מאזן - טופס 106</t>
  </si>
  <si>
    <t>באור 13ב' - טופס 101</t>
  </si>
  <si>
    <t>באור 13 ג</t>
  </si>
  <si>
    <t>טופס 101</t>
  </si>
  <si>
    <t>באור 5 - נכסים לא מוחשיים - מאזן</t>
  </si>
  <si>
    <t>באור 6א' - הוצאות רכישה נדחות - מאזן</t>
  </si>
  <si>
    <t>באור 6א' - הוצאות רכישה נדחות - ב6ב'  DAC לסוף התקופה</t>
  </si>
  <si>
    <t>באור 7  - רכוש קבוע למאזן - יתרות</t>
  </si>
  <si>
    <t>באור 8 ???</t>
  </si>
  <si>
    <t>באור 9א' - נדל"ן להשקעה - מאזן</t>
  </si>
  <si>
    <t>באור 10 - חייבים ויתרות חובה - מאזן</t>
  </si>
  <si>
    <t>באור 11א' -פירוט השקעות פיננסיות - מאזן</t>
  </si>
  <si>
    <t>ב11א' - השקעות פיננסיות - ב11ב' נכסי חוב סחירים - יתרה לסוף התקופה</t>
  </si>
  <si>
    <t>באור 11ג' -נכסי חוב שאינם סחירים - מאזן</t>
  </si>
  <si>
    <t>באור 11ה' - מניות - מאזן</t>
  </si>
  <si>
    <t>באור 11ו' - השקעות פיננסיות אחרות - מאזן</t>
  </si>
  <si>
    <t>ב11ז2' - שווי הוגן של הכסים פיננסיים לרמות - ב11ז3' - ברמה 3</t>
  </si>
  <si>
    <t>באור 14ב' מסים נדחים הרכב - מאזן</t>
  </si>
  <si>
    <t>באור 14ג' - המסים הנדחים - מאזן</t>
  </si>
  <si>
    <t>ב14ד' - מסים - מס תיאורטי - רווח הפסד (2)</t>
  </si>
  <si>
    <t>באור 16 - זכאים ויתרות זכות - מאזן</t>
  </si>
  <si>
    <t>ב17א' - התחייבויות פיננסיות - מאזן</t>
  </si>
  <si>
    <t>ב17ג' - התחייבויות פיננסיות המוצגות בשווי הוגן חלוקה לרמות - ב17ד' -פרוט רמה 3</t>
  </si>
  <si>
    <t>באור 18א' הכנסות מדמי ניהול - באור מגזרים</t>
  </si>
  <si>
    <t>ב19א'  סך נכסים מנוהלים - טופס 101</t>
  </si>
  <si>
    <t>ב20א' רווחים (הפסדים) מהשקעות, נטוו  רווח והפסד</t>
  </si>
  <si>
    <t>באור</t>
  </si>
  <si>
    <t>ב22' עמלות, הוצאות שיווק והוצאות רכישה אחרות רווח הפסד</t>
  </si>
  <si>
    <t>ב22' עמלות והוצאות רכישה - רווח (הפסד)</t>
  </si>
  <si>
    <t>ב27נ' - נכסים וההתחייבויות -בסיסי הצמדה מאזן</t>
  </si>
  <si>
    <t>ב27ה' - נכסי חוב לפי מיקומם מאזן</t>
  </si>
  <si>
    <t>באור27ו1'+2' -  נכסי חוב בארץ + חו"ל - מאזן</t>
  </si>
  <si>
    <t>31.12.2015</t>
  </si>
  <si>
    <t>31.12.2016</t>
  </si>
  <si>
    <t>31.12.2017</t>
  </si>
  <si>
    <t>דוח על השינוי במצב ההון</t>
  </si>
  <si>
    <t>רכיבים של רווח (הפסד) כולל אחר לתקופה:</t>
  </si>
  <si>
    <t>קרנות הון אחרות</t>
  </si>
  <si>
    <t>יולי - ספטמבר</t>
  </si>
  <si>
    <t>חלק הקבוצה ברווחי (הפסדי) חברות מוחזקות המטופלות לפי שיטת השווי המאזני</t>
  </si>
  <si>
    <t>באור 5 - נכסים בלתי מוחשיים</t>
  </si>
  <si>
    <t>ביאור הוצאות רכישה נדחות</t>
  </si>
  <si>
    <t>באור 6ב' - התנועה בהוצאות רכישה נדחות</t>
  </si>
  <si>
    <t>קרקע ומבנים</t>
  </si>
  <si>
    <t>מכונות ציוד ומכשירים</t>
  </si>
  <si>
    <t>התקנות ושיפורים במושכר</t>
  </si>
  <si>
    <t>ציוד, ריהוט משרדי ואביזרים</t>
  </si>
  <si>
    <t>באור 8א' - חברות מוחזקות המטופלות לפי שיטת השווי המאזני - ההרכב</t>
  </si>
  <si>
    <t>באור 8ב' - חברות מוחזקות המטופלות לפי שיטת השווי המאזני וחברות בשליטה משותפת - תמצית נתונים אודות המצב הכספי</t>
  </si>
  <si>
    <t>באור 8ג' - חברות מוחזקות המטופלות לפי שיטת השווי המאזני וחברות בשליטה משותפת - תמצית נתונים אודות תוצאות הפעילות</t>
  </si>
  <si>
    <t>בהתאמה לשיעורי ההחזקה של החברה:</t>
  </si>
  <si>
    <t>סה"כ השקעה בהון מניות</t>
  </si>
  <si>
    <t>בגין חברות בשליטה משותפת</t>
  </si>
  <si>
    <t>באור 8ד' - מוניטין אשר נבע מרכישת ההשקעות בחברות מוחזקות</t>
  </si>
  <si>
    <t>סה"כ דיבידנד שהתקבל מחברות מוחזקות</t>
  </si>
  <si>
    <t>שינויים בשווי הוגן</t>
  </si>
  <si>
    <t>מוצגים בשווי הוגן דרך רווח והפסד</t>
  </si>
  <si>
    <t>מוצגות בשווי הוגן דרך רווח או הפסד:</t>
  </si>
  <si>
    <t>ירידות ערך  שנזקפו לרווח והפסד (במצטבר)</t>
  </si>
  <si>
    <t>מוצגות בשווי הוגן דרך רווח והפסד:</t>
  </si>
  <si>
    <t>מכשירים נגזרים:</t>
  </si>
  <si>
    <t>ירידות ערך  שנזקפו לרווח והפסד (מצטבר)</t>
  </si>
  <si>
    <t>באור 11ז1' - שיעורי הריבית ששימשו בקביעת השווי ההוגן</t>
  </si>
  <si>
    <t>מדידת שווי הוגן במועד הדיווח - נכסים פיננסיים בשווי הוגן דרך רווח והפסד ונכסים פיננסיים זמינים למכירה</t>
  </si>
  <si>
    <t>באור 12 - מזומנים ושווי מזומנים</t>
  </si>
  <si>
    <t>הפרש</t>
  </si>
  <si>
    <t>הסכום הנדרש ערב פרסום התיקון</t>
  </si>
  <si>
    <t>הסכום הנדרש ליום הדוח על פי תקנות ההון</t>
  </si>
  <si>
    <t>יצירה והיפוך של הפרשים זמניים</t>
  </si>
  <si>
    <t>מס (חיסכון במס) מחושב לפי שיעור המס הסטטוטורי הכולל הפחתה בגין אי החלת מס רווח על חברות שאינן מוסד כספי</t>
  </si>
  <si>
    <t>באור 14ג' - הצגה של המסים הנדחים במאזן</t>
  </si>
  <si>
    <t>באור 17א' - התחייבויות פיננסיות-פירוט התחייבויות פיננסיות</t>
  </si>
  <si>
    <t>תוספות (עמלות רכישה)</t>
  </si>
  <si>
    <t>עודף לאחר פעולות לאחר תאריך המאזן</t>
  </si>
  <si>
    <t xml:space="preserve">התחייבויות פיננסיות בשווי הוגן דרך רווח והפסד </t>
  </si>
  <si>
    <t>(*) עלויות עסקה  של הסכום שהוכר כהון</t>
  </si>
  <si>
    <t>סה"כ דמי ניהול מקרן פנסיה חדשה מקיפה</t>
  </si>
  <si>
    <t>דמי ניהול מקרן פנסיה ותיקה:</t>
  </si>
  <si>
    <t>נתונים אודות קופות הגמל וקרנות הפנסיה שבניהול החברה</t>
  </si>
  <si>
    <t>באור 18א' - הכנסות מדמי ניהול</t>
  </si>
  <si>
    <t>באור 19א'  - סך נכסים מנוהלים, תקבולים ותשלומים</t>
  </si>
  <si>
    <t xml:space="preserve"> באור 19ב'  - העברות כספים</t>
  </si>
  <si>
    <t>באור 20א' - רווחים (הפסדים) מהשקעות, נטו והכנסות מימון</t>
  </si>
  <si>
    <t>באור 22 - עמלות, הוצאות שיווק והוצאות רכישה אחרות</t>
  </si>
  <si>
    <t>באור 23 - הוצאות הנהלה וכלליות</t>
  </si>
  <si>
    <t>באור 24 - הוצאות אחרות</t>
  </si>
  <si>
    <t>באור 25 - הוצאות מימון</t>
  </si>
  <si>
    <t>באור 26א' - יתרות עם בעלי עניין וצדדים קשורים</t>
  </si>
  <si>
    <t xml:space="preserve">באור 26ב' - עסקאות עם בעלי עניין וצדדים קשורים </t>
  </si>
  <si>
    <t xml:space="preserve">באור 26ג' - הטבות לאנשי מפתח ניהוליים </t>
  </si>
  <si>
    <t xml:space="preserve">באור 26ד' - הטבות לצדדים קשורים ולבעלי עניין אחרים </t>
  </si>
  <si>
    <t>באור 27א' - מבחני רגישות הנוגעים לסיכוני שוק</t>
  </si>
  <si>
    <t>באור 27ב' - פירוט הנכסים וההתחייבויות בחלוקה לבסיסי הצמדה</t>
  </si>
  <si>
    <t>הפחתת נכסים לא מוחשיים</t>
  </si>
  <si>
    <t>שיעור הריבית</t>
  </si>
  <si>
    <t>פריטים לא פיננסים ואחרים</t>
  </si>
  <si>
    <r>
      <t>BBB</t>
    </r>
    <r>
      <rPr>
        <b/>
        <sz val="11"/>
        <rFont val="David"/>
        <family val="2"/>
        <charset val="177"/>
      </rPr>
      <t xml:space="preserve"> עד </t>
    </r>
    <r>
      <rPr>
        <b/>
        <sz val="11"/>
        <rFont val="Arial"/>
        <family val="2"/>
      </rPr>
      <t>A</t>
    </r>
  </si>
  <si>
    <t>דירוג בינלאומי</t>
  </si>
  <si>
    <t>באור27ו3' - סיכוני אשראי -בארץ - נכסים אחרים ומכשירים חוץ מאזניים</t>
  </si>
  <si>
    <t>באור27ו4' - סיכוני אשראי -בחו"ל - נכסים אחרים ומכשירים חוץ מאזניים</t>
  </si>
  <si>
    <t>מכשרים חוץ מאזניים</t>
  </si>
  <si>
    <t>דוח על השינוי במצב ההון - סולו</t>
  </si>
  <si>
    <t>סה"כ דמי ניהול מקרן פנסיה חדשה כללית</t>
  </si>
  <si>
    <t>סה"כ רווחים (הפסדים) מהשקעות פיננסיות</t>
  </si>
  <si>
    <t>כללי</t>
  </si>
  <si>
    <t>אקסלנס גמל פלטינום</t>
  </si>
  <si>
    <t>פסגות צור</t>
  </si>
  <si>
    <t>לא פעיל</t>
  </si>
  <si>
    <t>ישיר המלאכה קופת תגמולים ופיצויים מקבוצת ביטוח ישיר</t>
  </si>
  <si>
    <t>513728691</t>
  </si>
  <si>
    <t>מיטב ישיר גמל בע"מ</t>
  </si>
  <si>
    <t>נדבכים קופות גמל של המהנדסים האדריכלים והאקדמאים במקצועות הטכנולוגים</t>
  </si>
  <si>
    <t>520036559</t>
  </si>
  <si>
    <t>נדבכים קופות גמל של המהנדסים האדריכלים והאקדמאיים במקצועות הטכנולוגיים</t>
  </si>
  <si>
    <t>להיט - מניות</t>
  </si>
  <si>
    <t>מתמחה</t>
  </si>
  <si>
    <t xml:space="preserve">מניות </t>
  </si>
  <si>
    <t>כפר ויתקין  - קופת התגמולים - אגודה שיתופית בע"מ תאגיד מס' 1239</t>
  </si>
  <si>
    <t>570012393</t>
  </si>
  <si>
    <t>כפר ויתקין - אגודה שיתופית בע"מ</t>
  </si>
  <si>
    <t>מיטב מירון</t>
  </si>
  <si>
    <t>הראל - רימון</t>
  </si>
  <si>
    <t>פסגות קרן אור</t>
  </si>
  <si>
    <t>אי.בי.אי שחר תגמולים ופיצויים</t>
  </si>
  <si>
    <t>סוכני הבטוח בישראל א.ש. קופת גמל בע"מ</t>
  </si>
  <si>
    <t>570011437</t>
  </si>
  <si>
    <t>ישיר תוחלת קופה לתגמולים ופיצויים מקבוצת ביטוח ישיר</t>
  </si>
  <si>
    <t>מנורה גמל פלס</t>
  </si>
  <si>
    <t>כלל תמר מדד</t>
  </si>
  <si>
    <t>אשכולות קופת תגמולים כללי</t>
  </si>
  <si>
    <t>אשכולות קופת תגמולים מדד</t>
  </si>
  <si>
    <t>כלל תמר מט"ח</t>
  </si>
  <si>
    <t>מט"ח</t>
  </si>
  <si>
    <t>כלל תמר מניות</t>
  </si>
  <si>
    <t>כלל תמר שקלי טווח קצר</t>
  </si>
  <si>
    <t>שיקלי</t>
  </si>
  <si>
    <t>יבול - קופת גמל לחברי קיבוץ</t>
  </si>
  <si>
    <t>ישיר מניפה- קופת גמל לתגמולים של עובדי בנק ישראל</t>
  </si>
  <si>
    <t>דש קפיטל גמל זהב</t>
  </si>
  <si>
    <t>דש קפיטל גמל</t>
  </si>
  <si>
    <t>דש קפיטל-קרן השתלמות</t>
  </si>
  <si>
    <t>כלל דגש ישראל קופת גמל לתגמולים ולפיצויים</t>
  </si>
  <si>
    <t>מבטחים-מרכזית לפיצויים</t>
  </si>
  <si>
    <t>הלמן-אלדובי ברק</t>
  </si>
  <si>
    <t>תגמולים</t>
  </si>
  <si>
    <t>הלמן-אלדובי קופה מרכזית לפיצויים</t>
  </si>
  <si>
    <t>חריש</t>
  </si>
  <si>
    <t>ערד</t>
  </si>
  <si>
    <t>פסגות חרמון</t>
  </si>
  <si>
    <t>כרמל</t>
  </si>
  <si>
    <t>512052432</t>
  </si>
  <si>
    <t>פריזמה קופות גמל בע"מ</t>
  </si>
  <si>
    <t>פסגות שיא פיצויים כללי</t>
  </si>
  <si>
    <t>פסגות תבור</t>
  </si>
  <si>
    <t>הראל קופת גמל</t>
  </si>
  <si>
    <t>מניב גמל שיאים- קופת גמל לתגמולים ולפיצויים</t>
  </si>
  <si>
    <t>512274929</t>
  </si>
  <si>
    <t>סיני גמל השתלמות וחסכון בע"מ</t>
  </si>
  <si>
    <t>מניב גמל יציב - קופת גמל לתגמולים ולפיצויים</t>
  </si>
  <si>
    <t>מניב פיצויים - קופת גמל מרכזית לפיצויים</t>
  </si>
  <si>
    <t>מניב השתלמות - קרן השתלמות</t>
  </si>
  <si>
    <t>תכלית</t>
  </si>
  <si>
    <t>512219023</t>
  </si>
  <si>
    <t>תכליתי - חברה לניהול בע"מ</t>
  </si>
  <si>
    <t>אמנת</t>
  </si>
  <si>
    <t>קרן הפנסיה "אמנת" בע"מ</t>
  </si>
  <si>
    <t>מנורה - ק"ג לתגמולים לשכירים ולעצמאים</t>
  </si>
  <si>
    <t>520026733</t>
  </si>
  <si>
    <t>קופת הפיצויים ליד מנורה חב' לביטוח בע"מ</t>
  </si>
  <si>
    <t>מיטב גאון השתלמות מסלולית-מסלול כללי</t>
  </si>
  <si>
    <t>מניב השתלמות יציב</t>
  </si>
  <si>
    <t>טפחות גמל נדל"ן</t>
  </si>
  <si>
    <t>510616998</t>
  </si>
  <si>
    <t>אסיף חברה לניהול קופ"ג בע"מ</t>
  </si>
  <si>
    <t>אג"ח</t>
  </si>
  <si>
    <t>קה"ל - מסלול כללי</t>
  </si>
  <si>
    <t>513456996</t>
  </si>
  <si>
    <t>מגדל גמל פלטינום בע"מ</t>
  </si>
  <si>
    <t>קה"ל - מסלול מנייתי</t>
  </si>
  <si>
    <t>פסגות דינמית - מסלול אג"ח צמוד מדד לטווח ארוך</t>
  </si>
  <si>
    <t>אחוד המודדים</t>
  </si>
  <si>
    <t>520021494</t>
  </si>
  <si>
    <t>קופת התגמולים לעצמאים "עצמה" ליד בל"ל בע"מ</t>
  </si>
  <si>
    <t>פסגות דינמית מסלול אג"ח צמוד מדד לטווח בינוני</t>
  </si>
  <si>
    <t>פסגות גדיש חו"ל</t>
  </si>
  <si>
    <t>פסגות דינמית - מסלול מניות</t>
  </si>
  <si>
    <t>פסגות גדיש אג"ח קונצרני</t>
  </si>
  <si>
    <t>אמקור</t>
  </si>
  <si>
    <t>גמול</t>
  </si>
  <si>
    <t>קופת תגמולים של עובדי אמפא וחברות מסונפות בע"מ</t>
  </si>
  <si>
    <t>520021148</t>
  </si>
  <si>
    <t>קופ"ג של עובדי אמפא וחברות מסונפות בע"מ</t>
  </si>
  <si>
    <t>פסגות שיא גמל כספית</t>
  </si>
  <si>
    <t>פסגות שיא גמל כללי</t>
  </si>
  <si>
    <t>טווח קצר</t>
  </si>
  <si>
    <t>שילוב</t>
  </si>
  <si>
    <t>512211095</t>
  </si>
  <si>
    <t>שילוב קרן פנסיה בע"מ</t>
  </si>
  <si>
    <t>קופת גמל של העובדים בבתי הקולנוע א.ש. בע"מ</t>
  </si>
  <si>
    <t>570004879</t>
  </si>
  <si>
    <t>קופ"ג של העובדים בבתי הקולנוע א. ש. בע"מ</t>
  </si>
  <si>
    <t>השתלמות לשוטרים וסוהרים</t>
  </si>
  <si>
    <t>ללא מניות</t>
  </si>
  <si>
    <t>מבצר</t>
  </si>
  <si>
    <t>520036815</t>
  </si>
  <si>
    <t>תעוזה קופת גמל לתגמולים ולפיצויים ליד הבנק הבינלאומי הראשון</t>
  </si>
  <si>
    <t>קופת תגמולים של המורים והעובדים של ביה"ס הריאלי העברי בחיפה א.ש. בע"מ</t>
  </si>
  <si>
    <t>570008052</t>
  </si>
  <si>
    <t>קופת תגמולים של המורים והעובדים של ביה"ס הריאלי העברי בחיפה א.ש בע"מ</t>
  </si>
  <si>
    <t>קופת תגמולים של עובדי בנק מרכנתיל</t>
  </si>
  <si>
    <t>510495187</t>
  </si>
  <si>
    <t>בר יציב - קופות גמל בע"מ</t>
  </si>
  <si>
    <t>קופת תגמולים של עובדי בנין לבטוח בע"מ</t>
  </si>
  <si>
    <t>איילון קופת תגמולים ופיצויים</t>
  </si>
  <si>
    <t>בי"ת מ"מ למ"ד בע"מ</t>
  </si>
  <si>
    <t>520000118</t>
  </si>
  <si>
    <t>בנק הפועלים בע"מ</t>
  </si>
  <si>
    <t>פקידי יצוא בנלאומי</t>
  </si>
  <si>
    <t>פיצויים לתעש בנלאומי</t>
  </si>
  <si>
    <t>קופה לפיצויים ליד בנק מרכנתיל דיסקונט (1972) בע"מ</t>
  </si>
  <si>
    <t>הראל - תעוז מסלול כללי</t>
  </si>
  <si>
    <t>איילון קופה מרכזית לפיצויים ב</t>
  </si>
  <si>
    <t>מיטב מרום מסלול כללי</t>
  </si>
  <si>
    <t>הלמן-אלדובי יהבית חסכון</t>
  </si>
  <si>
    <t>ישיר פיצויים המלאכה מקבוצת ביטוח ישיר</t>
  </si>
  <si>
    <t>מיטב מרתון גמל</t>
  </si>
  <si>
    <t>ישיר לתגמולים מקבוצת ביטוח ישיר</t>
  </si>
  <si>
    <t>ישיר לפיצויים מקבוצת ביטוח ישיר</t>
  </si>
  <si>
    <t>גפן</t>
  </si>
  <si>
    <t>אקסלנס גמל פלטינום עד 15% מניות</t>
  </si>
  <si>
    <t>אקסלנס טפחות גמל</t>
  </si>
  <si>
    <t>קופה"ג של עובדי הארגז א.ש. בע"מ</t>
  </si>
  <si>
    <t>570005215</t>
  </si>
  <si>
    <t>קופה"ג של עובדי הארגז א.ש בע"מ</t>
  </si>
  <si>
    <t>איניפיניטי גמל דינמי</t>
  </si>
  <si>
    <t>קופ"ג של חברי הגל - קואופרטיב של מונים בחיפה א.ש. בע"מ</t>
  </si>
  <si>
    <t>570010322</t>
  </si>
  <si>
    <t>קופ"ג  של חברי הגל</t>
  </si>
  <si>
    <t>הבימה</t>
  </si>
  <si>
    <t>קופת תגמולים יניב בהתישבות הדתית - א.ש. בע"מ</t>
  </si>
  <si>
    <t>570014597</t>
  </si>
  <si>
    <t>הפניקס מרכזית לפיצויים (סגורה)</t>
  </si>
  <si>
    <t>קרן השתלמות למורים וגננות מסלול מקוצר - מסלול כללי</t>
  </si>
  <si>
    <t>קרן השתלמות למורים תיכונים  מסלול מקוצר מסלול כללי</t>
  </si>
  <si>
    <t>הפניקס תגמולים ופיצויים (סגורה)</t>
  </si>
  <si>
    <t>עומר קרן לבטוח הדדי</t>
  </si>
  <si>
    <t>קרן השתלמות של עובדים המדורגים בדירוג העתונאים</t>
  </si>
  <si>
    <t>520030768</t>
  </si>
  <si>
    <t>החברה המנהלת של קרן השתלמות לעובדים בדירוג העיתונאים (1977) בע"מ</t>
  </si>
  <si>
    <t>קו הבריאות קופת גמל לתגמולים לשכירים ולעצמאים - מסלול כללי</t>
  </si>
  <si>
    <t>מוסד לחסכון ולעזרה הדדית של חברת  החשמל לישראל בע"מ</t>
  </si>
  <si>
    <t>520020348</t>
  </si>
  <si>
    <t>מוסד לחסכון ולעז' הדדית של עוב' חב' החשמל</t>
  </si>
  <si>
    <t>קופת תגמולים של עובדי  החברה להנדסה ולתעשיה - אמקול</t>
  </si>
  <si>
    <t>קופ"ג של עוב' החברה להנדסה ולתעשיה - אמקול</t>
  </si>
  <si>
    <t>קופת"ג של פקידי ועובדי  חברת קדישא ת"א בע"מ</t>
  </si>
  <si>
    <t>520017690</t>
  </si>
  <si>
    <t>קופ"ג של פקידי ועובדי חברת קדישא ת"א בע"מ</t>
  </si>
  <si>
    <t>טרקטורים וציוד</t>
  </si>
  <si>
    <t>קרן ביטוח ופנסיה לפועלים חקלאים ובלתי מקצועיים בישראל אגודה שיתופית בע"מ</t>
  </si>
  <si>
    <t>הראל גמל - קדמה</t>
  </si>
  <si>
    <t>קופת תגמולים של עובדי לים בע"מ</t>
  </si>
  <si>
    <t>570010777</t>
  </si>
  <si>
    <t>קרן פיצויים של עובדי מעריב בע"מ</t>
  </si>
  <si>
    <t>קרן פיצויים של עובדי מעריב</t>
  </si>
  <si>
    <t>תדיראן  קופה אישית לפיצויים</t>
  </si>
  <si>
    <t>520028929</t>
  </si>
  <si>
    <t>תדיראן בע"מ</t>
  </si>
  <si>
    <t>קופת התגמולים של עובדי מ. מ. רמת השרון  א.ש. בע"מ</t>
  </si>
  <si>
    <t>קופת התגמולים עובדי מ.מ. רמת השרון</t>
  </si>
  <si>
    <t>גמול דן</t>
  </si>
  <si>
    <t>קופת תגמולים של  עובדי מגדל חברה לבטוח בע"מ</t>
  </si>
  <si>
    <t>קופת תגמולים של עובדי י.א. מיטווך ובניו בע"מ</t>
  </si>
  <si>
    <t>520022744</t>
  </si>
  <si>
    <t>קופה לחסכון ועזרה הדדית של עובדי משרד הבטחון בע"מ</t>
  </si>
  <si>
    <t>520027699</t>
  </si>
  <si>
    <t>קופה לחסכון ועזרה הדדית של משה"ב בע"מ</t>
  </si>
  <si>
    <t>מיטב גאון פיצויים - מסלול כללי</t>
  </si>
  <si>
    <t>סהר</t>
  </si>
  <si>
    <t>קופת תגמולים של הפקידים והפועלים בעירית ר"ג אגודה שיתופית בע"מ</t>
  </si>
  <si>
    <t>570010033</t>
  </si>
  <si>
    <t>קופ"ג של הפקידים והפועלים בעירית רמת גן</t>
  </si>
  <si>
    <t>אי.בי.אי עתודה תגמולים ופיצויים</t>
  </si>
  <si>
    <t>פל</t>
  </si>
  <si>
    <t>קופת פז לפיצויים בע"מ</t>
  </si>
  <si>
    <t>510216054</t>
  </si>
  <si>
    <t>פז חברת נפט בע"מ</t>
  </si>
  <si>
    <t>פרי תנובה</t>
  </si>
  <si>
    <t>קרן חופשה לפועלי בנין ועבודות ציבוריות בע"מ</t>
  </si>
  <si>
    <t>קופת תגמולים של עובדי קסלמן וקסלמן אגודה שיתופית בע"מ</t>
  </si>
  <si>
    <t>570011908</t>
  </si>
  <si>
    <t>קופ"ג של עובדי קסלמן וקסלמן א"ש בע"מ</t>
  </si>
  <si>
    <t>קרן תגמולים לעובדי רסקו בע"מ</t>
  </si>
  <si>
    <t>520016643</t>
  </si>
  <si>
    <t>קרן התגמולים לעובדי רסקו בע"מ</t>
  </si>
  <si>
    <t>קופת"ג  ופנסיה של רופאי החקלאית ועובדיה בחיפה אגודה שיתופית בע"מ</t>
  </si>
  <si>
    <t>570006593</t>
  </si>
  <si>
    <t>קופת"ג ופנסיה של  רופאי "החקלאית" ועובדיה בחיפה א.ש. בע"מ</t>
  </si>
  <si>
    <t>אפסילון תגמולים מעיין (לשעבר קופת תה"ל)</t>
  </si>
  <si>
    <t>ענבר - קופת תגמולים ליד כלל (ישראל)</t>
  </si>
  <si>
    <t>מרום קופת גמל</t>
  </si>
  <si>
    <t>מרום ב' גמל גמישה</t>
  </si>
  <si>
    <t>קרן לביטוח ועזרה הדדית של עובדי סוכנות בטוח לא"י בע"מ</t>
  </si>
  <si>
    <t>510803646</t>
  </si>
  <si>
    <t>מגדל קהל השתלמות מסלול כללי</t>
  </si>
  <si>
    <t>גג הבינלאומי</t>
  </si>
  <si>
    <t>ישיר מרתון השתלמות</t>
  </si>
  <si>
    <t>פסגות שיאון</t>
  </si>
  <si>
    <t>פסגות קשת</t>
  </si>
  <si>
    <t>קרן ביטוח הדדי מיסודה של הסתדרות המורים בע"מ</t>
  </si>
  <si>
    <t>520034018</t>
  </si>
  <si>
    <t>הדר - קופת תגמולים</t>
  </si>
  <si>
    <t>קרן לחסכון של עובדי משרד הבטחון ומערכת הבטחון 1980 בע"מ</t>
  </si>
  <si>
    <t>520031881</t>
  </si>
  <si>
    <t>קרן לחסכון של משה"ב 1980 בע"מ..</t>
  </si>
  <si>
    <t>אקסלנס טפחות השתלמות</t>
  </si>
  <si>
    <t>ישיר דרור קופה לתגמולים ופיצויים לתעשיה מקבוצת ביטוח ישיר</t>
  </si>
  <si>
    <t>ביצרון-קופת גמל לתגמולים ופיצויים</t>
  </si>
  <si>
    <t>יהבית</t>
  </si>
  <si>
    <t>פסגות שגיא</t>
  </si>
  <si>
    <t>קרן השתלמות של עובדי המוסדות הלאומיים בע"מ</t>
  </si>
  <si>
    <t>520033762</t>
  </si>
  <si>
    <t>גמל זהב (1981) קופת תגמולים לשעבר מקבוצת מזרחי טפחות</t>
  </si>
  <si>
    <t>השתלמות רופאים כללי</t>
  </si>
  <si>
    <t>אקסלנס אמנה</t>
  </si>
  <si>
    <t>אקסלנס שומרון</t>
  </si>
  <si>
    <t>פסגות קציר</t>
  </si>
  <si>
    <t>פסגות אלומה</t>
  </si>
  <si>
    <t>קרן לחסכון ועזרה הדדית של עובדי חברת חשמל ירושלים בע"מ</t>
  </si>
  <si>
    <t>520020751</t>
  </si>
  <si>
    <t>קרן לחסכון ועזרה הדדית של עובדי חברת חשמל - ירושלים בע"מ</t>
  </si>
  <si>
    <t>נדבכים ב לאקדמאים</t>
  </si>
  <si>
    <t>אי.בי.אי - נגב קופה מרכזית לפיצויים רב מסלולית</t>
  </si>
  <si>
    <t>רבת מסלולים</t>
  </si>
  <si>
    <t>דפנה - קופת גמל לתגמולים ופיצויים לעובדי הוראה</t>
  </si>
  <si>
    <t>511043218</t>
  </si>
  <si>
    <t>דפנה ניהול קופות גמל בע"מ</t>
  </si>
  <si>
    <t>פסגות יעד</t>
  </si>
  <si>
    <t>שקמה</t>
  </si>
  <si>
    <t>אקסלנס אורית</t>
  </si>
  <si>
    <t>מנורה גמל אלדר</t>
  </si>
  <si>
    <t>שריון - קופת גמל לתגמולים ולפיצויים</t>
  </si>
  <si>
    <t>מנורה מרכזית לפיצויים מורג</t>
  </si>
  <si>
    <t>תדיראן קופה מרכזית לפיצויים</t>
  </si>
  <si>
    <t>כלל איתן כללי</t>
  </si>
  <si>
    <t>מכלול קופת מרכזית לפיצויים</t>
  </si>
  <si>
    <t>511412736</t>
  </si>
  <si>
    <t>סמל חברה לניהול קופות גמל בע"מ</t>
  </si>
  <si>
    <t>רווחה קופת גמל לתגמולים ופיצויים</t>
  </si>
  <si>
    <t>פסגות רקיע</t>
  </si>
  <si>
    <t>פסגות גדיש בטא</t>
  </si>
  <si>
    <t>יתר ד</t>
  </si>
  <si>
    <t>פלס ד</t>
  </si>
  <si>
    <t>אמיר ד</t>
  </si>
  <si>
    <t>בר ג</t>
  </si>
  <si>
    <t>גמולה ג</t>
  </si>
  <si>
    <t>כלל השתלמות כללי</t>
  </si>
  <si>
    <t>חיננית קופת תגמולים בע"מ</t>
  </si>
  <si>
    <t>520037656</t>
  </si>
  <si>
    <t>אנליסט קופת גמל</t>
  </si>
  <si>
    <t>אנליסט גמל גמישה</t>
  </si>
  <si>
    <t>כלל איתן כללי דגש חזק</t>
  </si>
  <si>
    <t>דור ברגר גמישה</t>
  </si>
  <si>
    <t>דש נועם - קרן השתלמות לשכירים ועצמאים</t>
  </si>
  <si>
    <t>קרן השתלמות מורים וגננות המסלול הרגיל - מסלול כללי</t>
  </si>
  <si>
    <t>קרן השתלמות למורים תיכוניים מסלול רגיל- מסלול כללי</t>
  </si>
  <si>
    <t>מיטב גאון גמל-מסלול כללי</t>
  </si>
  <si>
    <t>בשור - קופת גמל מרכזית לפיצויי פיטורין</t>
  </si>
  <si>
    <t>512025198</t>
  </si>
  <si>
    <t>גאון גמל בע"מ</t>
  </si>
  <si>
    <t>לכיש - קרן השתלמות</t>
  </si>
  <si>
    <t>דש דור ברגר - קופת תגמולים ופיצויים</t>
  </si>
  <si>
    <t>גילעד קופה מרכזית לפיצויים</t>
  </si>
  <si>
    <t>קופת הגמל לתגמולים ולפיצויים של קרן הגימלאות המרכזית של עובדי ההסתדרות</t>
  </si>
  <si>
    <t>יובלים - קופת גמל לתגמולים ופיצויים</t>
  </si>
  <si>
    <t>דן מרכזית</t>
  </si>
  <si>
    <t>הראל - נתיב קופת תגמולים לעצמאיים לשכירים ואישית לפיצויים</t>
  </si>
  <si>
    <t>נג"ב מרכזית</t>
  </si>
  <si>
    <t>מבטחים - קופה לפיצויים ותגמולים</t>
  </si>
  <si>
    <t>ישיר תעוזה קופת גמל לתגמולים ולפיצויים מקבוצת ביטוח ישיר</t>
  </si>
  <si>
    <t>אקסלנס גמולה מבטיחת תשואה</t>
  </si>
  <si>
    <t>מנורה מבטחים אמיר מדד ידוע</t>
  </si>
  <si>
    <t>מנורה גמל פלס ב - מבטיח תשואה בשיעור 5.5 אחוז לשנה</t>
  </si>
  <si>
    <t>פלס ג'</t>
  </si>
  <si>
    <t>מנורה מבטחים אמיר מדד בגין</t>
  </si>
  <si>
    <t>אמיר ב'</t>
  </si>
  <si>
    <t>אמיר ג'</t>
  </si>
  <si>
    <t>בר קרן גמולים א' - מבטיח תשואה בשיעור 5.5 אחוז לשנה</t>
  </si>
  <si>
    <t>בר ב' - מבטיח תשואה בשיעור 4.5 אחוז לשנה</t>
  </si>
  <si>
    <t>חיננית  קופת תגמולים - טווח בינוני - לשעבר מקבוצת מזרחי טפחות</t>
  </si>
  <si>
    <t>טווח בינוני</t>
  </si>
  <si>
    <t>חיננית - מסלול טווח ארוך</t>
  </si>
  <si>
    <t>טווח ארוך</t>
  </si>
  <si>
    <t>חיננית - מסלול מט"ח</t>
  </si>
  <si>
    <t>חיננית - מסלול מניות</t>
  </si>
  <si>
    <t>חיננית - מסלול שקלי</t>
  </si>
  <si>
    <t>פסגות סגנון גמל מניות</t>
  </si>
  <si>
    <t>פסגות גמל מדדית</t>
  </si>
  <si>
    <t>יניר קופת תגמולים ופיצויים לשכירים ועצמאים מסלול כללי</t>
  </si>
  <si>
    <t>520042839</t>
  </si>
  <si>
    <t>שחר - חברה לניהול קופת גמל מפעלית למהנדסים בע"מ</t>
  </si>
  <si>
    <t>נירית כללית ב'</t>
  </si>
  <si>
    <t>להבה מסלול כללי</t>
  </si>
  <si>
    <t>רותם</t>
  </si>
  <si>
    <t>ישיר מתן 2001 קופת גמל לתגמולים ולפיצויים מקבוצת ביטוח ישיר</t>
  </si>
  <si>
    <t>משגב - קרן השתלמות לשכירים ועצמאים</t>
  </si>
  <si>
    <t>סמל - קרן השתלמות לשכירים ועצמאים</t>
  </si>
  <si>
    <t>הראל - צוברת</t>
  </si>
  <si>
    <t>מתן 2001א - מסלול ג</t>
  </si>
  <si>
    <t>מתן 2002א - מסלול ד</t>
  </si>
  <si>
    <t>מתן 2002ב - מסלול ה</t>
  </si>
  <si>
    <t>מתן 2002ג - מסלול ו</t>
  </si>
  <si>
    <t>מתן 2002ד - מסלול ז</t>
  </si>
  <si>
    <t>מתן 2002ה - מסלול ח</t>
  </si>
  <si>
    <t>מתן 2002ו - מסלול ט</t>
  </si>
  <si>
    <t>מתן 2002ז - מסלול י</t>
  </si>
  <si>
    <t>מתן 2002ח - מסלול יא</t>
  </si>
  <si>
    <t>מתן 2002ט - מסלול יב</t>
  </si>
  <si>
    <t>כור-תדיראן קופ"ג לתגמולים</t>
  </si>
  <si>
    <t>כור-תדיראן קרן השתלמות</t>
  </si>
  <si>
    <t>יובלים -קרן השתלמות</t>
  </si>
  <si>
    <t>משתלמת-ריווחית, קרן השתלמות</t>
  </si>
  <si>
    <t>קבו' הפניקס-ניהול קופו"ג בע"מ</t>
  </si>
  <si>
    <t>לאומי גמל לפיצויים</t>
  </si>
  <si>
    <t>520036591</t>
  </si>
  <si>
    <t>רקיע קופת גמל לעצמאים ושכירים ליד בנק לאומי לישראל בע"מ</t>
  </si>
  <si>
    <t>אי.בי.אי - נגב קופה מרכזית לפיצויים מסלול אג"ח</t>
  </si>
  <si>
    <t>כלל תמר שקלים</t>
  </si>
  <si>
    <t>הלמן-אלדובי תגמולים במושבים לשעבר-קופה מרכזית לפיצויים</t>
  </si>
  <si>
    <t>תגב - מדדי טווח בינוני</t>
  </si>
  <si>
    <t>תגב - מנייתי</t>
  </si>
  <si>
    <t>הלמן-אלדובי תגמולים במושבים לשעבר- מסלול מדדי טווח ארוך</t>
  </si>
  <si>
    <t>תגמולים במושבים - מסלול מדדי</t>
  </si>
  <si>
    <t>תגב - מט"ח דולרי</t>
  </si>
  <si>
    <t>מודלים גמל</t>
  </si>
  <si>
    <t>512517798</t>
  </si>
  <si>
    <t>מודלים גמל בע"מ</t>
  </si>
  <si>
    <t>מודלים גמל +</t>
  </si>
  <si>
    <t>מודלים פרישה</t>
  </si>
  <si>
    <t>מודלים השתלמות</t>
  </si>
  <si>
    <t>דורות - קופת תגמולים ופיצויים</t>
  </si>
  <si>
    <t>512584939</t>
  </si>
  <si>
    <t>דורות - קופת פיצויים מרכזית</t>
  </si>
  <si>
    <t>דורות - קרן השתלמות לשכירים ועצמאים</t>
  </si>
  <si>
    <t>פסגות השתלמות פלטינום</t>
  </si>
  <si>
    <t>פסגות שיא השתלמות אג"ח</t>
  </si>
  <si>
    <t>פסגות שיא השתלמות מניות</t>
  </si>
  <si>
    <t>אלטשולר שחם השתלמות ספיר מסלול כללי</t>
  </si>
  <si>
    <t>גליל - קופת מסלולים מרכזית לפיצויים</t>
  </si>
  <si>
    <t>לבונה - מסלול מדדי</t>
  </si>
  <si>
    <t>512043597</t>
  </si>
  <si>
    <t>דיסקונט ניהול קופות גמל בע"מ</t>
  </si>
  <si>
    <t>לבונה - מסלול מעורב מוטה מדד</t>
  </si>
  <si>
    <t>לבונה - מסלול מעורב</t>
  </si>
  <si>
    <t>לבונה - מסלול שיקלי</t>
  </si>
  <si>
    <t>לבונה - מסלול גמיש</t>
  </si>
  <si>
    <t>קרן סגל הטכניון מסלול אגרות חוב</t>
  </si>
  <si>
    <t>קרן סגל הטכניון - מסלול טווח קצר</t>
  </si>
  <si>
    <t>קרן סגל הטכניון - מסלול שקלי קצר</t>
  </si>
  <si>
    <t>רשף קופת גמל לתגמולים מסלול כללי</t>
  </si>
  <si>
    <t>רשף חברה לניהול קופות גמל למורים על יסודיים בע"מ</t>
  </si>
  <si>
    <t>קרן סגל הטכניון - מסלול מניות</t>
  </si>
  <si>
    <t>הייטק השתלמות-קרן השתלמות למגזר ההייטק והטכנולוגיה</t>
  </si>
  <si>
    <t>תואר</t>
  </si>
  <si>
    <t>דש אור - קופת תגמולים</t>
  </si>
  <si>
    <t>להיט - שקלי</t>
  </si>
  <si>
    <t>להיט - מט"ח</t>
  </si>
  <si>
    <t>פסגות השתלמות ב' מסלול חו"ל</t>
  </si>
  <si>
    <t>ללא סיווג</t>
  </si>
  <si>
    <t>חו"ל</t>
  </si>
  <si>
    <t>מקפת מודוס קרן השתלמות מסלול מדדי</t>
  </si>
  <si>
    <t>512760703</t>
  </si>
  <si>
    <t>מקפת מודוס חברה לניהול קופות גמל בע"מ</t>
  </si>
  <si>
    <t>מקפת מודוס קופת תגמולים ופיצויים - מסלול מדדי</t>
  </si>
  <si>
    <t>מקפת מודוס פיצויים - מסלול מדדי</t>
  </si>
  <si>
    <t>מקפת מודוס קרן השתלמות מסלול מט"חי</t>
  </si>
  <si>
    <t>מקפת מודוס קרן השתלמות מסלול שיקלי</t>
  </si>
  <si>
    <t>מקפת מודוס קרן השתלמות מסלול סולידי</t>
  </si>
  <si>
    <t>מקפת מודוס קרן השתלמות מסלול מנייתי</t>
  </si>
  <si>
    <t>מקפת מודוס קרן השתלמות מסלול גמיש</t>
  </si>
  <si>
    <t>מקפת מודוס קופת תגמולים ופיצויים - מסלול מעורב</t>
  </si>
  <si>
    <t>מקפת מודוס קופת תגמולים ופיצויים - מסלול מוטה מניות</t>
  </si>
  <si>
    <t>מקפת מודוס קופת תגמולים ופיצויים - מסלול גמיש מעורב</t>
  </si>
  <si>
    <t>מקפת מודוס פיצויים - מסלול מעורב</t>
  </si>
  <si>
    <t>מקפת מודוס פיצויים - מסלול מוטה מניות</t>
  </si>
  <si>
    <t>מקפת מודוס פיצויים - מסלול גמיש מעורב</t>
  </si>
  <si>
    <t>איילון - הייטק השתלמות</t>
  </si>
  <si>
    <t>קה"ל - מסלול חו"ל</t>
  </si>
  <si>
    <t>יניב</t>
  </si>
  <si>
    <t>פסגות גמל מסלולית לפיצויים</t>
  </si>
  <si>
    <t>הלמן אלדובי השתלמות מעגן</t>
  </si>
  <si>
    <t>כלל דליה</t>
  </si>
  <si>
    <t>511160434</t>
  </si>
  <si>
    <t>כלל גמל בע"מ</t>
  </si>
  <si>
    <t>תמוז-קרן השתלמות-מסלול מדדי</t>
  </si>
  <si>
    <t>513031310</t>
  </si>
  <si>
    <t>תמוז-ניהול קופות גמל בע"מ</t>
  </si>
  <si>
    <t>תמוז-קרן השתלמות-מסלול מעורב מוטה מדד</t>
  </si>
  <si>
    <t>תמוז-קרן השתלמות-מסלול מעורב</t>
  </si>
  <si>
    <t>תמוז-קרן השתלמות-מסלול מעורב מוטה מניות</t>
  </si>
  <si>
    <t>תמוז-קרן השתלמות-מסלול גמיש מעורב</t>
  </si>
  <si>
    <t>תמוז קופת תגמולים-מסלול מדדי</t>
  </si>
  <si>
    <t>תמוז קופת תגמולים-מסלול מעורב מוטה מדד</t>
  </si>
  <si>
    <t>תמוז קופת תגמולים-מסלול מעורב</t>
  </si>
  <si>
    <t>תמוז קופת תגמולים-מסלול מעורב מוטה מניות</t>
  </si>
  <si>
    <t>תמוז קופת תגמולים-מסלול גמיש מעורב</t>
  </si>
  <si>
    <t>תמוז קופת פיצויים מרכזית-מסלול מדדי</t>
  </si>
  <si>
    <t>תמוז קופת פיצויים מרכזית-מסלול מעורב מוטה מדד</t>
  </si>
  <si>
    <t>תמוז קופת פיצויים מרכזית-מסלול מעורב</t>
  </si>
  <si>
    <t>תמוז קופת פיצויים מרכזית-מסלול מעורב מוטה מניות</t>
  </si>
  <si>
    <t>תמוז קופת פיצויים מרכזית-מסלול גמיש מעורב</t>
  </si>
  <si>
    <t>פסגות גמל עד 10% מניות</t>
  </si>
  <si>
    <t>פסגות גמל כללי</t>
  </si>
  <si>
    <t>פסגות גמל מניות</t>
  </si>
  <si>
    <t>תגב - שקלי קצר</t>
  </si>
  <si>
    <t>תגמולים במושבים - מסלול אג"ח שקלי שחר</t>
  </si>
  <si>
    <t>תגמולים במושבים - מסלול מדדי אג"ח גליל</t>
  </si>
  <si>
    <t>תגמולים במושבים - מסלול מט"ח יורו</t>
  </si>
  <si>
    <t>אקסלנס השתלמות זהב עד 15% מניות</t>
  </si>
  <si>
    <t xml:space="preserve">אקסלנס השתלמות זהב </t>
  </si>
  <si>
    <t>קרן סגל אוניברסיטת חיפה - אפיק קצר טווח</t>
  </si>
  <si>
    <t>אקסלנס השתלמות זהב - מסלול מניות</t>
  </si>
  <si>
    <t>קרן סגל אוניברסיטת חיפה - אפיק מוטה היי-טק</t>
  </si>
  <si>
    <t>ניסוי שם מנהל</t>
  </si>
  <si>
    <t>הדס ארזים גמל</t>
  </si>
  <si>
    <t>קה"ל - מסלול שקלי קצר</t>
  </si>
  <si>
    <t>קתדרה קופת גמל מסלול מניות היי טק</t>
  </si>
  <si>
    <t>קתדרה קופת גמל מסלול שקלי קצר</t>
  </si>
  <si>
    <t>אנליסט קתדרה קופת גמל - מסלול אג"ח</t>
  </si>
  <si>
    <t>אנליסט קתדרה קופת גמל - מסלול אג"ח ממשלתי</t>
  </si>
  <si>
    <t>ממשלתי</t>
  </si>
  <si>
    <t>אנליסט קתדרה קופת גמל - מסלול מניות</t>
  </si>
  <si>
    <t>הראל גמל לפיצויים-מסלול מט"ח</t>
  </si>
  <si>
    <t>קהילה קרן השתלמות</t>
  </si>
  <si>
    <t>איפקס תגמולים כללי</t>
  </si>
  <si>
    <t>איפקס השתלמות כללי</t>
  </si>
  <si>
    <t>קרן השתלמות לשכירים ועצמאיים של הפניקס הישראלי</t>
  </si>
  <si>
    <t>הפניקס ניהול קופות גמל בע"מ</t>
  </si>
  <si>
    <t>אומגה קופת פיצויים מרכזית</t>
  </si>
  <si>
    <t>אומגה קופות גמל בע"מ</t>
  </si>
  <si>
    <t>אומגה קרן השתלמות לשכירים ולעצמאיים</t>
  </si>
  <si>
    <t>אומגה קופת תגמולים ופיצויים</t>
  </si>
  <si>
    <t>אלטשולר שחם ברקת</t>
  </si>
  <si>
    <t>הלמן אלדובי גמל מט"ח</t>
  </si>
  <si>
    <t>הלמן אלדובי קרן מט"ח</t>
  </si>
  <si>
    <t>הלמן אלדובי מרכזית לפיצויים מעגן</t>
  </si>
  <si>
    <t>עד 10% מניות</t>
  </si>
  <si>
    <t>אנפה מרכזית לפיצויים</t>
  </si>
  <si>
    <t>עיט מרכזית לפיצויים</t>
  </si>
  <si>
    <t>אידיאולוגי</t>
  </si>
  <si>
    <t>הלכתי</t>
  </si>
  <si>
    <t>מוטורולה קופת תגמולים לעצמאים ולשכירים</t>
  </si>
  <si>
    <t>כלל השתלמות מסלולית מסלול כללי</t>
  </si>
  <si>
    <t>פסגות סגנון גמל אג"ח</t>
  </si>
  <si>
    <t>פסגות גמל בטא סגנון</t>
  </si>
  <si>
    <t>פסגות סגנון גמל כספית</t>
  </si>
  <si>
    <t>מיטב דינאמית להשתלמות מסלול מניות</t>
  </si>
  <si>
    <t>מיטב גאון השתלמות מסלולית-מסלול מט"ח</t>
  </si>
  <si>
    <t>מיטב דינאמית להשתלמות מסלול צמוד מדד</t>
  </si>
  <si>
    <t>מיטב דינאמית להשתלמות מסלול שקלי</t>
  </si>
  <si>
    <t>מיטב דינאמית גמל מסלול מניות</t>
  </si>
  <si>
    <t>מיטב גאון גמל-מסלול מט"ח</t>
  </si>
  <si>
    <t>מיטב דינאמית גמל מסלול צמוד מדד</t>
  </si>
  <si>
    <t>מיטב דינאמית גמל מסלול שקלי</t>
  </si>
  <si>
    <t>מיטב מאור</t>
  </si>
  <si>
    <t>אקסלנס גמל פלטינום שקלי</t>
  </si>
  <si>
    <t>אקסלנס אופיר - מסלול כללי</t>
  </si>
  <si>
    <t>אקסלנס אופיר - מסלול שקלי</t>
  </si>
  <si>
    <t>אקסלנס גמל פלטינום מניות</t>
  </si>
  <si>
    <t>אקסלנס אופיר - מסלול שקלי טווח קצר</t>
  </si>
  <si>
    <t>אקסלנס אופיר - מסלול מט"ח טווח קצר</t>
  </si>
  <si>
    <t>אקסלנס השתלמות פלטינום שקלי</t>
  </si>
  <si>
    <t>אקסלנס עדי - מסלול כללי</t>
  </si>
  <si>
    <t>אקסלנס עדי - מסלול שקלי</t>
  </si>
  <si>
    <t>אקסלנס עדי - מסלול שקלי טווח קצר</t>
  </si>
  <si>
    <t>אקסלנס עדי - מסלול מט"ח טווח קצר</t>
  </si>
  <si>
    <t>אקסלנס משכית - מסלול כללי</t>
  </si>
  <si>
    <t>אקסלנס משכית - מסלול מט"חי</t>
  </si>
  <si>
    <t>אקסלנס משכית - מסלול שקלי טווח קצר</t>
  </si>
  <si>
    <t>אקסלנס משכית - מסלול מט"ח טווח קצר</t>
  </si>
  <si>
    <t>אקסלנס גמל ללא מניות</t>
  </si>
  <si>
    <t>אקסלנס השתלמות ללא מניות</t>
  </si>
  <si>
    <t>כוכב-מרכזית לפיצויים</t>
  </si>
  <si>
    <t>אנליסט גמל כללי</t>
  </si>
  <si>
    <t>אנליסט גמל אג"ח</t>
  </si>
  <si>
    <t>אנליסט גמל מניות</t>
  </si>
  <si>
    <t>אנליסט גמל שקלי</t>
  </si>
  <si>
    <t>אנליסט גמל מט"ח</t>
  </si>
  <si>
    <t>הראל רקנאטי - אלון קרן השתלמות לשכירים ועצמאים</t>
  </si>
  <si>
    <t>הראל רקנאטי - ארז קופה לתגמולים ופיצויים</t>
  </si>
  <si>
    <t>הראל - אורן קופה מרכזית לפיצויים</t>
  </si>
  <si>
    <t>דש אקונומיסט - קופת תגמולים ופיצויים</t>
  </si>
  <si>
    <t>גאון השתלמות מסלולית-מסלול לכיש כללי</t>
  </si>
  <si>
    <t>מיטבית קופת גמל לתגמולים ולפיצויים</t>
  </si>
  <si>
    <t>פסגות גמל אג"ח</t>
  </si>
  <si>
    <t>פסגות גוונים מסלול כספית טווח קצר</t>
  </si>
  <si>
    <t>פסגות גוונים מסלול אג"ח לא צמודות</t>
  </si>
  <si>
    <t>פריזמה גוונים מסלול צמוד מדד לטווח בינוני</t>
  </si>
  <si>
    <t>513830380</t>
  </si>
  <si>
    <t>פריזמה קופות גמל החדשה בע"מ</t>
  </si>
  <si>
    <t>פסגות גוונים מסלול מניות חו"ל</t>
  </si>
  <si>
    <t>פסגות גוונים מסלול מניות</t>
  </si>
  <si>
    <t>פסגות גוונים מסלול אג"ח בינלאומי</t>
  </si>
  <si>
    <t>פסגות שיא פיצויים שקלית ללא מניות</t>
  </si>
  <si>
    <t>פריזמה מגוון מסלול צמוד מדד לטווח בינוני</t>
  </si>
  <si>
    <t>פסגות שיא פיצויים מדדית ללא מניות</t>
  </si>
  <si>
    <t>פסגות מגוון מסלול מניות חו"ל</t>
  </si>
  <si>
    <t>פסגות שיא פיצויים מניות</t>
  </si>
  <si>
    <t>פסגות שיא פיצויים עד 10% מניות</t>
  </si>
  <si>
    <t>שחקים-כללי</t>
  </si>
  <si>
    <t>511481996</t>
  </si>
  <si>
    <t>שחקים-צמוד מדד</t>
  </si>
  <si>
    <t>שחקים-שיקלי</t>
  </si>
  <si>
    <t>נירית מט"ח</t>
  </si>
  <si>
    <t>נירית שיקלית</t>
  </si>
  <si>
    <t>נירית מניות</t>
  </si>
  <si>
    <t>מגדל פלטינום לתגמולים ברומטר</t>
  </si>
  <si>
    <t>מגדל פלטינום להשתלמות מסלול ברומטר</t>
  </si>
  <si>
    <t>מגדל פלטינום להשתלמות שקלי קצר</t>
  </si>
  <si>
    <t>מיטב גמל כללי</t>
  </si>
  <si>
    <t>מיטב תגמולים מסלול מט"ח</t>
  </si>
  <si>
    <t>מיטב השתלמות כללי</t>
  </si>
  <si>
    <t>מיטב השתלמות מסלול מט"ח</t>
  </si>
  <si>
    <t>מיטב מרכזית לפיצויים מסלול מדדי</t>
  </si>
  <si>
    <t>מיטב מרכזית לפיצויים מסלול שקלי</t>
  </si>
  <si>
    <t>מיטב מרכזית לפיצוים מסלול מניות</t>
  </si>
  <si>
    <t>מיטב מרכזית לפיצויים מסלול מט"ח</t>
  </si>
  <si>
    <t>גאון דמי מחלה</t>
  </si>
  <si>
    <t>הלמן אלדובי גמל מסלולית - מסלול כללי טווח ארוך</t>
  </si>
  <si>
    <t>הלמן אלדובי גמל מסלולית - מסלול כללי טווח בינוני</t>
  </si>
  <si>
    <t>הלמן אלדובי גמל מסלולית - מסלול כללי טווח קצר</t>
  </si>
  <si>
    <t>הלמן אלדובי גמל מסלולית - מסלול מט"ח</t>
  </si>
  <si>
    <t>הלמן אלדובי גמל מסלולית - מסלול צמוד מדד</t>
  </si>
  <si>
    <t>הלמן אלדובי גמל מסלולית - מסלול שקלי</t>
  </si>
  <si>
    <t>הלמן אלדובי גמל מסלולית - מסלול מניות</t>
  </si>
  <si>
    <t>הלמן-אלדובי  - גמל ב'</t>
  </si>
  <si>
    <t>הלמן אלדובי  גמל מסלולית - מסלול כללי ב'</t>
  </si>
  <si>
    <t>הלמן אלדובי השתלמות מסלולית - מסלול כללי טווח ארוך</t>
  </si>
  <si>
    <t>הלמן אלדובי השתלמות מסלולית - מסלול כללי טווח בינוני</t>
  </si>
  <si>
    <t>הלמן אלדובי השתלמות מסלולית - מסלול כללי טווח קצר</t>
  </si>
  <si>
    <t>הלמן אלדובי השתלמות מסלולית - מסלול מט"ח</t>
  </si>
  <si>
    <t>הלמן אלדובי השתלמות מסלולית - מסלול צמוד מדד</t>
  </si>
  <si>
    <t>הלמן אלדובי השתלמות מסלולית - מסלול שקלי</t>
  </si>
  <si>
    <t>הלמן אלדובי השתלמות מסלולית - מסלול מניות</t>
  </si>
  <si>
    <t>הלמן אלדובי השתלמות מסלולית - מסלול כללי א'</t>
  </si>
  <si>
    <t>הלמן - אלדובי השתלמות ב'</t>
  </si>
  <si>
    <t>הלמן אלדובי מרכזית מסלולית - מסלול כללי טווח ארוך</t>
  </si>
  <si>
    <t>הלמן אלדובי מרכזית מסלולית - מסלול כללי טווח בינוני</t>
  </si>
  <si>
    <t>הלמן אלדובי מרכזית מסלולית - מסלול כללי טווח קצר</t>
  </si>
  <si>
    <t>הלמן אלדובי מרכזית מסלולית - מסלול מט"ח</t>
  </si>
  <si>
    <t>הלמן אלדובי מרכזית מסלולית - מסלול צמוד מדד</t>
  </si>
  <si>
    <t>הלמן אלדובי מרכזית מסלולית - מסלול שקלי</t>
  </si>
  <si>
    <t>הלמן אלדובי מרכזית מסלולית - מסלול מניות</t>
  </si>
  <si>
    <t>הלמן אלדובי מרכזית מסלולית - מסלול כללי א'</t>
  </si>
  <si>
    <t>הלמן אלדובי מרכזית מסלולית - מסלול כללי ב'</t>
  </si>
  <si>
    <t>מיטבית קופת גמל לדמי מחלה</t>
  </si>
  <si>
    <t>513394353</t>
  </si>
  <si>
    <t>מיטבית גמל (2003) בע"מ</t>
  </si>
  <si>
    <t>קופת גמל אישית לפיצויים של הפקידים והפועלים בעיריית רמת גן</t>
  </si>
  <si>
    <t>513452995</t>
  </si>
  <si>
    <t>חברה לניהול קופות גמל של הפקידים והפועלים בעירית רמת גן בע"מ</t>
  </si>
  <si>
    <t>מקפת החדשה קופת גמל לתגמולים ולפיצויים</t>
  </si>
  <si>
    <t>מקפת החדשה קרן השתלמות</t>
  </si>
  <si>
    <t>מקפת החדשה מרכזית לפיצויים</t>
  </si>
  <si>
    <t>513467118</t>
  </si>
  <si>
    <t>מקפת החדשה ניהול קופות גמל בע"מ</t>
  </si>
  <si>
    <t>מנוף תגמולים - מסלול כללי</t>
  </si>
  <si>
    <t>מנוף תגמולים - מסלול מנייתי</t>
  </si>
  <si>
    <t>מנוף תגמולים - מסלול מט"ח</t>
  </si>
  <si>
    <t>מנוף תגמולים - מסלול שיקלי</t>
  </si>
  <si>
    <t>מנוף תגמולים - מסלול צמוד מדד</t>
  </si>
  <si>
    <t>מנוף השתלמות - מסלול כללי</t>
  </si>
  <si>
    <t>מנוף השתלמות - מסלול  מנייתי</t>
  </si>
  <si>
    <t>מנוף השתלמות - מסלול מט"ח</t>
  </si>
  <si>
    <t>מנוף השתלמות - מסלול שקלי</t>
  </si>
  <si>
    <t>מנוף השתלמות - מסלול צמוד מדד</t>
  </si>
  <si>
    <t>מנוף מרכזית - מסלול כללי</t>
  </si>
  <si>
    <t>מנוף מרכזית - מסלול מנייתי</t>
  </si>
  <si>
    <t>מנוף מרכזית - מסלול מט"ח</t>
  </si>
  <si>
    <t>מנוף מרכזית - מסלול שיקלי</t>
  </si>
  <si>
    <t>מנוף מרכזית - מסלול צמוד מדד</t>
  </si>
  <si>
    <t>אתגרים - מסלול מניות</t>
  </si>
  <si>
    <t>513671727</t>
  </si>
  <si>
    <t>ישיר בית השקעות (קופות גמל) בע"מ</t>
  </si>
  <si>
    <t>אתגרים - מסלול מט"ח</t>
  </si>
  <si>
    <t>אתגרים - מסלול צמוד מדד</t>
  </si>
  <si>
    <t>אתגרים - מסלול שיקלי</t>
  </si>
  <si>
    <t>אתגרים - מסלול כללי</t>
  </si>
  <si>
    <t>אתגרים - מסלול כללי ב'</t>
  </si>
  <si>
    <t>אתגרים לפיצויים - מסלול מט"ח</t>
  </si>
  <si>
    <t>מיטב מסלולית לפיצויים - מסלול צמוד מדד</t>
  </si>
  <si>
    <t>אתגרים לפיצויים - מסלול שיקלי</t>
  </si>
  <si>
    <t>אתגרים לפיצויים - מסלול כללי</t>
  </si>
  <si>
    <t>איילון גמל מצוק מסלול כללי</t>
  </si>
  <si>
    <t>קופת התגמולים של עובדי חברת י.א. מיטווך ובניו בע"מ</t>
  </si>
  <si>
    <t>הפניקס תגמולים ופיצויים - מסלול שיקלי</t>
  </si>
  <si>
    <t>הפניקס תגמולים ופיצויים - מסלול מט"ח</t>
  </si>
  <si>
    <t>הפניקס תגמולים ופיצויים - מסלול מדדי</t>
  </si>
  <si>
    <t>אנליסט השתלמות מניות</t>
  </si>
  <si>
    <t>הפניקס השתלמות - מסלול שיקלי</t>
  </si>
  <si>
    <t>הפניקס השתלמות - מסלול מט"ח</t>
  </si>
  <si>
    <t>הפניקס השתלמות - מסלול מדדי</t>
  </si>
  <si>
    <t>הייטק פיצויים-קופת פיצויים מרכזית למעסיקים במגזר ההייטק והטכנולוגיה</t>
  </si>
  <si>
    <t>הייטק גמל קופת גמל לתגמולים ולפיצויים למגזר ההייטק והטכנולוגיה</t>
  </si>
  <si>
    <t>אנליסט השתלמות אג"ח</t>
  </si>
  <si>
    <t>מגדל פלטינום לתגמולים כללי</t>
  </si>
  <si>
    <t>מגדל פלטינום להשתלמות כללי</t>
  </si>
  <si>
    <t>מסד מסלולית מדדי</t>
  </si>
  <si>
    <t>מסד מסלולית מט"ח</t>
  </si>
  <si>
    <t>מסד מסלולית מנייתי</t>
  </si>
  <si>
    <t>מסד מסלולית כללי</t>
  </si>
  <si>
    <t>מסד מסלולית שיקלי</t>
  </si>
  <si>
    <t>מנורה גמל מיתר</t>
  </si>
  <si>
    <t>אתגרים תעשיות מסלול מניות</t>
  </si>
  <si>
    <t>אתגרים תעשיות מסלול מט"ח</t>
  </si>
  <si>
    <t>אתגרים תעשיות מסלול צמוד מדד</t>
  </si>
  <si>
    <t>אתגרים תעשיות מסלול שקלי</t>
  </si>
  <si>
    <t>אתגרים תעשיות מסלול כללי</t>
  </si>
  <si>
    <t>אתגרים תעשיות מסלול כללי ב'</t>
  </si>
  <si>
    <t>אתגרים תעשיות מסלול טווח קצר</t>
  </si>
  <si>
    <t>מבטחים רפואה שלמה</t>
  </si>
  <si>
    <t>אשכול - חו"ל</t>
  </si>
  <si>
    <t>להיט - חו"ל</t>
  </si>
  <si>
    <t>נירית חו"ל</t>
  </si>
  <si>
    <t>תמיר פישמן גמל מניות בישראל ובחו"ל</t>
  </si>
  <si>
    <t>תמיר פישמן גמל אג"ח</t>
  </si>
  <si>
    <t>תמיר פישמן גמל כללי</t>
  </si>
  <si>
    <t>תמיר פישמן השתלמות מניות בישראל ובחו"ל</t>
  </si>
  <si>
    <t>תמיר פישמן השתלמות אג"ח</t>
  </si>
  <si>
    <t>תמיר פישמן השתלמות כללי</t>
  </si>
  <si>
    <t>מגדל גמל מסלול שקלי קצר</t>
  </si>
  <si>
    <t>512492752</t>
  </si>
  <si>
    <t>מגדל ניהול קופות גמל בע"מ</t>
  </si>
  <si>
    <t>מגדל גמל מסלול אג"ח</t>
  </si>
  <si>
    <t>מגדל גמל מסלול כללי חו"ל</t>
  </si>
  <si>
    <t>מגדל גמל מסלול מט"ח</t>
  </si>
  <si>
    <t>מגדל גמל מסלול מנייתי</t>
  </si>
  <si>
    <t>מגדל גמל מסלול כללי</t>
  </si>
  <si>
    <t>מגדל להשתלמות מסלול שקלי קצר</t>
  </si>
  <si>
    <t>מגדל להשתלמות מסלול אג"ח</t>
  </si>
  <si>
    <t>מגדל להשתלמות מסלול כללי חו"ל</t>
  </si>
  <si>
    <t>מגדל להשתלמות מסלול מט"ח</t>
  </si>
  <si>
    <t>מגדל להשתלמות מסלול מנייתי</t>
  </si>
  <si>
    <t>מגדל להשתלמות מסלול כללי</t>
  </si>
  <si>
    <t>מגדל למעסיק</t>
  </si>
  <si>
    <t>הראל גמל כללי</t>
  </si>
  <si>
    <t>ילין לפידות קופת גמל מסלול אג"ח</t>
  </si>
  <si>
    <t>ילין לפידות קרן השתלמות מסלול כללי</t>
  </si>
  <si>
    <t>אקסלנס שחקים מסלול צמוד מדד</t>
  </si>
  <si>
    <t>אקסלנס שחקים מסלול כללי</t>
  </si>
  <si>
    <t>אקסלנס גמל שקלי</t>
  </si>
  <si>
    <t>אקסלנס שחקים מסלול שקלי ב'</t>
  </si>
  <si>
    <t>אקסלנס שחקים מסלול שקלי</t>
  </si>
  <si>
    <t>ערבה</t>
  </si>
  <si>
    <t>אלטשולר שחם לדמי מחלה</t>
  </si>
  <si>
    <t>אדמונד דה רוטשילד דיסקונט חו"ל</t>
  </si>
  <si>
    <t>ד"ש גמל טיטניום</t>
  </si>
  <si>
    <t>ד"ש השתלמות טיטניום</t>
  </si>
  <si>
    <t>ד"ש קרן השתלמות ב'</t>
  </si>
  <si>
    <t>פסגות סגנון - קופת תגמולים - מסלול שוקי חו"ל</t>
  </si>
  <si>
    <t>קואטרו מרכזית לפיצויים</t>
  </si>
  <si>
    <t>513621169</t>
  </si>
  <si>
    <t>קואטרו גמל בע"מ</t>
  </si>
  <si>
    <t>איילון השתלמות מסלול מט"ח</t>
  </si>
  <si>
    <t>איילון השתלמות מסלול שקלי</t>
  </si>
  <si>
    <t>איילון השתלמות מסלול כללי ב'</t>
  </si>
  <si>
    <t>איילון גמל מסלול שקלי</t>
  </si>
  <si>
    <t>איילון גמל מסלול כללי</t>
  </si>
  <si>
    <t>איילון גמל מסלול כללי ב'</t>
  </si>
  <si>
    <t>איילון לפיצויים מסלול שקלי</t>
  </si>
  <si>
    <t>איילון לפיצויים מסלול כללי</t>
  </si>
  <si>
    <t>מגדל לדמי מחלה</t>
  </si>
  <si>
    <t>אינפיניטי תגמולים ופיצויים (ב)מסלול סל אג"ח</t>
  </si>
  <si>
    <t>אינפיניטי תגמולים ופיצויים (ב) מסלול סל מנייתי</t>
  </si>
  <si>
    <t>אינפיניטי תגמולים ופיצויים (ל) מסלול סל אג"ח</t>
  </si>
  <si>
    <t>אינפיניטי תגמולים ופיצויים (ל) מסלול כללי</t>
  </si>
  <si>
    <t>אינפיניטי השתלמות (ב) מסלול סל אג"ח</t>
  </si>
  <si>
    <t>אינפיניטי השתלמות (ב) מסלול סל מנייתי</t>
  </si>
  <si>
    <t>אינפיניטי השתלמות (ל) מסלול סל אג"ח</t>
  </si>
  <si>
    <t>אינפיניטי פיצויים (ב) מסלול צמוד מדד</t>
  </si>
  <si>
    <t>אינפיניטי פיצויים (ב) מסלול סל אג"ח</t>
  </si>
  <si>
    <t>אינפיניטי פיצויים (ל) מסלול צמוד מדד</t>
  </si>
  <si>
    <t>אינפיניטי פיצויים (ל) מסלול סל אג"ח</t>
  </si>
  <si>
    <t>אינפיניטי פיצויים (פ) מסלול צמוד מדד</t>
  </si>
  <si>
    <t>אלטשולר שחם תגמולים בזלת מסלול כללי</t>
  </si>
  <si>
    <t>אלטשולר שחם גמל מסלול כללי</t>
  </si>
  <si>
    <t>הפניקס תהיה בריא</t>
  </si>
  <si>
    <t>מיטב השתלמות מסלול אג"ח</t>
  </si>
  <si>
    <t>משכית מסלול חו"ל</t>
  </si>
  <si>
    <t>אופיר מסלול חו"ל</t>
  </si>
  <si>
    <t>אקסלנס גמל מניות</t>
  </si>
  <si>
    <t>קואטרו תגמולים כללי 1</t>
  </si>
  <si>
    <t>קואטרו השתלמות כללי 1</t>
  </si>
  <si>
    <t>תמיר פישמן גמל חו"ל</t>
  </si>
  <si>
    <t>תמיר פישמן השתלמות חו"ל</t>
  </si>
  <si>
    <t>מנורה מסד השתלמות - מסלול מט"חי</t>
  </si>
  <si>
    <t>מנורה מסד השתלמות - מסלול מנייתי</t>
  </si>
  <si>
    <t>מנורה מסד השתלמות - מסלול כללי</t>
  </si>
  <si>
    <t>קואטרו (פ) מרכזית לפיצויים</t>
  </si>
  <si>
    <t>מיטב תגמולים מסלול אג"ח</t>
  </si>
  <si>
    <t>מיטב דינאמית גמל מסלול כללי</t>
  </si>
  <si>
    <t>ישיר דינאמית מרכזית לפיצויים</t>
  </si>
  <si>
    <t>כלל גמל מט"ח</t>
  </si>
  <si>
    <t>כלל גמל מדד</t>
  </si>
  <si>
    <t>כלל גמל שקלי</t>
  </si>
  <si>
    <t>כלל גמל חו"ל</t>
  </si>
  <si>
    <t>כלל גמל שקלי טווח קצר</t>
  </si>
  <si>
    <t>כלל גמל כללי</t>
  </si>
  <si>
    <t>כלל גמל איתן</t>
  </si>
  <si>
    <t>כלל פיננסים השתלמות מניות</t>
  </si>
  <si>
    <t>כלל פיננסים השתלמות מט"ח</t>
  </si>
  <si>
    <t>כלל פיננסים השתלמות מדד</t>
  </si>
  <si>
    <t>כלל פיננסים השתלמות שקלי</t>
  </si>
  <si>
    <t>כלל פיננסים השתלמות חו"ל</t>
  </si>
  <si>
    <t>כלל פיננסים השתלמות אג"ח טווח קצר</t>
  </si>
  <si>
    <t>כלל פיננסים השתלמות כללי</t>
  </si>
  <si>
    <t>כלל פיננסים השתלמות איתן</t>
  </si>
  <si>
    <t>איילון מקפת תגמולים - ללא מניות</t>
  </si>
  <si>
    <t>מיטב דינאמית להשתלמות מסלול כללי</t>
  </si>
  <si>
    <t>איילון מקפת השתלמות - ללא מניות</t>
  </si>
  <si>
    <t>מנורה מרכזית לפיצויים עד 10% מניות</t>
  </si>
  <si>
    <t>אלטשולר שחם השתלמות</t>
  </si>
  <si>
    <t>פרפקט קופת פיצויים מרכזית מסלול כללי</t>
  </si>
  <si>
    <t>להיט כללי ב'</t>
  </si>
  <si>
    <t>תמיר פישמן מרכזית לפיצויים אג"ח</t>
  </si>
  <si>
    <t>איילון תקציבית</t>
  </si>
  <si>
    <t>ילין לפידות קופת גמל מסלול כללי ב'</t>
  </si>
  <si>
    <t>מגדלור לתגמולים ולפיצויים נאות</t>
  </si>
  <si>
    <t>מגדלור לתגמולים ולפיצויים אפיקים</t>
  </si>
  <si>
    <t>מגדלור להשתלמות נאות</t>
  </si>
  <si>
    <t>מגדלור להשתלמות אפיקים</t>
  </si>
  <si>
    <t>מגדלור מרכזית לפיצויים נאות</t>
  </si>
  <si>
    <t>מגדלור מרכזית לפיצויים אפיקים</t>
  </si>
  <si>
    <t>תמיר פישמן גמל א' עד 10% מניות</t>
  </si>
  <si>
    <t>תמיר פישמן גמל מניות II</t>
  </si>
  <si>
    <t>תמיר פישמן גמל אג"ח מדינה</t>
  </si>
  <si>
    <t>תמיר פישמן השתלמות א' עד 10% מניות</t>
  </si>
  <si>
    <t>תמיר פישמן השתלמות מניות  II</t>
  </si>
  <si>
    <t>תמיר פישמן השתלמות אג"ח מדינה</t>
  </si>
  <si>
    <t>תמיר פישמן פיצויים ערך</t>
  </si>
  <si>
    <t>גאון מרכזית לפיצויים כללי ב'</t>
  </si>
  <si>
    <t>גאון השתלמות תיק אג"ח</t>
  </si>
  <si>
    <t>גאון השתלמות כללי ב'</t>
  </si>
  <si>
    <t>גאון גמל כללי ב'</t>
  </si>
  <si>
    <t>פסגות השתלמות אג"ח</t>
  </si>
  <si>
    <t>פסגות השתלמות מניות</t>
  </si>
  <si>
    <t>מילניום קרן השתלמות מסלולית - מסלול כללי</t>
  </si>
  <si>
    <t>513738088</t>
  </si>
  <si>
    <t>מילניום גמל והשתלמות בע"מ</t>
  </si>
  <si>
    <t>מילניום קופה לתגמולים ופיצויים מסלולית - מסלול כללי</t>
  </si>
  <si>
    <t>מילניום קופה מרכזית לפיצויים</t>
  </si>
  <si>
    <t>אקסלנס גמל עד 50% מניות</t>
  </si>
  <si>
    <t>מיטב וויזר גמל כללית</t>
  </si>
  <si>
    <t>מיטב וויזר השתלמות כללית</t>
  </si>
  <si>
    <t>מיטב וויזר מרכזית לפיצויים כללית</t>
  </si>
  <si>
    <t>אי.בי.אי קרן השתלמות מסלול כללי</t>
  </si>
  <si>
    <t>מיטב וויזר גמל מניות</t>
  </si>
  <si>
    <t>מיטב וויזר השתלמות מניות</t>
  </si>
  <si>
    <t>אינפיניטי פיצויים סל מניות</t>
  </si>
  <si>
    <t>אינפיניטי פיצויים (ב) מסלול סל מנייתי</t>
  </si>
  <si>
    <t>אשכול ב'</t>
  </si>
  <si>
    <t>פסגות סגנון - קופת תגמולים - מסלול חרמון כללי</t>
  </si>
  <si>
    <t>פסגות שיא גמל מניות</t>
  </si>
  <si>
    <t>פסגות שיא השתלמות מנייתי</t>
  </si>
  <si>
    <t>פסגות שיא השתלמות מסלולית כללי</t>
  </si>
  <si>
    <t>פסגות שיא השתלמות כללי</t>
  </si>
  <si>
    <t>מילניום קרן השתלמות מסלולית - מסלול מניות</t>
  </si>
  <si>
    <t>מילניום קופה לתגמולים ופיצויים מסלולית - מסלול מניות</t>
  </si>
  <si>
    <t>גל קופת גמל למורים מסלול מניות</t>
  </si>
  <si>
    <t>פסגות פיצויים בטא</t>
  </si>
  <si>
    <t>פסגות פיצויים מסלול מניות</t>
  </si>
  <si>
    <t>מיטב גמל אג"ח 85</t>
  </si>
  <si>
    <t>מיטב גמל אג"ח 70</t>
  </si>
  <si>
    <t>מיטב גמל אג"ח 50</t>
  </si>
  <si>
    <t>מיטב גמל מניות</t>
  </si>
  <si>
    <t>מיטב השתלמות אג"ח 85</t>
  </si>
  <si>
    <t>מיטב השתלמות אג"ח 70</t>
  </si>
  <si>
    <t>מיטב השתלמות אג"ח 50</t>
  </si>
  <si>
    <t>מיטב השתלמות מניות</t>
  </si>
  <si>
    <t>מיטב גמל חכם מסלול אג"ח ב</t>
  </si>
  <si>
    <t>מנורה גמל מנייתי</t>
  </si>
  <si>
    <t>פסגות גוונים מסלול קידום כללי</t>
  </si>
  <si>
    <t>פסגות שיא השתלמות בטא</t>
  </si>
  <si>
    <t>פסגות גוונים כללי</t>
  </si>
  <si>
    <t>אלומות תגמולים ופיצויים מסלול כללי</t>
  </si>
  <si>
    <t>513877886</t>
  </si>
  <si>
    <t>אלומות ספרינט קופות גמל בע"מ</t>
  </si>
  <si>
    <t>אלומות תגמולים ופיצויים מסלול אג"ח א</t>
  </si>
  <si>
    <t>אלומות תגמולים ופיצויים מסלול אג"ח ב</t>
  </si>
  <si>
    <t>אלומות תגמולים ופיצויים מסלול מנייתי</t>
  </si>
  <si>
    <t>אלומות קרן השתלמות מסלול כללי</t>
  </si>
  <si>
    <t>אלומות מסלולית לפיצויים מסלול כללי</t>
  </si>
  <si>
    <t>קואטרו מנורה תגמולים א'</t>
  </si>
  <si>
    <t>קואטרו מנורה השתלמות א'</t>
  </si>
  <si>
    <t>קואטרו מנורה מרכזית לפיצויים</t>
  </si>
  <si>
    <t>איפקס סלע תגמולים</t>
  </si>
  <si>
    <t>איפקס עוז תגמולים</t>
  </si>
  <si>
    <t>איפקס סלע השתלמות</t>
  </si>
  <si>
    <t>איפקס עוז השתלמות</t>
  </si>
  <si>
    <t>ספרינט גמל לתגמולים ופיצויים</t>
  </si>
  <si>
    <t>ספרינט קרן השתלמות</t>
  </si>
  <si>
    <t>ספרינט קופה מרכזית לפיצויים</t>
  </si>
  <si>
    <t>מיטב קופת גמל מרכזית להשתתפות בפנסיה תקציבית</t>
  </si>
  <si>
    <t>פסגות תגמולים</t>
  </si>
  <si>
    <t>אלטשולר שחם גמל מסלול קלאסי</t>
  </si>
  <si>
    <t>אלטשולר שחם גמל מסלול גולד</t>
  </si>
  <si>
    <t>אלטשולר שחם השתלמות מסלול קלאסי</t>
  </si>
  <si>
    <t>אלטשולר שחם גמל מסלול אמרלד</t>
  </si>
  <si>
    <t>מור מנורה מבטחים מסלול כללי ב'</t>
  </si>
  <si>
    <t>אקסלנס שחקים מסלול כללי ב'</t>
  </si>
  <si>
    <t>קואטרו מנורה תגמולים ב'</t>
  </si>
  <si>
    <t>קואטרו תגמולים כללי 3</t>
  </si>
  <si>
    <t>קואטרו תגמולים כללי 4</t>
  </si>
  <si>
    <t>קואטרו מנורה השתלמות ב'</t>
  </si>
  <si>
    <t>קואטרו השתלמות כללי 3</t>
  </si>
  <si>
    <t>קואטרו השתלמות כללי 4</t>
  </si>
  <si>
    <t>קופת גמל מרכזית להשתתפות בפנסיה תקציבית של עובדי האוניברסיטה העברית</t>
  </si>
  <si>
    <t>מילניום קרן השתלמות מסלולית - מסלול אג"ח ללא מניות</t>
  </si>
  <si>
    <t>מילניום קופה לתגמולים ופיצויים - מסלול אג"ח ללא  מניות</t>
  </si>
  <si>
    <t>ישיר תקציבית</t>
  </si>
  <si>
    <t>גאון גמל מרכזית להשתתפות בפנסיה תקציבית</t>
  </si>
  <si>
    <t>ילין לפידות קרן השתלמות מסלול אג"ח</t>
  </si>
  <si>
    <t>מיטב וויזר גמל אג"ח</t>
  </si>
  <si>
    <t>מיטב וויזר השתלמות אג"ח</t>
  </si>
  <si>
    <t>הדס ארזים לפרישה 2025</t>
  </si>
  <si>
    <t>הדס ארזים לפרישה 2030</t>
  </si>
  <si>
    <t>הדס ארזים לפרישה 2035</t>
  </si>
  <si>
    <t>הדס ארזים לפרישה 2040</t>
  </si>
  <si>
    <t>פסגות גדיש מניות</t>
  </si>
  <si>
    <t>פסגות גדיש אג"ח</t>
  </si>
  <si>
    <t>כספית</t>
  </si>
  <si>
    <t>הראל תעוז מסלול שקלי</t>
  </si>
  <si>
    <t>הראל תעוז מסלול ללא מניות</t>
  </si>
  <si>
    <t>אלומות מסלולית לפיצויים מסלול אג"ח ללא מניות</t>
  </si>
  <si>
    <t>אלומות קרן השתלמות מסלול מנייתי</t>
  </si>
  <si>
    <t>אלומות קרן השתלמות מסלול אג"ח ללא מניות</t>
  </si>
  <si>
    <t>מנורה גמל לפרישה 2020</t>
  </si>
  <si>
    <t>מנורה גמל לפרישה 2030</t>
  </si>
  <si>
    <t>מנורה גמל לפרישה 2040</t>
  </si>
  <si>
    <t>כלל השתלמות מט"ח</t>
  </si>
  <si>
    <t>כלל השתלמות מניות</t>
  </si>
  <si>
    <t>כלל השתלמות שקלי טווח קצר</t>
  </si>
  <si>
    <t>כלל השתלמות שקלים</t>
  </si>
  <si>
    <t>מנורה מבטחים משתתפת בפנסיה תקציבית מסלול ללא מניות</t>
  </si>
  <si>
    <t>מיטב גמל קצר ללא מניות</t>
  </si>
  <si>
    <t>קואטרו מנורה תגמולים אג"ח ללא מניות</t>
  </si>
  <si>
    <t>קואטרו מנורה השתלמות אג"ח ללא מניות</t>
  </si>
  <si>
    <t>מנורה מבטחים השתלמות מסלול מניות</t>
  </si>
  <si>
    <t>מיטב דינאמית גמל כספית ללא מניות</t>
  </si>
  <si>
    <t>מיטב השתלמות קצר ללא מניות</t>
  </si>
  <si>
    <t>מנורה מרכזית לפיצויים ללא מניות</t>
  </si>
  <si>
    <t>להבה מסלול מדדי</t>
  </si>
  <si>
    <t>להבה מסלול שקלי</t>
  </si>
  <si>
    <t>להבה מסלול מניות</t>
  </si>
  <si>
    <t>להבה מסלול מט"ח</t>
  </si>
  <si>
    <t>קרן השתלמות להנדסאים וטכנאים - מסלול אג"ח</t>
  </si>
  <si>
    <t>אלשטשולר שחם קרנות השתלמות מסלול שקלי</t>
  </si>
  <si>
    <t>אלטשולר שחם קרנות השתלמות מסלול אג"ח ממשלתי</t>
  </si>
  <si>
    <t>קרן השתלמות נירית שקלי</t>
  </si>
  <si>
    <t>קרן השתלמות נירית אג"ח ממשלתי</t>
  </si>
  <si>
    <t>אלטשולר שחם השתלמות ספיר מסלול שקלי</t>
  </si>
  <si>
    <t>אלטשולר שחם השתלמות ספיר מסלול אג"ח ממשלתי</t>
  </si>
  <si>
    <t>אלטשולר שחם יהלום מסלול שקלי</t>
  </si>
  <si>
    <t>אלטשולר שחם יהלום מסלול אג"ח ממשלתי</t>
  </si>
  <si>
    <t>אלטשולר שחם תגמולים בזלת מסלול שקלי</t>
  </si>
  <si>
    <t>אלטשולר שחם תגמולים בזלת מסלול אג"ח ממשלתי</t>
  </si>
  <si>
    <t>להיט קופה לתגמולים ופיצויים מסלול שקלי</t>
  </si>
  <si>
    <t>להיט קופה לתגמולים ופיצויים מסלול אג"ח ממשלתי</t>
  </si>
  <si>
    <t>מנורה מבטחים השתלמות מסלול אג"ח קונצרניות</t>
  </si>
  <si>
    <t>מנורה מבטחים השתלמות מסלול אג"ח ממשלתי צמוד</t>
  </si>
  <si>
    <t>מנורה מבטחים השתלמות מסלול מניות חו"ל</t>
  </si>
  <si>
    <t>אנליסט קופה מרכזית לפיצויים מסלול  ממשלתי</t>
  </si>
  <si>
    <t>קופת גמל הנדסאים מסלול אג"ח</t>
  </si>
  <si>
    <t>הדס ארזים לפרישה כספית</t>
  </si>
  <si>
    <t>אי.בי.אי מרכזית לפיצויים מסלול אג"ח</t>
  </si>
  <si>
    <t>פרפקט גמל מסלול כספית</t>
  </si>
  <si>
    <t>פרפקט השתלמות מסלול כספית</t>
  </si>
  <si>
    <t>מיטב תגמולים מסלול אג"ח ממשלתי קצר</t>
  </si>
  <si>
    <t>מיטב השתלמות מסלול אג"ח ממשלתי קצר</t>
  </si>
  <si>
    <t>פסגות גמל כספית</t>
  </si>
  <si>
    <t>פסגות גמל אג"ח מדינה</t>
  </si>
  <si>
    <t>פסגות השתלמות כספית</t>
  </si>
  <si>
    <t>פסגות השתלמות אג"ח מדינה</t>
  </si>
  <si>
    <t>פסגות שיא השתלמות מסלולית אג"ח ללא מניות</t>
  </si>
  <si>
    <t>פסגות שיא השתלמות מסלולית כספית</t>
  </si>
  <si>
    <t>קופת גמל עמ"י מסלול ללא מניות</t>
  </si>
  <si>
    <t>הדס ארזים משתלמת מסלול זהב</t>
  </si>
  <si>
    <t>שדות מסלול ללא מניות</t>
  </si>
  <si>
    <t>קופת גמל עו"ס מסלול ללא מניות</t>
  </si>
  <si>
    <t>גל - קופת גמל למורים מסלול אג"ח ללא מניות</t>
  </si>
  <si>
    <t>אומגה קרן השתלמות מסלול אג"ח</t>
  </si>
  <si>
    <t xml:space="preserve">רשף קופת גמל לתגמולים מסלול אג"ח </t>
  </si>
  <si>
    <t>מיטב וויזר גמל אג"ח ממשלתי</t>
  </si>
  <si>
    <t>מיטב וויזר מרכזית לפיצויים אג"ח ממשלתי</t>
  </si>
  <si>
    <t>קו הבריאות - מסלול ללא מניות</t>
  </si>
  <si>
    <t>קרן השתלמות לאקדמאים במדעי החברה והרוח מסלול אג"ח</t>
  </si>
  <si>
    <t>קרן השתלמות לאקדמאים במדעי החברה והרוח מסלול מניות</t>
  </si>
  <si>
    <t>קופת גמל הגומל מסלול אג"ח ממשלתי ללא מניות</t>
  </si>
  <si>
    <t>קרן השתלמות למשפטנים מסלול מנייתי</t>
  </si>
  <si>
    <t>קרן השתלמות למשפטנים מסלול ללא מניות</t>
  </si>
  <si>
    <t>יהב - קרן השתלמות וחיסכון לאחים ואחיות בע"מ - מסלול ללא מניות</t>
  </si>
  <si>
    <t>תלם גמל מסלולית  - מסלול קצר ללא מניות</t>
  </si>
  <si>
    <t>תלם גמל מסלולית - מסלול כללי</t>
  </si>
  <si>
    <t>תלם גמל מסלולית - מסלול ללא מניות</t>
  </si>
  <si>
    <t>תלם גמל מסלולית - מסלול 90% אג"ח</t>
  </si>
  <si>
    <t>תלם גמל מסלולית - מסלול מניות</t>
  </si>
  <si>
    <t>תלם השתלמות  -מסלול קצר ללא מניות</t>
  </si>
  <si>
    <t>תלם השתלמות - מסלול כללי</t>
  </si>
  <si>
    <t>תלם השתלמות - מסלול 90% אג"ח</t>
  </si>
  <si>
    <t>תלם השתלמות - מסלול מניות</t>
  </si>
  <si>
    <t>מיטב וויזר השתלמות אג"ח ממשלתי</t>
  </si>
  <si>
    <t>יניר קופת תגמולים ופיצויים לשכירים ועצמאים מסלול ללא מניות</t>
  </si>
  <si>
    <t>קופת גמל אישית לפיצויים של העובדים בעיריית תל אביב-יפו - מסלול שחר</t>
  </si>
  <si>
    <t>קופת גמל אישית לפיצויים של העובדים בעיריית ת"א-יפו - מסלול סער מניות</t>
  </si>
  <si>
    <t>הפניקס תגמולים ופיצויים- מסלול שיטת הפניקס</t>
  </si>
  <si>
    <t>הפניקס השתלמות - מסלול שיטת הפניקס</t>
  </si>
  <si>
    <t>תמיר פישמן גמל מניות חו"ל</t>
  </si>
  <si>
    <t>תמיר פישמן השתלמות מניות חו"ל</t>
  </si>
  <si>
    <t>תעשיה אוירית מסלול מניות</t>
  </si>
  <si>
    <t>מיטב מרום מסלול אג"ח מדינה</t>
  </si>
  <si>
    <t>מיטב מרום מסלול מדד</t>
  </si>
  <si>
    <t>מיטב מרום מסלול מט"ח</t>
  </si>
  <si>
    <t>אינפיניטי פיצויים רבת מסלולים</t>
  </si>
  <si>
    <t>אלטשולר שחם תגמולים לשם מסלול כללי</t>
  </si>
  <si>
    <t>אלטשולר שחם השתלמות טופז מסלול כללי</t>
  </si>
  <si>
    <t>מיטבית עתודות - ספיר</t>
  </si>
  <si>
    <t>מיטבית עתודות - יהלום</t>
  </si>
  <si>
    <t>מיטבית עתודות - חושן (כהלכה)</t>
  </si>
  <si>
    <t>אלטשולר שחם גמל מסלול אג"ח צמוד מדד</t>
  </si>
  <si>
    <t>אלטשולר שחם השתלמות מסלול אג"ח צמוד מדד</t>
  </si>
  <si>
    <t>איפקס תגמולים אג"ח ממשלתי</t>
  </si>
  <si>
    <t>איפקס תגמולים מניות</t>
  </si>
  <si>
    <t>איפקס השתלמות אג"ח ממשלתי</t>
  </si>
  <si>
    <t>איפקס השתלמות מניות</t>
  </si>
  <si>
    <t>IRA</t>
  </si>
  <si>
    <t>הדס ארזים אג"ח</t>
  </si>
  <si>
    <t>דש תגמולים אג"ח כללי</t>
  </si>
  <si>
    <t>דש תגמולים מניות</t>
  </si>
  <si>
    <t>דש אקונומיסט השתלמות אג"ח כללי</t>
  </si>
  <si>
    <t>דש אקונומיסט השתלמות מניות</t>
  </si>
  <si>
    <t>דש  גמל אג"ח כללי</t>
  </si>
  <si>
    <t>דש  גמל מניות</t>
  </si>
  <si>
    <t>דש השתלמות אג"ח כללי</t>
  </si>
  <si>
    <t>דש השתלמות מניות</t>
  </si>
  <si>
    <t>כלל תמר אג"ח</t>
  </si>
  <si>
    <t>קרן השתלמות למורים וגננות המסלול הרגיל - מסלו אג"ח</t>
  </si>
  <si>
    <t>קרן השתלמות למורים תיכוניים מסלול רגיל- מסלול אג"ח</t>
  </si>
  <si>
    <t>קרן השתלמות למורים וגננות מסלול מקוצר - מסלול אג"ח</t>
  </si>
  <si>
    <t>קרן השתלמות למורים תיכוניים מסלול מקוצר מסלול  אגח</t>
  </si>
  <si>
    <t>סל עוקב מדד תל בונד שקלי</t>
  </si>
  <si>
    <t>סל עוקב מדד Barclays Capital U.S. 3-7 Year Treasur</t>
  </si>
  <si>
    <t xml:space="preserve">סל עוקב מדד iBoxx $ Liquid Investment Grade Index
</t>
  </si>
  <si>
    <t>דש  גמל שקלי קצר</t>
  </si>
  <si>
    <t>דש תגמולים שקלי קצר</t>
  </si>
  <si>
    <t>דש תגמולים חו"ל</t>
  </si>
  <si>
    <t>דש השתלמות שקלי קצר</t>
  </si>
  <si>
    <t>דש אקונומיסט השתלמות שקלי קצר</t>
  </si>
  <si>
    <t>דש אקונומיסט השתלמות חו"ל</t>
  </si>
  <si>
    <t>דש דור ברגר פיצויים אג"ח ממשלתי</t>
  </si>
  <si>
    <t>דש דור ברגר פיצויים צמוד מדד</t>
  </si>
  <si>
    <t>דש - מרכזית לפיצויים אג"ח ממשלתי</t>
  </si>
  <si>
    <t>דש - מרכזית לפיצויים צמוד מדד</t>
  </si>
  <si>
    <t>איילון-פיסגה - כללי</t>
  </si>
  <si>
    <t>איילון-פיסגה - "כהלכה"</t>
  </si>
  <si>
    <t>איילון-פיסגה - פסגות איילון</t>
  </si>
  <si>
    <t xml:space="preserve">איילון-פיסגה - הדס איילון </t>
  </si>
  <si>
    <t>קופת גמל למשרתי הקבע בצה"ל קופת גמל לא משלמת לקצבה</t>
  </si>
  <si>
    <t>מנורה מבטחים גמל בניהול אישי</t>
  </si>
  <si>
    <t>מנורה מבטחים השתלמות בניהול אישי</t>
  </si>
  <si>
    <t>אנליסט קופה מרכזית לפיצויים מסלול עד 10% במניות</t>
  </si>
  <si>
    <t>אקסלנס גמל זהב חו"ל</t>
  </si>
  <si>
    <t>אקסלנס גמל חו"ל</t>
  </si>
  <si>
    <t>אקסלנס השתלמות זהב חו"ל</t>
  </si>
  <si>
    <t>אקסלנס השתלמותשקלי</t>
  </si>
  <si>
    <t>אקסלנס השתלמות מניות</t>
  </si>
  <si>
    <t>אקסלנס השתלמות צמוד מדד</t>
  </si>
  <si>
    <t>אקסלנס השתלמות חו"ל</t>
  </si>
  <si>
    <t>אי.בי.אי גמל בניהול אישי</t>
  </si>
  <si>
    <t>אי.בי.אי גמל בניהול אישי - מתכונת מיוחדת</t>
  </si>
  <si>
    <t>אי.בי.אי השתלמות בניהול אישי</t>
  </si>
  <si>
    <t>אי.בי.אי השתלמות בניהול אישי - מתכונת מיוחדת</t>
  </si>
  <si>
    <t>מיטב פנסיה מקיפה - מסלול כללי</t>
  </si>
  <si>
    <t>מיטב פנסיה מקיפה - מסלול כהלכה</t>
  </si>
  <si>
    <t>מיטב תשואה פנסיונית - מסלול כהלכה</t>
  </si>
  <si>
    <t>הלמן אלדובי קרן פנסיה כללית - מסלול כללי</t>
  </si>
  <si>
    <t>אינפיניטי גמל IRA בניהול אישי</t>
  </si>
  <si>
    <t>אינפיניטי השתלמות IRA בניהול אישי</t>
  </si>
  <si>
    <t>כלל השתלמות אג"ח</t>
  </si>
  <si>
    <t>תגמולים שיטת הפניקס סל עוקב מדד ממשלתי צמוד 5-10</t>
  </si>
  <si>
    <t>תגמולים שיטת הפניקס סל עוקב מדד ת"א 25</t>
  </si>
  <si>
    <t>תגמולים שיטת הפניקס אגח ממשלתי שקלי ריבית קבועה +5</t>
  </si>
  <si>
    <t>תגמולים שיטת הפניקס סל עוקב תל בונד שקלי</t>
  </si>
  <si>
    <t xml:space="preserve">תגמולים שיטת הפניקס סל עוקב מדד Barclays capital </t>
  </si>
  <si>
    <t>תגמולים שיטת הפניקס סל עוקב מדד J.P.Morgan</t>
  </si>
  <si>
    <t xml:space="preserve">תגמולים שיטת הפניקס סל עוקב מדד IBoxx $ Liquid </t>
  </si>
  <si>
    <t>תגמולים שיטת הפניקס סל עוקב ליבור דולר ארה"ב לחודש</t>
  </si>
  <si>
    <t>השתלמות שיטת הפניקס סל עוקב מדד ממשלתי צמוד 5-10</t>
  </si>
  <si>
    <t>השתלמות שיטת הפניקס אגח ממשלתי שקלי ריבית קבועה +5</t>
  </si>
  <si>
    <t>השתלמות שיטת הפניקס סל עוקב מדד ת"א 25</t>
  </si>
  <si>
    <t>השתלמות שיטת הפניקס סל עוקב תל בונד שקלי</t>
  </si>
  <si>
    <t xml:space="preserve">השתלמות שיטת הפניקס סל עוקב מדד Barclays capital </t>
  </si>
  <si>
    <t>השתלמות שיטת הפניקס סל עוקב מדד J.P.Morgan</t>
  </si>
  <si>
    <t xml:space="preserve">השתלמות שיטת הפניקס סל עוקב מדד IBoxx $ Liquid </t>
  </si>
  <si>
    <t>השתלמות שיטת הפניקס סל עוקב ליבור דולר ארה"ב לחודש</t>
  </si>
  <si>
    <t>CBS CPI TABLE</t>
  </si>
  <si>
    <t>קרן גמלאות של עורכי דין בישראל בע"מ</t>
  </si>
  <si>
    <t>510755770</t>
  </si>
  <si>
    <t>עתידית קופת פנסיה בע"מ</t>
  </si>
  <si>
    <t>511423048</t>
  </si>
  <si>
    <t>לעתיד חברה לניהול קרנות פנסיה בע"מ</t>
  </si>
  <si>
    <t>קופת הגמל המרכזית לקצבה של עובדי חברת החשמל לישראל בע"מ</t>
  </si>
  <si>
    <t>הילה קופ"ג לתגמולים ולפיצויים - כללי</t>
  </si>
  <si>
    <t>מבטחים החדשה - מסלול יעד לפרישה 2015</t>
  </si>
  <si>
    <t>פסגות כללית - אפיק מניות</t>
  </si>
  <si>
    <t>פסגות כללית - אפיק הלכתי</t>
  </si>
  <si>
    <t>פסגות מקיפה - אפיק מניות</t>
  </si>
  <si>
    <t>פסגות מקיפה - אפיק אג"ח</t>
  </si>
  <si>
    <t>מיטב תשואה פנסיונית - כללי</t>
  </si>
  <si>
    <t>הילה קופ"ג לתגמולים ולפיצויים - אג"ח</t>
  </si>
  <si>
    <t>מגן זהב - מסלול כהלכה</t>
  </si>
  <si>
    <t>512300757</t>
  </si>
  <si>
    <t>מגן חברה לניהול קרנות פנסיה בע"מ</t>
  </si>
  <si>
    <t>מגן זהב</t>
  </si>
  <si>
    <t>מגן זהב - פסגות איילון</t>
  </si>
  <si>
    <t>מגן זהב - הדס איילון</t>
  </si>
  <si>
    <t>מגן זהב - כללי</t>
  </si>
  <si>
    <t>מבטחים החדשה פלוס - כללי</t>
  </si>
  <si>
    <t>מבטחים החדשה פלוס - מסלול מניות</t>
  </si>
  <si>
    <t>מבטחים החדשה פלוס - מסלול אג"ח</t>
  </si>
  <si>
    <t>מבטחים החדשה פלוס - מסלול כללי ב'</t>
  </si>
  <si>
    <t>מבטחים החדשה פלוס - מסלול גילאים</t>
  </si>
  <si>
    <t>איילון פיסגה מנהלים -כללי</t>
  </si>
  <si>
    <t>איילון פיסגה מנהלים - פריזמה איילון</t>
  </si>
  <si>
    <t>איילון פיסגה מנהלים - פסגות איילון</t>
  </si>
  <si>
    <t>איילון פיסגה מנהלים - הדס איילון</t>
  </si>
  <si>
    <t>פנסיונרים</t>
  </si>
  <si>
    <t>הלמן אלדובי קרן פנסיה מקיפה - ארוך</t>
  </si>
  <si>
    <t>הלמן אלדובי קרן פנסיה מקיפה</t>
  </si>
  <si>
    <t>הלמן אלדובי קרן פנסיה מקיפה - בינוני</t>
  </si>
  <si>
    <t>הלמן אלדובי קרן פנסיה מקיפה - קצר</t>
  </si>
  <si>
    <t>הראל פנסיה כללית - כללי</t>
  </si>
  <si>
    <t>הראל פנסיה כללית</t>
  </si>
  <si>
    <t>הראל פנסיה כללית - אפיק השקעה כללי (2)</t>
  </si>
  <si>
    <t>הראל פנסיה כללית- אפיק עד 20% במניות</t>
  </si>
  <si>
    <t>הראל פנסיה כללית - אפיק עד 40% במניות</t>
  </si>
  <si>
    <t>הראל פנסיה כללית - אפיק מניות (70%)</t>
  </si>
  <si>
    <t>הראל פנסיה כללית - אפיק מדד (90%)</t>
  </si>
  <si>
    <t>הראל פנסיה כללית - אפיק אופק חיים</t>
  </si>
  <si>
    <t>הראל פנסיה כללית - אפיק ללא מניות</t>
  </si>
  <si>
    <t>512262577</t>
  </si>
  <si>
    <t>מנוף ניהול קרנות פנסיה בע"מ</t>
  </si>
  <si>
    <t>הראל מנוף פנסיה - מפוקח הלכתית</t>
  </si>
  <si>
    <t>הראל מנוף פנסיה - ללא מניות</t>
  </si>
  <si>
    <t>הראל מנוף פנסיה - 50% מניות</t>
  </si>
  <si>
    <t>מבטחים החדשה - מסלול כללי ב'</t>
  </si>
  <si>
    <t>הפניקס פנסיה כללית - כללי</t>
  </si>
  <si>
    <t>הפניקס פנסיה מקיפה - כללי</t>
  </si>
  <si>
    <t>אלטשולר שחם פנסיה מקיפה - כללי</t>
  </si>
  <si>
    <t>אלטשולר שחם פנסיה מקיפה</t>
  </si>
  <si>
    <t>אלטשולר שחם פנסיה כללית -כללי</t>
  </si>
  <si>
    <t>אלטשולר שחם פנסיה כללית</t>
  </si>
  <si>
    <t>אקסלנס נשואה פנסיה - כללי</t>
  </si>
  <si>
    <t>אקסלנס נשואה פנסיה</t>
  </si>
  <si>
    <t>אקסלנס נשואה פנסיה חסכון - כללי</t>
  </si>
  <si>
    <t>אקסלנס נשואה פנסיה חסכון</t>
  </si>
  <si>
    <t>איילון פיסגה מנהלים - פנסיונרים</t>
  </si>
  <si>
    <t>אקסלנס נשואה פנסיה - פנסיונרים</t>
  </si>
  <si>
    <t>אקסלנס נשואה פנסיה חסכון - פנסיונרים</t>
  </si>
  <si>
    <t>הפניקס פנסיה כללית - פנסיונרים</t>
  </si>
  <si>
    <t>מגן זהב - פנסיונרים</t>
  </si>
  <si>
    <t>מיטב פנסיה מקיפה - פנסיונרים</t>
  </si>
  <si>
    <t>מיטב תשואה פנסיונית - פנסיונרים</t>
  </si>
  <si>
    <t>פסגות פנסיה - פנסיונרים</t>
  </si>
  <si>
    <t>פסגות כללית - פנסיונרים</t>
  </si>
  <si>
    <t>הפניקס פנסיה מקיפה - סל עוקב מדד תל בונד 20</t>
  </si>
  <si>
    <t>הפניקס פנסיה מקיפה - סל עוקב ממשלתי צמוד 5-10</t>
  </si>
  <si>
    <t>הפניקס פנסיה מקיפה -סל אג"ח ממשלתי + ריבית קבועה 5</t>
  </si>
  <si>
    <t>הפניקס פנסיה מקיפה - סל עוקב מדד s&amp;p500</t>
  </si>
  <si>
    <t>סל עוקב מדד msci שווקים מתעוררים</t>
  </si>
  <si>
    <t>הפניקס פנסיה מקיפה- סל עוקב ליבור דולר ארה"ב לחודש</t>
  </si>
  <si>
    <t>הפניקס פנסיה מקיפה - סל עוקב מדד ממשלתי צמוד 0-2</t>
  </si>
  <si>
    <t xml:space="preserve">מסלול עוקב מדדJ.P Morgan .Emerging Markets Bonds </t>
  </si>
  <si>
    <t>הפניקס פנסיה מקיפה - סל עוקב מדד ממשלתי צמוד 2-5</t>
  </si>
  <si>
    <t>סל עוקב מדד אג"ח ל"צ ריבית קבועה</t>
  </si>
  <si>
    <t>הפניקס פנסיה מקיפה - סל עוקב מדד יורוסטוקס 50</t>
  </si>
  <si>
    <t>הפניקס פנסיה מקיפה- סל עוקב מדד ת"א 25</t>
  </si>
  <si>
    <t>הפניקס פנסיה מקיפה - סל עוקב מדד מק"מ</t>
  </si>
  <si>
    <t>הפניקס פנסיה מקיפה - סל עוקב ת"א 100</t>
  </si>
  <si>
    <t>הפניקס פנסיה מקיפה - אג"ח מיועדות עד 30% מהנכסים</t>
  </si>
  <si>
    <t>קופת התגמולים לעובדי בנק דיסקונט מסלול מניות</t>
  </si>
  <si>
    <t>For each period need to update</t>
  </si>
  <si>
    <t>Kupot</t>
  </si>
  <si>
    <t>Index</t>
  </si>
  <si>
    <t>Fund Managers</t>
  </si>
  <si>
    <t>נספח 1.  נכסים מנוהלים לפי פירוט מסלולים של קופות גמל וקרנות פנסיה</t>
  </si>
  <si>
    <t>מספר מסלול</t>
  </si>
  <si>
    <t>שם מסלול מנוהל</t>
  </si>
  <si>
    <t>נכסים אחרים</t>
  </si>
  <si>
    <t>התחייבויות אחרות</t>
  </si>
  <si>
    <t>אישור רו"ח</t>
  </si>
  <si>
    <t>חסר דיווח לגבי רו"ח מבקר</t>
  </si>
  <si>
    <t>mess1</t>
  </si>
  <si>
    <t>mess2</t>
  </si>
  <si>
    <t>כן</t>
  </si>
  <si>
    <t>לא</t>
  </si>
  <si>
    <t>שם הגורם המדווח בחברה</t>
  </si>
  <si>
    <t>תפקיד</t>
  </si>
  <si>
    <t>תאריך</t>
  </si>
  <si>
    <t>הדיווחים הכספיים נבדקו ע"י רו"ח *</t>
  </si>
  <si>
    <t>* יובהר כי בדיקת רו"ח מתייחסת לנתונים שנבדקים במסגרת הביקורת השנתית והסקירה הרבעונית של הדוחות הכספיים.</t>
  </si>
  <si>
    <t>גליון</t>
  </si>
  <si>
    <t>T101N</t>
  </si>
  <si>
    <t>הטבלה בנספח 1 בגיליון T101_N  "נכסים מנוהלים לפי פירוט מסלולים" - בטבלה ישנן 49 שורות דיווח עבור מסלולי ההשקעה. חברה המנהלת יותר מ-49 מסלולי השקעה תמלא את 48 המסלולים הראשונים בעלי היקף הנכסים הגבוה ביותר ובשורה ה-49 תמלא את סך הנכסים המנוהלים ביתר מסלולי ההשקעה ביחד.</t>
  </si>
  <si>
    <t>החברה לניהול קופת התגמולים של עובדי הסוכנות היהודית לא"י 2007 בע"מ</t>
  </si>
  <si>
    <t>סה"כ יתר המסלולים</t>
  </si>
  <si>
    <t>חוזר 2012-9-11</t>
  </si>
  <si>
    <t>דוחות הכספיים של חברות מנהלות - דוח לדוגמה</t>
  </si>
  <si>
    <t>דוחות הכספיים של חברות מנהלות</t>
  </si>
  <si>
    <t>mess3</t>
  </si>
  <si>
    <t>mess4</t>
  </si>
  <si>
    <t>123456789B_412.xls</t>
  </si>
  <si>
    <t>orig_name</t>
  </si>
  <si>
    <t>לא בחרתם שם חברה</t>
  </si>
  <si>
    <t>שם הקובץ לא נכון - לאחר שמירה להקיש F9</t>
  </si>
  <si>
    <t xml:space="preserve">הוספנו שורות עבור : </t>
  </si>
  <si>
    <t xml:space="preserve"> , </t>
  </si>
  <si>
    <t>חייבים ויתרות חובה , מזומנים ושווי מזומנים , נכסים אחרים , התחייבויות אחרות</t>
  </si>
  <si>
    <t>יתרת נכסי חוב וחובות שוטפים הגבוהה ביותר במשך השנה *</t>
  </si>
  <si>
    <t>* ברוטו ללא קיזוז יתרות זכות</t>
  </si>
  <si>
    <t>בשורה אחרים  הורדנו (יש לפרט)</t>
  </si>
  <si>
    <t>;</t>
  </si>
  <si>
    <t xml:space="preserve">הוספנו כותרות עבור שנה נוכחי ושנה קודמת ושורה של יתרות לתחילת השנה הנוכחי </t>
  </si>
  <si>
    <t>תוספות/גריעות אחרות</t>
  </si>
  <si>
    <t xml:space="preserve">מיזוג/חברה שאוחדה לראשונה </t>
  </si>
  <si>
    <t>מיזוג/חברה שאוחדה לראשונה</t>
  </si>
  <si>
    <t>תוספות בגין מיזוג/חברה שאוחדה לראשונה</t>
  </si>
  <si>
    <t>תוספות בגין מיזוג/צירוף עסקים</t>
  </si>
  <si>
    <t>מיזוג/איחוד לראשונה של חברה מאוחדת</t>
  </si>
  <si>
    <t>mess5</t>
  </si>
  <si>
    <t>לא נרשם סכום ביטוח בטופס 101</t>
  </si>
  <si>
    <t>האם החברה מנצלת הביטוח להקלה בהון הנדרש</t>
  </si>
  <si>
    <t>נספח 4 - סכום ביטוח עודף</t>
  </si>
  <si>
    <t>נוספה שאלה האם החברה מעוניינת להשתמש בהקלה של הביטוח</t>
  </si>
  <si>
    <t>סך הכל נכסי חוב סחירים בחו"ל</t>
  </si>
  <si>
    <t>נוסחה בשורות 54 ו-31 לא אמורים ולכולל את הנתונים של ירתה סגירה ופתיחה לשנות את הנוסחה</t>
  </si>
  <si>
    <t>apples</t>
  </si>
  <si>
    <t>Problem Assets includes another line</t>
  </si>
  <si>
    <t>CHECKS</t>
  </si>
  <si>
    <t>עדכנו הנוסחאות עבור ההשוואה בין גיליון 1.1 לעומת נאור 27B</t>
  </si>
  <si>
    <t>B13</t>
  </si>
  <si>
    <t>ב)שורות של דרישות הון (42-47) חסר שורה עבור ההון המנימלי הנדרש בדיווחים של שנת 2013 יהיה תוספת של שורה (עודכן ב- V</t>
  </si>
  <si>
    <t>Aapple</t>
  </si>
  <si>
    <t>בתא M40 אמור להיות M38-M39</t>
  </si>
  <si>
    <t>Checks</t>
  </si>
  <si>
    <t>בשורה 97 טורים J ו-L אמורים להיות עם (-) בהתחלת הנוסחה</t>
  </si>
  <si>
    <t>שורות 117 עד 128 להעתיק טור O לטור Q</t>
  </si>
  <si>
    <t>בתא O129 אמור להיות C23</t>
  </si>
  <si>
    <t>בתא J138 אמור ליהות G46</t>
  </si>
  <si>
    <t>בתא J139 אמור להיות G67</t>
  </si>
  <si>
    <t>Changes in Form</t>
  </si>
  <si>
    <t>הוספנו שורה עבור: הון התחלתי נדרש</t>
  </si>
  <si>
    <t>הסכומים אמורים להיות חיובים (כולל תשלומים)</t>
  </si>
  <si>
    <t>הסכומים אמורים להיות חיובים (כולל עברות מהחברה)</t>
  </si>
  <si>
    <t>Quarterly</t>
  </si>
  <si>
    <t>Annual</t>
  </si>
  <si>
    <t>גמל + פנסיה חדשה + ותיקות</t>
  </si>
  <si>
    <t>21/3/2013</t>
  </si>
  <si>
    <t>כל הסכומים אמורים להיות חיוביים</t>
  </si>
  <si>
    <t>עבור חישוב של ההון הנדרש הישן הוספנו אפשרות של גמל + פנסיה חדשות + ותיקות</t>
  </si>
  <si>
    <t>514733260</t>
  </si>
  <si>
    <t>514767490</t>
  </si>
  <si>
    <t>איי.אר.איי ישראל בע"מ</t>
  </si>
  <si>
    <t>Gen_Int</t>
  </si>
  <si>
    <t>answer</t>
  </si>
  <si>
    <t>בדיקה</t>
  </si>
  <si>
    <t>תשובה</t>
  </si>
  <si>
    <t>פירוט \ הסברים \ הערות</t>
  </si>
  <si>
    <t>ל.ר.</t>
  </si>
  <si>
    <t>חסר הסבר על אחת או יותר מהשאלות</t>
  </si>
  <si>
    <t>ממשל תאגידי</t>
  </si>
  <si>
    <t xml:space="preserve">האם התקיימו דיונים בוועדת ביקורת לבקשת אחד או יותר מבעלי התפקידים המנויים בתקנה 20 לתקנות הפיקוח על שירותים פיננסיים (ביטוח) (דירקטוריון וועדותיו). תשס"ז-2007, למעט דיונים שוטפים בדוחות המבקר הפנימי? אם כן, פרט תוכנם: </t>
  </si>
  <si>
    <t>האם בדוח המפורט של רו"ח (long form report) עלו ממצאים משמעותיים שלא הגיעו לכדי חולשה מהותית, אשר לדעת רו"ח מחייבים תשומת לב ועדת הביקורת וועדת המאזן? אם כן, פרט:</t>
  </si>
  <si>
    <t>האם נבדקה התאמה בין העמלות המשולמות בפועל, לבין הקבוע בהסכם בין הגוף המוסדי לברוקרים?</t>
  </si>
  <si>
    <t>אם התשובה לשאלה- 11 היא "כן", האם נמצאו חריגות וכמה?</t>
  </si>
  <si>
    <t>האם שונתה מדיניות השקעה עליה הצהרתם בתחילת השנה בהתאם לחוזר 2009-9-13 "הצהרה מראש של גוף מוסדי על מדיניות השקעה שלו" באחד המסלולים? אם כן פרט באילו מסלולים המדיניות שונתה: (רשום את הקוד המלא של המסלול כנדרש בחוזר 2010-9-9)</t>
  </si>
  <si>
    <t>דיווח ל</t>
  </si>
  <si>
    <t>דוח שנתי על יישום הוראות הדין</t>
  </si>
  <si>
    <t>need to change</t>
  </si>
  <si>
    <t>Case where reducing the amount would bring it down below 150000000</t>
  </si>
  <si>
    <t>Case where the amount is less than 15000000</t>
  </si>
  <si>
    <t>עדכנתי את החישוב עבור ההקלה בהון הנדרש עקב קרנות פנסיה ישנות וקופות מבטיחות תשואה</t>
  </si>
  <si>
    <t>מספר חשבונות</t>
  </si>
  <si>
    <t>מספר חשבונות שקיים בהם מרכיב פיצויים</t>
  </si>
  <si>
    <t>חשבונות קטנים</t>
  </si>
  <si>
    <t>דיווח על חשבונות קטנים בקופות גמל</t>
  </si>
  <si>
    <t>SmBal</t>
  </si>
  <si>
    <t>נתונים ל:</t>
  </si>
  <si>
    <t>סך יתרות</t>
  </si>
  <si>
    <t>סך יתרות כספי התגמולים</t>
  </si>
  <si>
    <t>2,3 and 4 are based initially on the accounts in 1 however the are adjusted (as long as the funds are still with the company) until  the report date</t>
  </si>
  <si>
    <t>שטרם נפדו בסוף התקופה המדווחת</t>
  </si>
  <si>
    <t>איילון פנסיה וגמל בע"מ</t>
  </si>
  <si>
    <t>OPtion1</t>
  </si>
  <si>
    <t>Option1</t>
  </si>
  <si>
    <t>Option2</t>
  </si>
  <si>
    <t>Option3</t>
  </si>
  <si>
    <t>ינואר</t>
  </si>
  <si>
    <t>פברואר</t>
  </si>
  <si>
    <t>אפריל</t>
  </si>
  <si>
    <t>מאי</t>
  </si>
  <si>
    <t>יולי</t>
  </si>
  <si>
    <t>אוגוסט</t>
  </si>
  <si>
    <t>אוקטובר</t>
  </si>
  <si>
    <t>נובמבר</t>
  </si>
  <si>
    <t>לא לדווח</t>
  </si>
  <si>
    <t xml:space="preserve">שנת </t>
  </si>
  <si>
    <t>יתרה לתחלת התקופה</t>
  </si>
  <si>
    <t>יתרה לסוף התקופה</t>
  </si>
  <si>
    <t>יתרה לתחילת התקפה</t>
  </si>
  <si>
    <t>יתרת עלות לסוף שנה קודמת</t>
  </si>
  <si>
    <t>יתרה עלות לתחילת התקופה שנה קודמת</t>
  </si>
  <si>
    <t>יתרת עלות לתחילת שנה נוכחית</t>
  </si>
  <si>
    <t>יתרת עלות לסוף שנה נוכחית</t>
  </si>
  <si>
    <t>יתרת פחת לתחילת שנה קודמת</t>
  </si>
  <si>
    <t>יתרת פחת לסוף שנה קודמת</t>
  </si>
  <si>
    <t xml:space="preserve">יתרת פחת לתחילת שנה נוכחית </t>
  </si>
  <si>
    <t>יתרת פחת לסוף שנה נוכחית</t>
  </si>
  <si>
    <t>יתרתה לתחילת התקופה</t>
  </si>
  <si>
    <t>ילין לפידות קופה מרכזית לפיצויים כללי ב'</t>
  </si>
  <si>
    <t>קרן גמלאות של עורכי-דין בישראל בע"מ כללי כללי</t>
  </si>
  <si>
    <t>מסלול כללי ב'</t>
  </si>
  <si>
    <t>הפניקס פנסיה משלימה</t>
  </si>
  <si>
    <t>אנליסט השתלמות כללי</t>
  </si>
  <si>
    <t>ילין לפידות מרכזית לפיצויים</t>
  </si>
  <si>
    <t>הראל גילעד גמל</t>
  </si>
  <si>
    <t>חייבים לשמור לפי אקסל 2010</t>
  </si>
  <si>
    <t>נכסים פיננסיים</t>
  </si>
  <si>
    <t>נכסי חוב שאינם סחירים שאינם ניתנים להמרה</t>
  </si>
  <si>
    <t>נכסי חוב שאינם סחירים ניתנים להמרה</t>
  </si>
  <si>
    <t>השקעות מוחזקות לפידיון</t>
  </si>
  <si>
    <t>סך הכל נכסים פיננסיים</t>
  </si>
  <si>
    <t>התחייבויות פיננסיות המוצגות בעלות מופחתת</t>
  </si>
  <si>
    <t>B11R</t>
  </si>
  <si>
    <t>כמות תביעות</t>
  </si>
  <si>
    <t>הסכום הנתבע באלפי ש"ח</t>
  </si>
  <si>
    <t>תובענות שאושרו כתביעה ייצוגית:</t>
  </si>
  <si>
    <t>צוין סכום המתייחס לחברה</t>
  </si>
  <si>
    <t>התביעה מתייחסת למספר חברות ולא יוחס סכום ספציפי לחברה</t>
  </si>
  <si>
    <t>לא צוין סכום התביעה</t>
  </si>
  <si>
    <t>בקשות תלויות לאישור תובענות כייצוגיות:</t>
  </si>
  <si>
    <t>תביעות מהותיות אחרות</t>
  </si>
  <si>
    <t>סכום ההפרשה הכולל של התביעות שהוגשו כנגד החברה</t>
  </si>
  <si>
    <t>B28</t>
  </si>
  <si>
    <t xml:space="preserve">באור 28 - בקשות לאישור תובענות כייצוגיות  </t>
  </si>
  <si>
    <t>SB3.1A</t>
  </si>
  <si>
    <t>באור 3א' מגזרי פעילות</t>
  </si>
  <si>
    <t>באור 3א' מגזרי פעילות  - סולו</t>
  </si>
  <si>
    <t>שנתי בלבד</t>
  </si>
  <si>
    <t>באור 11ח' -  השקעות פיננסיות שנמדדות בשווי הוגן לצרכי גילוי בחלוקה לרמות</t>
  </si>
  <si>
    <t>באור 11ט' -מכשירים פיננסים שווי הוגן לעומת הערך בספרים</t>
  </si>
  <si>
    <t>שנה ראשונה</t>
  </si>
  <si>
    <t>שנה שניה</t>
  </si>
  <si>
    <t>שנה שלישית</t>
  </si>
  <si>
    <t>שנה רביעית</t>
  </si>
  <si>
    <t>שנה חמישית ואילך</t>
  </si>
  <si>
    <t>התחייבות לרכישה חוזרת (REPO)</t>
  </si>
  <si>
    <t>באור 17ט' - התחייבויות פיננסיות שנמדדות בשווי הוגן לצרכי גילוי בחלוקה לרמות</t>
  </si>
  <si>
    <t>באור 17י' - מועדי פירעון</t>
  </si>
  <si>
    <t>דיווח חדש</t>
  </si>
  <si>
    <t>דיווח שנתי שעבר לדיווח רבעוני</t>
  </si>
  <si>
    <t>דיווח חדש שנתי</t>
  </si>
  <si>
    <t>דיווח חדש רבעוני (לא בשנתי)</t>
  </si>
  <si>
    <t>יש למלא הנתונים משורות 33-46 בדיווח השנתי הנתונים נשלפים בפאורים אחרים</t>
  </si>
  <si>
    <t>לדיווח</t>
  </si>
  <si>
    <t>לקליטה</t>
  </si>
  <si>
    <t>דיווח חדש רבעוני</t>
  </si>
  <si>
    <t>עדכונים לדיווח של 30.6.2014</t>
  </si>
  <si>
    <t>v4</t>
  </si>
  <si>
    <t>טל:</t>
  </si>
  <si>
    <t xml:space="preserve"> הרווחים (ההפסדים) לתקופה שנכללו ברווח והפסד בגין נכסים המוחזקים לסוף התקופה</t>
  </si>
  <si>
    <t>נדל"ן מסחרי</t>
  </si>
  <si>
    <t>נדל"ן משרדים</t>
  </si>
  <si>
    <t>סה"כ שווי הוגן של נדל"ן להשקעה</t>
  </si>
  <si>
    <t xml:space="preserve">יתרה ל-1 בינואר </t>
  </si>
  <si>
    <t xml:space="preserve">יתרה ל-31 דצמבר </t>
  </si>
  <si>
    <t>שינויים בשווי הוגן בגין נדל"ן שלא מומש</t>
  </si>
  <si>
    <t>שינויים בשווי הוגן בגין נדל"ן שמומש</t>
  </si>
  <si>
    <t>באור 9ג - שווי הוגן של נדל"ן להשקעה בחלוקה לרמות</t>
  </si>
  <si>
    <t>באור 9ד - נדל"ן להשקעה הנמדד בשווי הוגן ברמה 3</t>
  </si>
  <si>
    <t>1. סה"כ עמלות קנייה ומכירה</t>
  </si>
  <si>
    <t>א. לצדדים קשורים</t>
  </si>
  <si>
    <t>ב. לצדדים שאינם קשורים</t>
  </si>
  <si>
    <t>2. סה"כ עמלות קסטודיאן</t>
  </si>
  <si>
    <t>3. סה"כ הוצאות מהשקעות לא סחירות</t>
  </si>
  <si>
    <t>א. בניירות ערך לא סחירים שאינם לצורך מימון פרויקטים לתשתיות</t>
  </si>
  <si>
    <t>ב. במימון פרוייקטים לתשתיות</t>
  </si>
  <si>
    <t>ג. בזכויות מקרקעין</t>
  </si>
  <si>
    <t>4. סה"כ עמלות ניהול חיצוני</t>
  </si>
  <si>
    <t xml:space="preserve">א.הנובעים מהשקעה בקרנות השקעה בישראל </t>
  </si>
  <si>
    <t>ב. הנובעים מהשקעה בקרנות השקעה בחו"ל</t>
  </si>
  <si>
    <t>ג. למנהלי תיקים ישראלים בגין השקעה בחו"ל</t>
  </si>
  <si>
    <t xml:space="preserve">ד. למנהלי תיקים זרים </t>
  </si>
  <si>
    <t>ה. בגין השקעה בתעודות סל ישראליות</t>
  </si>
  <si>
    <t>ו. בגין השקעה בתעודות סל זרות</t>
  </si>
  <si>
    <t>ז. בגין השקעה בקרנות נאמנות ישראליות</t>
  </si>
  <si>
    <t>ח. בגין השקעה בקרנות נאמנות זרות</t>
  </si>
  <si>
    <t>5. סה"כ הוצאות אחרות</t>
  </si>
  <si>
    <t>א. ניהול תביעות</t>
  </si>
  <si>
    <t>ב. מתן משכנתאות</t>
  </si>
  <si>
    <t>6. הוצאות ישירות</t>
  </si>
  <si>
    <t>א. סך ההוצאות הישירות, שההוצאה בגינן מוגבלת לשיעור של 0.25% מהנכסים</t>
  </si>
  <si>
    <t>ב. סך הוצאות ישירות</t>
  </si>
  <si>
    <t>7. שיעור הוצאות ישירות</t>
  </si>
  <si>
    <t>א. שיעור סך ההוצאות הישירות, שההוצאה בגינן מוגבלת לשיעור של 0.25% מהנכסים</t>
  </si>
  <si>
    <t>8. סך נכסים לסוף תקופה קודמת</t>
  </si>
  <si>
    <t>9. סך נכסים לסוף תקופה נוכחית</t>
  </si>
  <si>
    <t>סה"כ מתחילת השנה</t>
  </si>
  <si>
    <t>T107</t>
  </si>
  <si>
    <t>טופס 107, הוצאות ישירות בניהול השקעות</t>
  </si>
  <si>
    <t>ט' 107 - הוצאות ישירות בניהול השקעות</t>
  </si>
  <si>
    <t>מיטב דש גמל ופנסיה בע"מ</t>
  </si>
  <si>
    <t>Information</t>
  </si>
  <si>
    <t>Ainformation</t>
  </si>
  <si>
    <t>התאריך של מספרי השוואה בגיליון 2 לא נכון לתקן יש להוריד את הסיסמה בגיליון Information ולשנות הנוסחא בתא P7 להיות שוואה ל-R7</t>
  </si>
  <si>
    <t>בעיה בתאריכים בגיליון 2</t>
  </si>
  <si>
    <t>ב. סך כל השווי המשוערך של הנכסים בתום הרבעון הראשון שחלף ממועד האישור (חדש)</t>
  </si>
  <si>
    <t>א. סך כל השווי המשוערך של הנכסים בתום שנת הכספים (לא חדש)</t>
  </si>
  <si>
    <t>אקסלנס נשואה גמל בע"מ</t>
  </si>
  <si>
    <t>פסגות שיא השתלמות חו"ל</t>
  </si>
  <si>
    <t>תגמולים שיטת הפניקס אג"ח ממשלתי בריבית קבועה 2-5 ש</t>
  </si>
  <si>
    <t>השתלמות שיטת הפניקס אג"ח ממשלתי בריבית קבועה 2-5 ש</t>
  </si>
  <si>
    <t xml:space="preserve">סל עוקב מדד אג"ח ממשלתי בריבית קבועה 2-5 שנים
</t>
  </si>
  <si>
    <t>הלמן אלדובי קרן פנסיה מקיפה - שוטף</t>
  </si>
  <si>
    <t>מינהל קרן השתלמות לעובדי המינהל אג"ח טווח קצר</t>
  </si>
  <si>
    <t>אי.בי.אי לתגמולים ופיצויים מחקה מדד תל בונד 20</t>
  </si>
  <si>
    <t xml:space="preserve">אי.בי.אי מחקה מדד שקליות ריבית קבועה ממשלתיות 2-5 </t>
  </si>
  <si>
    <t>אי.בי.אי מחקה מדד שקליות ריבית קבועה ממשלתיות 5+</t>
  </si>
  <si>
    <t>אי.בי.אי תגמולים מחקה מדד מדדיות ממשלתיות 2-5 שנים</t>
  </si>
  <si>
    <t>אי.בי.אי תג' מחקה מדד מדדיות ממשלתיות 5-10 שנים</t>
  </si>
  <si>
    <t>אי.בי.אי מחקה מדד שקליות ריבית קבועה ממשלתיות 2-5</t>
  </si>
  <si>
    <t>אי.בי.אי השתלמות מחקה מדד מדדיות ממשלתיות 2-5 שנים</t>
  </si>
  <si>
    <t>אי.בי.אי מחקה מדד מדדיות ממשלתיות 5-10 שנים</t>
  </si>
  <si>
    <t>אי.בי.אי השתלמות מסלול מחקה מדד תל בונד 20</t>
  </si>
  <si>
    <t>יונט גמל בניהול אישי</t>
  </si>
  <si>
    <t>יונט ניהול קופות גמל בע"מ</t>
  </si>
  <si>
    <t>יונט השתלמות בניהול אישי</t>
  </si>
  <si>
    <t>יתרות השבונות הקטנים אמור להיות באלפי ₪</t>
  </si>
  <si>
    <t>ממוצע לחשבון :</t>
  </si>
  <si>
    <t>דווח כחלק מ- 30.6.XX</t>
  </si>
  <si>
    <t>דיווח דוחות כספיים ודיווחים נלווים של החברות המנהלות - עדכון</t>
  </si>
  <si>
    <t>חוזר גופים מוסדיים 2015-9-3</t>
  </si>
  <si>
    <t>מסלול - אג"ח</t>
  </si>
  <si>
    <t xml:space="preserve">מסלול מישור אג"ח </t>
  </si>
  <si>
    <t>אינפיניטי גמל עד 15% מניות</t>
  </si>
  <si>
    <t>אינפיניטי גמל לפחות 40% מניות</t>
  </si>
  <si>
    <t>הפניקס מסלול אג"ח</t>
  </si>
  <si>
    <t>הפניקס השתלמות - מסלול אג"ח</t>
  </si>
  <si>
    <t xml:space="preserve">אקסלנס קסם גמל מחקה מדדים </t>
  </si>
  <si>
    <t xml:space="preserve"> תחום</t>
  </si>
  <si>
    <t>מס מסלול</t>
  </si>
  <si>
    <t>תאריך הקמה</t>
  </si>
  <si>
    <t>שם</t>
  </si>
  <si>
    <t>שם קצר</t>
  </si>
  <si>
    <t>סוג רישיון</t>
  </si>
  <si>
    <t>סטטוס</t>
  </si>
  <si>
    <t>תאריך התחלה</t>
  </si>
  <si>
    <t>תאריך סיום</t>
  </si>
  <si>
    <t>מסלול ברירת מחדל</t>
  </si>
  <si>
    <t>סוג המסלול</t>
  </si>
  <si>
    <t>סוג התמחות ראשי</t>
  </si>
  <si>
    <t>סוג התמחות משני</t>
  </si>
  <si>
    <t>סגור למצטרפים חדשים</t>
  </si>
  <si>
    <t>סוג תוכניות</t>
  </si>
  <si>
    <t>סגור להפקדות חדשות</t>
  </si>
  <si>
    <t>עדכון בתאריך</t>
  </si>
  <si>
    <t>מספר מוצר</t>
  </si>
  <si>
    <t>שם מוצר</t>
  </si>
  <si>
    <t>מספר חברה</t>
  </si>
  <si>
    <t>שם חברה</t>
  </si>
  <si>
    <t>מסלול השקעות</t>
  </si>
  <si>
    <t>רישיון מוצר</t>
  </si>
  <si>
    <t>ישיר המלאכה</t>
  </si>
  <si>
    <t>נדבכים</t>
  </si>
  <si>
    <t>להיט מניות</t>
  </si>
  <si>
    <t>אלטשולר שחם גמל ופנסיה בע"מ</t>
  </si>
  <si>
    <t>ויתקין</t>
  </si>
  <si>
    <t>הראל רימון</t>
  </si>
  <si>
    <t>אי.בי.אי שחר</t>
  </si>
  <si>
    <t>הגומל מסלול כללי</t>
  </si>
  <si>
    <t>סוכני הבטוח</t>
  </si>
  <si>
    <t>מנורה מבטחים יותר מסלול ד'</t>
  </si>
  <si>
    <t>מנורה מבטחים יותר מסלול ד</t>
  </si>
  <si>
    <t>מנורה מבטחים פנסיה וגמל בע"מ</t>
  </si>
  <si>
    <t>מיטב דש ביטחון מבטיח תשואה 4.5%</t>
  </si>
  <si>
    <t>מבטיח תשואה</t>
  </si>
  <si>
    <t xml:space="preserve">מיטב דש ביטחון </t>
  </si>
  <si>
    <t>ישיר תוחלת</t>
  </si>
  <si>
    <t>אשכולות כללי</t>
  </si>
  <si>
    <t>יבול</t>
  </si>
  <si>
    <t>שובל</t>
  </si>
  <si>
    <t>הלמן-אלדובי השתלמות</t>
  </si>
  <si>
    <t>ישיר מניפה</t>
  </si>
  <si>
    <t>דש קפיטל השתלמות</t>
  </si>
  <si>
    <t>דש קפיטל-פיצויים</t>
  </si>
  <si>
    <t>כלל דגש</t>
  </si>
  <si>
    <t>מבטחים-פיצויים</t>
  </si>
  <si>
    <t>הלמן-אלדובי לפיצויים</t>
  </si>
  <si>
    <t>כלל ברזל</t>
  </si>
  <si>
    <t>הראל השתלמות כללי</t>
  </si>
  <si>
    <t>הראל השתלמות</t>
  </si>
  <si>
    <t>קופת גמל הנדסאים מסלול כללי</t>
  </si>
  <si>
    <t>קופת גמל מחר מסלול כללי</t>
  </si>
  <si>
    <t>קופת גמל מחר</t>
  </si>
  <si>
    <t>מחר - חברה לניהול קופות גמל בע"מ</t>
  </si>
  <si>
    <t>מניב שיאים</t>
  </si>
  <si>
    <t>מניב גמל</t>
  </si>
  <si>
    <t>מניב פיצויים</t>
  </si>
  <si>
    <t>מניב השתלמות</t>
  </si>
  <si>
    <t>מנורה - ק"ג לתגמולים</t>
  </si>
  <si>
    <t>מיטב גאון השתלמות-כללי</t>
  </si>
  <si>
    <t>מניב יציב</t>
  </si>
  <si>
    <t>מגדל השתלמות מסלול אג"ח</t>
  </si>
  <si>
    <t>מגדל השתלמות אג"ח</t>
  </si>
  <si>
    <t>מגדל השתלמות</t>
  </si>
  <si>
    <t>קה"ל-כללי</t>
  </si>
  <si>
    <t>קה"ל-מנייתי</t>
  </si>
  <si>
    <t>פסגות דינמית - אג"ח צמוד מדד לטווח ארוך</t>
  </si>
  <si>
    <t>צמוד מדד טווח ארוך</t>
  </si>
  <si>
    <t>פסגות דינמית - אג"ח צמוד מדד בינוני</t>
  </si>
  <si>
    <t>צמוד מדד בינוני</t>
  </si>
  <si>
    <t>פסגות דינמית - מניות</t>
  </si>
  <si>
    <t>קונצרניות</t>
  </si>
  <si>
    <t xml:space="preserve">אקסלנס גמל </t>
  </si>
  <si>
    <t>אמפא</t>
  </si>
  <si>
    <t>אמישרגז</t>
  </si>
  <si>
    <t>אוניברסיטת ת"א - מסלול כללי</t>
  </si>
  <si>
    <t>אלמוג</t>
  </si>
  <si>
    <t>בתי קולנוע</t>
  </si>
  <si>
    <t>גמל דיסקונט כללי</t>
  </si>
  <si>
    <t>שוטרים וסוהרים</t>
  </si>
  <si>
    <t>מיטב דש גמל אג"ח ללא מניות</t>
  </si>
  <si>
    <t xml:space="preserve">החברה לניהול קופות התגמולים והפיצויים של עובדי בנק לאומי ושל עובדי בנק לאומי למשכנתאות בע"מ </t>
  </si>
  <si>
    <t>ביה"ס הריאלי</t>
  </si>
  <si>
    <t>מרכנתיל עובדים</t>
  </si>
  <si>
    <t>בנין בטוח</t>
  </si>
  <si>
    <t>בל"ד</t>
  </si>
  <si>
    <t>ב מ ל</t>
  </si>
  <si>
    <t>פקידי בינלאומי</t>
  </si>
  <si>
    <t>פיצויים בינלאומי</t>
  </si>
  <si>
    <t>דיסקונט לפיצויים</t>
  </si>
  <si>
    <t>פיצויים בב ד</t>
  </si>
  <si>
    <t>אקסלנס מרכזית לפיצויים שקלי</t>
  </si>
  <si>
    <t>הראל תעוז כללי</t>
  </si>
  <si>
    <t>איילון מרכזית לפיצויים ב</t>
  </si>
  <si>
    <t>ישיר פיצויים המלאכה</t>
  </si>
  <si>
    <t>ישיר לתגמולים</t>
  </si>
  <si>
    <t>ישיר לפיצויים</t>
  </si>
  <si>
    <t>איילון תגמולים ואישית לפיצויים מסלול כללי</t>
  </si>
  <si>
    <t>איילון תגמולים ואישית לפיצויים מסלולית</t>
  </si>
  <si>
    <t>היהלום</t>
  </si>
  <si>
    <t>סנונית-קופה מסלולית לפיצויים</t>
  </si>
  <si>
    <t>בר</t>
  </si>
  <si>
    <t>הבטחון-פיצויים</t>
  </si>
  <si>
    <t>הארגז</t>
  </si>
  <si>
    <t>אינפיניטי גמל דינמי</t>
  </si>
  <si>
    <t>הגל</t>
  </si>
  <si>
    <t>מישור</t>
  </si>
  <si>
    <t>מורים וגננות - מסלול כללי</t>
  </si>
  <si>
    <t>מורים תיכוניים - מסלול כללי</t>
  </si>
  <si>
    <t>קרן השתלמות למורים תיכוניים מורי סמינרים ומפקחים</t>
  </si>
  <si>
    <t>עומר</t>
  </si>
  <si>
    <t>השתלמות משפטנים</t>
  </si>
  <si>
    <t>ק.ס.מ</t>
  </si>
  <si>
    <t>השתלמות שופטים</t>
  </si>
  <si>
    <t>ק.ה.ר</t>
  </si>
  <si>
    <t>השתלמות עיתונאים</t>
  </si>
  <si>
    <t>ארם קלאסי</t>
  </si>
  <si>
    <t>מינהל-השתלמות - כללי</t>
  </si>
  <si>
    <t>קו הבריאות - כללי</t>
  </si>
  <si>
    <t>קו הבריאות קופת גמל לתגמולים ולפיצויים (לא משלמת)</t>
  </si>
  <si>
    <t>חב' חשמל</t>
  </si>
  <si>
    <t>אמקול</t>
  </si>
  <si>
    <t>חברת קדישא</t>
  </si>
  <si>
    <t>חקלאים-חופשה</t>
  </si>
  <si>
    <t>מנורה מבטחים תגמולים ופיצויים - קופת עובדים חקלאיים</t>
  </si>
  <si>
    <t>עובדים חקלאים-פיצויים</t>
  </si>
  <si>
    <t>מנורה מבטחים תגמולים ופיצויים</t>
  </si>
  <si>
    <t>לים</t>
  </si>
  <si>
    <t>מעריב</t>
  </si>
  <si>
    <t>תדיראן אישית לפיצויים</t>
  </si>
  <si>
    <t>רמת השרון</t>
  </si>
  <si>
    <t>מגדל</t>
  </si>
  <si>
    <t>נייר אמריקאי</t>
  </si>
  <si>
    <t>מיטווך</t>
  </si>
  <si>
    <t>משרד הבטחון</t>
  </si>
  <si>
    <t>מיטב גאון פיצויים - כללי</t>
  </si>
  <si>
    <t>עירית ת"א תגמולים עתיד</t>
  </si>
  <si>
    <t>עירית רמת גן</t>
  </si>
  <si>
    <t>עוצ"מ - אגודה שיתופית לניהול קופות גמל בע"מ</t>
  </si>
  <si>
    <t>אי.בי.אי עתודה</t>
  </si>
  <si>
    <t>פז</t>
  </si>
  <si>
    <t>מיטב השתלמות חכם מסלול משתלם</t>
  </si>
  <si>
    <t>חופשה-בנין</t>
  </si>
  <si>
    <t>קסלמן וקסלמן</t>
  </si>
  <si>
    <t>קואופ צרכנית</t>
  </si>
  <si>
    <t>רופאי החקלאית</t>
  </si>
  <si>
    <t>שיבולת-תגמולים</t>
  </si>
  <si>
    <t>אפסילון תגמולים מעיין</t>
  </si>
  <si>
    <t>ענבר</t>
  </si>
  <si>
    <t>ק.ל.ע מסלול כללי</t>
  </si>
  <si>
    <t>מרום ב' גמל גמיש</t>
  </si>
  <si>
    <t>עובדי סוכנות בטוח לא"י בע"מ</t>
  </si>
  <si>
    <t>החברה לניהול קרן ההשתלמות לעובדי המדינה בע"מ</t>
  </si>
  <si>
    <t>קרן ביטוח הדדי לחברי הסתדרות</t>
  </si>
  <si>
    <t>אקסלנס מרכזית לפיצויים עד 15% מניות</t>
  </si>
  <si>
    <t>מיטב משתלם א</t>
  </si>
  <si>
    <t>קואופרציה השתלמות</t>
  </si>
  <si>
    <t>רעות קרן השתלמות - כללי</t>
  </si>
  <si>
    <t>רעות-כללי</t>
  </si>
  <si>
    <t>איילון השתלמות מסלול כללי</t>
  </si>
  <si>
    <t>איילון השתלמות כללי</t>
  </si>
  <si>
    <t>איילון השתלמות מסלולית</t>
  </si>
  <si>
    <t>מורים ביטוח הדדי</t>
  </si>
  <si>
    <t>הדר</t>
  </si>
  <si>
    <t>אשכול כללי</t>
  </si>
  <si>
    <t>חיסכון - משהב"ט</t>
  </si>
  <si>
    <t>ישיר דרור</t>
  </si>
  <si>
    <t>ביצרון</t>
  </si>
  <si>
    <t>סוכנות-השתלמות</t>
  </si>
  <si>
    <t>גמל זהב לשעבר מזרחי טפחות</t>
  </si>
  <si>
    <t>מנורה מבטחים תעוש</t>
  </si>
  <si>
    <t>אחים ואחיות - מסלול כללי</t>
  </si>
  <si>
    <t>פ.ר.ח - כללי</t>
  </si>
  <si>
    <t>קרן השתלמות עובדי חברת חשמל</t>
  </si>
  <si>
    <t>ח. חשמל י-ם</t>
  </si>
  <si>
    <t>נדבכים לאקדמאים</t>
  </si>
  <si>
    <t>אי.בי.אי - נגב קופה מרכזית לפיצויים רב מסלולים</t>
  </si>
  <si>
    <t>דפנה</t>
  </si>
  <si>
    <t>נירית כללית</t>
  </si>
  <si>
    <t>שריון</t>
  </si>
  <si>
    <t>תדיראן</t>
  </si>
  <si>
    <t>כלל מרכזית לפיצויים</t>
  </si>
  <si>
    <t>מכלול</t>
  </si>
  <si>
    <t>רווחה</t>
  </si>
  <si>
    <t>להיט כללי</t>
  </si>
  <si>
    <t>יתר ד' - לסגור</t>
  </si>
  <si>
    <t>פלס ד' - לסגור</t>
  </si>
  <si>
    <t>אמיר ד' - לסגור</t>
  </si>
  <si>
    <t>בר ג' - לסגור</t>
  </si>
  <si>
    <t>גמולה ג' - לסגור</t>
  </si>
  <si>
    <t>חיננית</t>
  </si>
  <si>
    <t>אנליסט-גמל</t>
  </si>
  <si>
    <t>אנליסט גמישה</t>
  </si>
  <si>
    <t>דש דור ברגר-פיצויים</t>
  </si>
  <si>
    <t>דש נועם</t>
  </si>
  <si>
    <t>מורים על יסודי</t>
  </si>
  <si>
    <t>מיטב גאון גמל-כללי</t>
  </si>
  <si>
    <t>בשור</t>
  </si>
  <si>
    <t>לכיש</t>
  </si>
  <si>
    <t>דש דור ברגר-תגמולים</t>
  </si>
  <si>
    <t>מנורה מבטחים תגמולים ופיצויים - קרן פועלים חקלאים</t>
  </si>
  <si>
    <t>פועלים חקלאיים-פיצויים</t>
  </si>
  <si>
    <t>גילעד מרכזית</t>
  </si>
  <si>
    <t>סוכנות-תגמולים</t>
  </si>
  <si>
    <t>קופת התגמולים של עובדי הסוכנות היהודית לא"י</t>
  </si>
  <si>
    <t>513991406</t>
  </si>
  <si>
    <t>ק.ג.מ - תגמולים</t>
  </si>
  <si>
    <t>חקלאים-אחרות</t>
  </si>
  <si>
    <t>יובלים-תגמולים</t>
  </si>
  <si>
    <t>יובלים-אחרות</t>
  </si>
  <si>
    <t>איילון מרכזית לפיצויים מסלול כללי</t>
  </si>
  <si>
    <t>איילון מרכזית לפיצויים כללי</t>
  </si>
  <si>
    <t>איילון מרכזית לפיצויים מסלולית</t>
  </si>
  <si>
    <t>מקפת-אחרות</t>
  </si>
  <si>
    <t>מגן תגמולים</t>
  </si>
  <si>
    <t>מגן - אגודה שיתופית בע"מ</t>
  </si>
  <si>
    <t>מגן-פיצויים</t>
  </si>
  <si>
    <t>תלם-חריש</t>
  </si>
  <si>
    <t>הראל - נתיב</t>
  </si>
  <si>
    <t xml:space="preserve">הפניקס תגמולים ופיצויים </t>
  </si>
  <si>
    <t>בנין-אחרות</t>
  </si>
  <si>
    <t>מבטחים-תגמולים</t>
  </si>
  <si>
    <t>מבטחים-אחרות</t>
  </si>
  <si>
    <t>ישיר תעוזה</t>
  </si>
  <si>
    <t>מיטב דש ביטחון מבטיח תשואה 5.5%</t>
  </si>
  <si>
    <t>מנורה מבטחים יותר מסלול א'</t>
  </si>
  <si>
    <t>מנורה מבטחים יותר מסלול א</t>
  </si>
  <si>
    <t>מנורה מבטחים יותר מסלול ב'</t>
  </si>
  <si>
    <t>מנורה מבטחים יותר מסלול ב</t>
  </si>
  <si>
    <t>מנורה מבטחים יותר מסלול ג'</t>
  </si>
  <si>
    <t>מנורה מבטחים יותר מסלול ג</t>
  </si>
  <si>
    <t>מנורה גמל פלס ב</t>
  </si>
  <si>
    <t>בר א</t>
  </si>
  <si>
    <t>בר ב</t>
  </si>
  <si>
    <t>510705973</t>
  </si>
  <si>
    <t>בר קרן גמולים בע"מ</t>
  </si>
  <si>
    <t>חיננית-בינוני</t>
  </si>
  <si>
    <t>חיננית-ארוך</t>
  </si>
  <si>
    <t>חיננית-מט"ח</t>
  </si>
  <si>
    <t>חיננית-מניות</t>
  </si>
  <si>
    <t>חיננית-שקלי</t>
  </si>
  <si>
    <t>אלטשולר שחם גמל להיט קלאסי</t>
  </si>
  <si>
    <t>פסגות גדיש אג"ח חו"ל</t>
  </si>
  <si>
    <t>פסגות גדיש שקלית</t>
  </si>
  <si>
    <t>דש גמל</t>
  </si>
  <si>
    <t>דש - פיצויים</t>
  </si>
  <si>
    <t>יניר כללי</t>
  </si>
  <si>
    <t>נירית כללית ב</t>
  </si>
  <si>
    <t>מחוג 5</t>
  </si>
  <si>
    <t>ישיר מתן 2001</t>
  </si>
  <si>
    <t>משגב</t>
  </si>
  <si>
    <t>סמל השתלמות</t>
  </si>
  <si>
    <t>הראל צוברת</t>
  </si>
  <si>
    <t>מתן 1002א - מסלול ג</t>
  </si>
  <si>
    <t>'מתן 2002ג - מסלול ו</t>
  </si>
  <si>
    <t>'מתן 2002ז - מסלול י</t>
  </si>
  <si>
    <t>'מתן 2002ח - מסלול יא</t>
  </si>
  <si>
    <t>'מתן 2002ט - מסלול יב</t>
  </si>
  <si>
    <t>מגדל השתלמות מסלול כללי</t>
  </si>
  <si>
    <t>מגדל השתלמות כללי</t>
  </si>
  <si>
    <t>שיבולת - השתלמות</t>
  </si>
  <si>
    <t>כור - תדיראן קופת גמל מרכזית לפיצויים</t>
  </si>
  <si>
    <t>תדיראן - תגמולים</t>
  </si>
  <si>
    <t>תדיראן - קרן השתלמות</t>
  </si>
  <si>
    <t>יובלים - השתלמות</t>
  </si>
  <si>
    <t>יובלים-חופשה</t>
  </si>
  <si>
    <t>'משתלמת-ריווחית ק. השת</t>
  </si>
  <si>
    <t>יובלים - מרכזית</t>
  </si>
  <si>
    <t>תגמולים במושבים-פיצויים</t>
  </si>
  <si>
    <t>תגמולים במושבים - מדדי טווח ארוך</t>
  </si>
  <si>
    <t>הלמן-אלדובי תגמולים במושבים לשעבר- מסלול כללי</t>
  </si>
  <si>
    <t>מושבים - מדדי</t>
  </si>
  <si>
    <t>520022179</t>
  </si>
  <si>
    <t>תגמולים במושבים בע"מ</t>
  </si>
  <si>
    <t>דולרי</t>
  </si>
  <si>
    <t>יובלים - מחלה</t>
  </si>
  <si>
    <t>כלל גמל-מסלולית</t>
  </si>
  <si>
    <t>תצפית</t>
  </si>
  <si>
    <t>גליל</t>
  </si>
  <si>
    <t>לבונה - קופה מרכזית לפיצויים</t>
  </si>
  <si>
    <t>לבונה - קופנ מרכזית לפיצויים</t>
  </si>
  <si>
    <t>טכניון - אג"ח</t>
  </si>
  <si>
    <t>טכניון - קצר</t>
  </si>
  <si>
    <t>טכניון - שקלי קצר</t>
  </si>
  <si>
    <t>רשף - כללי</t>
  </si>
  <si>
    <t>גל  מסלול כללי</t>
  </si>
  <si>
    <t>גל -ניהול קופות גמל לעובדי הוראה בע"מ</t>
  </si>
  <si>
    <t>טכניון - מניות</t>
  </si>
  <si>
    <t>הייטק השתלמות</t>
  </si>
  <si>
    <t>מקבץ</t>
  </si>
  <si>
    <t>מיטב דש השתלמות חכם עד 3 שנות וותק</t>
  </si>
  <si>
    <t>דש אור</t>
  </si>
  <si>
    <t>להיט-מט"ח</t>
  </si>
  <si>
    <t>פסגות השתלמות ב חו"ל</t>
  </si>
  <si>
    <t>מודוס-השתלמות</t>
  </si>
  <si>
    <t>מודוס-מדדי</t>
  </si>
  <si>
    <t>מודוס פיצויים-מדדי</t>
  </si>
  <si>
    <t>מודוס מט"חי</t>
  </si>
  <si>
    <t>מודוס - שיקלי</t>
  </si>
  <si>
    <t>מודוס - סולידי</t>
  </si>
  <si>
    <t>מודוס - מנייתי</t>
  </si>
  <si>
    <t>מודוס - גמיש</t>
  </si>
  <si>
    <t>מודוס מעורב</t>
  </si>
  <si>
    <t>מודוס -מניות</t>
  </si>
  <si>
    <t>מודוס - תגמולים מעורב</t>
  </si>
  <si>
    <t>מודוס פיצויים - מעורב</t>
  </si>
  <si>
    <t>מודוס פיצויים - מניות</t>
  </si>
  <si>
    <t>מודוס פיצויים - גמיש מעורב</t>
  </si>
  <si>
    <t>קה"ל - חו"ל</t>
  </si>
  <si>
    <t>הדס</t>
  </si>
  <si>
    <t xml:space="preserve">אקסלנס השתלמות </t>
  </si>
  <si>
    <t>הלמן -אלדובי השתלמות מעגן</t>
  </si>
  <si>
    <t>תמוז - השתלמות מדדי</t>
  </si>
  <si>
    <t>תמוז - השתלמות מעורב מדד</t>
  </si>
  <si>
    <t>תמוז - השתלמות מעורב</t>
  </si>
  <si>
    <t>תמוז - השתלמות מעורב מניות</t>
  </si>
  <si>
    <t>תמוז - השתלמות גמיש מעורב</t>
  </si>
  <si>
    <t>תמוז - תגמולים מדדי</t>
  </si>
  <si>
    <t>תמוז - תגמולים מעורב מדד</t>
  </si>
  <si>
    <t>תמוז קופת תגמולים</t>
  </si>
  <si>
    <t>תמוז - תגמולים גמיש מעורב</t>
  </si>
  <si>
    <t>תמוז - פיצויים מדדי</t>
  </si>
  <si>
    <t>תמוז - פיצויים מעורב מדד</t>
  </si>
  <si>
    <t>תמוז - פיצויים מעורב</t>
  </si>
  <si>
    <t>תמוז - פיצויים מעורב מניות</t>
  </si>
  <si>
    <t>תמוז - פיצויים גמיש מעורב</t>
  </si>
  <si>
    <t>מושבים - אג"ח שקלי שחר</t>
  </si>
  <si>
    <t>מושבים - מדדי אג"ח גליל</t>
  </si>
  <si>
    <t>מושבים מט"ח יורו</t>
  </si>
  <si>
    <t>יורו</t>
  </si>
  <si>
    <t>אקסלנס השתלמות שקלי</t>
  </si>
  <si>
    <t>אוניברסיטת חיפה-קצר טווח</t>
  </si>
  <si>
    <t>אקסלנס השתלמות זהב מניות</t>
  </si>
  <si>
    <t>אוניברסיטת חיפה-מוטה היי-טק</t>
  </si>
  <si>
    <t>שם מנהל</t>
  </si>
  <si>
    <t>קה"ל-שקלי קצר</t>
  </si>
  <si>
    <t>קתדרה-היי טק</t>
  </si>
  <si>
    <t>הייטק</t>
  </si>
  <si>
    <t>אנליסט קתדרה כללי</t>
  </si>
  <si>
    <t>קתדרה שקלי קצר</t>
  </si>
  <si>
    <t>אנליסט קתדרה - אג"ח</t>
  </si>
  <si>
    <t>אנליסט קתדרה - אג"ח ממשלתי</t>
  </si>
  <si>
    <t>אנליסט קתדרה - מניות</t>
  </si>
  <si>
    <t>מיטב מרום</t>
  </si>
  <si>
    <t>הלמן-אלדובי השתלמות אג"ח</t>
  </si>
  <si>
    <t>הלמן-אלדובי השתלמות שקלי</t>
  </si>
  <si>
    <t>הראל מרכזית לפיצויים-מט"ח</t>
  </si>
  <si>
    <t>מגדל לתגמולים ולפיצויים מסלול כללי</t>
  </si>
  <si>
    <t>מגדל לתגמולים ולפיצויים כללי</t>
  </si>
  <si>
    <t>מגדל לתגמולים ולפיצויים</t>
  </si>
  <si>
    <t>מגדל-מרכזית לפיצויים</t>
  </si>
  <si>
    <t>קהילה</t>
  </si>
  <si>
    <t>איפקס מרכזית לפיצויים</t>
  </si>
  <si>
    <t>הפניקס-קרן השתלמות</t>
  </si>
  <si>
    <t>אומגה-מרכזית לפיצויים</t>
  </si>
  <si>
    <t>אומגה-קרן השתלמות</t>
  </si>
  <si>
    <t>אומגה-תגמולים ופיצויים</t>
  </si>
  <si>
    <t>אלטשולר שחם מרכזית לפיצויים</t>
  </si>
  <si>
    <t>מיטב דש פיצויים שוהם כהלכה</t>
  </si>
  <si>
    <t>מיטב דש פיצויים</t>
  </si>
  <si>
    <t>אי.בי.אי תגמולים - כללי</t>
  </si>
  <si>
    <t>אי.בי.אי קופה לתגמולים ופיצויים</t>
  </si>
  <si>
    <t>מוטורולה</t>
  </si>
  <si>
    <t>מגדל השתלמות מסלול מט"ח</t>
  </si>
  <si>
    <t>מגדל השתלמות מט"ח</t>
  </si>
  <si>
    <t>מיטב דינאמית להשתלמות מניות</t>
  </si>
  <si>
    <t>מיטב גאון השתלמות-מט"ח</t>
  </si>
  <si>
    <t>מיטב דינאמית להשתלמות צמוד מדד</t>
  </si>
  <si>
    <t>מיטב דינאמית להשתלמות שקלי</t>
  </si>
  <si>
    <t>מיטב דינאמית גמל מניות</t>
  </si>
  <si>
    <t>מיטב גאון גמל-מט"ח</t>
  </si>
  <si>
    <t>מיטב דינאמית גמל צמוד מדד</t>
  </si>
  <si>
    <t>מיטב דינאמית גמל שקלי</t>
  </si>
  <si>
    <t>אקסלנס אופיר כללי</t>
  </si>
  <si>
    <t>אקסלנס גמל מט"ח</t>
  </si>
  <si>
    <t>אקסלנס אופיר שקלי טווח קצר</t>
  </si>
  <si>
    <t>אקסלנס אופיר מט"ח טווח קצר</t>
  </si>
  <si>
    <t>אקסלנס עדי כללי</t>
  </si>
  <si>
    <t>אקסלנס השתלמות מט"ח</t>
  </si>
  <si>
    <t>אקסלנס עדי שקלי טווח קצר</t>
  </si>
  <si>
    <t>אקסלנס עדי מט"ח טווח קצר</t>
  </si>
  <si>
    <t>אקסלנס משכית כללי</t>
  </si>
  <si>
    <t>אקסלנס משכית מט"חי</t>
  </si>
  <si>
    <t>אקסלנס משכית שקלי טווח קצר</t>
  </si>
  <si>
    <t>אקסלנס מרכזית לפיצויים צמוד מדד</t>
  </si>
  <si>
    <t>אקסלנס משכית מט"ח טווח קצר</t>
  </si>
  <si>
    <t>כוכב</t>
  </si>
  <si>
    <t>מעלות</t>
  </si>
  <si>
    <t>הראל רבת מסלולים</t>
  </si>
  <si>
    <t>הראל רקנאטי אלון</t>
  </si>
  <si>
    <t>הראל רקנאטי ארז</t>
  </si>
  <si>
    <t>הראל אורן</t>
  </si>
  <si>
    <t>דש אקונומיסט תגמולים</t>
  </si>
  <si>
    <t>מנורה מבטחים תגמולים ופיצויים מסלול כללי</t>
  </si>
  <si>
    <t>מנורה מבטחים תגמולים</t>
  </si>
  <si>
    <t>גאון השתלמות-לכיש כללי</t>
  </si>
  <si>
    <t>מיטבית</t>
  </si>
  <si>
    <t>פסגות גוונים כספית טווח קצר</t>
  </si>
  <si>
    <t>פסגות גוונים אג"ח לא צמודות</t>
  </si>
  <si>
    <t>פריזמה גוונים צמוד מדד לטווח בינוי</t>
  </si>
  <si>
    <t>פסגות גוונים מניות חו"ל</t>
  </si>
  <si>
    <t>פסגות גוונים מניות</t>
  </si>
  <si>
    <t>פסגות גוונים אג"ח בינלאומי</t>
  </si>
  <si>
    <t>בינ"ל</t>
  </si>
  <si>
    <t>פריזמה מגוון צמוד מדד לטווח בינוני</t>
  </si>
  <si>
    <t>פריזמה מגוון מסלול כספית טווח קצר</t>
  </si>
  <si>
    <t>511496515</t>
  </si>
  <si>
    <t>קובץ - חברה לניהול קופ"ג בע"מ</t>
  </si>
  <si>
    <t>פסגות מגוון מניות חו"ל</t>
  </si>
  <si>
    <t>לאומי שירותי שוק ההון בע"מ</t>
  </si>
  <si>
    <t>שחקים צמוד מדד</t>
  </si>
  <si>
    <t>שחקים שיקלי</t>
  </si>
  <si>
    <t>תחקים צמוד מדד</t>
  </si>
  <si>
    <t>מנורה מבטחים תגמולים ופיצויים - קרן פועלי הבניין ועבודות ציבוריות</t>
  </si>
  <si>
    <t>פועלי בניין-פיצויים</t>
  </si>
  <si>
    <t>הראל דקל</t>
  </si>
  <si>
    <t>מגדל לתגמולים ולפיצויים מסלול צמוד מדד</t>
  </si>
  <si>
    <t>מגדל לתגמולים ולפיצויים צמוד מדד</t>
  </si>
  <si>
    <t>מגדל פלטינום לתגמולים מסלול ברומטר</t>
  </si>
  <si>
    <t>מגדל לתגמולים ולפיצויים מסלול חו"ל</t>
  </si>
  <si>
    <t>מגדל לתגמולים ולפיצויים חו"ל</t>
  </si>
  <si>
    <t>מגדל השתלמות מסלול צמוד מדד</t>
  </si>
  <si>
    <t>מגדל השתלמות צמוד מדד</t>
  </si>
  <si>
    <t>מגדל השתלמות מסלול חו"ל</t>
  </si>
  <si>
    <t>מגדל השתלמות חו"ל</t>
  </si>
  <si>
    <t>פסגות מרפא</t>
  </si>
  <si>
    <t>מיטב דש גמל שקלי</t>
  </si>
  <si>
    <t>מיטב תגמולים - מט"ח</t>
  </si>
  <si>
    <t>מיטב דש השתלמות כללי</t>
  </si>
  <si>
    <t>מיטב דש השתלמות מסלול שקלי</t>
  </si>
  <si>
    <t>מיטב דש השתלמות שקלי</t>
  </si>
  <si>
    <t>מיטב השתלמות - מט"ח</t>
  </si>
  <si>
    <t>מיטב דש פיצויים - רבת מסלולים</t>
  </si>
  <si>
    <t>מיטב דש פיצויים - כללי</t>
  </si>
  <si>
    <t>מיטב פיצויים - מדדי</t>
  </si>
  <si>
    <t>מיטב פיצויים - שקלי</t>
  </si>
  <si>
    <t>מיטב פיצויים - מניות</t>
  </si>
  <si>
    <t>מיטב פיצויים - מט"ח</t>
  </si>
  <si>
    <t>פיצויים עיריית ת"א - צבר</t>
  </si>
  <si>
    <t>כלל לדמי מחלה</t>
  </si>
  <si>
    <t>הלמן אלדובי גמל כללי טווח ארוך</t>
  </si>
  <si>
    <t>הלמן אלדובי גמל כללי טווח בינוני</t>
  </si>
  <si>
    <t>הלמן אלדובי גמל כללי טווח קצר</t>
  </si>
  <si>
    <t>הלמן אלדובי גמל צמוד מדד</t>
  </si>
  <si>
    <t>הלמן אלדובי גמל שקלי</t>
  </si>
  <si>
    <t>הלמן אלדובי גמל מניות</t>
  </si>
  <si>
    <t>הלמן אלדובי גמל ב'</t>
  </si>
  <si>
    <t>הלמן אלדובי השתלמות כללי ב'</t>
  </si>
  <si>
    <t>הלמן אלדובי השתלמות כללי טווח ארוך</t>
  </si>
  <si>
    <t>הלמן אלדובי השתלמות כללי טווח בינוני</t>
  </si>
  <si>
    <t>הלמן אלדובי השתלמות כללי טווח קצר</t>
  </si>
  <si>
    <t>הלמן אלדובי השתלמות מט"ח</t>
  </si>
  <si>
    <t>הלמן אלדובי השתלמות צמוד מדד</t>
  </si>
  <si>
    <t>הלמן אלדובי השתלמות שקלי</t>
  </si>
  <si>
    <t>הלמן אלדובי השתלמות מניות</t>
  </si>
  <si>
    <t>הלמן אלדובי השתלמות כללי א</t>
  </si>
  <si>
    <t>הלמן אלדובי מרכזית כללי טווח ארוך</t>
  </si>
  <si>
    <t>הלמן אלדובי מרכזית כללי טווח בינוני</t>
  </si>
  <si>
    <t>הלמן אלדובי מרכזית כללי טווח קצר</t>
  </si>
  <si>
    <t>הלמן אלדובי מרכזית מט"ח</t>
  </si>
  <si>
    <t>הלמן אלדובי מרכזית צמוד מדד</t>
  </si>
  <si>
    <t>הלמן אלדובי מרכזית שקלי</t>
  </si>
  <si>
    <t>הלמן אלדובי מרכזית מניות</t>
  </si>
  <si>
    <t>הלמן אלדובי מרכזית כללי א</t>
  </si>
  <si>
    <t>הלמן אלדובי מרכזית כללי ב'</t>
  </si>
  <si>
    <t>מיטבית לדמי מחלה</t>
  </si>
  <si>
    <t>אישית לפיצויים-רמת גן</t>
  </si>
  <si>
    <t>מיטב דש בטחון</t>
  </si>
  <si>
    <t>מקפת החדשה תגמולים ופיצויים</t>
  </si>
  <si>
    <t>מנוף תגמולים כללי</t>
  </si>
  <si>
    <t>מנוף תגמולים מנייתי</t>
  </si>
  <si>
    <t>מנוף תגמולים מט"ח</t>
  </si>
  <si>
    <t>מנוף תגמולים שיקלי</t>
  </si>
  <si>
    <t>מנוף תגמולים צמוד מדד</t>
  </si>
  <si>
    <t>מנוף השתלמות כללי</t>
  </si>
  <si>
    <t>מנוף השתלמות מנייתי</t>
  </si>
  <si>
    <t>מנוף השתלמות מט"ח</t>
  </si>
  <si>
    <t>מנוף השתלמות שיקלי</t>
  </si>
  <si>
    <t>מנוף השתלמות צמוד מדד</t>
  </si>
  <si>
    <t>מנוף מרכזית כללי</t>
  </si>
  <si>
    <t>מנוף מרכזית מנייתי</t>
  </si>
  <si>
    <t>מנוף מרכזית מט"ח</t>
  </si>
  <si>
    <t>מנוף מרכזית שיקלי</t>
  </si>
  <si>
    <t>מנוף מרכזית צמוד מדד</t>
  </si>
  <si>
    <t>אתגרים מניות</t>
  </si>
  <si>
    <t>אתגרים מט"ח</t>
  </si>
  <si>
    <t>אתגרים צמוד מדד</t>
  </si>
  <si>
    <t>אתגרים שיקלי</t>
  </si>
  <si>
    <t>אתגרים כללי</t>
  </si>
  <si>
    <t>אתגרים כללי ב</t>
  </si>
  <si>
    <t>אתגרים לפיצויים מט"ח</t>
  </si>
  <si>
    <t>מיטב מסלולית לפיצויים צמוד מדד</t>
  </si>
  <si>
    <t>אתגרים לפיצויים שיקלי</t>
  </si>
  <si>
    <t>אתגרים לפיצויים כללי</t>
  </si>
  <si>
    <t>איילון גמל מצוק</t>
  </si>
  <si>
    <t>הדס ארזים אפסילון תגמולים מסלול כללי</t>
  </si>
  <si>
    <t>הדס ארזים אפסילון תגמולים</t>
  </si>
  <si>
    <t>הפניקס תגמולים ופיצויים-שיקלי</t>
  </si>
  <si>
    <t>הפניקס תגמולים ופיצויים-מט"ח</t>
  </si>
  <si>
    <t>הפניקס תגמולים ופיצויים-מדדי</t>
  </si>
  <si>
    <t xml:space="preserve">הפניקס השתלמות </t>
  </si>
  <si>
    <t>הפניקס השתלמות-שיקלי</t>
  </si>
  <si>
    <t>הפניקס השתלמות-מט"ח</t>
  </si>
  <si>
    <t>הפניקס השתלמות-מדדי</t>
  </si>
  <si>
    <t>אישית לפיצויים-אוניברסיטה עברית</t>
  </si>
  <si>
    <t>הייטק פיצויים</t>
  </si>
  <si>
    <t>הייטק גמל</t>
  </si>
  <si>
    <t>אתגרים תעשיות מניות</t>
  </si>
  <si>
    <t>אתגרים תעשיות מט"ח</t>
  </si>
  <si>
    <t>אתגרים תעשיות צמוד מדד</t>
  </si>
  <si>
    <t>אתגרים תעשיות שקלי</t>
  </si>
  <si>
    <t>אתגרים תעשיות כללי</t>
  </si>
  <si>
    <t>אתגרים תעשיות כללי ב'</t>
  </si>
  <si>
    <t>אתגרים תעשיות טווח קצר</t>
  </si>
  <si>
    <t>הדס ארזים אפסילון השתלמות מסלול כללי</t>
  </si>
  <si>
    <t>הדס ארזים אפסילון קרן השתלמות</t>
  </si>
  <si>
    <t>הדס ארזים אפסילון מרכזית לפיצויים מסלול כללי</t>
  </si>
  <si>
    <t>הדס ארזים אפסילון מרכזית לפיצויים</t>
  </si>
  <si>
    <t>מבטחים מחלה</t>
  </si>
  <si>
    <t>אשכול חו"ל</t>
  </si>
  <si>
    <t>להיט חו"ל</t>
  </si>
  <si>
    <t>אי.בי.אי לתגמולים ופיצויים שקלי לטווח קצר</t>
  </si>
  <si>
    <t>אי.בי.אי קרן השתלמות מסלול שקלי לטווח קצר</t>
  </si>
  <si>
    <t>אי.בי.אי השתלמות שקלי לטווח קצר</t>
  </si>
  <si>
    <t xml:space="preserve">אי.בי.אי קרן השתלמות </t>
  </si>
  <si>
    <t>מגדל גמל שקלי קצר</t>
  </si>
  <si>
    <t>מגדל גמל אג"ח</t>
  </si>
  <si>
    <t>מגדל גמל כללי חו"ל</t>
  </si>
  <si>
    <t>מגדל גמל מט"ח</t>
  </si>
  <si>
    <t>מגדל גמל מנייתי</t>
  </si>
  <si>
    <t>מגדל גמל כללי</t>
  </si>
  <si>
    <t>מגדל להשתלמות שקלי קצר</t>
  </si>
  <si>
    <t>מגדל להשתלמות אג"ח</t>
  </si>
  <si>
    <t>מגדל להשתלמות כללי חו"ל</t>
  </si>
  <si>
    <t>מגדל להשתלמות מט"ח</t>
  </si>
  <si>
    <t>מגדל להשתלמות מנייתי</t>
  </si>
  <si>
    <t>מגדל להשתלמות כללי</t>
  </si>
  <si>
    <t>אקסלנס גמל אג"ח קונצרני עד 20% מניות</t>
  </si>
  <si>
    <t>אקסלנס שחקים צמוד מדד</t>
  </si>
  <si>
    <t>אקסלנס שחקים שקלי ב'</t>
  </si>
  <si>
    <t>אקסלנס שחקים שקלי</t>
  </si>
  <si>
    <t>אלטשולר שחם מחלה</t>
  </si>
  <si>
    <t>רוטשילד דיסקונט חו"ל</t>
  </si>
  <si>
    <t>דש טיטניום</t>
  </si>
  <si>
    <t>דש השתלמות טיטניום</t>
  </si>
  <si>
    <t>דש השתלמות ב'</t>
  </si>
  <si>
    <t>פסגות סגנון שוקי חו"ל</t>
  </si>
  <si>
    <t>איילון השתלמות מניות</t>
  </si>
  <si>
    <t>איילון השתלמות מט"ח</t>
  </si>
  <si>
    <t>איילון השתלמות מסלול אג"ח</t>
  </si>
  <si>
    <t>איילון השתלמות אג"ח</t>
  </si>
  <si>
    <t>איילון השתלמות שקלי</t>
  </si>
  <si>
    <t>איילון השתלמות כללי ב'</t>
  </si>
  <si>
    <t>איילון תגמולים ואישית לפיצויים מסלול מניות</t>
  </si>
  <si>
    <t>איילון תגמולים ואישית לפיצויים מניות</t>
  </si>
  <si>
    <t>איילון תגמולים ואישית לפיצויים מסלול מט"ח</t>
  </si>
  <si>
    <t>איילון תגמולים ואישית לפיצויים מט"ח</t>
  </si>
  <si>
    <t>איילון תגמולים ואישית לפיצויים מסלול אג"ח</t>
  </si>
  <si>
    <t>איילון תגמולים ואישית לפיצויים אג"ח</t>
  </si>
  <si>
    <t>איילון גמל שקלי</t>
  </si>
  <si>
    <t>איילון גמל כללי</t>
  </si>
  <si>
    <t>איילון גמל כללי ב'</t>
  </si>
  <si>
    <t>איילון לפיצויים מט"ח</t>
  </si>
  <si>
    <t>איילון מרכזית לפיצויים מסלול צמוד מדד</t>
  </si>
  <si>
    <t>איילון מרכזית לפיצויים צמוד מדד</t>
  </si>
  <si>
    <t>איילון לפיצויים שקלי</t>
  </si>
  <si>
    <t>איילון לפיצויים כללי</t>
  </si>
  <si>
    <t>אינפיניטי גמל ב סל אג"ח</t>
  </si>
  <si>
    <t>אינפיניטי גמל ב סל מנייתי</t>
  </si>
  <si>
    <t>אינפיניטי גמל ל סל אג"ח</t>
  </si>
  <si>
    <t>אינפיניטי גמל ל כללי</t>
  </si>
  <si>
    <t>אינפיניטי השתלמות ב סל אג"ח</t>
  </si>
  <si>
    <t>אינפיניטי השתלמות ב סל מנייתי</t>
  </si>
  <si>
    <t>אינפיניטי השתלמות ל סל אג"ח</t>
  </si>
  <si>
    <t>אינפיניטי פיצויים ב צמוד מדד</t>
  </si>
  <si>
    <t>אינפיניטי פיצויים ב סל אג"ח</t>
  </si>
  <si>
    <t>אינפיניטי פיצויים ל צמוד מדד</t>
  </si>
  <si>
    <t>אינפיניטי פיצויים ל סל אג"ח</t>
  </si>
  <si>
    <t>אינפיניטי פיצויים פ צמוד מדד</t>
  </si>
  <si>
    <t>אלטשולר שחם גמל כללי</t>
  </si>
  <si>
    <t>מיטב השתלמות - אג"ח</t>
  </si>
  <si>
    <t>משכית חו"ל</t>
  </si>
  <si>
    <t>משכית קופה מסלולית מרכזית לפיצויים - מסלול שקלי</t>
  </si>
  <si>
    <t>513888214</t>
  </si>
  <si>
    <t>אקסלנס מזרחי לשעבר בע"מ</t>
  </si>
  <si>
    <t>אופיר חו"ל</t>
  </si>
  <si>
    <t>אופיר קופה מסלולית לתגמולים ולפיצויים - מסלול שקלי</t>
  </si>
  <si>
    <t>קואטרו תגמולים 1</t>
  </si>
  <si>
    <t>קואטרו השתלמות 1</t>
  </si>
  <si>
    <t>מיטב דש פיצויים - אג"ח ללא מניות</t>
  </si>
  <si>
    <t>מיטב דש פיצויים אג"ח ללא מניות</t>
  </si>
  <si>
    <t>מיטב תגמולים - אג"ח</t>
  </si>
  <si>
    <t>מיטב דינאמית גמל כללי</t>
  </si>
  <si>
    <t>איילון  מקפת השתלמות - ללא מניות</t>
  </si>
  <si>
    <t>מבטחים חופשה חגים והבראה</t>
  </si>
  <si>
    <t>תמיר פישמן לפיצויים אג"ח</t>
  </si>
  <si>
    <t>מגדל לתגמולים ולפיצויים מסלול ביג כללי לפחות 30% מניות</t>
  </si>
  <si>
    <t>מגדל לתגמולים ולפיצויים ביג כללי לפחות 30% מניות</t>
  </si>
  <si>
    <t>מגדל השתלמות מסלול ביג כללי לפחות 30% מניות</t>
  </si>
  <si>
    <t>מגדל השתלמות ביג כללי לפחות 30% מניות</t>
  </si>
  <si>
    <t>קרן השתלמות של עובדי האוניברסיטה העברית</t>
  </si>
  <si>
    <t>מילניום קרן השתלמות - מסלול כללי</t>
  </si>
  <si>
    <t>מילניום קופה לתגמולים ופיצויים - מסלול כללי</t>
  </si>
  <si>
    <t>לאומי קופה מרכזית לפיצויים</t>
  </si>
  <si>
    <t>אי.בי.אי לתגמולים ופיצויים מסלול אג"ח ועוד</t>
  </si>
  <si>
    <t>אי.בי.אי תגמולים ופיצויים אג"ח ועוד</t>
  </si>
  <si>
    <t>אי.בי.אי לתגמולים ופיצויים מסלול כללי</t>
  </si>
  <si>
    <t>אי.בי.אי תגמולים ופיצויים כללי</t>
  </si>
  <si>
    <t>אי.בי.אי לתגמולים ופיצויים מסלול מניות</t>
  </si>
  <si>
    <t>אי.בי.אי תגמולים ופיצויים מניות</t>
  </si>
  <si>
    <t>אי.בי.אי השתלמות כללי</t>
  </si>
  <si>
    <t>אי.בי.אי קרן השתלמות מסלול מניות</t>
  </si>
  <si>
    <t>אי.בי.אי השתלמות מניות</t>
  </si>
  <si>
    <t>אינפיניטי פיצויים (ב) סל מנייתי</t>
  </si>
  <si>
    <t>פסגות סגנון חרמון כללי</t>
  </si>
  <si>
    <t>מילניום קרן השתלמות - מסלול מניות</t>
  </si>
  <si>
    <t>מילניום קופה לתגמולים ופיצויים - מסלול מניות</t>
  </si>
  <si>
    <t>גל מסלול מניות</t>
  </si>
  <si>
    <t>פסגות פיצויים מניות</t>
  </si>
  <si>
    <t xml:space="preserve">פסגות פיצויים אג"ח </t>
  </si>
  <si>
    <t>מרכזית לפיצויים הבנק הבינלאומי</t>
  </si>
  <si>
    <t>מרכזית לפיצוים קבוצת יובנק</t>
  </si>
  <si>
    <t>מרכזית לפיצויים של קבוצת בנק פאג"י</t>
  </si>
  <si>
    <t>הדס ארזים אפסילון תגמולים מסלול אג"ח</t>
  </si>
  <si>
    <t>הדס ארזים אפסילון תגמולים מסלול מנייתי</t>
  </si>
  <si>
    <t>הדס ארזים אפסילון השתלמות מסלול אג"ח</t>
  </si>
  <si>
    <t>הדס ארזים אפסילון השתלמות מסלול מנייתי</t>
  </si>
  <si>
    <t>הדס ארזים אפסילון מרכזית לפיצויים מסלול מנייתי</t>
  </si>
  <si>
    <t>מיטב דש גמל אג"ח (ללא מניות)</t>
  </si>
  <si>
    <t>מיטב דש השתלמות אג"ח ללא מניות</t>
  </si>
  <si>
    <t>מיטב דש גמל חכם עד 40</t>
  </si>
  <si>
    <t>מיטב גמל חכם מסלול בין 40 ל-50</t>
  </si>
  <si>
    <t>מיטב גמל חכם מסלול בין 50 ל-60</t>
  </si>
  <si>
    <t>מיטב גמל חכם מסלול 60 פלוס</t>
  </si>
  <si>
    <t>מיטב גמל חכם אג"ח ב</t>
  </si>
  <si>
    <t>מיטב השתלמות חכם מסלול מנייתי</t>
  </si>
  <si>
    <t>מיטב השתלמות חכם מסלול כללי</t>
  </si>
  <si>
    <t>מיטב השתלמות חכם מסלול אג"ח ש</t>
  </si>
  <si>
    <t>מיטב השתלמות חכם מסלול אג"ח ח</t>
  </si>
  <si>
    <t>מיטב השתלמות חכם מסלול אג"ח ב</t>
  </si>
  <si>
    <t>פסגות גוונים קידום כללי</t>
  </si>
  <si>
    <t>אלומות תגמולים ופיצויים כללי</t>
  </si>
  <si>
    <t>אלומות תגמולים ופיצויים אג"ח א</t>
  </si>
  <si>
    <t>אלומות תגמולים ופיצויים אגח ב</t>
  </si>
  <si>
    <t>אלומות תגמולים ופיצויים מנייתי</t>
  </si>
  <si>
    <t>מיטב דש פיצויים סלע</t>
  </si>
  <si>
    <t>ספרינט גמל</t>
  </si>
  <si>
    <t>ספרינט השתלמות</t>
  </si>
  <si>
    <t>ספרינט מרכזית לפיצויים</t>
  </si>
  <si>
    <t>מיטב מרכזית להשתתפות בפנסיה תקציבית</t>
  </si>
  <si>
    <t>מרכזית לפנסיה תקציבית של עובדי עיריית ת"א</t>
  </si>
  <si>
    <t>אלטשולר שחם גמל קלאסי</t>
  </si>
  <si>
    <t>אלטשולר שחם גמל גולד</t>
  </si>
  <si>
    <t>מור כללי</t>
  </si>
  <si>
    <t>מור כללי ב'</t>
  </si>
  <si>
    <t>אקסלנס שחקים כללי ב'</t>
  </si>
  <si>
    <t>קואטרו תגמולים 3</t>
  </si>
  <si>
    <t>קואטרו תגמולים 4</t>
  </si>
  <si>
    <t>קואטרו השתלמות 3</t>
  </si>
  <si>
    <t>קואטרו השתלמות 4</t>
  </si>
  <si>
    <t>פסגות לעמיתי חבר זהב</t>
  </si>
  <si>
    <t>פסגות לעמיתי חבר כללי</t>
  </si>
  <si>
    <t>פסגות לעמיתי חבר מנייתי</t>
  </si>
  <si>
    <t>תקציבית של עובדי האוניברסיטה העברית</t>
  </si>
  <si>
    <t>מילניום קרן השתלמות - מסלול אג"ח ללא מניות</t>
  </si>
  <si>
    <t>מילניום קופה לתגמולים ופיצויים - אגח ללא מניות</t>
  </si>
  <si>
    <t>הדס ארזים להשתתפות בפנסיה תקציבית</t>
  </si>
  <si>
    <t>רעות - אג"ח ללא מניות</t>
  </si>
  <si>
    <t xml:space="preserve">רעות קרן השתלמות - מניות </t>
  </si>
  <si>
    <t xml:space="preserve">רעות מניות </t>
  </si>
  <si>
    <t>הראל תעוז שקלי</t>
  </si>
  <si>
    <t>הראל תעוז ללא מניות</t>
  </si>
  <si>
    <t>אלומות מסלולית לפיצויים אג"ח ללא מניות</t>
  </si>
  <si>
    <t>אלומות השתלמות מנייתי</t>
  </si>
  <si>
    <t>אלומות השתלמות אג"ח ללא מניות</t>
  </si>
  <si>
    <t>הדס ארזים אפסילון השתלמות מסלול שקלי טווח קצר</t>
  </si>
  <si>
    <t>הדס ארזים אפסילון מרכזית לפיצויים שקלי טווח קצר</t>
  </si>
  <si>
    <t>הדס ארזים אפסילון תגמולים מסלול שקלי טווח קצר</t>
  </si>
  <si>
    <t>מנורה מבטחים משתתפת בפנסיה תקציבית ללא מניות</t>
  </si>
  <si>
    <t>מנורה מבטחים תגמולים ופיצויים מסלול מניות</t>
  </si>
  <si>
    <t>מנורה מבטחים תגמולים מסלול מניות</t>
  </si>
  <si>
    <t>מיטב דש פיצויים  - טווח קצר</t>
  </si>
  <si>
    <t>הנדסאים וטכנאים מסלול אג"ח</t>
  </si>
  <si>
    <t>מינהל - השתלמות - אג"ח</t>
  </si>
  <si>
    <t>אלטשולר שחם קרנות השתלמות מסלול שקלי</t>
  </si>
  <si>
    <t>נירית שקלי</t>
  </si>
  <si>
    <t>נירית אג"ח ממשלתי</t>
  </si>
  <si>
    <t>להיט שקלי</t>
  </si>
  <si>
    <t>להיט אג"ח ממשלתי</t>
  </si>
  <si>
    <t>מנורה מבטחים השתלמות-אג"ח קונצרניות</t>
  </si>
  <si>
    <t>מנורה מבטחים השתלמות-אג"ח ממשלתי צמוד</t>
  </si>
  <si>
    <t>מנורה מבטחים השתלמות-מניות חו"ל</t>
  </si>
  <si>
    <t>פרפקט גמל</t>
  </si>
  <si>
    <t>פרפקט השתלמות</t>
  </si>
  <si>
    <t>מיטב תגמולים אג"ח ממשלתי קצר</t>
  </si>
  <si>
    <t>מיטב השתלמות אג"ח ממשלתי קצר</t>
  </si>
  <si>
    <t xml:space="preserve">רעות קרן השתלמות - שיקלי </t>
  </si>
  <si>
    <t>רעות שיקלי</t>
  </si>
  <si>
    <t>קופת גמל מחר מסלול אג"ח</t>
  </si>
  <si>
    <t>גל מסלול אג"ח ללא מניות</t>
  </si>
  <si>
    <t>רשף - אג"ח</t>
  </si>
  <si>
    <t>הגומל מסלול אג"ח ממשלתי ללא מניות</t>
  </si>
  <si>
    <t>השתלמות משפטנים מנייתי</t>
  </si>
  <si>
    <t>השתלמות משפטנים ללא מניות</t>
  </si>
  <si>
    <t>אחים ואחיות - מסלול ללא מניות</t>
  </si>
  <si>
    <t>תלם גמל מסלולית - קצר ללא מניות</t>
  </si>
  <si>
    <t>תלם גמל מסלולית - ללא מניות</t>
  </si>
  <si>
    <t>תלם גמל מסלולית - 90% אג"ח</t>
  </si>
  <si>
    <t>תלם גמל מסלולית - מניות</t>
  </si>
  <si>
    <t>תלם השתלמות  - קצר ללא מניות</t>
  </si>
  <si>
    <t>תלם השתלמות - 90% אג"ח</t>
  </si>
  <si>
    <t>תלם השתלמות - כללי</t>
  </si>
  <si>
    <t>תלם השתלמות - מניות</t>
  </si>
  <si>
    <t>יניר ללא מניות</t>
  </si>
  <si>
    <t>אל על - אג"ח</t>
  </si>
  <si>
    <t>הילה - כללי</t>
  </si>
  <si>
    <t>פיצויים עיריית ת"א - שחר</t>
  </si>
  <si>
    <t>פיצויים עיריית ת"א - סער מניות</t>
  </si>
  <si>
    <t>הפניקס תגמולים ופיצויים- שיטת הפניקס</t>
  </si>
  <si>
    <t>לפי מודל חכ"מ</t>
  </si>
  <si>
    <t>הפניקס השתלמות -שיטת הפניקס</t>
  </si>
  <si>
    <t>הלמן-אלדובי תגמולים בניהול אישי</t>
  </si>
  <si>
    <t>הלמן-אלדובי השתלמות בניהול אישי</t>
  </si>
  <si>
    <t>תג שיטת הפניקס סל עוקב מדד דאו ג'ונס יור 50</t>
  </si>
  <si>
    <t>תגמולים שיטת הפניקס סל עוקב מדד msci שווקים מתעורר</t>
  </si>
  <si>
    <t>הש שיטת הפניקס סל עוקב מדד אג"ל ל"צ ריבית קבועה</t>
  </si>
  <si>
    <t>השתלמות שיטת הפניקס סל עוקב מדד ד"ג יורו 50</t>
  </si>
  <si>
    <t>השתלמות שיטת הפניקס סל עוקב מדד s&amp;p500</t>
  </si>
  <si>
    <t>הש שיטת הפניקס סל עוקב מדד msci שווקים מתעוררים</t>
  </si>
  <si>
    <t>אי.בי.אי לתגמולים ופיצויים מניות בארץ</t>
  </si>
  <si>
    <t>אי.בי.אי תגמולים ופיצויים מניות בארץ</t>
  </si>
  <si>
    <t>אי.בי.אי קרן השתלמות מסלול מניות בארץ</t>
  </si>
  <si>
    <t>אי.בי.אי השתלמות מניות בארץ</t>
  </si>
  <si>
    <t>ישראל</t>
  </si>
  <si>
    <t>אל על - מניות</t>
  </si>
  <si>
    <t>מיטב מרום אג"ח מדינה</t>
  </si>
  <si>
    <t>מיטב דש פיצויים שקלי</t>
  </si>
  <si>
    <t>מיטב מרום מדד</t>
  </si>
  <si>
    <t>מיטב מרום מט"ח</t>
  </si>
  <si>
    <t>כלל תמר מסלול הלכתי (הוד)</t>
  </si>
  <si>
    <t>איילון השתלמות מסלול כהלכה</t>
  </si>
  <si>
    <t>איילון השתלמות כהלכה</t>
  </si>
  <si>
    <t>אלטשולר שחם תגמולים לשם כללי</t>
  </si>
  <si>
    <t>ספיר</t>
  </si>
  <si>
    <t>כלל פנסיה</t>
  </si>
  <si>
    <t>חושן (כהלכה)</t>
  </si>
  <si>
    <t>אלטשולר שחם גמל אג"ח צמוד מדד</t>
  </si>
  <si>
    <t>דש גמל אג"ח כללי</t>
  </si>
  <si>
    <t>דש גמל מניות</t>
  </si>
  <si>
    <t>מורים וגננות - מסלול אג"ח</t>
  </si>
  <si>
    <t>מורים תיכוניים - מסלול אג"ח</t>
  </si>
  <si>
    <t>דש גמל שקלי קצר</t>
  </si>
  <si>
    <t>מיטב דש גמל חו"ל</t>
  </si>
  <si>
    <t>מיטב דש השתלמות חו"ל</t>
  </si>
  <si>
    <t>דש דור ברגר-פיצויים אג"ח ממשלתי</t>
  </si>
  <si>
    <t>דש דור ברגר-פיצויים צמוד מדד</t>
  </si>
  <si>
    <t>דש - פיצויים אג"ח ממשלתי</t>
  </si>
  <si>
    <t>דש - פיצויים צמוד מדד</t>
  </si>
  <si>
    <t>אוניברסיטת ת"א - מסלול שקלי</t>
  </si>
  <si>
    <t>אקסלנס השתלמות אג"ח קונצרני עד 20%מניות</t>
  </si>
  <si>
    <t>אקסלנס גמל אג"ח עד 20% מניות</t>
  </si>
  <si>
    <t>אקסלנס השתלמות אג"ח עד 20% מניות</t>
  </si>
  <si>
    <t>מגדל מקפת אישית</t>
  </si>
  <si>
    <t>הילה - אג"ח</t>
  </si>
  <si>
    <t>מגדל מקפת משלימה</t>
  </si>
  <si>
    <t>איילון פיסגה מנהלים - אג"ח</t>
  </si>
  <si>
    <t>כלל פנסיה משלימה - כללי</t>
  </si>
  <si>
    <t>כלל פנסיה משלימה</t>
  </si>
  <si>
    <t>איילון-פיסגה קרן פנסיה - זכאים קיימים</t>
  </si>
  <si>
    <t>כלל פנסיה משלימה - פנסיונרים</t>
  </si>
  <si>
    <t>גמל דיסקונט מניות</t>
  </si>
  <si>
    <t>קופת התגמולים לעובדי בנק דיסקונט מסלול אג"ח עד 10% מניות</t>
  </si>
  <si>
    <t>גמל דיסקונט אג"ח עד 10% מניות</t>
  </si>
  <si>
    <t>איי.אר.איי ישראל גמל בניהול אישי</t>
  </si>
  <si>
    <t>איי.אר.איי ישראל השתלמות בניהול אישי</t>
  </si>
  <si>
    <t>איילון מקפת תגמולים - אג"ח</t>
  </si>
  <si>
    <t>איילון תגמולים ואישית לפיצויים מסלול כהלכה</t>
  </si>
  <si>
    <t>איילון תגמולים ואישית לפיצויים כהלכה</t>
  </si>
  <si>
    <t>איילון מקפת השתלמות - אג"ח</t>
  </si>
  <si>
    <t>אקסלנס גמל זהב אג"ח צמוד מדד</t>
  </si>
  <si>
    <t>בהקמה - טרם נקבע</t>
  </si>
  <si>
    <t>מינהל-השתלמות - אג"ח לטווח קצר</t>
  </si>
  <si>
    <t>אי.בי.אי תגמולים ופיצויים מחקה מדד תל בונד 20</t>
  </si>
  <si>
    <t>יונט קופת גמל בניהול אישי</t>
  </si>
  <si>
    <t>ילין לפידות מרכזית לפיצויים כללי ב'</t>
  </si>
  <si>
    <t>קרן עורכי דין כללי כללי</t>
  </si>
  <si>
    <t>קרן גמלאות של עורכי-דין בישראל בע"מ</t>
  </si>
  <si>
    <t>קופת הגמל המרכזית לקצבה של עובדי חברת החשמל לישראל בע"מ כללי כללי זכאים פעילים</t>
  </si>
  <si>
    <t>מרכזית לקצבה של חברת החשמל כללי כללי זכאים פעילים</t>
  </si>
  <si>
    <t>קופת הגמל המרכזית לקצבה של עובדי חברת החשמל לישראל בע"מ כללי כללי זכאים מקבלי קצבה</t>
  </si>
  <si>
    <t>מרכזית לקצבה של חברת החשמל כללי כללי זכאים מקבלי קצבה</t>
  </si>
  <si>
    <t xml:space="preserve">מסלול כללי ב' </t>
  </si>
  <si>
    <t xml:space="preserve">קרן השתלמות למורים בבתיה"ס העי"ס במכללות ובסמינרים - אג"ח </t>
  </si>
  <si>
    <t>קרן השתלמות למורים בבתיה"ס העי"ס במכללות ובסמינרים (מקוצר) אג"ח אג"ח</t>
  </si>
  <si>
    <t>מבטחים החדשה פלוס תיק זכאים קיימים</t>
  </si>
  <si>
    <t>מבטחים כללית תיק זכאים קיימים</t>
  </si>
  <si>
    <t>הפניקס פנסיה מקיפה כללי כללי</t>
  </si>
  <si>
    <t>514956465</t>
  </si>
  <si>
    <t>אי.בי.אי לתגמולים ופיצויים מסלול מחקה מדד STOXX EUROPE 600</t>
  </si>
  <si>
    <t xml:space="preserve">אי.בי.אי השתלמות מסלול מחקה מדד STOXX EUROPE 600   </t>
  </si>
  <si>
    <t xml:space="preserve">אי.בי.אי השתלמות מסלול מחקה מדד STOXX EUROPE 600 </t>
  </si>
  <si>
    <t>כללי - דור ביינים</t>
  </si>
  <si>
    <t>כללי - ותיקים</t>
  </si>
  <si>
    <t>הראל גמל IRA IRA</t>
  </si>
  <si>
    <t>הראל גמל IRA</t>
  </si>
  <si>
    <t>הראל השתלמות IRA IRA</t>
  </si>
  <si>
    <t>הראל השתלמות IRA</t>
  </si>
  <si>
    <t>אנליסט קרן השתלמות חו"ל</t>
  </si>
  <si>
    <t>אנליסט השתלמות חו"ל</t>
  </si>
  <si>
    <t>מיטב דש השתלמות אג"ח עד 25% במניות</t>
  </si>
  <si>
    <t>מגדל לתגמולים בניהול אישי IRA</t>
  </si>
  <si>
    <t>מגדל לתגמולים בניהול אישי</t>
  </si>
  <si>
    <t>מגדל השתלמות בניהול אישי IRA</t>
  </si>
  <si>
    <t>מגדל השתלמות בניהול אישי</t>
  </si>
  <si>
    <t>רעות קרן השתלמות - אג"ח עד 10% במניות</t>
  </si>
  <si>
    <t>רעות אג"ח עד 10% במניות</t>
  </si>
  <si>
    <t>Bbanana</t>
  </si>
  <si>
    <t>Ddate</t>
  </si>
  <si>
    <t>T106N</t>
  </si>
  <si>
    <t>טופס 106</t>
  </si>
  <si>
    <t>סיסמה :</t>
  </si>
  <si>
    <t>בתא E20 לשנות מ- M39 ל-J39</t>
  </si>
  <si>
    <t>תיקונים בדוח של חברה מנהלת רבעון 1 2015</t>
  </si>
  <si>
    <t>נספחים 5 ו6 צריכים לשנות את הנסוח של VLOOKUP מ-LIST_KUPOT  ל - LIST  ולשנות את מספר הטורים בנוסחה ל-3 מ-2</t>
  </si>
  <si>
    <t>גילעד גימלאות לעובדים דתיים בע"מ</t>
  </si>
  <si>
    <t>520023094</t>
  </si>
  <si>
    <t>קרן הגמלאות של חברי אגד בע"מ</t>
  </si>
  <si>
    <t>520020447</t>
  </si>
  <si>
    <t>קרנות ותיקות בניהול מיוחד</t>
  </si>
  <si>
    <t>קרנות ותיקות מאוזנות</t>
  </si>
  <si>
    <t>קרן הגמלאות של חברי "אגד" בע"מ</t>
  </si>
  <si>
    <t>גילעד גמלאות לעובדים דתיים</t>
  </si>
  <si>
    <t>קרן גמלאות של חברי דן בע"מ</t>
  </si>
  <si>
    <t>קופת הפנסיה לעובדי הדסה  בע"מ</t>
  </si>
  <si>
    <t>קרן הגמלאות המרכזית של עובדי ההסתדרות בע"מ</t>
  </si>
  <si>
    <t>קרן פנסיה ה.ע.ל</t>
  </si>
  <si>
    <t>קרן הפנסיה עתודות</t>
  </si>
  <si>
    <t>קרן ביטוח ופנסיה לפועלים חקלאים ובלתי מקצועיים בישראל אג' שיתופית בע"מ</t>
  </si>
  <si>
    <t>מגן - קרן פנסיה מרכזית לקואופרציה ביצרנות תחבורה ושירותים - אגודה שיתופית בע"מ</t>
  </si>
  <si>
    <t>נתיב - קרן הפנסיה של פועלי ועובדי מפעלי משק ההסתדרות בע"מ</t>
  </si>
  <si>
    <t>עמית- קופה לפנסיה ותגמולים בע"מ</t>
  </si>
  <si>
    <t>קרן הביטוח והפנסיה של פועלי בניין ועבודות ציבוריות א.ש. בע"מ</t>
  </si>
  <si>
    <t>יוזמה קרן פנסיה לעצמאים</t>
  </si>
  <si>
    <t>520028812</t>
  </si>
  <si>
    <t>החברה המנהלת של קרן הגמלאות של חברי "דן" בע"מ</t>
  </si>
  <si>
    <t>520022963</t>
  </si>
  <si>
    <t>קופת הפנסיה לעובדי הדסה בע"מ</t>
  </si>
  <si>
    <t>520022518</t>
  </si>
  <si>
    <t>520020504</t>
  </si>
  <si>
    <t>514147867</t>
  </si>
  <si>
    <t>פסגות פנסיה (ה.ע.ל.) בע"מ</t>
  </si>
  <si>
    <t>511789190</t>
  </si>
  <si>
    <t>עתודות קרן פנסיה לשכירים ועצמאים בע"מ</t>
  </si>
  <si>
    <t>מגן קרן פנסיה מרכזית לקואופרציה ביצרנות, תחבורה ושרותים אגודה שיתופית בע"מ</t>
  </si>
  <si>
    <t>520022351</t>
  </si>
  <si>
    <t>נתיב קרן הפנסיה של פועלי ועובדי מפעלי משק ההסתדרות בע"מ</t>
  </si>
  <si>
    <t>520032566</t>
  </si>
  <si>
    <t>יוזמה קרן פנסיה לעצמאים בע"מ</t>
  </si>
  <si>
    <t>דיווח חצי שנתי</t>
  </si>
  <si>
    <t>מהו מספר העובדים במערך ציות ואכיפה של הגוף המוסדי? האם עובדים אלו מבצעים תפקידים נוספים בגוף המוסדי, נא פרט.</t>
  </si>
  <si>
    <t>הלבנת הון</t>
  </si>
  <si>
    <t>האם מונה אחראי איסור הלבנת הון כנדרש בסעיף 8 לחוק איסור הלבנת הון, התש"ס-2000 והאם קיימת בעבורו תכנית עבודה כתובה?</t>
  </si>
  <si>
    <t>כמה דיווחים בלתי רגילים, בהתאם לסעיף 6.ג. לצו איסור הלבנת הון (חובות זיהוי, דיווח וניהול רישומים של מבטח וסוכן ביטוח), התשס"ב-2001 ולסעיף 6(10) ולצו איסור הלבנת הון (חובות זיהוי, דיווח וניהול רישומים של קופת גמל וחברה המנהלת קופת גמל), התשס"ב-2001, דיווח הגוף המוסדי במהלך השנה?</t>
  </si>
  <si>
    <t>30.6.2015</t>
  </si>
  <si>
    <t>טופס דיווח חדש</t>
  </si>
  <si>
    <t xml:space="preserve">עדכון של הטופס </t>
  </si>
  <si>
    <t>T16</t>
  </si>
  <si>
    <t>ח.פ לווה</t>
  </si>
  <si>
    <t>שם הלווה</t>
  </si>
  <si>
    <t>ענף משק</t>
  </si>
  <si>
    <t>סוג העסקה</t>
  </si>
  <si>
    <t>מועד עדכון אחרון לשווי בטוחות</t>
  </si>
  <si>
    <t>(10)</t>
  </si>
  <si>
    <t>(11)</t>
  </si>
  <si>
    <t>(12)</t>
  </si>
  <si>
    <t>(13)</t>
  </si>
  <si>
    <t>(14)</t>
  </si>
  <si>
    <t>(15)</t>
  </si>
  <si>
    <t>(16)</t>
  </si>
  <si>
    <t>(17)</t>
  </si>
  <si>
    <t>(18)</t>
  </si>
  <si>
    <t>(19)</t>
  </si>
  <si>
    <t>(20)</t>
  </si>
  <si>
    <t>(21)</t>
  </si>
  <si>
    <t>(22)</t>
  </si>
  <si>
    <t>(23)</t>
  </si>
  <si>
    <t>(24)</t>
  </si>
  <si>
    <t>(25)</t>
  </si>
  <si>
    <t>(26)</t>
  </si>
  <si>
    <t>(27)</t>
  </si>
  <si>
    <t>Type_Industry</t>
  </si>
  <si>
    <t>Rating</t>
  </si>
  <si>
    <t>AAA / Aaa</t>
  </si>
  <si>
    <t>AA+ / Aa1</t>
  </si>
  <si>
    <t>AA / Aa2</t>
  </si>
  <si>
    <t>אג"ח סחיר</t>
  </si>
  <si>
    <t>AA- / Aa3</t>
  </si>
  <si>
    <t>מלונאות ותיירות</t>
  </si>
  <si>
    <t>אג"ח לא סחיר</t>
  </si>
  <si>
    <t>A+ / A1</t>
  </si>
  <si>
    <t>A / A2</t>
  </si>
  <si>
    <t>A- / A3</t>
  </si>
  <si>
    <t>BBB+ / Baa1</t>
  </si>
  <si>
    <t>ביטוח</t>
  </si>
  <si>
    <t>BBB / Baa2</t>
  </si>
  <si>
    <t>BBB- / Baa3</t>
  </si>
  <si>
    <t>BB+ / Ba1</t>
  </si>
  <si>
    <t>BB / Ba2</t>
  </si>
  <si>
    <t>BB- / Ba3</t>
  </si>
  <si>
    <t>B+ / B1</t>
  </si>
  <si>
    <t>B / B2</t>
  </si>
  <si>
    <t>B- / B3</t>
  </si>
  <si>
    <t>CCC+ / Caa1</t>
  </si>
  <si>
    <t>CCC / Caa2</t>
  </si>
  <si>
    <t>CCC- / Caa3</t>
  </si>
  <si>
    <t>CC / Ca</t>
  </si>
  <si>
    <t>C / C</t>
  </si>
  <si>
    <t>D</t>
  </si>
  <si>
    <t xml:space="preserve">עבור חברה מנהלת של קופת גמל: מהו היקף שעות ביקורת השנתי של מערך הביקורת הפנימית בכל אחת מהשנים 2010-2015? ככל ששעות הביקורות הפנימית בוצעו שלא על ידי החברה המנהלת כגון בנקים מתפעלים, מנהלי השקעות וכד' נא לפרט. </t>
  </si>
  <si>
    <t>האם גוף מוסדי היה מצוי בחקירה או בבירור של הפרה מנהלית של רשות פיקוחית שאינה הממונה על שוק ההון, ביטוח וחיסכון בתקופה שבין 1/1/2013 לבין 30/6/2015? אם כן, פרט.</t>
  </si>
  <si>
    <t>האם בוצע שינוי/עדכון, למעט שינויי נוסח, בנוהל לפיקוח, מעקב ובקרה אחר פעילות מנהל ההשקעות של הגוף המוסדי? אם כן פרט באלו נהלים בוצע עדכון ומדוע</t>
  </si>
  <si>
    <t>האם בוצעו ביקורות שלא על פי התוכנית השנתית או הרב שנתית או שלא על פי התדירות כפי שמופיעה בתוכנית הרב שנתית בהתאם לשער 5- עקרונות לניהול עסקים,חלק 1- ממשל תאגידי וניהול סיכונים, פרק 8 סעיף 3.2.4 ג' לחוזר המאוחד? אם כן, נא פרט את נושאי הביקורת / הבדיקה.</t>
  </si>
  <si>
    <t>האם נמסרו דיווחים בהתאם לשער 5- עקרונות לניהול עסקים,חלק 1- ממשל תאגידי וניהול סיכונים, פרק 8 סעיף 3.2.4 ו'(1)(ד') לחוזר המאוחד? אם כן, פרט.</t>
  </si>
  <si>
    <t>(28)</t>
  </si>
  <si>
    <t>טופס חדש הוספנו טור לטופס עבור יתרת הסדרי חוב ליום המאזן</t>
  </si>
  <si>
    <t xml:space="preserve">חוזר 2015-9-25 </t>
  </si>
  <si>
    <t>דוח לדוגמה</t>
  </si>
  <si>
    <r>
      <t xml:space="preserve">לא לכל חברה יש הסדרי חוב לדווח לכן אפשר להשתמש בתא E6 לבדיקה = אם כתוב לא אז אין הסדרי חוב ואם כן אמור להיות נתונים משורה 10 ואם תא E6 ריק אז חסר דיווח </t>
    </r>
    <r>
      <rPr>
        <sz val="10"/>
        <color rgb="FFFF0000"/>
        <rFont val="Arial"/>
        <family val="2"/>
      </rPr>
      <t>לכן חייבים למלא תא E6</t>
    </r>
  </si>
  <si>
    <t>4eggplant</t>
  </si>
  <si>
    <t>בתא A18 צריכים לרשום 0 או להוריד את ה- 1 להוציא את השורה במגבלה של ההוצאות הישירות</t>
  </si>
  <si>
    <t>תיקון נוסחה</t>
  </si>
  <si>
    <t>תאים E5,E6,G6 - צריכים להוריד את ההגנה על התאים</t>
  </si>
  <si>
    <t>4EggplantS</t>
  </si>
  <si>
    <t>עדכונים</t>
  </si>
  <si>
    <t>סיסמה</t>
  </si>
  <si>
    <t>נתונים</t>
  </si>
  <si>
    <t>ריק</t>
  </si>
  <si>
    <t>הערות</t>
  </si>
  <si>
    <t>הערות - אם יש אישורים מיוחדים הסברים יש לרשום בהערות</t>
  </si>
  <si>
    <t>mess6</t>
  </si>
  <si>
    <t>חייבים לבחור סוג חקופה</t>
  </si>
  <si>
    <t>לא צריכים לדווח</t>
  </si>
  <si>
    <t>Dir1</t>
  </si>
  <si>
    <t>Dir2</t>
  </si>
  <si>
    <t>קופות גמל אישיות לתגמולים ופיצויים</t>
  </si>
  <si>
    <t>מקיפות</t>
  </si>
  <si>
    <t>כלליות</t>
  </si>
  <si>
    <t>זקנה</t>
  </si>
  <si>
    <t>שארים</t>
  </si>
  <si>
    <t>נכות</t>
  </si>
  <si>
    <t>תקבולים מדמי גמולים</t>
  </si>
  <si>
    <t>העברות צבירה לקופה/לקרן</t>
  </si>
  <si>
    <t>העברות צבירה מהקופה/מהקרן</t>
  </si>
  <si>
    <t>פנסיית זקנה</t>
  </si>
  <si>
    <t>פנסיית נכות</t>
  </si>
  <si>
    <t>פנסיית שארים</t>
  </si>
  <si>
    <t>מקבלי קצבה</t>
  </si>
  <si>
    <t>עמלות קניה ומכירה של ניירות ערך</t>
  </si>
  <si>
    <t>עמלות דמי שמירה של ניירות ערך</t>
  </si>
  <si>
    <t>בגין השקעות לא סחירות</t>
  </si>
  <si>
    <t>עמיתים/ מבוטחים</t>
  </si>
  <si>
    <t>[1] יש לפרט את סוגי הקופות והקרנות שנכללו בקבוצה זו.</t>
  </si>
  <si>
    <t>מספר אנשים לא באלפי ₪ שאר הנתנונים באלפי ₪</t>
  </si>
  <si>
    <t>נתונים תוצאתיים</t>
  </si>
  <si>
    <t>דמי ניהול שנגבו מנכסים</t>
  </si>
  <si>
    <t>דמי ניהול שנגבו מהפקדות</t>
  </si>
  <si>
    <t xml:space="preserve">שיעור דמי ניהול ממוצע מנכסים (באחוזים) </t>
  </si>
  <si>
    <t>שיעור דמי ניהול ממוצע מהפקדות (באחוזים)</t>
  </si>
  <si>
    <t>שיעור עודף/גרעון אקטוארי (באחוזים)</t>
  </si>
  <si>
    <r>
      <t>אחר</t>
    </r>
    <r>
      <rPr>
        <vertAlign val="superscript"/>
        <sz val="10"/>
        <rFont val="David"/>
        <family val="2"/>
        <charset val="177"/>
      </rPr>
      <t xml:space="preserve"> 1</t>
    </r>
  </si>
  <si>
    <t xml:space="preserve">מספר חשבונות </t>
  </si>
  <si>
    <t>נכסים מנוהלים נטו (באלפי ש"ח)</t>
  </si>
  <si>
    <t>דמי ניהול שנגבו מנכסים (באלפי ש"ח)</t>
  </si>
  <si>
    <t>חשבונות לא פעילים- ביתרה של  עד 8,000 ש"ח</t>
  </si>
  <si>
    <t xml:space="preserve">[2] מנותק קשר- "עמית שהקשר עמו נותק" כהגדרתו בתקנות הפיקוח על שירותים פיננסיים(קופות גמל)(איתור עמיתים ומוטבים), התשע"ב- 2012. הגדרת מנותק קשר הינה נכון לסוף תקופה. </t>
  </si>
  <si>
    <t>קרנות השלתמות</t>
  </si>
  <si>
    <r>
      <t xml:space="preserve">אחר </t>
    </r>
    <r>
      <rPr>
        <b/>
        <vertAlign val="superscript"/>
        <sz val="10"/>
        <rFont val="David"/>
        <family val="2"/>
        <charset val="177"/>
      </rPr>
      <t>1</t>
    </r>
  </si>
  <si>
    <r>
      <t xml:space="preserve">חשבונות מנותקי קשר </t>
    </r>
    <r>
      <rPr>
        <vertAlign val="superscript"/>
        <sz val="10"/>
        <rFont val="David"/>
        <family val="2"/>
        <charset val="177"/>
      </rPr>
      <t>2</t>
    </r>
  </si>
  <si>
    <t>שיעור דמי ניהול ממוצע שנגבו מנכסים (אחוזים)</t>
  </si>
  <si>
    <t xml:space="preserve">חשבונות מנותקי קשר </t>
  </si>
  <si>
    <t>סוכן/סוכנות:</t>
  </si>
  <si>
    <t>יועץ פנסיוני:</t>
  </si>
  <si>
    <t>[1] עמלות נפרעים – "עמלת הפצה", כמשמעותה בסעיף) 32 ה)(1)(א (לחוק הפיקוח על שירותים פיננסיים (קופות גמל) התשס"ה- 2005 ו"דמי עמילות" כהגדרתן בסעיף ו-41 ה לחוק הפיקוח על שירותים פיננסיים (ביטוח(, התשמ"א- 1981 שאינן עמלות יעד .</t>
  </si>
  <si>
    <t>[2] הוצאות משרד - סכומים שנרשמו עבור סוכן ביטוח בעבור החזקת משרדו בשל פעילותו כסוכן ביטוח.</t>
  </si>
  <si>
    <t>[3] עמלת יעד - דמי עמילות בשל עמידה ביעד מכירות לרבות פרסים ומענקים.</t>
  </si>
  <si>
    <t>[4] בשליטת הקבוצה וצד קשור בקבוצה- כפי שנכלל במבנה האחזקות של הקבוצה בסעיף א2. לחלק א' בנספח זה. לעניין שליטה וצד קשור- בהתאם לתקני חשבונאות בינלאומיים.</t>
  </si>
  <si>
    <t xml:space="preserve">סה"כ עמלות </t>
  </si>
  <si>
    <t>צד קשור ו/או  בשליטת הקבוצה</t>
  </si>
  <si>
    <t>סך הכל עמלות</t>
  </si>
  <si>
    <t>ד1. נתונים כללים</t>
  </si>
  <si>
    <t xml:space="preserve">הראל אג"ח עד 25% מניות </t>
  </si>
  <si>
    <t>מיטב דש גמל לבני  50-60</t>
  </si>
  <si>
    <t>מדרגות</t>
  </si>
  <si>
    <t>50-60</t>
  </si>
  <si>
    <t xml:space="preserve">מיטב דש גמל </t>
  </si>
  <si>
    <t>משולב מניות</t>
  </si>
  <si>
    <t xml:space="preserve">כלל תמר אג"ח </t>
  </si>
  <si>
    <t>הלמן-אלדובי השתלמות כללי</t>
  </si>
  <si>
    <t xml:space="preserve">הראל קמ"פ מסלול כללי </t>
  </si>
  <si>
    <t>הראל מרכזית לפיצויים</t>
  </si>
  <si>
    <t>פסגות גדיש</t>
  </si>
  <si>
    <t>אקסלנס גמל אג"ח עד 15% מניות</t>
  </si>
  <si>
    <t>פסגות גדיש אגח עד 20% מניות</t>
  </si>
  <si>
    <t>אומגה קרן השתלמות מסלול כללי</t>
  </si>
  <si>
    <t>קרן השתלמות להנדסאים וטכנאים - מסלול כללי</t>
  </si>
  <si>
    <t>הנדסאים וטכנאים - מסלול כללי</t>
  </si>
  <si>
    <t xml:space="preserve">קרן השתלמות להנדסאים וטכנאים </t>
  </si>
  <si>
    <t>אקסלנס גמל אג"ח ללא מניות</t>
  </si>
  <si>
    <t>הלמן-אלדובי השתלמות אג"ח עד 25% במניות</t>
  </si>
  <si>
    <t>רום קרן השתלמות לעובדי הרשויות המקומיות מסלול קלאסי כללי</t>
  </si>
  <si>
    <t>רום  קרן השתלמות לעובדי רשויות מקומיות - קלאסי כללי</t>
  </si>
  <si>
    <t xml:space="preserve">הראל השתלמות אג"ח עד 20% מניות </t>
  </si>
  <si>
    <t xml:space="preserve">קופת התגמולים לעובדי האוניברסיטה העברית בירושלים  </t>
  </si>
  <si>
    <t>תגמולים האוניברסיטה</t>
  </si>
  <si>
    <t>חברת הגמל לעובדי האוניברסיטה העברית בע"מ</t>
  </si>
  <si>
    <t>קרן החיסכון לצבא הקבע כללי</t>
  </si>
  <si>
    <t>מגדל השתלמות לבני 60 ומעלה</t>
  </si>
  <si>
    <t>אוכלוסיית יעד</t>
  </si>
  <si>
    <t>אלטשולר שחם גמל אג"ח עד 15% במניות</t>
  </si>
  <si>
    <t>מיטב דש השתלמות  כללי פאסיבי</t>
  </si>
  <si>
    <t>פאסיבי</t>
  </si>
  <si>
    <t xml:space="preserve">מיטב דש השתלמות </t>
  </si>
  <si>
    <t>הפניקס תגמולים ופיצויים - מסלול אג"ח עד 25% מניות</t>
  </si>
  <si>
    <t>מיטב דש גמל לבני 60 ומעלה</t>
  </si>
  <si>
    <t>60 ומעלה</t>
  </si>
  <si>
    <t>מיטב דש השתלמות עד 6 שנות וותק</t>
  </si>
  <si>
    <t>אלטשולר שחם השתלמות אג"ח עד 15% במניות</t>
  </si>
  <si>
    <t xml:space="preserve">הראל השתלמות לטווח ארוך 
(מסלול לאוכלוסיית יעד) </t>
  </si>
  <si>
    <t>כור-תדיראן קופת גמל אישית לתגמולים ולפיצויים-מסלול כללי</t>
  </si>
  <si>
    <t>כור-תדיראן מסלול כללי</t>
  </si>
  <si>
    <t>מגדל השתלמות מסלול אג"ח עד 10% מניות</t>
  </si>
  <si>
    <t>מגדל השתלמות אג"ח עד 10% מניות</t>
  </si>
  <si>
    <t>פסגות שיא השתלמות כספי</t>
  </si>
  <si>
    <t>הלמן-אלדובי בר-יציב אג"ח עד 20% במניות</t>
  </si>
  <si>
    <t>אקסלנס השתלמות כללי</t>
  </si>
  <si>
    <t>אקסלנס השתלמות שקלי טווח קצר</t>
  </si>
  <si>
    <t>אקסלנס השתלמות אג"ח ללא מניות</t>
  </si>
  <si>
    <t>הלמן-אלדובי בר-יציב אג"ח צמוד מדד</t>
  </si>
  <si>
    <t>הלמן-אלדובי בר-יציב שקלי</t>
  </si>
  <si>
    <t>הלמן-אלדובי השתלמות מניות</t>
  </si>
  <si>
    <t xml:space="preserve">הראל קמ"פ מסלול מניות </t>
  </si>
  <si>
    <t>הראל קמ"פ מסלול אג"ח צמוד מדד</t>
  </si>
  <si>
    <t>הראל קמ"פ מסלול שקלי</t>
  </si>
  <si>
    <t xml:space="preserve">הראל קמ"פ אג"ח עד 15% מניות </t>
  </si>
  <si>
    <t>הראל קמ"פ אג"ח עד 15% מניות</t>
  </si>
  <si>
    <t>הראל גמל מסלול מניות</t>
  </si>
  <si>
    <t>הראל השתלמות מסלול מניות</t>
  </si>
  <si>
    <t xml:space="preserve">הראל השתלמות אג"ח עד 10% מניות </t>
  </si>
  <si>
    <t>מיטב דש גמל הלכה</t>
  </si>
  <si>
    <t>מיטב דש השתלמות הלכה</t>
  </si>
  <si>
    <t>מיטב דש השתלמות כהלכה</t>
  </si>
  <si>
    <t>אקסלנס גמל אג"ח צמוד מדד</t>
  </si>
  <si>
    <t>אקסלנס מרכזית לפיצויים מחקה מדדי מניות</t>
  </si>
  <si>
    <t>אנליסט מסלולית קופת גמל - ישראל</t>
  </si>
  <si>
    <t>אנליסט גמל ישראל</t>
  </si>
  <si>
    <t>אנליסט גמל שקלי טווח קצר</t>
  </si>
  <si>
    <t>אנליסט גמל מניות בחו"ל</t>
  </si>
  <si>
    <t>אנליסט גמל  חו"ל</t>
  </si>
  <si>
    <t>מנורה מבטחים השתלמות</t>
  </si>
  <si>
    <t>פסגות גדיש אגח צמוד מדד</t>
  </si>
  <si>
    <t>מגדל לתגמולים ולפיצויים מסלול שקלי טווח קצר</t>
  </si>
  <si>
    <t>מגדל לתגמולים ולפיצויים שקלי טווח קצר</t>
  </si>
  <si>
    <t>מגדל לתגמולים ולפיצויים מסלול אג"ח ממשלתי ישראלי</t>
  </si>
  <si>
    <t>מגדל לתגמולים ולפיצויים אג"ח ממשלתי ישראלי</t>
  </si>
  <si>
    <t>מגדל לתגמולים ולפיצויים מסלול מניות</t>
  </si>
  <si>
    <t>מגדל לתגמולים ולפיצויים מניות</t>
  </si>
  <si>
    <t xml:space="preserve">מגדל השתלמות מסלול שקלי טווח קצר </t>
  </si>
  <si>
    <t>מגדל השתלמות שקלי טווח קצר</t>
  </si>
  <si>
    <t>מגדל השתלמות מסלול אג"ח ממשלתי ישראלי</t>
  </si>
  <si>
    <t>מגדל השתלמות אג"ח ממשלתי ישראלי</t>
  </si>
  <si>
    <t>מגדל השתלמות מסלול מניות</t>
  </si>
  <si>
    <t>מגדל השתלמות מניות</t>
  </si>
  <si>
    <t>מיטב דש גמל אג"ח צמוד מדד</t>
  </si>
  <si>
    <t>מיטב דש גמל מניות</t>
  </si>
  <si>
    <t>מיטב דש השתלמות אג"ח צמוד מדד</t>
  </si>
  <si>
    <t>מיטב דש השתלמות מניות</t>
  </si>
  <si>
    <t>מיטב דש גמל שקלי טווח קצר</t>
  </si>
  <si>
    <t xml:space="preserve">אנליסט השתלמות כללי </t>
  </si>
  <si>
    <t>אנליסט השתלמות אג"ח ממשלת ישראל</t>
  </si>
  <si>
    <t>פסגות גדיש פאסיבי- מדדי מניות</t>
  </si>
  <si>
    <t>הראל השתלמות מסלול חו"ל</t>
  </si>
  <si>
    <t>ילין לפידות קופת גמל מסלול אג"ח עד 25% מניות</t>
  </si>
  <si>
    <t>ילין לפידות קופת גמל מסלול מניות</t>
  </si>
  <si>
    <t>ילין לפידות קרן השתלמות מסלול אג"ח עד 25% מניות</t>
  </si>
  <si>
    <t>פסגות שיא השתלמות פאסיבי- כללי</t>
  </si>
  <si>
    <t>פסגות שיא השתלמות פאסיבי-כללי</t>
  </si>
  <si>
    <t>איילון תגמולים ואישית לפיצויים מסלול שקלי</t>
  </si>
  <si>
    <t>איילון תגמולים ואישית לפיצויים שקלי</t>
  </si>
  <si>
    <t>אינפיניטי גמל אג"ח</t>
  </si>
  <si>
    <t>אינפיניטי גמל מניות בישראל</t>
  </si>
  <si>
    <t>אינפיניטי השתלמות כללי</t>
  </si>
  <si>
    <t>אינפיניטי השתלמות אג"ח</t>
  </si>
  <si>
    <t>אינפיניטי השתלמות מניות בישראל</t>
  </si>
  <si>
    <t>אלטשולר שחם השתלמות כללי</t>
  </si>
  <si>
    <t>אקסלנס השתלמות אג"ח עד 15% מניות</t>
  </si>
  <si>
    <t>מנורה מבטחים השתלמות מסלול אג"ח קונצרני</t>
  </si>
  <si>
    <t>מנורה השתלמות אג"ח קונצרני</t>
  </si>
  <si>
    <t>מנורה מבטחים השתלמות שקלי לטווח קצר</t>
  </si>
  <si>
    <t>מנורה השתלמות שקלי לטווח קצר</t>
  </si>
  <si>
    <t>מנורה מבטחים תגמולים ופיצויים אג"ח עד 10% מניות</t>
  </si>
  <si>
    <t>מנורה מבטחים תגמולים אג"ח עד 10% מניות</t>
  </si>
  <si>
    <t>מנורה מבטחים השתלמות אג"ח עד 10% מניות</t>
  </si>
  <si>
    <t>מנורה  השתלמות אג"ח עד 10% מניות</t>
  </si>
  <si>
    <t>פסגות שיא השתלמות ישראל</t>
  </si>
  <si>
    <t>אקסלנס השתלמות אג"ח עד 25% מניות</t>
  </si>
  <si>
    <t>אינפיניטי גמל אג"ח ממשלת ישראל</t>
  </si>
  <si>
    <t>אינפיניטי השתלמותאג"ח ממשלת ישראל</t>
  </si>
  <si>
    <t>מנורה השתלמות-מניות</t>
  </si>
  <si>
    <t>רום קרן השתלמות לעובדי הרשויות המקומיות מסלול רום רביד אג"ח ללא מניות</t>
  </si>
  <si>
    <t>רום רביד אג"ח ללא מניות</t>
  </si>
  <si>
    <t>רום קרן השתלמות לעובדי הרשויות המקומיות מסלול ספיר מניות</t>
  </si>
  <si>
    <t>רום ספיר מניות</t>
  </si>
  <si>
    <t>מינהל - קרן ההשתלמות לפקידים עובדי המינהל והשרותים - מסלול מניות</t>
  </si>
  <si>
    <t>מינהל - השתלמות - מניות</t>
  </si>
  <si>
    <t>אלטשולר שחם השתלמות כללי ב'</t>
  </si>
  <si>
    <t>מור מנורה מבטחים מסלול מניות</t>
  </si>
  <si>
    <t>רעות קרן השתלמות אג"ח ללא מניות</t>
  </si>
  <si>
    <t>קרן השתלמות להנדסאים וטכנאים - מסלול מניות</t>
  </si>
  <si>
    <t>הנדסאים וטכנאים - מסלול מניות</t>
  </si>
  <si>
    <t>פסגות גדיש אגח עד 10% מניות</t>
  </si>
  <si>
    <t>פסגות גדיש כספי</t>
  </si>
  <si>
    <t>הראל גמל שקלי טווח קצר</t>
  </si>
  <si>
    <t>מנורה מבטחים תגמולים ופיצויים שקלי טווח קצר</t>
  </si>
  <si>
    <t>מנורה מבטחים תגמולים שקלי טווח קצר</t>
  </si>
  <si>
    <t>מנורה מבטחים תגמולים ופיצויים אג"ח ממשלת ישראל</t>
  </si>
  <si>
    <t>מנורה מבטחים תגמולים אג"ח ממשלת ישראל</t>
  </si>
  <si>
    <t>כלל השתלמות אג"ח צמוד מדד</t>
  </si>
  <si>
    <t xml:space="preserve">מיטב דש השתלמות מעל 6 שנות וותק </t>
  </si>
  <si>
    <t>הפניקס תגמולים ופיצויים - מסלול אג"ח</t>
  </si>
  <si>
    <t>ילין לפידות קופת גמל מסלול אג"ח ממשלת ישראל</t>
  </si>
  <si>
    <t>ילין לפידות קרן השתלמות מסלול אג"ח ממשלת ישראל</t>
  </si>
  <si>
    <t>הלמן-אלדובי השתלמות אג"ח עד 15% במניות</t>
  </si>
  <si>
    <t>הראל גמל מסלול שקלי</t>
  </si>
  <si>
    <t>הראל השתלמות מסלול שקלי</t>
  </si>
  <si>
    <t>מיטב דש השתלמות שקלי טווח קצר</t>
  </si>
  <si>
    <t>אלטשולר שחם גמל מניות</t>
  </si>
  <si>
    <t>אלטשולר שחם גמל אג"ח ללא מניות</t>
  </si>
  <si>
    <t>אלטשולר שחם השתלמות מניות</t>
  </si>
  <si>
    <t>אלטשולר שחם השתלמות אג"ח ללא מניות</t>
  </si>
  <si>
    <t>קופת התגמולים לעובדי האוניברסיטה העברית  מסלול עד 10% מניות</t>
  </si>
  <si>
    <t>תגמולים האוניברסיטה - עד 10% מניות</t>
  </si>
  <si>
    <t xml:space="preserve">מינהל - קרן ההשתלמות לפקידים עובדי המינהל והשירותים- אג"ח </t>
  </si>
  <si>
    <t>מיטב דש גמל אג"ח ממשלת ישראל</t>
  </si>
  <si>
    <t>מיטב דש השתלמות אג"ח ממשלת ישראל</t>
  </si>
  <si>
    <t>אלטשולר שחם גמל כספי</t>
  </si>
  <si>
    <t>אלטשולר שחם גמל אג"ח ממשלות</t>
  </si>
  <si>
    <t>אלטשולר שחם השתלמות כספי</t>
  </si>
  <si>
    <t>אלטשולר שחם השתלמות אג"ח ממשלות</t>
  </si>
  <si>
    <t>אלטשולר שחם השתלמות  אג"ח ממשלות</t>
  </si>
  <si>
    <t>תגמולים של העובדים בעיריית תל אביב-יפו תגמולים מסלול אג"ח.</t>
  </si>
  <si>
    <t>עיריית ת"א תגמולים מסלול אג"ח.</t>
  </si>
  <si>
    <t>מנורה מבטחים השתלמות מסלול אג"ח ממשלת ישראל</t>
  </si>
  <si>
    <t>מנורה השתלמות-אג"ח ממשלת ישראל</t>
  </si>
  <si>
    <t>קרן החיסכון לצבא הקבע  מסלול אג"ח ללא מניות</t>
  </si>
  <si>
    <t>קרן החיסכון לצבא הקבע מסלול אג"ח ללא מניות</t>
  </si>
  <si>
    <t>קרן החיסכון לצבא הקבע מניות</t>
  </si>
  <si>
    <t>אנליסט גמל אג"ח ממשלת ישראל</t>
  </si>
  <si>
    <t>פסגות שיא השתלמות אגח עד 10% מניות</t>
  </si>
  <si>
    <t>פסגות שיא השתלמות אג"ח ממשלת ישראל</t>
  </si>
  <si>
    <t>פסגות גדיש אג"ח ממשלת ישראל</t>
  </si>
  <si>
    <t>ק.ל.ע - קרן השתלמות לעובדים סוציאלים מסלול  אג"ח עד 25% מניות</t>
  </si>
  <si>
    <t>ק.ל.ע מסלול אג"ח עד 25% מניות</t>
  </si>
  <si>
    <t xml:space="preserve">קופת גמל עמ"י </t>
  </si>
  <si>
    <t>עוצ"מ - אגודה שיתופית לניהול קופות גמל בע"מ - מסלול אג"ח ממשלות</t>
  </si>
  <si>
    <t>עוצ"מ - מסלול אג"ח ממשלות</t>
  </si>
  <si>
    <t>תעשיה אוירית מסלול אג"ח ממשלות</t>
  </si>
  <si>
    <t>קופת גמל מחר אג"ח ממשלת ישראל</t>
  </si>
  <si>
    <t>מחר גמל אג"ח ממשלת ישראל</t>
  </si>
  <si>
    <t>אומגה קרן השתלמות מסלול מניות</t>
  </si>
  <si>
    <t>קרן השתלמות וחסכון פ.ר.ח - מסלול אג"ח ללא מניות</t>
  </si>
  <si>
    <t>פ.ר.ח - אג"ח ללא מניות</t>
  </si>
  <si>
    <t>השתלמות רופאים אג"ח ממשלת ישראל</t>
  </si>
  <si>
    <t>גמל-על, קופת תגמולים לעובדי אל על, אגודה שיתופית בע"מ אג"ח</t>
  </si>
  <si>
    <t>גמל-על, קופת תגמולים לעובדי אל על, אגודה שיתופית בע"מ</t>
  </si>
  <si>
    <t>קוהורטות</t>
  </si>
  <si>
    <t xml:space="preserve">הראל השתלמות אג"ח ללא מניות </t>
  </si>
  <si>
    <t>אינפיניטי גמל  אג"ח קונצרני</t>
  </si>
  <si>
    <t>אינפיניטי השתלמות  אג"ח קונצרני</t>
  </si>
  <si>
    <t xml:space="preserve">קופת גמל מחר מניות </t>
  </si>
  <si>
    <t>מחר גמל מניות</t>
  </si>
  <si>
    <t>הראל השתלמות מסלול כהלכה</t>
  </si>
  <si>
    <t>הראל גמל מסלול כהלכה</t>
  </si>
  <si>
    <t xml:space="preserve">הראל גמל מסלול כהלכה </t>
  </si>
  <si>
    <t>גמל-על, קופת תגמולים לעובדי אל על, אגודה שיתופית בע"מ מניות</t>
  </si>
  <si>
    <t>כלל השתלמות הלכה</t>
  </si>
  <si>
    <t>אנליסט השתלמות שקלי טווח קצר</t>
  </si>
  <si>
    <t>אינפיניטי גמל  מניות בחו"ל</t>
  </si>
  <si>
    <t>אינפיניטי השתלמות מניות בחו"ל</t>
  </si>
  <si>
    <t xml:space="preserve">מיטב דש גמל פאסיבי מדדי מניות </t>
  </si>
  <si>
    <t xml:space="preserve">מיטב דש גמל פאסיבי מדדי אג"ח עד 25% במדדי מניות </t>
  </si>
  <si>
    <t>פסגות פנסיה מקיפה לבני 60 ומעלה</t>
  </si>
  <si>
    <t>פסגות לבני 60 ומעלה</t>
  </si>
  <si>
    <t>פסגות פנסיה מקיפה מסלול הלכה למקבלי קצבה</t>
  </si>
  <si>
    <t>פסגות מקיפה פנסיונרים הלכתי</t>
  </si>
  <si>
    <t>פסגות קרן פנסיה כללית מסלול הלכה</t>
  </si>
  <si>
    <t>פסגות כללית מסלול הלכה</t>
  </si>
  <si>
    <t>פסגות קרן פנסיה כללית מסלול הלכה למקבלי קצבה</t>
  </si>
  <si>
    <t>פסגות כללית מסלול הלכה למקבלי קצבה</t>
  </si>
  <si>
    <t>פסגות גדיש הלכה</t>
  </si>
  <si>
    <t>פסגות שיא השתלמות הלכה</t>
  </si>
  <si>
    <t>פסגות שיא השתלמות  הלכה</t>
  </si>
  <si>
    <t>קרן השתלמות מורים וגננות המסלול הרגיל - מסלול הלכה</t>
  </si>
  <si>
    <t>מורים וגננות - מסלול הלכה</t>
  </si>
  <si>
    <t>קרן השתלמות למורים תיכוניים  מסלול רגיל- מסלול הלכה</t>
  </si>
  <si>
    <t>מורים תיכוניים - מסלול הלכה</t>
  </si>
  <si>
    <t>קרן השתלמות למורים וגננות מסלול מקוצר - מסלול הלכה</t>
  </si>
  <si>
    <t>קרן השתלמות למורים תיכוניים מסלול מקוצר מסלול הלכה</t>
  </si>
  <si>
    <t>מגדל השתלמות מסלול הלכה</t>
  </si>
  <si>
    <t>מגדל השתלמות  הלכה</t>
  </si>
  <si>
    <t>הלמן-אלדובי השתלמות שריעה</t>
  </si>
  <si>
    <t>פסגות פנסיה כללית - מסלול לבני 50 ומטה</t>
  </si>
  <si>
    <t>מסלול לבני 50 ומטה</t>
  </si>
  <si>
    <t>עד 50</t>
  </si>
  <si>
    <t>פסגות פנסיה כללית מסלול לבני 50 עד 60</t>
  </si>
  <si>
    <t>מסלול לבני 50 עד 60</t>
  </si>
  <si>
    <t>פסגות פנסיה כללית מסלול לבני 60 ומעלה</t>
  </si>
  <si>
    <t>פסגות פנסיה מקיפה - מסלול לבני 50 ומטה</t>
  </si>
  <si>
    <t>פסגות פנסיה מקיפה - מסלול לבני 50 עד 60</t>
  </si>
  <si>
    <t>פסגות מסלול לבני 50 עד 60</t>
  </si>
  <si>
    <t>פסגות מקיפה - אפיק הלכה</t>
  </si>
  <si>
    <t>הלמן-אלדובי קרן פנסיה כללית</t>
  </si>
  <si>
    <t>בסיסי</t>
  </si>
  <si>
    <t>הראל  פנסיה - גילעד כללי</t>
  </si>
  <si>
    <t>הראל פנסיה - גילעד כללי</t>
  </si>
  <si>
    <t>הראל  פנסיה</t>
  </si>
  <si>
    <t>הראל פנסיה - הלכה</t>
  </si>
  <si>
    <t>הראל פנסיה - אג"ח ללא מניות</t>
  </si>
  <si>
    <t>הראל פנסיה - מניות</t>
  </si>
  <si>
    <t>הראל פנסיה - מנוף כללי</t>
  </si>
  <si>
    <t>הראל פנסיה</t>
  </si>
  <si>
    <t>הפניקס פנסיה מקיפה - הפניקס מסלול מניות</t>
  </si>
  <si>
    <t xml:space="preserve">הפניקס פנסיה מקיפה - הפניקס מסלול אג"ח </t>
  </si>
  <si>
    <t>הפניקס פנסיה מקיפה - הפניקס מסלול שקלי טווח קצר</t>
  </si>
  <si>
    <t>אלטשולר שחם פנסיה מקיפה מסלול בסיסי למקבלי קצבה</t>
  </si>
  <si>
    <t>הראל  פנסיה - בסיסי למקבלי קצבה</t>
  </si>
  <si>
    <t>הראל פנסיה כללית - בסיסי למקבלי קצבה</t>
  </si>
  <si>
    <t>מסלול בסיסי למקבלי קצבה</t>
  </si>
  <si>
    <t>כלל פנסיה משלימה - מסלול מקבלי פנסיה</t>
  </si>
  <si>
    <t>גמל דיסקונט אג"ח ממשלת ישראל</t>
  </si>
  <si>
    <t>אינפיניטי השתלמות אג"ח עד 15% מניות</t>
  </si>
  <si>
    <t>אינפיניטי השתלמות לחוסכים מוטי סיכון</t>
  </si>
  <si>
    <t>אי.בי.אי לתגמולים ופיצויים פאסיבי משולב עד 10% מניות</t>
  </si>
  <si>
    <t>אי.בי.אי השתלמות פאסיבי משולב עד 10% מניות</t>
  </si>
  <si>
    <t>מחוג  מסלול לבני 50 ומטה</t>
  </si>
  <si>
    <t xml:space="preserve">מחוג </t>
  </si>
  <si>
    <t>מחוג  מסלול לבני 50 עד 60</t>
  </si>
  <si>
    <t>מחוג מסלול לבני 60 ומעלה</t>
  </si>
  <si>
    <t>קו הבריאות קופת גמל לתגמולים ולפיצויים (לא משלמת) לבני 50 ומטה</t>
  </si>
  <si>
    <t>קו הבריאות לבני 50 ומטה</t>
  </si>
  <si>
    <t>קו הבריאות קופת גמל לתגמולים ולפיצויים (לא משלמת) לבני 50-60</t>
  </si>
  <si>
    <t>קו הבריאות לבני 50-60</t>
  </si>
  <si>
    <t>קו הבריאות קופת גמל לתגמולים ולפיצויים (לא משלמת) לבני 60 ומעלה</t>
  </si>
  <si>
    <t>קו הבריאות לבני 60 ומעלה</t>
  </si>
  <si>
    <t>מיטב דש גמל לבני 50 ומטה</t>
  </si>
  <si>
    <t xml:space="preserve">קופת תגמולים  עיריית חיפה מסלול לבני 50 ומטה </t>
  </si>
  <si>
    <t>עריית חיפה עד 50</t>
  </si>
  <si>
    <t xml:space="preserve">קופת תגמולים עיריית חיפה מסלול לבני 50  עד 60 </t>
  </si>
  <si>
    <t>עריית חיפה 50-60</t>
  </si>
  <si>
    <t xml:space="preserve">קופת תגמולים עיריית חיפה מסלול לבני 60 ומעלה </t>
  </si>
  <si>
    <t>עריית חיפה 60 ומעלה</t>
  </si>
  <si>
    <t>קופת גמל עו"ס לבני 50 ומטה</t>
  </si>
  <si>
    <t>עו"ס גמל לבני 50 ומטה</t>
  </si>
  <si>
    <t xml:space="preserve">קופת גמל עו"ס </t>
  </si>
  <si>
    <t>קופת גמל עו"ס לבני 50 עד 60</t>
  </si>
  <si>
    <t>עו"ס גמל לבני 50 עד 60</t>
  </si>
  <si>
    <t>קופת גמל עו"ס לבני 60 ומעלה</t>
  </si>
  <si>
    <t>עו"ס גמל לבני 60 ומעלה</t>
  </si>
  <si>
    <t>קופת התגמולים לעובדי האוניברסיטה העברית בירושלים בע"מ עד 50</t>
  </si>
  <si>
    <t>תגמולים האוניברסיטה העברית עד 50</t>
  </si>
  <si>
    <t>קופת התגמולים לעובדי האוניברסיטה העברית בירושלים בע"מ 60 ומעלה</t>
  </si>
  <si>
    <t>תגמולים האוניברסיטה העברית 60 ומעלה</t>
  </si>
  <si>
    <t>אינפיניטי גמל מסלול לבני 50 ומטה</t>
  </si>
  <si>
    <t>אינפיניטי גמל מסלול לבני 50 עד 60</t>
  </si>
  <si>
    <t>אינפיניטי גמל מסלול לבני 60 ומעלה</t>
  </si>
  <si>
    <t xml:space="preserve">הפניקס פנסיה משלימה - מסלול לבני 50 ומטה </t>
  </si>
  <si>
    <t xml:space="preserve">הפניקס פנסיה משלימה - מסלול לבני 50 עד 60 </t>
  </si>
  <si>
    <t>הפניקס פנסיה משלימה - מסלול לבני 60 ומעלה</t>
  </si>
  <si>
    <t>קופת גמל כלנית לבני 60 ומעלה</t>
  </si>
  <si>
    <t>כלנית גמל לבני 60 ומעלה</t>
  </si>
  <si>
    <t>קופת גמל גל לבני 50 ומטה</t>
  </si>
  <si>
    <t>גל גמל לבני 50 ומטה</t>
  </si>
  <si>
    <t xml:space="preserve">גל קופת גמל למורים </t>
  </si>
  <si>
    <t>קופת גמל גל לבני 50 עד 60</t>
  </si>
  <si>
    <t>גל גמל לבני 50 עד 60</t>
  </si>
  <si>
    <t>קופת גמל גל לבני 60 ומעלה</t>
  </si>
  <si>
    <t>גל גמל לבני 60 ומעלה</t>
  </si>
  <si>
    <t>קופת גמל כלנית לבני 50 עד 60</t>
  </si>
  <si>
    <t>כלנית גמל לבני 50 עד 60</t>
  </si>
  <si>
    <t>קופת גמל כלנית לבני 50 ומטה</t>
  </si>
  <si>
    <t>כלנית גמל לבני 50 ומטה</t>
  </si>
  <si>
    <t>מגדל השתלמות מסלול לבני 50 ומטה</t>
  </si>
  <si>
    <t>מגדל השתלמות לבני 50 ומטה</t>
  </si>
  <si>
    <t>מגדל השתלמות מסלול לבני 50 עד 60</t>
  </si>
  <si>
    <t>מגדל השתלמות לבני 50 עד 60</t>
  </si>
  <si>
    <t xml:space="preserve">מגדל השתלמותמסלול פאסיבי כללי </t>
  </si>
  <si>
    <t>מגדל השתלמות פאסיבי כללי</t>
  </si>
  <si>
    <t>מגדל לתגמולים ולפיצויים מסלול אג"ח עד 10% במניות</t>
  </si>
  <si>
    <t>מגדל לתגמולים ולפיצויים אג"ח עד 10% מניות</t>
  </si>
  <si>
    <t>הראל גמל מסלול חו"ל</t>
  </si>
  <si>
    <t xml:space="preserve">הראל השתלמות אג"ח קונצרני </t>
  </si>
  <si>
    <t>אנליסט מסלולית קופת גמל - אג"ח עד 10% במניות</t>
  </si>
  <si>
    <t>אנליסט גמל  אג"ח עד 10% במניות</t>
  </si>
  <si>
    <t>אנליסט קרן השתלמות אג"ח עד 10% מניות</t>
  </si>
  <si>
    <t>אנליסט השתלמות כללי אג"ח עד 10% מניות</t>
  </si>
  <si>
    <t>הפניקס פנסיה משלימה - הפניקס מסלול מניות</t>
  </si>
  <si>
    <t>הפניקס פנסיה משלימה - הפניקס מסלול אג"ח</t>
  </si>
  <si>
    <t>הפניקס פנסיה משלימה - הפניקס מסלול שיקלי טווח קצר</t>
  </si>
  <si>
    <t xml:space="preserve">מסלול אג"ח עד 15% מניות </t>
  </si>
  <si>
    <t>ילין לפידות קרן השתלמות מסלול מניות</t>
  </si>
  <si>
    <t>אלטשולר שחם פנסיה כללית מסלול בסיסי למקבלי קצבה</t>
  </si>
  <si>
    <t>הראל פנסיה - קצבה לזכאים קיימים</t>
  </si>
  <si>
    <t>הפניקס השתלמות - מסלול אג"ח עד 25% מניות</t>
  </si>
  <si>
    <t>אקסלנס גמל פאסיבי- מדדי מניות</t>
  </si>
  <si>
    <t>אקסלנס גמל פאסיבי-מדדי אג"ח</t>
  </si>
  <si>
    <t>אקסלנס השתלמות פאסיבי-מדדי אג"ח עד 25% במדדי מניות</t>
  </si>
  <si>
    <t>אקסלנס השתלמות פאסיבי - כללי</t>
  </si>
  <si>
    <t xml:space="preserve">אקסלנס השתלמות פאסיבי-מדדי מניות </t>
  </si>
  <si>
    <t>אקסלנס השתלמות פאסיבי-מדדי אג"ח</t>
  </si>
  <si>
    <t>אנליסט קרן השתלמות - אג"ח עד 20% במניות</t>
  </si>
  <si>
    <t>אנליסט השתלמות אג"ח עד 20% במניות</t>
  </si>
  <si>
    <t>הראל פנסיה - שיקלי טווח קצר</t>
  </si>
  <si>
    <t>אקסלנס גמל מסלולית לפיצויים רבת מסלולים</t>
  </si>
  <si>
    <t>אקסלנס גמל מסלולית לפיצויים</t>
  </si>
  <si>
    <t>הפניקס פנסיה מקיפה - עוקב מדד  IBOXX HY TR</t>
  </si>
  <si>
    <t xml:space="preserve">הפניקס פנסיה מקיפה - מדד תל בונד תשואות </t>
  </si>
  <si>
    <t xml:space="preserve">הפניקס פנסיה מקיפה מדד תל בונד 40 </t>
  </si>
  <si>
    <t>הפניקס פנסיה מקיפה עוקב מדד  Nikkei 225 TR</t>
  </si>
  <si>
    <t>איילון תגמולים ואישית לפיצויים מסלול חו"ל</t>
  </si>
  <si>
    <t>איילון תגמולים ואישית לפיצויים חו"ל</t>
  </si>
  <si>
    <t>איילון השתלמות מסלול חו"ל</t>
  </si>
  <si>
    <t>איילון השתלמות חו"ל</t>
  </si>
  <si>
    <t>אקסלנס מרכזית לפיצויים שקלי קצר</t>
  </si>
  <si>
    <t>אי.בי.אי. - קופת גמל מרכזית להשתתפות בפנסיה תקציבית כללי כללי</t>
  </si>
  <si>
    <t>אי.בי.אי. - קופת גמל מרכזית להשתתפות בפנסיה תקציבית</t>
  </si>
  <si>
    <t xml:space="preserve">הלמן-אלדובי קופת גמל מרכזית להשתתפות בפנסיה תקציבית </t>
  </si>
  <si>
    <t xml:space="preserve">הלמן-אלדובי פנסיה תקציבית </t>
  </si>
  <si>
    <t>הלמן-אלדובי קופת גמל מרכזית להשתתפות בפנסיה תקציבית</t>
  </si>
  <si>
    <t xml:space="preserve">מיטב דש מרכזית להשתתפות בפנסיה תקציבית כללי </t>
  </si>
  <si>
    <t xml:space="preserve">מיטב דש להשתתפות בפנסיה תקציבית כללי </t>
  </si>
  <si>
    <t>מיטב דש מרכזית להשתתפות בפנסיה תקציבית</t>
  </si>
  <si>
    <t>הפניקס תגמולים ופיצויים - מסלול לבני 60 ומעלה</t>
  </si>
  <si>
    <t>קופת גמל למשרתי הקבע בצה"ל קופת גמל לא משלמת לקצבה - לגילאי 50 עד 60</t>
  </si>
  <si>
    <t>קופת גמל למשרתי הקבע בצה"ל  - לגילאי 50 עד 60</t>
  </si>
  <si>
    <t>קופת גמל למשרתי הקבע בצה"ל קופת גמל לא משלמת לקצבה - לגילאי 60 ומעלה</t>
  </si>
  <si>
    <t>קופת גמל למשרתי הקבע בצה"ל - לגילאי 60 ומעלה</t>
  </si>
  <si>
    <t xml:space="preserve">אינפיניטי קופת גמל לפנסיה תקציבית 
</t>
  </si>
  <si>
    <t xml:space="preserve">אינפיניטי גמל לפנסיה תקציבית </t>
  </si>
  <si>
    <t>אינפיניטי קופת גמל לפנסיה תקציבית</t>
  </si>
  <si>
    <t xml:space="preserve">הפניקס השתלמות - מסלול פאסיבי - מדדי אג"ח </t>
  </si>
  <si>
    <t xml:space="preserve">הפניקס השתלמות - מסלול פאסיבי - מדדי אג"ח חו"ל </t>
  </si>
  <si>
    <t xml:space="preserve">הפניקס השתלמות מסלול פאסיבי - מדדי מניות </t>
  </si>
  <si>
    <t xml:space="preserve">הפניקס השתלמות - מסלול פאסיבי- מדדי מניות חו"ל </t>
  </si>
  <si>
    <t xml:space="preserve">הפניקס השתלמות - מסלול מתמחה שקלי טווח קצר </t>
  </si>
  <si>
    <t>איילון תגמולים ואישית לפיצויים מסלולית עד 50</t>
  </si>
  <si>
    <t>איילון תגמולים ואישית לפיצויים עד 50</t>
  </si>
  <si>
    <t>איילון תגמולים ואישית לפיצויים מסלולית 60 ומעלה</t>
  </si>
  <si>
    <t>איילון תגמולים ואישית לפיצויים 60 ומעלה</t>
  </si>
  <si>
    <t>איילון אגוד תגמולים עד 50</t>
  </si>
  <si>
    <t>איילון אגוד תגמולים 60 ומעלה</t>
  </si>
  <si>
    <t xml:space="preserve">הראל השתלמות כללי פאסיבי </t>
  </si>
  <si>
    <t>אגודה שיתופית של עובדי התעשיה האוירית לניהול קופות גמל בע"מ ממסלול לבני 60 ומעלה</t>
  </si>
  <si>
    <t>תעשיה אוירית מסלול לבני 60 ומעלה</t>
  </si>
  <si>
    <t>כלל פנסיה משלימה עד 50</t>
  </si>
  <si>
    <t>כלל פנסיה משלימה 50-60</t>
  </si>
  <si>
    <t>כלל פנסיה משלימה 60 ומעלה</t>
  </si>
  <si>
    <t xml:space="preserve">כלל פנסיה מניות </t>
  </si>
  <si>
    <t>כלל פנסיה אג"ח</t>
  </si>
  <si>
    <t xml:space="preserve">מסלול פנסיה לזכאים קיימים </t>
  </si>
  <si>
    <t>כלל תמר עד 50</t>
  </si>
  <si>
    <t>כלל תמר 50-60</t>
  </si>
  <si>
    <t>כלל תמר 60 ומעלה</t>
  </si>
  <si>
    <t>כלל פנסיה עד 50</t>
  </si>
  <si>
    <t>כלל פנסיה 50-60</t>
  </si>
  <si>
    <t>כלל פנסיה 60 ומעלה</t>
  </si>
  <si>
    <t>מנורה מבטחים השתלמות אג"ח עד 20% מניות</t>
  </si>
  <si>
    <t>מנורה השתלמות אג"ח עד 20% מניות</t>
  </si>
  <si>
    <t>איילון-פיסגה קרן פנסיה עד 50</t>
  </si>
  <si>
    <t>איילון-פיסגה עד 50</t>
  </si>
  <si>
    <t>איילון-פיסגה קרן פנסיה 50-60</t>
  </si>
  <si>
    <t>איילון-פיסגה 50-60</t>
  </si>
  <si>
    <t>איילון-פיסגה קרן פנסיה 60 ומעלה</t>
  </si>
  <si>
    <t>איילון-פיסגה 60 ומעלה</t>
  </si>
  <si>
    <t>אנליסט מסלולית קופת גמל - מסלול לבני 50 ומטה</t>
  </si>
  <si>
    <t>אנליסט גמל - מסלול לבני 50 ומטה</t>
  </si>
  <si>
    <t xml:space="preserve">אנליסט מסלולית קופת גמל - מסלול לבני 50-60 </t>
  </si>
  <si>
    <t>אנליסט גמל מסלול לבני 50-60</t>
  </si>
  <si>
    <t>אנליסט מסלולית קופת גמל - מסלול לבני 60 ומעלה</t>
  </si>
  <si>
    <t>אנליסט גמל מסלול לבני 60  ומעלה</t>
  </si>
  <si>
    <t>הלמן-אלדובי קרן פנסיה כללית- מסלול לבני 50 ומטה</t>
  </si>
  <si>
    <t>הלמן-אלדובי קרן פנסיה כללית- מסלול לבני 50 עד 60</t>
  </si>
  <si>
    <t>הלמן-אלדובי קרן פנסיה כללית- מסלול לבני 60 ומעלה</t>
  </si>
  <si>
    <t>גמל-על, קופת תגמולים לעובדי אל על, אגודה שיתופית בע"מ עד 50</t>
  </si>
  <si>
    <t>אל על עד 50</t>
  </si>
  <si>
    <t>גמל-על, קופת תגמולים לעובדי אל על, אגודה שיתופית בע"מ 60 ומעלה</t>
  </si>
  <si>
    <t>אל על 60 ומעלה</t>
  </si>
  <si>
    <t>אלטשולר שחם פנסיה מקיפה מסלול לבני 50 ומטה</t>
  </si>
  <si>
    <t>אלטשולר שחם פנסיה מקיפה מסלול לבני 50-60</t>
  </si>
  <si>
    <t>אלטשולר שחם פנסיה מקיפה מסלול לבני 60 ומעלה</t>
  </si>
  <si>
    <t>אלטשולר שחם פנסיה מקיפה מסלול הלכה</t>
  </si>
  <si>
    <t>אלטשולר שחם פנסיה כללית מסלול לבני 50 ומטה</t>
  </si>
  <si>
    <t>אלטשולר שחם פנסיה כללית מסלול לבני 50 עד 60</t>
  </si>
  <si>
    <t>אלטשולר שחם פנסיה כללית מסלול לבני 50-60</t>
  </si>
  <si>
    <t>אלטשולר שחם פנסיה כללית מסלול לבני 60 ומעלה</t>
  </si>
  <si>
    <t>הלמן-אלדובי קרן פנסיה מקיפה לבני 50 ומטה</t>
  </si>
  <si>
    <t>הלמן-אלדובי קרן פנסיה מקיפה לבני 50 עד 60</t>
  </si>
  <si>
    <t>הלמן-אלדובי קרן פנסיה מקיפה לבני 60 ומעלה</t>
  </si>
  <si>
    <t>מגדל לתגמולים ולפיצויים מסלול לבני 50 ומטה</t>
  </si>
  <si>
    <t>מגדל לתגמולים ולפיצויים מסלול לבני 50 עד 60</t>
  </si>
  <si>
    <t>מגדל לתגמולים ולפיצויים מסלול לבני 60 ומעלה</t>
  </si>
  <si>
    <t>עוצ"מ - אגודה שיתופית לניהול קופות גמל בע"מ - מסלול לבני 50 ומטה</t>
  </si>
  <si>
    <t>עוצ"מ - מסלול לבני 50 ומטה</t>
  </si>
  <si>
    <t>עוצ"מ - אגודה שיתופית לניהול קופות גמל בע"מ - מסלול לבני 50 עד 60</t>
  </si>
  <si>
    <t>עוצ"מ - מסלול לבני 50 עד 60</t>
  </si>
  <si>
    <t>עוצ"מ - אגודה שיתופית לניהול קופות גמל בע"מ - מסלול לבני 60 ומעלה</t>
  </si>
  <si>
    <t>עוצ"מ - מסלול לבני 60 ומעלה</t>
  </si>
  <si>
    <t>מור מנורה מבטחים לבני עד 50</t>
  </si>
  <si>
    <t>מור  מנורה מבטחים עד 50</t>
  </si>
  <si>
    <t>מור מנורה מבטחים - לבני 50-60</t>
  </si>
  <si>
    <t>מור  מנורה מבטחים 50-60</t>
  </si>
  <si>
    <t>מור מנורה מבטחים - לבני 60 ומעלה</t>
  </si>
  <si>
    <t>מור  מנורה מבטחים 60 ומעלה</t>
  </si>
  <si>
    <t>מנורה מבטחים תגמולים ופיצויים - לבני 50-60</t>
  </si>
  <si>
    <t>מנורה מבטחים תגמולים 50-60</t>
  </si>
  <si>
    <t>מנורה מבטחים תגמולים ופיצויים - לבני עד 50</t>
  </si>
  <si>
    <t>מנורה מבטחים תגמולים עד 50</t>
  </si>
  <si>
    <t>מנורה מבטחים תגמולים ופיצויים - לבני 60 ומעלה</t>
  </si>
  <si>
    <t>מנורה מבטחים תגמולים 60 ומעלה</t>
  </si>
  <si>
    <t>הילה לבני עד 50</t>
  </si>
  <si>
    <t>הילה עד 50</t>
  </si>
  <si>
    <t>הילה לבני 50-60</t>
  </si>
  <si>
    <t>הילה 50-60</t>
  </si>
  <si>
    <t>הילה לבני 60 ומעלה</t>
  </si>
  <si>
    <t>הילה 60 ומעלה</t>
  </si>
  <si>
    <t>רשף - לבני עד 50</t>
  </si>
  <si>
    <t>רשף עד 50</t>
  </si>
  <si>
    <t>רשף-קופ"ג ענפית לתגמולים לעובדי הוראה העל יסודיים</t>
  </si>
  <si>
    <t>רשף - לבני 50-60</t>
  </si>
  <si>
    <t>רשף 50-60</t>
  </si>
  <si>
    <t>רשף- לבני 60 ומעלה</t>
  </si>
  <si>
    <t>רשף 60 ומעלה</t>
  </si>
  <si>
    <t>אומגה קרן השתלמות אג"ח עד 15% מניות</t>
  </si>
  <si>
    <t>אומגה קרן השתלמות אג"ח עד 25% מניות</t>
  </si>
  <si>
    <t>שובל -  קופת גמל ענפית עד 50</t>
  </si>
  <si>
    <t>שובל עד 50</t>
  </si>
  <si>
    <t>שובל -  קופת גמל ענפית 50-60</t>
  </si>
  <si>
    <t>שובל 50-60</t>
  </si>
  <si>
    <t>שובל -  קופת גמל ענפית 60 ומעלה</t>
  </si>
  <si>
    <t>שובל 60 ומעלה</t>
  </si>
  <si>
    <t>אי.בי.אי. לתגמולים ופיצויים מסלול לבני 50 עד 60</t>
  </si>
  <si>
    <t>אי.בי.אי. לתגמולים ופיצויים מסלול לבני 50 ומטה</t>
  </si>
  <si>
    <t>אי.בי.אי. לתגמולים ופיצויים מסלול לבני 60 ומעלה</t>
  </si>
  <si>
    <t>קופת התגמולים לעובדי האוניברסיטה העברית בירושלים 50-60</t>
  </si>
  <si>
    <t>תגמולים האוניברסיטה  50-60</t>
  </si>
  <si>
    <t xml:space="preserve">קופת התגמולים לעובדי האוניברסיטה העברית בירושלים בע"מ מניות </t>
  </si>
  <si>
    <t xml:space="preserve">תגמולים האוניברסיטה  מניות </t>
  </si>
  <si>
    <t>קופת גמל למשרתי הקבע בצה"ל קופת גמל לא משלמת לקצבה עד 50</t>
  </si>
  <si>
    <t>קופת גמל למשרתי הקבע בצה"ל עד 50</t>
  </si>
  <si>
    <t>הראל  פנסיה - מנוף כללי</t>
  </si>
  <si>
    <t>מנוף כללי</t>
  </si>
  <si>
    <t>הראל  פנסיה - ילידי שנות ה-90</t>
  </si>
  <si>
    <t>ילידי שנות ה-90</t>
  </si>
  <si>
    <t>הראל  פנסיה - ילידי שנות ה-70</t>
  </si>
  <si>
    <t>ילידי שנות ה-70</t>
  </si>
  <si>
    <t>פסגות לעמיתי חבר עד 50</t>
  </si>
  <si>
    <t>פסגות לעמיתי חבר לבני 50-60</t>
  </si>
  <si>
    <t>פסגות לעמיתי חבר לבני 60 ומעלה</t>
  </si>
  <si>
    <t>פסגות קרן פנסיה כללית אג"ח עד 20% מניות</t>
  </si>
  <si>
    <t>פסגות כללית אג"ח עד 20% מניות</t>
  </si>
  <si>
    <t>פסגות קרן פנסיה כללית חו"ל</t>
  </si>
  <si>
    <t>פסגות כללית חו"ל</t>
  </si>
  <si>
    <t>פסגות פנסיה מקיפה אג"ח עד 20% מניות</t>
  </si>
  <si>
    <t>פסגות מקיפה אג"ח עד 20% מניות</t>
  </si>
  <si>
    <t>פסגות פנסיה מקיפה חו"ל</t>
  </si>
  <si>
    <t>פסגות מקיפה חו"ל</t>
  </si>
  <si>
    <t>איילון אגוד תגמולים 50 עד 60</t>
  </si>
  <si>
    <t>איילון תגמולים ואישית לפיצויים מסלולית 50 עד 60</t>
  </si>
  <si>
    <t>איילון תגמולים ואישית לפיצויים 50 עד 60</t>
  </si>
  <si>
    <t>הראל פנסיה כללית - ילידי שנות ה-70</t>
  </si>
  <si>
    <t>הראל פנסיה כללית - ילידי שנות ה-90</t>
  </si>
  <si>
    <t>הלמן-אלדובי השתלמות פאסיבי -כללי</t>
  </si>
  <si>
    <t>הלמן-אלדובי השתלמות חו"ל</t>
  </si>
  <si>
    <t>הלמן-אלדובי השתלמות ישראל</t>
  </si>
  <si>
    <t>הלמן-אלדובי בר-יציב חו"ל</t>
  </si>
  <si>
    <t>אקסלנס השתלמות אג"ח עד 10% מניות</t>
  </si>
  <si>
    <t xml:space="preserve">הפניקס תגמולים ופיצויים - מסלול לבני 50 ומטה </t>
  </si>
  <si>
    <t>פסגות גדיש לבני 50  ומטה</t>
  </si>
  <si>
    <t>פסגות גדיש לבני 50 ומטה</t>
  </si>
  <si>
    <t>פסגות גדיש לבני 50-60</t>
  </si>
  <si>
    <t>פסגות גדיש לבני  50-60</t>
  </si>
  <si>
    <t>פסגות גדיש לבני 60 ומעלה</t>
  </si>
  <si>
    <t>פסגות גדיש לבני  60 ומעלה</t>
  </si>
  <si>
    <t>אגודה שיתופית של עובדי התעשיה האוירית לניהול קופות גמל בע"מ מסלול לבני 50 עד 60</t>
  </si>
  <si>
    <t>תעשיה אוירית לבני 50 עד 60</t>
  </si>
  <si>
    <t>אגודה שיתופית של עובדי התעשיה האוירית לניהול קופות גמל בע"מ מסלול לבני 50 ומטה</t>
  </si>
  <si>
    <t>תעשיה אוירית מסלול לבני 50 ומטה</t>
  </si>
  <si>
    <t>כור-תדיראן קופת גמל אישית לתגמולים ולפיצויים עד 50</t>
  </si>
  <si>
    <t>כור תדיראן מסלול לבני 50 ומטה</t>
  </si>
  <si>
    <t>כור-תדיראן קופת גמל אישית לתגמולים ולפיצויים 50-60</t>
  </si>
  <si>
    <t>כור תדיראן מסלול לבני 50 עד 60</t>
  </si>
  <si>
    <t>כור-תדיראן קופת גמל אישית לתגמולים ולפיצויים 60 ומעלה</t>
  </si>
  <si>
    <t>כור תדיראן מסלול לבני 60 ומעלה</t>
  </si>
  <si>
    <t>אקסלנס גמל שיקלי טווח קצר</t>
  </si>
  <si>
    <t>אקסלנס גמל לבני 50 ומטה</t>
  </si>
  <si>
    <t>אקסלנס גמל לבני 60 ומעלה</t>
  </si>
  <si>
    <t>אקסלנס השתלמות פאסיבי- מדדי חו"ל</t>
  </si>
  <si>
    <t>ארם - קופת גמל לתגמולים של ארגון הרופאים עובדי המדינה 50-60</t>
  </si>
  <si>
    <t>ארם 50-60</t>
  </si>
  <si>
    <t>ארם - קופת גמל לתגמולים של ארגון הרופאים עובדי המדינה</t>
  </si>
  <si>
    <t>ארם - קופת גמל לתגמולים של ארגון הרופאים עובדי המדינה 60 ומעלה</t>
  </si>
  <si>
    <t>ארם 60 ומעלה</t>
  </si>
  <si>
    <t>ארם - קופת גמל לתגמולים של ארגון הרופאים עובדי המדינה עד 50</t>
  </si>
  <si>
    <t>ארם עד 50</t>
  </si>
  <si>
    <t>הגומל גמל</t>
  </si>
  <si>
    <t>קופת התגמולים לעובדי בנק דיסקונט לבני  50 ומטה</t>
  </si>
  <si>
    <t>גמל דיסקונט לבני 50 ומטה</t>
  </si>
  <si>
    <t>קופת התגמולים לעובדי בנק דיסקונט לבני 50 עד 60</t>
  </si>
  <si>
    <t>גמל דיסקונט לבני 50 עד 60</t>
  </si>
  <si>
    <t>קופת התגמולים לעובדי בנק דיסקונט לבני 60 ומעלה</t>
  </si>
  <si>
    <t>גמל דיסקונט לבני 60 ומעלה</t>
  </si>
  <si>
    <t>גמל-על, קופת תגמולים לעובדי אל על, אגודה שיתופית בע"מ 50-60</t>
  </si>
  <si>
    <t>אל על 50-60</t>
  </si>
  <si>
    <t>קופת גמל מחר לבני 50 ומטה</t>
  </si>
  <si>
    <t>מחר גמל לבני 50 ומטה</t>
  </si>
  <si>
    <t>קופת גמל מחר לבני 50 עד 60</t>
  </si>
  <si>
    <t>מחר גמל לבני 50 עד 60</t>
  </si>
  <si>
    <t>קופת גמל מחר לבני 60 ומעלה</t>
  </si>
  <si>
    <t>מחר גמל לבני 60 ומעלה</t>
  </si>
  <si>
    <t>קופת גמל עמ"י מסלול לבני 50 ומטה</t>
  </si>
  <si>
    <t xml:space="preserve">ילין לפידות קופת גמל מסלול לבני 50 ומטה </t>
  </si>
  <si>
    <t>ילין לפידות קופת גמל מסלול לבני 50 עד 60</t>
  </si>
  <si>
    <t>ילין לפידות קופת גמל מסלול לבני 60 ומעלה</t>
  </si>
  <si>
    <t>קופת גמל עמ"י  60 ומעלה</t>
  </si>
  <si>
    <t>קופת גמל עמ"י  50-60</t>
  </si>
  <si>
    <t>קופת גמל שדות לבני 50 ומטה</t>
  </si>
  <si>
    <t>שדות גמל לבני 50 ומטה</t>
  </si>
  <si>
    <t>קופת גמל שדות</t>
  </si>
  <si>
    <t xml:space="preserve">קופת גמל שדות לבני 60 ומעלה  </t>
  </si>
  <si>
    <t xml:space="preserve">שדות גמל לבני 60 ומעלה  </t>
  </si>
  <si>
    <t xml:space="preserve">קופת גמל שדות לבני 50 עד 60 </t>
  </si>
  <si>
    <t xml:space="preserve">שדות גמל לבני 50 עד 60 </t>
  </si>
  <si>
    <t>אלטשולר שחם גמל לבני 50 ומטה</t>
  </si>
  <si>
    <t>אלטשולר שחם גמל לבני 50 עד 60</t>
  </si>
  <si>
    <t xml:space="preserve">אלטשולר שחם גמל לבני 50 עד 60 </t>
  </si>
  <si>
    <t>אלטשולר שחם גמל לבני 60 ומעלה</t>
  </si>
  <si>
    <t>קופת גמל הנדסאים - מסלול עד 50</t>
  </si>
  <si>
    <t>הנדסאים גמל - מסלול עד 50</t>
  </si>
  <si>
    <t xml:space="preserve">קופת גמל הנדסאים </t>
  </si>
  <si>
    <t>קופת גמל הנדסאים - מסלול 50-60</t>
  </si>
  <si>
    <t>הנדסאים גמל - מסלול 50-60</t>
  </si>
  <si>
    <t>קופת גמל הנדסאים - 60 ומעלה</t>
  </si>
  <si>
    <t>הנדסאים גמל - 60 ומעלה</t>
  </si>
  <si>
    <t>קופת גמל אישית לפיצויים של העובדים בעיריית תל-אביב יפו - מסלול לבני 50 ומטה</t>
  </si>
  <si>
    <t>פיצויים עיריית ת"א - לבני 50 ומטה</t>
  </si>
  <si>
    <t>קופת גמל אישית לפיצויים של העובדים בעיריית תל-אביב יפו - מסלול לבני 50-60</t>
  </si>
  <si>
    <t>פיצויים עיריית ת"א - מסלול לבני 50-60</t>
  </si>
  <si>
    <t>קופת גמל אישית לפיצויים של העובדים בעיריית תל-אביב יפו - מסלול  60 ומעלה</t>
  </si>
  <si>
    <t>פיצויים עיריית ת"א -מסלול 60 ומעלה</t>
  </si>
  <si>
    <t>קופת תגמולים של העובדים בעירית תל אביב- יפו אגודה שיתופית בע"מ מסלול לבני 50 ומטה.</t>
  </si>
  <si>
    <t>עירית ת"א תגמולים מסלול לבני 50 ומטה.</t>
  </si>
  <si>
    <t>קופת תגמולים של העובדים בעירית תל אביב- יפו אגודה שיתופית בע"מ מסלול לבני 50-60</t>
  </si>
  <si>
    <t>עירית ת"א תגמולים מסלול לבני 50-60</t>
  </si>
  <si>
    <t>קופת תגמולים של העובדים בעירית תל אביב- יפו אגודה שיתופית בע"מ מסלול לבני 60 ומעלה</t>
  </si>
  <si>
    <t>עירית ת"א תגמולים מסלול לבני 60 ומעלה</t>
  </si>
  <si>
    <t xml:space="preserve">הפניקס פנסיה מקיפה  - מסלול לבני 50 ומטה </t>
  </si>
  <si>
    <t xml:space="preserve">הפניקס פנסיה מקיפה - מסלול לבני 50 עד 60 </t>
  </si>
  <si>
    <t>הפניקס פנסיה מקיפה - מסלול לבני 60 ומעלה</t>
  </si>
  <si>
    <t xml:space="preserve">הפניקס מסלול פאסיבי - מדדי אג"ח </t>
  </si>
  <si>
    <t>הפניקס מסלול פאסיבי - מדדי אג"ח חו"ל</t>
  </si>
  <si>
    <t>הפניקס מסלול אג"ח עד 25% מניות</t>
  </si>
  <si>
    <t xml:space="preserve">הפניקס מסלול פאסיבי - מדדי מניות </t>
  </si>
  <si>
    <t xml:space="preserve">הפניקס מסלול פאסיבי - מדדי מניות חו"ל </t>
  </si>
  <si>
    <t xml:space="preserve">הפניקס פנסיה מקיפה - מסלול הלכה </t>
  </si>
  <si>
    <t xml:space="preserve">מסלול קצבה לזכאים קיימים </t>
  </si>
  <si>
    <t>הראל גמל לגילאי 50 עד 60</t>
  </si>
  <si>
    <t>גמל-על, קופת תגמולים לעובדי אל על, אגודה שיתופית בע"מ כללי</t>
  </si>
  <si>
    <t>אל על כללי</t>
  </si>
  <si>
    <t>קןפת התגמולים לעובדי בנק דיסקונט מסלול כללי</t>
  </si>
  <si>
    <t>איילון אגוד תגמולים מסלול כללי</t>
  </si>
  <si>
    <t xml:space="preserve">קופת תגמולים של עובדי עיריית חיפה - אגודה שיתופית בע"מ </t>
  </si>
  <si>
    <t xml:space="preserve">קופת תגמולים של עובדי עיריית חיפה - מסלול כללי </t>
  </si>
  <si>
    <t>עוצ"מ - מסלול כללי</t>
  </si>
  <si>
    <t xml:space="preserve">תעשיה אוירית מסלול כללי </t>
  </si>
  <si>
    <t>הראל גמל לגילאי 50 ומטה</t>
  </si>
  <si>
    <t>מיטב דש גמל חכם לבני 40-50</t>
  </si>
  <si>
    <t xml:space="preserve">הראל מרכזית לפיצויים </t>
  </si>
  <si>
    <t xml:space="preserve">הראל גמל לגילאי 60 ומעלה </t>
  </si>
  <si>
    <t>ארם אג"ח  עד 10% מניות</t>
  </si>
  <si>
    <t>קופת גמל למשרתי הקבע בצה"ל קופת גמל לא משלמת לקצבה - כללי</t>
  </si>
  <si>
    <t>קופת גמל למשרתי הקבע בצה"ל - כללי</t>
  </si>
  <si>
    <t>קופת גמל עמ"י מסלול אג"ח</t>
  </si>
  <si>
    <t>איילון קופת גמל מרכזית להשתתפות בפנסיה תקציבית כללי כללי</t>
  </si>
  <si>
    <t>איילון קופת גמל מרכזית לפנסיה תקציבית כללי כללי</t>
  </si>
  <si>
    <t>איילון קופת גמל מרכזית להשתתפות בפנסיה תקציבית</t>
  </si>
  <si>
    <t>הלמן-אלדובי גמל מסלול לבני 50 ומטה</t>
  </si>
  <si>
    <t>הלמן-אלדובי גמל מסלול לבני 50 עד 60</t>
  </si>
  <si>
    <t>הלמן-אלדובי גמל מסלול לבני 60 ומעלה</t>
  </si>
  <si>
    <t>הראל  פנסיה - ילידי 1990 עד 1994</t>
  </si>
  <si>
    <t>ילידי 1990 עד 1994</t>
  </si>
  <si>
    <t>הראל  פנסיה - ילידי 1980 עד 1984</t>
  </si>
  <si>
    <t>ילידי 1980 עד 1984</t>
  </si>
  <si>
    <t>הראל  פנסיה - ילידי 1970 עד 1974</t>
  </si>
  <si>
    <t>ילידי 1970 עד 1974</t>
  </si>
  <si>
    <t>הראל  פנסיה - ילידי 1960 עד 1964</t>
  </si>
  <si>
    <t>ילידי 1960 עד 1964</t>
  </si>
  <si>
    <t>הראל  פנסיה - ילידי 1950 עד 1954</t>
  </si>
  <si>
    <t>הראל פנסיה כללית - ילידי 1955 עד 1959</t>
  </si>
  <si>
    <t>הראל פנסיה כללית - ילידי 1965 עד 1969</t>
  </si>
  <si>
    <t>הראל פנסיה כללית - ילידי 1975 עד 1979</t>
  </si>
  <si>
    <t>הראל פנסיה כללית - ילידי 1985 עד 1989</t>
  </si>
  <si>
    <t>הראל פנסיה כללית - ילידי 1995 עד 1999</t>
  </si>
  <si>
    <t>אינפיניטי השתלמות  כללי</t>
  </si>
  <si>
    <t xml:space="preserve">אינפיניטי השתלמות </t>
  </si>
  <si>
    <t>Date4</t>
  </si>
  <si>
    <t>Dir1A</t>
  </si>
  <si>
    <t>Dir1B</t>
  </si>
  <si>
    <t>Dir1C</t>
  </si>
  <si>
    <t>דיווחים חדשים:</t>
  </si>
  <si>
    <t xml:space="preserve">דיווח חדש מספר השוואה </t>
  </si>
  <si>
    <t>דיווח החל משנת 2016</t>
  </si>
  <si>
    <r>
      <t>עמלות נפרעים</t>
    </r>
    <r>
      <rPr>
        <b/>
        <vertAlign val="superscript"/>
        <sz val="12"/>
        <rFont val="David"/>
        <family val="2"/>
        <charset val="177"/>
      </rPr>
      <t xml:space="preserve">1 </t>
    </r>
    <r>
      <rPr>
        <b/>
        <sz val="12"/>
        <rFont val="David"/>
        <family val="2"/>
        <charset val="177"/>
      </rPr>
      <t>כולל הוצאות משרד</t>
    </r>
    <r>
      <rPr>
        <b/>
        <vertAlign val="superscript"/>
        <sz val="12"/>
        <rFont val="David"/>
        <family val="2"/>
        <charset val="177"/>
      </rPr>
      <t>2</t>
    </r>
  </si>
  <si>
    <r>
      <t xml:space="preserve">עמלות יעד </t>
    </r>
    <r>
      <rPr>
        <b/>
        <vertAlign val="superscript"/>
        <sz val="12"/>
        <rFont val="David"/>
        <family val="2"/>
        <charset val="177"/>
      </rPr>
      <t>3</t>
    </r>
  </si>
  <si>
    <t>ד3. עמלות</t>
  </si>
  <si>
    <t>מספרי השוואה</t>
  </si>
  <si>
    <t>מספר אנשים לא באלפי ₪ שאר הנתונים באלפי ₪</t>
  </si>
  <si>
    <t>נספח א - דוח תיאור עסקי תאגיד של חברה מנהלת</t>
  </si>
  <si>
    <t>נספח ב - דוח דירקטוריון של חברה מנהלת</t>
  </si>
  <si>
    <t>דוח תקופתי של חברות מנהלות</t>
  </si>
  <si>
    <t>2015-9-32</t>
  </si>
  <si>
    <t>5FigS</t>
  </si>
  <si>
    <t>6FigS</t>
  </si>
  <si>
    <t>צריכים לסדר את התאריכים בתא D4</t>
  </si>
  <si>
    <t>31.3.2016</t>
  </si>
  <si>
    <t>,</t>
  </si>
  <si>
    <t>צריכים לסדר את התאריכים בתא B21 ו-B33</t>
  </si>
  <si>
    <t>4HeroS</t>
  </si>
  <si>
    <r>
      <t xml:space="preserve">דוח שנתי על יישום הוראות הדין  </t>
    </r>
    <r>
      <rPr>
        <b/>
        <sz val="16"/>
        <color rgb="FFFF0000"/>
        <rFont val="David"/>
        <family val="2"/>
        <charset val="177"/>
      </rPr>
      <t>בוטל</t>
    </r>
  </si>
  <si>
    <t>שעמדו לפדיון ביום 31.12.2015</t>
  </si>
  <si>
    <t>שנפדו בתקופת הדיווח בהמחאה או זיכוי כרטיס אשראי</t>
  </si>
  <si>
    <t>שנפדו בתקופת הדיווח  לא בהמחאה או זיכוי כרטיס אשראי</t>
  </si>
  <si>
    <t>שנפדו החל מיום 1.1.2016</t>
  </si>
  <si>
    <t>דיווח חל מהדוח של 31.12.2016</t>
  </si>
  <si>
    <t>2016-2-1 חוזה גמל</t>
  </si>
  <si>
    <t>קופת גמל להשקעה</t>
  </si>
  <si>
    <t>קופת גמל להשקעה לחסכון ארוך טווח לילד</t>
  </si>
  <si>
    <t>תקבולים מדמי גמולים חד פעמיים</t>
  </si>
  <si>
    <t>DIR1</t>
  </si>
  <si>
    <t>נתונים כללים</t>
  </si>
  <si>
    <t>הוספנו טורים עבור - קופות גמל להשקעה וקופות גמל לשקעה לחיסכון  ארוך טווח לילד</t>
  </si>
  <si>
    <t>הוספנו שורה עבור תקבולים מדמי גמולים חד פעמיים</t>
  </si>
  <si>
    <t>הראל פנסיה וגמל בע"מ</t>
  </si>
  <si>
    <t xml:space="preserve">החברה לניהול קופות התגמולים והפיצויים של עובדי בנק לאומי בע"מ </t>
  </si>
  <si>
    <t>עובדי מדינה - מסלול כללי</t>
  </si>
  <si>
    <t>עובדי מדינה - כללי</t>
  </si>
  <si>
    <t xml:space="preserve">קרן השתלמות לעובדי המדינה </t>
  </si>
  <si>
    <t>איילון פיסגה כללית עד 50</t>
  </si>
  <si>
    <t>איילון פיסגה כללית</t>
  </si>
  <si>
    <t>איילון פיסגה כללית 50 עד 60</t>
  </si>
  <si>
    <t>איילון פיסגה כללית מעל 60</t>
  </si>
  <si>
    <t xml:space="preserve">הראל גמל מסלול אג"ח עד 20% מניות </t>
  </si>
  <si>
    <t>החברה לניהול קופת התגמולים והפנסיה של עובדי הסוכנות היהודית לארץ ישראל בע"מ</t>
  </si>
  <si>
    <t>מחוג מסלול כללי</t>
  </si>
  <si>
    <t>אלטשולר שחם פיצויים אג"ח עד 15% במניות</t>
  </si>
  <si>
    <t xml:space="preserve">אנליסט מסלולית קופת גמל </t>
  </si>
  <si>
    <t xml:space="preserve">הראל גמל מסלול אג"ח עד 10% מניות </t>
  </si>
  <si>
    <t>הלכה</t>
  </si>
  <si>
    <t>אנליסט גמל חו"ל</t>
  </si>
  <si>
    <t>מנורה מבטחים השתלמות כללי</t>
  </si>
  <si>
    <t>הלמן-אלדובי קופה לתשלום דמי מחלה</t>
  </si>
  <si>
    <t>הלמן-אלדובי מחלה</t>
  </si>
  <si>
    <t>אלטשולר שחם פיצויים כללי</t>
  </si>
  <si>
    <t>פסגות עתיד גמל מרכזית להשתתפות בפנסיה תקציבית מסלול אג"ח</t>
  </si>
  <si>
    <t>פסגות עתיד גמל מרכזית אג"ח</t>
  </si>
  <si>
    <t xml:space="preserve">הראל גמל מסלול אג"ח ללא מניות </t>
  </si>
  <si>
    <t>עובדי המדינה - מסלול אג"ח ממשלת ישראל</t>
  </si>
  <si>
    <t>עובדי המדינה - אג"ח ממשלת ישראל</t>
  </si>
  <si>
    <t>אלטשולר שחם פיצויים אג"ח ללא מניות</t>
  </si>
  <si>
    <t>קופת תגמולים של העובדים בעירית תל אביב-יפו אגודה שיתופית בע"מ מסלול מניות</t>
  </si>
  <si>
    <t>עיריית תל אביב תגמולים מסלול מניות</t>
  </si>
  <si>
    <t>הראל גמל מסלול אג"ח קונצרני</t>
  </si>
  <si>
    <t>חו"ל - פאסיבי</t>
  </si>
  <si>
    <t>משולב במניות - פאסיבי</t>
  </si>
  <si>
    <t>מנורה מבטחים השתלמות מסלול לטווח ארוך</t>
  </si>
  <si>
    <t>ק.ס.מ. קרן השתלמות לביוכימאים ומקרוביולוגים בע"מ אג"ח</t>
  </si>
  <si>
    <t xml:space="preserve">ק.ס.מ אג"ח </t>
  </si>
  <si>
    <t xml:space="preserve">ק.ס.מ. קרן השתלמות לביוכימאים ומקרוביולוגים בע"מ מניות </t>
  </si>
  <si>
    <t xml:space="preserve">ק.ס.מ מניות </t>
  </si>
  <si>
    <t>מנורה מבטחים השתלמות טווח ארוך</t>
  </si>
  <si>
    <t>פסגות עתיד גמל מרכזית להשתתפות בפנסיה תקציבית כללי כללי</t>
  </si>
  <si>
    <t>פסגות עתיד גמל מרכזית כללי</t>
  </si>
  <si>
    <t>איילון-פיסגה קרן פנסיה פנסיונרים בסיסי</t>
  </si>
  <si>
    <t>איילון-פיסגה פנסיונרים בסיסי</t>
  </si>
  <si>
    <t>אלטשולר שחם פיצויים כספי</t>
  </si>
  <si>
    <t>שריעה</t>
  </si>
  <si>
    <t xml:space="preserve">עובדי מדינה - מסלול מתמחה משולב-אג"ח עד 15 אחוז מניות
</t>
  </si>
  <si>
    <t>עובדי מדינה - משולב-אג"ח עד 15 אחוז מניות</t>
  </si>
  <si>
    <t>אנליסט קרן השתלמות כללי פאסיבי</t>
  </si>
  <si>
    <t>אנליסט השתלמות כללי פאסיבי</t>
  </si>
  <si>
    <t>אנליסט מסלולית קופת גמל - מסלול פאסיבי מדדי אג"ח</t>
  </si>
  <si>
    <t>אנליסט גמל פאסיבי - מדדי אג"ח</t>
  </si>
  <si>
    <t>הפניקס פנסיה מקיפה - מסלול שיטת הפניקס מאוחד</t>
  </si>
  <si>
    <t>אקסלנס גמל להשקעה</t>
  </si>
  <si>
    <t>אקסלנס גמל להשקעה אג"ח ללא מניות</t>
  </si>
  <si>
    <t>אקסלנס גמל להשקעה שיקלי טווח קצר</t>
  </si>
  <si>
    <t>אקסלנס גמל להשקעה מניות פאסיבי</t>
  </si>
  <si>
    <t>אקסלנס גמל להשקעה כללי פאסיבי</t>
  </si>
  <si>
    <t>אלטשולר שחם חיסכון פלוס כללי</t>
  </si>
  <si>
    <t>אלטשולר שחם חיסכון פלוס</t>
  </si>
  <si>
    <t xml:space="preserve">אלטשולר שחם חיסכון פלוס מניות </t>
  </si>
  <si>
    <t>אלטשולר שחם חיסכון פלוס אג"ח עד 15% במניות</t>
  </si>
  <si>
    <t>אלטשולר שחם חיסכון פלוס אג"ח ללא מניות</t>
  </si>
  <si>
    <t>אלטשולר שחם חיסכון פלוס כספי</t>
  </si>
  <si>
    <t>אי.בי.אי קופה לתגמולים ופיצויים מסלול פאסיבי - מדדי אג"ח</t>
  </si>
  <si>
    <t>אי.בי.אי תגמולים ופיצויים פאסיבי - מדדי אג"ח</t>
  </si>
  <si>
    <t>אי.בי.אי קרן השתלמות מסלול פאסיבי - כללי</t>
  </si>
  <si>
    <t>אי.בי.אי השתלמות פאסיבי - כללי</t>
  </si>
  <si>
    <t>קל השתלמות כללי</t>
  </si>
  <si>
    <t>קל השתלמות</t>
  </si>
  <si>
    <t xml:space="preserve">קל השתלמות מניות מניות </t>
  </si>
  <si>
    <t xml:space="preserve">אנליסט מסלולית - קופת גמל להשקעה כללי </t>
  </si>
  <si>
    <t xml:space="preserve">אנליסט קופת גמל להשקעה כללי </t>
  </si>
  <si>
    <t>אנליסט מסלולית - קופת גמל להשקעה</t>
  </si>
  <si>
    <t xml:space="preserve">אנליסט מסלולית - קופת גמל להשקעה מניות </t>
  </si>
  <si>
    <t xml:space="preserve">אנליסט קופת גמל להשקעה מניות </t>
  </si>
  <si>
    <t xml:space="preserve">אנליסט מסלולית - קופת גמל להשקעה אג"ח </t>
  </si>
  <si>
    <t xml:space="preserve">אנליסט קופת גמל להשקעה אג"ח </t>
  </si>
  <si>
    <t>אנליסט מסלולית - קופת גמל להשקעה שיקלי טווח קצר</t>
  </si>
  <si>
    <t>אנליסט קופת גמל להשקעה שיקלי טווח קצר</t>
  </si>
  <si>
    <t xml:space="preserve">אנליסט מסלולית - קופת גמל להשקעה חו"ל </t>
  </si>
  <si>
    <t xml:space="preserve">אנליסט קופת גמל להשקעה חו"ל </t>
  </si>
  <si>
    <t xml:space="preserve">אנליסט מסלולית - קופת גמל להשקעה פאסיבי- כללי </t>
  </si>
  <si>
    <t>אנליסט קופת גמל להשקעה פאסיבי כללי</t>
  </si>
  <si>
    <t>ילין לפידות קופת גמל להשקעה</t>
  </si>
  <si>
    <t>מיטב דש גמל להשקעה</t>
  </si>
  <si>
    <t xml:space="preserve">מיטב דש גמל להשקעה מסלול מניות </t>
  </si>
  <si>
    <t>מיטב דש גמל להשקעה מסלול שיקלי טווח קצר</t>
  </si>
  <si>
    <t xml:space="preserve">מיטב דש גמל להשקעה מסלול אג"ח </t>
  </si>
  <si>
    <t>מיטב דש גמל להשקעה מסלול הלכה</t>
  </si>
  <si>
    <t>מיטב דש גמל להשקעה מסלול פאסיבי - מדדי מניות</t>
  </si>
  <si>
    <t xml:space="preserve">אינפיניטי גמל להשקעה כללי </t>
  </si>
  <si>
    <t>קל קופת גמל להשקעה מדד מניות</t>
  </si>
  <si>
    <t>קל גמל להשקעה מדד מניות</t>
  </si>
  <si>
    <t>קל קופת גמל להשקעה</t>
  </si>
  <si>
    <t>קל קופת גמל להשקעה מדד אג"ח</t>
  </si>
  <si>
    <t>קל גמל להשקעה מדד אג"ח</t>
  </si>
  <si>
    <t>קל קופת גמל להשקעה מדד אג"ח ישראל</t>
  </si>
  <si>
    <t>קל גמל להשקעה מדד אג"ח ישראל</t>
  </si>
  <si>
    <t>אג"ח ישראל</t>
  </si>
  <si>
    <t>קל קופת גמל להשקעה מדד ללא מניות</t>
  </si>
  <si>
    <t>קל גמל להשקעה מדד ללא מניות</t>
  </si>
  <si>
    <t>קל קופת גמל להשקעה מדד חו"ל</t>
  </si>
  <si>
    <t>קל גמל להשקעה מדד חו"ל</t>
  </si>
  <si>
    <t>קל קופת גמל להשקעה אג"ח ללא מניות</t>
  </si>
  <si>
    <t>קל גמל להשקעה אג"ח ללא מניות</t>
  </si>
  <si>
    <t xml:space="preserve">קל קופת גמל להשקעה מניות מניות </t>
  </si>
  <si>
    <t xml:space="preserve">קל גמל להשקעה מניות מניות </t>
  </si>
  <si>
    <t>קל קופת גמל להשקעה אג"ח משולב במניות - פאסיבי</t>
  </si>
  <si>
    <t>קל גמל להשקעה אג"ח משולב במניות - פאסיבי</t>
  </si>
  <si>
    <t>קל קופת גמל להשקעה כללי כללי</t>
  </si>
  <si>
    <t>קל גמל להשקעה כללי כללי</t>
  </si>
  <si>
    <t>קל קופת גמל להשקעה שיקלי כספית</t>
  </si>
  <si>
    <t>קל גמל להשקעה שיקלי כספית</t>
  </si>
  <si>
    <t>קל קופת גמל להשקעה אג"ח משולב מניות</t>
  </si>
  <si>
    <t>קל גמל להשקעה אג"ח משולב מניות</t>
  </si>
  <si>
    <t>אקסלנס גמל להשקעה אג"ח עד 15% מניות</t>
  </si>
  <si>
    <t>אקסלנס גמל להשקעה כללי</t>
  </si>
  <si>
    <t xml:space="preserve">אקסלנס גמל להשקעה כללי </t>
  </si>
  <si>
    <t>מניות ישראל</t>
  </si>
  <si>
    <t>מגדל גמל להשקעה שיקלי טווח קצר</t>
  </si>
  <si>
    <t>מגדל גמל להשקעה</t>
  </si>
  <si>
    <t>מגדל גמל להשקעה אג"ח ממשלתי ישראלי</t>
  </si>
  <si>
    <t xml:space="preserve">מגדל גמל להשקעה חו"ל </t>
  </si>
  <si>
    <t xml:space="preserve">מגדל גמל להשקעה מניות  </t>
  </si>
  <si>
    <t xml:space="preserve">מגדל גמל להשקעה מניות </t>
  </si>
  <si>
    <t>מגדל גמל להשקעה אג"ח עד 10% מניות</t>
  </si>
  <si>
    <t>מגדל גמל להשקעה כללי</t>
  </si>
  <si>
    <t>מגדל גמל להשקעה הלכתי הלכה יהודית</t>
  </si>
  <si>
    <t>מגדל גמל להשקעה הלכתי</t>
  </si>
  <si>
    <t xml:space="preserve">ילין לפידות קופת גמל להשקעה מסלול כללי </t>
  </si>
  <si>
    <t>אינטרגמל קופות גמל להשקעה כללי כללי</t>
  </si>
  <si>
    <t xml:space="preserve">מיטב דש גמל להשקעה מסלול כללי </t>
  </si>
  <si>
    <t xml:space="preserve">מיטב דש גמל להשקעה מסלול פאסיבי - כללי </t>
  </si>
  <si>
    <t>מיטב דש גמל להשקעה מסלול פאסיבי - כללי</t>
  </si>
  <si>
    <t>מיטב דש גמל להשקעה מסלול אג"ח עד 20% במניות</t>
  </si>
  <si>
    <t>מיטב דש גמל להשקעה מסלו אג"ח עד 20% במניות</t>
  </si>
  <si>
    <t>מיטב דש גמל להשקעה אג"ח עד 10% מניות</t>
  </si>
  <si>
    <t>אנליסט מסלולית - קופת גמל להשקעה אג"ח עד 20% במניות</t>
  </si>
  <si>
    <t>אנליסט קופת גמל להשקעה אג"ח עד 20% במניות</t>
  </si>
  <si>
    <t>כלל גמל לעתיד - קופת גמל להשקעה  כללי</t>
  </si>
  <si>
    <t>כלל גמל לעתיד כללי</t>
  </si>
  <si>
    <t>כלל גמל לעתיד - קופת גמל להשקעה</t>
  </si>
  <si>
    <t>כלל גמל לעתיד - קופת גמל להשקעה  אג"ח</t>
  </si>
  <si>
    <t>כלל גמל לעתיד אג"ח</t>
  </si>
  <si>
    <t>כלל גמל לעתיד - קופת גמל להשקעה אג"ח ממשלתי</t>
  </si>
  <si>
    <t>כלל גמל לעתיד אג"ח ממשלתי</t>
  </si>
  <si>
    <t xml:space="preserve">כלל גמל לעתיד - קופת גמל להשקעה  מניות </t>
  </si>
  <si>
    <t xml:space="preserve">כלל גמל לעתיד מניות </t>
  </si>
  <si>
    <t xml:space="preserve">כלל גמל לעתיד - קופת גמל להשקעה אג"ח עד 15% מניות </t>
  </si>
  <si>
    <t xml:space="preserve">כלל גמל לעתיד אג"ח עד 15% מניות </t>
  </si>
  <si>
    <t>כלל גמל לעתיד - קופת גמל להשקעה שיקלי טווח קצר</t>
  </si>
  <si>
    <t>כלל גמל לעתיד שיקלי טווח קצר</t>
  </si>
  <si>
    <t>כלל גמל לעתיד - קופת גמל להשקעה הלכה</t>
  </si>
  <si>
    <t xml:space="preserve">כלל גמל לעתיד הלכה </t>
  </si>
  <si>
    <t>הלמן-אלדובי להשקעה כללי</t>
  </si>
  <si>
    <t>הלמן-אלדובי להשקעה</t>
  </si>
  <si>
    <t>הלמן-אלדובי להשקעה פאסיבי-כללי</t>
  </si>
  <si>
    <t xml:space="preserve">הלמן-אלדובי להשקעה מניות </t>
  </si>
  <si>
    <t>הלמן-אלדובי להשקעה שריעה</t>
  </si>
  <si>
    <t>הראל גמל להשקעה כללי</t>
  </si>
  <si>
    <t>הראל גמל להשקעה</t>
  </si>
  <si>
    <t>515447035</t>
  </si>
  <si>
    <t>הלמן-אלדובי חח"י גמל בע"מ</t>
  </si>
  <si>
    <t xml:space="preserve">קרן השתלמות למורים בבתיה"ס העי"ס במכללות ובסמינרים מסלול הלכה </t>
  </si>
  <si>
    <t>מורים על יסודי מסלול הלכה</t>
  </si>
  <si>
    <t>קרן השתלמות למורים בבתיה"ס העי"ס במכללות ובסמינרים (מקוצר) מסלול הלכה</t>
  </si>
  <si>
    <t>מישור מסלול הלכה</t>
  </si>
  <si>
    <t>הראל גמל להשקעה אג"ח עד 10% מניות</t>
  </si>
  <si>
    <t xml:space="preserve">הראל גמל להשקעה אג"ח עד 20% מניות </t>
  </si>
  <si>
    <t>הראל גמל להשקעה מניות</t>
  </si>
  <si>
    <t>חוסכים המעדיפים סיכון בינוני</t>
  </si>
  <si>
    <t>חוסכים המעדיפים סיכון מוגבר</t>
  </si>
  <si>
    <t>חוסכים המעדיפים סיכון מועט</t>
  </si>
  <si>
    <t>הראל חיסכון לכל ילד</t>
  </si>
  <si>
    <t xml:space="preserve">עובדי מדינה - מסלול מניות </t>
  </si>
  <si>
    <t>עובדי מדינה - מניות</t>
  </si>
  <si>
    <t>הראל חיסכון לילד - הלכה</t>
  </si>
  <si>
    <t>הראל חסכון לילד - הלכה</t>
  </si>
  <si>
    <t>אינפיניטי גמל להשקעה אג"ח עד 15% מניות</t>
  </si>
  <si>
    <t>אנליסט מסלולית - קופת גמל להשקעה לחיסכון ארוך טווח לילד - מסלול לחוסכים המעדיפים סיכון מועט</t>
  </si>
  <si>
    <t>אנליסט מסלולית - קופת גמל להשקעה לחיסכון ארוך טווח לילד</t>
  </si>
  <si>
    <t>אנליסט מסלולית - קופת גמל להשקעה לחיסכון ארוך טווח לילד - מסלול לחוסכים המעדיפים סיכון בינוני</t>
  </si>
  <si>
    <t xml:space="preserve">הראל גמל מסלול לגילאי 50 עד 60
</t>
  </si>
  <si>
    <t xml:space="preserve">הראל גמל מסלול לגילאי  50 ומטה
</t>
  </si>
  <si>
    <t xml:space="preserve">הראל גמל מסלול לגילאי 60 ומעלה
</t>
  </si>
  <si>
    <t>מנורה מבטחים תגמולים ופיצויים מסלול הלכה</t>
  </si>
  <si>
    <t>מנורה מבטחים תגמולים הלכה</t>
  </si>
  <si>
    <t>אנליסט מסלולית - קופת גמל להשקעה לחיסכון ארוך טווח לילד - מסלול לחוסכים המעדיפים סיכון מוגבר</t>
  </si>
  <si>
    <t>מגדל  חסכון לילד - הלכה</t>
  </si>
  <si>
    <t>מגדל  חסכון לילד</t>
  </si>
  <si>
    <t>מגדל  חסכון לילד - חוסכים המעדיפים סיכון מועט</t>
  </si>
  <si>
    <t>מגדל חסכון לילד - חוסכים המעדיפים סיכון מועט</t>
  </si>
  <si>
    <t>מגדל  חסכון לילד - חוסכים המעדיפים סיכון בינוני</t>
  </si>
  <si>
    <t>מגדל  חסכון לילד - חוסכים המעדיפים סיכון מוגבר</t>
  </si>
  <si>
    <t>אינפיניטי גמל להשקעה לחסכון ארוך טווח לילד</t>
  </si>
  <si>
    <t>פסגות חיסכון לכל ילד</t>
  </si>
  <si>
    <t>אקסלנס חיסכון לילד - חוסכים המעדיפים סיכון מועט</t>
  </si>
  <si>
    <t>אקסלנס גמל להשקעה לחיסכון ארוך טווח לילד</t>
  </si>
  <si>
    <t>אקסלנס חיסכון לילד - חוסכים המעדיפים סיכון מוגבר</t>
  </si>
  <si>
    <t>אקסלנס חיסכון לילד - חוסכים המעדיפים סיכון בינוני</t>
  </si>
  <si>
    <t>מיטב דש קופת גמל להשקעה לחיסכון ארוך טווח לילד</t>
  </si>
  <si>
    <t>מיטב דש קופת גמל להשקעה לחיסכון ארוך טווח לילד הלכתי הלכה יהודית</t>
  </si>
  <si>
    <t>מנורה מבטחים חסכון לכל ילד מסלול הלכה</t>
  </si>
  <si>
    <t>מנורה מבטחים חסכון לילד - הלכה</t>
  </si>
  <si>
    <t>מנורה מבטחים חסכון לכל ילד</t>
  </si>
  <si>
    <t>מנורה מבטחים חסכון לכל ילד - מסלול חוסכים המעדיפים סיכון מועט</t>
  </si>
  <si>
    <t>מנורה מבטחים חסכון לילד - חוסכים המעדיפים סיכון מועט</t>
  </si>
  <si>
    <t>מנורה מבטחים חסכון לכל ילד - מסלול חוסכים המעדיפים סיכון בינוני</t>
  </si>
  <si>
    <t>מנורה מבטחים חסכון לילד - חוסכים המעדיפים סיכון בינוני</t>
  </si>
  <si>
    <t>מנורה מבטחים חסכון לכל ילד - מסלול חוסכים המעדיפים סיכון מוגבר</t>
  </si>
  <si>
    <t>מנורה מבטחים חסכון לילד - חוסכים המעדיפים סיכון מוגבר</t>
  </si>
  <si>
    <t>אלטשולר שחם חיסכון לילד לחוסכים המעדיפים סיכון מועט</t>
  </si>
  <si>
    <t>אלטשולר שחם חיסכון לילד - חוסכים המעדיפים סיכון מועט</t>
  </si>
  <si>
    <t>אלטשולר שחם חיסכון לילד</t>
  </si>
  <si>
    <t>אלטשולר שחם חיסכון לילד לחוסכים המעדיפים סיכון בינוני</t>
  </si>
  <si>
    <t>אלטשולר שחם חיסכון לילד - חוסכים המעדיפים סיכון בינוני</t>
  </si>
  <si>
    <t>אלטשולר שחם חיסכון לילד לחוסכים המעדיפים סיכון מוגבר</t>
  </si>
  <si>
    <t>אלטשולר שחם חיסכון לילד - חוסכים המעדיפים סיכון מוגבר</t>
  </si>
  <si>
    <t xml:space="preserve">אלטשולר שחם חיסכון לילד הלכה </t>
  </si>
  <si>
    <t xml:space="preserve">אלטשולר שחם חיסכון לילד - הלכה </t>
  </si>
  <si>
    <t xml:space="preserve">אקסלנס חיסכון לילד - הלכה </t>
  </si>
  <si>
    <t>קל חיסכון לילד הלכתי הלכה איסלאמית</t>
  </si>
  <si>
    <t>קל חיסכון לילד הלכתי הלכה יהודית</t>
  </si>
  <si>
    <t>קל גמל חסכון לילד - חוסכים המעדיפים סיכון מועט</t>
  </si>
  <si>
    <t>קל גמל חיסכון לילד - חוסכים המעדיפים סיכון מועט</t>
  </si>
  <si>
    <t>קל גמל להשקעה - חסכון לכל ילד</t>
  </si>
  <si>
    <t>קל גמל חסכון לילד - חוסכים המעדיפים סיכון בינוני</t>
  </si>
  <si>
    <t>קל גמל חסכון לילד - חוסכים המעדיפים סיכון מוגבר</t>
  </si>
  <si>
    <t>קל גמל להשקעה - חסכון לכל ילד הלכתי הלכה איסלאמית</t>
  </si>
  <si>
    <t>קל גמל להשקעה - חסכון לכל ילד הלכתי הלכה יהודית</t>
  </si>
  <si>
    <t>הלמן-אלדובי חיסכון לילד- שריעה</t>
  </si>
  <si>
    <t>הלמן-אלדובי חיסכון לילד</t>
  </si>
  <si>
    <t>הלמן-אלדובי חיסכון לילד- הלכה</t>
  </si>
  <si>
    <t>הלמן-אלדובי חיסכון לילד- חוסכים המעדיפים סיכון מועט</t>
  </si>
  <si>
    <t>הלמן-אלדובי חיסכון לילד- חוסכים המעדיפים סיכון בינוני</t>
  </si>
  <si>
    <t>הלמן-אלדובי חיסכון לילד- חוסכים המעדיפים סיכון מוגבר</t>
  </si>
  <si>
    <t>אנליסט חיסכון לילד - חוסכים המעדיפים סיכון מועט</t>
  </si>
  <si>
    <t>אנליסט חיסכון לילד - חוסכים המעדיפים סיכון בינוני</t>
  </si>
  <si>
    <t>אנליסט חיסכון לילד- חוסכים המעדיפים סיכון מוגבר</t>
  </si>
  <si>
    <t>אינפיניטי  חיסכון לילד - חוסכים המעדיפים סיכון בינוני</t>
  </si>
  <si>
    <t>אינפיניטי חיסכון לילד - חוסכים המעדיפים סיכון מוגבר</t>
  </si>
  <si>
    <t>אינפיניטי חיסכון לילד - חוסכים המעדיפים סיכון מועט</t>
  </si>
  <si>
    <t>הראל חיסכון לילד - חוסכים המעדיפים סיכון מועט</t>
  </si>
  <si>
    <t>הראל חיסכון לילד - חוסכים המעדיפים סיכון בינוני</t>
  </si>
  <si>
    <t>פסגות חיסכון לילד  - חוסכים המעדיפים סיכון מועט</t>
  </si>
  <si>
    <t>פסגות חיסכון לילד - חוסכים המעדיפים סיכון מועט</t>
  </si>
  <si>
    <t>פסגות חיסכון לילד - חוסכים המעדיפים סיכון בינוני</t>
  </si>
  <si>
    <t>פסגות חיסכון לילד - חוסכים המעדיפים סיכון מוגבר</t>
  </si>
  <si>
    <t>פסגות חיסכון לילד  - חוסכים המעדיפים סיכון מוגבר</t>
  </si>
  <si>
    <t>פסגות חיסכון לילד - הלכה</t>
  </si>
  <si>
    <t>מיטב דש קופת גמל להשקעה לחיסכון ארוך טווח לילד אחר חיסכון לכל ילד - חוסכים המעדיפים סיכון מועט</t>
  </si>
  <si>
    <t>מיטב דש חיסכון לילד - חוסכים המעדיפים סיכון מועט</t>
  </si>
  <si>
    <t>מיטב דש קופת גמל להשקעה לחיסכון ארוך טווח לילד אחר חיסכון לכל ילד - חוסכים המעדיפים סיכון בינוני</t>
  </si>
  <si>
    <t>מיטב דש חיסכון לילד - חוסכים המעדיפים סיכון בינוני</t>
  </si>
  <si>
    <t>מיטב דש קופת גמל להשקעה לחיסכון ארוך טווח לילד אחר חיסכון לכל ילד - חוסכים המעדיפים סיכון מוגבר</t>
  </si>
  <si>
    <t>מיטב דש חיסכון לילד - חוסכים המעדיפים סיכון מוגבר</t>
  </si>
  <si>
    <t xml:space="preserve">מיטב דש חיסכון לילד - הלכה </t>
  </si>
  <si>
    <t>ילין לפידות קופת גמל להשקעה מסלול אג"ח עד 10% מניות</t>
  </si>
  <si>
    <t>ילין לפידות קופת גמל להשקעה מסלול אג"ח עד 20% מניות</t>
  </si>
  <si>
    <t>ילין לפידות קופת גמל להשקעה מסלול אג"ח ממשלות</t>
  </si>
  <si>
    <t xml:space="preserve">ילין לפידות קופת גמל להשקעה מסלול מניות </t>
  </si>
  <si>
    <t>עובדי המדינה הלכתי הלכה יהודית</t>
  </si>
  <si>
    <t>אינפיניטי גמל להשקעה מניות</t>
  </si>
  <si>
    <t xml:space="preserve">אינפיניטי גמל להשקעה מניות </t>
  </si>
  <si>
    <t>מנורה מבטחים השתלמות פאסיבי - כללי</t>
  </si>
  <si>
    <t>מנורה מבטחים השתלמות פאסיבי כללי</t>
  </si>
  <si>
    <t>מנורה מבטחים השתלמות פאסיבי - מדדי אג"ח עד 15% במדדי מניות</t>
  </si>
  <si>
    <t>מנורה מבטחים השתלמות פאסיבי אג"ח עד 15% במניות</t>
  </si>
  <si>
    <t>קופת גמל מרכזית לקצבה</t>
  </si>
  <si>
    <t>CORRECTIONS</t>
  </si>
  <si>
    <r>
      <t>שדה 43</t>
    </r>
    <r>
      <rPr>
        <sz val="11"/>
        <color rgb="FF1F497D"/>
        <rFont val="Calibri"/>
        <family val="2"/>
      </rPr>
      <t xml:space="preserve">L </t>
    </r>
    <r>
      <rPr>
        <sz val="11"/>
        <color rgb="FF1F497D"/>
        <rFont val="Arial"/>
        <family val="2"/>
      </rPr>
      <t> - יש הפניה ל</t>
    </r>
    <r>
      <rPr>
        <sz val="11"/>
        <color rgb="FF1F497D"/>
        <rFont val="Calibri"/>
        <family val="2"/>
      </rPr>
      <t xml:space="preserve">DirBk42 </t>
    </r>
    <r>
      <rPr>
        <sz val="11"/>
        <color rgb="FF1F497D"/>
        <rFont val="Arial"/>
        <family val="2"/>
      </rPr>
      <t> במקום ל</t>
    </r>
    <r>
      <rPr>
        <sz val="11"/>
        <color rgb="FF1F497D"/>
        <rFont val="Calibri"/>
        <family val="2"/>
      </rPr>
      <t xml:space="preserve">DirBk43 </t>
    </r>
    <r>
      <rPr>
        <sz val="11"/>
        <color rgb="FF1F497D"/>
        <rFont val="Arial"/>
        <family val="2"/>
      </rPr>
      <t> וכנ"ל לגבי שדה 43</t>
    </r>
    <r>
      <rPr>
        <sz val="11"/>
        <color rgb="FF1F497D"/>
        <rFont val="Calibri"/>
        <family val="2"/>
      </rPr>
      <t>M</t>
    </r>
  </si>
  <si>
    <t>4FigS</t>
  </si>
  <si>
    <t xml:space="preserve">ד2. עמיתים לא פעילים </t>
  </si>
  <si>
    <t>הכורת אמור להיות "עמיתים לא פעילים"</t>
  </si>
  <si>
    <t>DIR2</t>
  </si>
  <si>
    <r>
      <t>,=IF(Information!</t>
    </r>
    <r>
      <rPr>
        <b/>
        <sz val="10"/>
        <color rgb="FFFF0000"/>
        <rFont val="Arial"/>
        <family val="2"/>
      </rPr>
      <t>$P$3</t>
    </r>
    <r>
      <rPr>
        <sz val="10"/>
        <rFont val="Arial"/>
        <family val="2"/>
      </rPr>
      <t>=4,Date4,Date3)</t>
    </r>
  </si>
  <si>
    <t>בתא B33 התאריך אמור להיות 31.12.2014 לתקן ידני או לשנות את הנוסחה:</t>
  </si>
  <si>
    <t>ביאור</t>
  </si>
  <si>
    <t>11ג</t>
  </si>
  <si>
    <t>11ב</t>
  </si>
  <si>
    <t>הון:</t>
  </si>
  <si>
    <t xml:space="preserve">הכותרת של ד2  אמור להיות : עמיתים לא פעילים </t>
  </si>
  <si>
    <t>הלמן - אלדובי חח"י גמל בע"מ</t>
  </si>
  <si>
    <t>סה"כ מצטבר</t>
  </si>
  <si>
    <t>השנה לעומת יתרה פתיחה</t>
  </si>
  <si>
    <t>לעומת יתרה פתיחה</t>
  </si>
  <si>
    <t>אם יש דיווח עבור קופות גמל אישיות לתגמולים ופיצויים חייבים למלא (אם 0 - לרשום 0)</t>
  </si>
  <si>
    <t>טור 5 = סה"כ החשבונות חשבונות קטנים שנסגרו מ -1-1-2016 (כולל הנתונים של תקופת הדוח)</t>
  </si>
  <si>
    <t>טורים 3 ו-4 רק רלוונטי לסגירת חשבונות קטנים בתקופת הדוח</t>
  </si>
  <si>
    <t>בשורות של מספר חשבונות (3 ו4) טור 1 פחות טור 5 = טור 2</t>
  </si>
  <si>
    <t>בשורות של כספיים טור 2 כולל\ לא כולל רווח השקעה מ-1.1.2016 לכן טור 1 פחות טור 5 לא שווה טור 2.</t>
  </si>
  <si>
    <t>קופות גמל אישיות לתגמולים ופיצויים (DIRA)</t>
  </si>
  <si>
    <t>לפי חשבונות קטנים</t>
  </si>
  <si>
    <t xml:space="preserve">הדיווח רלוונטי רק לגבי החשבונות קטנים שהיו קיימים ב-31.12.2015 </t>
  </si>
  <si>
    <t>מדווחים רק עם הדיווח השנתי</t>
  </si>
  <si>
    <t>דיווח שנתי (דצמבר)</t>
  </si>
  <si>
    <t>פעילים</t>
  </si>
  <si>
    <t>לא פעילים</t>
  </si>
  <si>
    <r>
      <t xml:space="preserve">פעילים </t>
    </r>
    <r>
      <rPr>
        <sz val="10"/>
        <rFont val="David"/>
        <family val="2"/>
        <charset val="177"/>
      </rPr>
      <t xml:space="preserve">  ולא פעילים</t>
    </r>
  </si>
  <si>
    <t>נכסים מנוהלים, נטו</t>
  </si>
  <si>
    <t>דמי גמולים משונתים עבור מצטרפים חדשים</t>
  </si>
  <si>
    <t>עודף הכנסות (הפסדים) על הוצאות לתקופה</t>
  </si>
  <si>
    <r>
      <t>שיעור הוצאות ישירות</t>
    </r>
    <r>
      <rPr>
        <b/>
        <sz val="11"/>
        <rFont val="David"/>
        <family val="2"/>
        <charset val="177"/>
      </rPr>
      <t xml:space="preserve"> ממוצע (באחוזים)</t>
    </r>
  </si>
  <si>
    <t>עמלות ניהול חיצוני</t>
  </si>
  <si>
    <t>עמלות אחרות</t>
  </si>
  <si>
    <t>הוצאות מוגבלות</t>
  </si>
  <si>
    <t>בתא B33 התאריך אמור להיות 31.12.2015 לתקן ידני או לשנות את הנוסחה:</t>
  </si>
  <si>
    <t>מסים על הכנסה המתייחסים לנכסים פיננסיים זמינים למכירה</t>
  </si>
  <si>
    <t>מסים על הכנסה המתייחסים לרכיבים אחרים של רווח כולל אחר</t>
  </si>
  <si>
    <t>בניכוי דמי סליקה</t>
  </si>
  <si>
    <t>דמי סליקה</t>
  </si>
  <si>
    <t>נסחרות במדד ת"א 125</t>
  </si>
  <si>
    <t>נסחרות במדדי מניות היתר</t>
  </si>
  <si>
    <t>דוח רווח והפסד - פוצלה שורת מסים על הכנסה בדוח על הרווח הכולל לשתי שורות</t>
  </si>
  <si>
    <t>2, S2</t>
  </si>
  <si>
    <t>נמחק הפירוט של שורת נגזרים לזמן קצר וזמן ארוך</t>
  </si>
  <si>
    <t>נוספה שורה לדיווח דמי סליקה</t>
  </si>
  <si>
    <t>סה"כ נכסים מנוהלים</t>
  </si>
  <si>
    <t>שם  התאגידים בקבוצה</t>
  </si>
  <si>
    <t>מספר תאגיד</t>
  </si>
  <si>
    <t xml:space="preserve">סך החשיפה </t>
  </si>
  <si>
    <t>מתוך סך החשיפה:</t>
  </si>
  <si>
    <t>שיעור חשיפה מסך הנכסים</t>
  </si>
  <si>
    <t>שיעור החשיפה מסך נכסי הסיכון</t>
  </si>
  <si>
    <t>היקף חובות בעייתיים</t>
  </si>
  <si>
    <t>הלוואות</t>
  </si>
  <si>
    <t>נדל"ן</t>
  </si>
  <si>
    <t>T18</t>
  </si>
  <si>
    <t>טופס 18 דיווח חדש</t>
  </si>
  <si>
    <t>פנסיונרים (2018+)</t>
  </si>
  <si>
    <t>מקבלי קצבה קיימים (2004-2017)</t>
  </si>
  <si>
    <t>זכאים קיימים לקצבה/פנסיה (עד 2003)</t>
  </si>
  <si>
    <t>מספר עמיתים / חשבונות</t>
  </si>
  <si>
    <t>תשלומים לזכאים קיימים לפנסיה (עד 2003)</t>
  </si>
  <si>
    <t>תשלומים למקבלי קצבה קיימים (2004-2017)</t>
  </si>
  <si>
    <t>תשלומים לפנסיונרים (2018+)</t>
  </si>
  <si>
    <t>סה"כ תשלומים למקבלי קצבה</t>
  </si>
  <si>
    <t>סה"כ תשלומים</t>
  </si>
  <si>
    <t>זכאים קיימים לפנסיה (עד 2003)</t>
  </si>
  <si>
    <r>
      <t>אחר</t>
    </r>
    <r>
      <rPr>
        <vertAlign val="superscript"/>
        <sz val="10"/>
        <rFont val="David"/>
        <family val="2"/>
        <charset val="177"/>
      </rPr>
      <t xml:space="preserve"> </t>
    </r>
  </si>
  <si>
    <r>
      <rPr>
        <b/>
        <sz val="10"/>
        <rFont val="David"/>
        <family val="2"/>
      </rPr>
      <t>נכסים נטו</t>
    </r>
    <r>
      <rPr>
        <sz val="10"/>
        <rFont val="David"/>
        <family val="2"/>
      </rPr>
      <t>-</t>
    </r>
    <r>
      <rPr>
        <u/>
        <sz val="10"/>
        <rFont val="David"/>
        <family val="2"/>
      </rPr>
      <t xml:space="preserve"> </t>
    </r>
    <r>
      <rPr>
        <sz val="10"/>
        <rFont val="David"/>
        <family val="2"/>
        <charset val="177"/>
      </rPr>
      <t>סך כל הנכסים בניכוי זכאים ויתרות זכות.</t>
    </r>
  </si>
  <si>
    <r>
      <rPr>
        <b/>
        <sz val="10"/>
        <rFont val="David"/>
        <family val="2"/>
      </rPr>
      <t>דמי גמולים משונתים</t>
    </r>
    <r>
      <rPr>
        <sz val="10"/>
        <rFont val="David"/>
        <family val="2"/>
        <charset val="177"/>
      </rPr>
      <t xml:space="preserve">- </t>
    </r>
    <r>
      <rPr>
        <b/>
        <sz val="10"/>
        <color rgb="FFFF0000"/>
        <rFont val="David"/>
        <family val="2"/>
        <charset val="177"/>
      </rPr>
      <t>עבור עמיתים/מבוטחים פעילים שהצטרפו לקופה/לקרן במהלך השנה</t>
    </r>
    <r>
      <rPr>
        <sz val="10"/>
        <rFont val="David"/>
        <family val="2"/>
        <charset val="177"/>
      </rPr>
      <t>. לצורך חישוב דמי הגמולים המשונתים- עבור הפקדות חודשיות- ההפקדה/ החיוב החודשי האחרון  יוכפל ב-12 (יש לשים לה כי מדובר בחיוב בודד בלבד). עבור הפקדות/חיובים  בעלי עיתוי אחר (רבעוני, חצי שנתי וכדומה)- יוכפל במספר הפעמים שאותן הפקדות/חיובים צפויים להופיע במהלך השנה כך שישקפו את דמי הגמולים השנתיים.  דמי גמולים משונתים לא יכללו דמי גמולים חד פעמיים. יובהר כי החישוב זהה בדוח השנתי ובדוח הרבעוני</t>
    </r>
  </si>
  <si>
    <r>
      <rPr>
        <b/>
        <sz val="10"/>
        <rFont val="David"/>
        <family val="2"/>
      </rPr>
      <t>תקבולים מדמי גמולים חד פעמיים</t>
    </r>
    <r>
      <rPr>
        <sz val="10"/>
        <rFont val="David"/>
        <family val="2"/>
        <charset val="177"/>
      </rPr>
      <t>- תקבול של סכום אחד בתקופת הדוח שאינם חלק מההפקדות החודשיות/רבעויות. יש לכלול דמי גמולים חד פעמיים הן בגין מצטרפים חדשים והן בגין עמיתים קיימים, גם במקרה שהחשבון כבר לא קיים בסוף תקופה. הנתון יינתן בנוסף לנתון של תקבולים מדמי גמולים ולא יופחת ממנו.</t>
    </r>
  </si>
  <si>
    <r>
      <rPr>
        <b/>
        <sz val="10"/>
        <rFont val="David"/>
        <family val="2"/>
      </rPr>
      <t>שיעור דמי ניהול</t>
    </r>
    <r>
      <rPr>
        <sz val="10"/>
        <rFont val="David"/>
        <family val="2"/>
        <charset val="177"/>
      </rPr>
      <t xml:space="preserve"> - בגילוי הרבעוני השיעור יוצג במונחים שנתיים. </t>
    </r>
  </si>
  <si>
    <t>Dir1A,Dir1B,Dir1C</t>
  </si>
  <si>
    <t>30.6.18</t>
  </si>
  <si>
    <t>שורת מספר עמיתים שונתה ל-"מספר עמיתים/חשבונות"</t>
  </si>
  <si>
    <t>נמחקו השורות של מספר חשבונות</t>
  </si>
  <si>
    <t>נוספו שורות דיווח עבור מקבלי קצבה קיימים (2004-2017) ופנסיונרים (2018+) בגין מספר עמיתים, נכסים מנוהלים, תשלומים ושיעור עודף (גירעון) אקטוארי</t>
  </si>
  <si>
    <t>הראל פנסיה  וגמל בע"מ</t>
  </si>
  <si>
    <t>31.03.</t>
  </si>
  <si>
    <t>30.06.</t>
  </si>
  <si>
    <t>30.09.</t>
  </si>
  <si>
    <t>31.12.</t>
  </si>
  <si>
    <t>30.11.</t>
  </si>
  <si>
    <t>28.02.</t>
  </si>
  <si>
    <t>31.05.</t>
  </si>
  <si>
    <t>31.08.</t>
  </si>
  <si>
    <t>תיקנתי את הדיווח לשקף 3 תקופות בדיווח רבעוני</t>
  </si>
  <si>
    <t>סה"כ נכסי הסיכון</t>
  </si>
  <si>
    <t>30.6.2018</t>
  </si>
  <si>
    <t>נוסחה בשורה 35 לא כוללת שורה 33 - להוריד את ההגנה ולתקן את הנסוחה</t>
  </si>
  <si>
    <t>banana</t>
  </si>
  <si>
    <t>דיווח של חברה מנהלת</t>
  </si>
  <si>
    <t>grape</t>
  </si>
  <si>
    <t>סה"כ נכסים מנוהלים, נטו</t>
  </si>
  <si>
    <t>סה"כ נכסים מנוהלים, נטו לעומת טופס 101 נספח 1</t>
  </si>
  <si>
    <t>ענפית ללא פיצול מהקרן</t>
  </si>
  <si>
    <t>ענפית עם פיצול מהקרן</t>
  </si>
  <si>
    <t>רגילה</t>
  </si>
  <si>
    <t>של קרן פנסיה וותיקה</t>
  </si>
  <si>
    <t>Fund_Type</t>
  </si>
  <si>
    <t>חברה מנהלת :</t>
  </si>
  <si>
    <t>מדווחים רק בדיווח השנתי</t>
  </si>
  <si>
    <t>Groups</t>
  </si>
  <si>
    <t>תאגיד 1</t>
  </si>
  <si>
    <t>תאגיד 2</t>
  </si>
  <si>
    <t>תאגיד 3</t>
  </si>
  <si>
    <t>תאגיד 4</t>
  </si>
  <si>
    <t>תאגיד 5</t>
  </si>
  <si>
    <t>תאגיד 6</t>
  </si>
  <si>
    <t>תאגיד 7</t>
  </si>
  <si>
    <t>תאגיד 8</t>
  </si>
  <si>
    <t>תאגיד 9</t>
  </si>
  <si>
    <t>תאגיד 10</t>
  </si>
  <si>
    <t>תאגיד 11</t>
  </si>
  <si>
    <t>תאגיד 12</t>
  </si>
  <si>
    <t>תאגיד 13</t>
  </si>
  <si>
    <t>תאגיד 14</t>
  </si>
  <si>
    <t>תאגיד 15</t>
  </si>
  <si>
    <t>תאגיד 16</t>
  </si>
  <si>
    <t>תאגיד 17</t>
  </si>
  <si>
    <t>תאגיד 18</t>
  </si>
  <si>
    <t>תאגיד 19</t>
  </si>
  <si>
    <t>תאגיד 20</t>
  </si>
  <si>
    <t>תאגיד 21</t>
  </si>
  <si>
    <t>תאגיד 22</t>
  </si>
  <si>
    <t>תאגיד 23</t>
  </si>
  <si>
    <t>תאגיד 24</t>
  </si>
  <si>
    <t>תאגיד 25</t>
  </si>
  <si>
    <t>31.12.2018</t>
  </si>
  <si>
    <t>ב. שיעור סך הוצאות ישירות  מממוצע נכסים  (באחוזים)</t>
  </si>
  <si>
    <t>אלוביץ'</t>
  </si>
  <si>
    <t>אליהו</t>
  </si>
  <si>
    <t>אלשטיין</t>
  </si>
  <si>
    <t>אריסון</t>
  </si>
  <si>
    <t>בינו</t>
  </si>
  <si>
    <t>בלווטניק</t>
  </si>
  <si>
    <t>בן משה</t>
  </si>
  <si>
    <t>ברונפמן</t>
  </si>
  <si>
    <t>כצמן</t>
  </si>
  <si>
    <t>לבייב</t>
  </si>
  <si>
    <t>מימון</t>
  </si>
  <si>
    <t>סבן</t>
  </si>
  <si>
    <t>סיידוף</t>
  </si>
  <si>
    <t>עופר, ליאורה</t>
  </si>
  <si>
    <t>עופר,  עידן</t>
  </si>
  <si>
    <t>עזריאלי</t>
  </si>
  <si>
    <t>צוף</t>
  </si>
  <si>
    <t>המבורגר</t>
  </si>
  <si>
    <t>סה"כ מספר עמיתים</t>
  </si>
  <si>
    <t>עדכנתי את המבנה של הדוח - 25 שורות לכל קבוצה ועוד 5 קבוצות,</t>
  </si>
  <si>
    <t>הנוסחאות בשורת הסיכום של כל קבוצה לא מסכמת את השורות שהוספנו</t>
  </si>
  <si>
    <t>'=IF(C37=0,0,C37/((C44+C45+C47)/2))</t>
  </si>
  <si>
    <t xml:space="preserve">הנוסחה בתא  C41 לא נכון.  אמור להיות </t>
  </si>
  <si>
    <t>verify_data</t>
  </si>
  <si>
    <t>checks</t>
  </si>
  <si>
    <t>בשורה 22 בטורים J,K,M צריכים להוסיף שורה 33 לנווסחה</t>
  </si>
  <si>
    <t>עופר, אייל</t>
  </si>
  <si>
    <t>3. יש לשלוח את הקובץ המעודכן דרך אותות</t>
  </si>
  <si>
    <t xml:space="preserve">השינוי </t>
  </si>
  <si>
    <t>שעוקבות אחר מדדי מניות בארץ</t>
  </si>
  <si>
    <t>שעוקבות אחר מדדי מניות בחו"ל</t>
  </si>
  <si>
    <t>שעוקבות אחר מדדי אג"ח בארץ</t>
  </si>
  <si>
    <t>שעוקבות אחר מדדי אג"ח בחו"ל</t>
  </si>
  <si>
    <t>שעוקבות אחר מדדי מניות</t>
  </si>
  <si>
    <t>שעוקבות אחר מדדי אג"ח</t>
  </si>
  <si>
    <t>השקעות בקרנות סל</t>
  </si>
  <si>
    <t>31.12.2019</t>
  </si>
  <si>
    <t>T106</t>
  </si>
  <si>
    <t>תעודות סל עדכנו לקרנות סל</t>
  </si>
  <si>
    <t>הגדרות כלליות</t>
  </si>
  <si>
    <t>מזומנים ופיקדונות</t>
  </si>
  <si>
    <t>מזומנים, שווה מזומנים ופקדונות</t>
  </si>
  <si>
    <t>נכסי סיכון</t>
  </si>
  <si>
    <t>סך הנכסים המנוהלים על ידי הגוף המוסדי, למעט מזומנים ושווי מזומנים, פיקדונות בבנקים בישראל ואיגרות חוב  של מדינת ישראל  כהגדרתן בתקנות כללי השקעה.</t>
  </si>
  <si>
    <t>שדה</t>
  </si>
  <si>
    <t>הנחיות למילוי השדה</t>
  </si>
  <si>
    <t>שם קבוצה/ תאגיד</t>
  </si>
  <si>
    <t>יש לבחור את שם התאגיד/ קבוצת התאגידים מתוך הרשימה בעמודה B (ללחוץ על "בחר"). אם השם לא מופיע ברשימה, יש לרשום את השם החדש בעמודה Q. תחת "הכנס שם חדש". לאחר כתיבת השם בעמודה זו, יופע השם ברשימת השמות לבחירה בעמודה B. יש לחזור לעמודה B. ולבחור את השם שהתווסף באופן ידני. דיווח ברמת תאגיד הינו עבור תאגידים שלא נכללו בדיווח תחת קבוצות תאגידים.</t>
  </si>
  <si>
    <t>יש להזין את שמות התאגידים הכלולים בקבוצת התאגידים, בהן השקיע הגוף המוסדי.</t>
  </si>
  <si>
    <t>יש להזין את מספר התאגיד כפי שמופיע ברשם החברות, בתאגיד הרשום בישראל ולפי המקובל במדינת ההתאגדות, בתאגיד שאינו רשום בישראל; כאשר מדובר בקבוצה- יש למלא את מספר תאגיד של כל תאגיד שכלול בקבוצת התאגידים.</t>
  </si>
  <si>
    <t>יש להציג את סך החשיפה לתאגיד בודד/ לקבוצת התאגידים ולכל תאגיד בודד בקבוצת התאגידים.</t>
  </si>
  <si>
    <t>מתוך סך החשיפה</t>
  </si>
  <si>
    <t>סך החשיפה לתאגיד בודד, קבוצת התאגידים ולכל תאגיד שכלול בקבוצת התאגידים יפורט כחשיפה לפי המכשירים הפיננסיים הבאים: מזומנים ופיקדונות, איגרות חוב (סחירות ובלתי סחירות), הלוואות (לרבות הלוואות שמקורן מעסקאות סינדיקציה וקונסורציום), מניות, ואחר. אין לכלול החזקות בתעודות סל, בקרנות סל ובקרנות נאמנות.</t>
  </si>
  <si>
    <t>יש להציג את שיעור החשיפה לתאגיד בודד/ לקבוצת התאגידים מתוך כלל הנכסים המנוהלים.</t>
  </si>
  <si>
    <t xml:space="preserve">יש להציג את שיעור החשיפה לתאגיד בודד/ לקבוצת התאגידים מתוך נכסי הסיכון. </t>
  </si>
  <si>
    <t>יש להציג את היקף החובות הבעייתיים של התאגיד/ תאגידים בקבוצת התאגידים, שהעניק הגוף המוסדי.</t>
  </si>
  <si>
    <t>ליום</t>
  </si>
  <si>
    <t>סה"כ חשיפות</t>
  </si>
  <si>
    <t>תיקון פרק 3 לחלק 4 של שער 5 לחוזר המאוחד (דיווח לממונה על שוק ההון) - דיווח אודות חובות בעייתיים</t>
  </si>
  <si>
    <t>סה"כ חשיפות לתאגידים גדולים וקבוצות תאגידים</t>
  </si>
  <si>
    <t xml:space="preserve">מזומנים ופיקדונות </t>
  </si>
  <si>
    <t xml:space="preserve">בחר </t>
  </si>
  <si>
    <t>טופס 18 - חשיפה לקבוצות תאגידים - משתתף</t>
  </si>
  <si>
    <t>Names</t>
  </si>
  <si>
    <t>חץ</t>
  </si>
  <si>
    <t>טבע</t>
  </si>
  <si>
    <t>סטפק</t>
  </si>
  <si>
    <t>פתאל</t>
  </si>
  <si>
    <t>הכנס שם חדש</t>
  </si>
  <si>
    <t>הנחיות כלליות</t>
  </si>
  <si>
    <t xml:space="preserve"> סכומים כספיים ידווחו באלפי ₪</t>
  </si>
  <si>
    <t>סה"כ היקף חוב הקונצרני</t>
  </si>
  <si>
    <t>סה"כ היקף ההשקעה של הגוף המוסדי בהלוואות (לרבות קונסורציום) ובאג"ח קונצרניות</t>
  </si>
  <si>
    <t>יש להזין את מספר התאגיד כפי שמופיע ברשם החברות בתאגיד הרשום בישראל ולפי המקובל במדינת ההתאגדות, בתאגיד שאינו רשום בישראל. כאשר מדובר בלווה שאינו תאגיד - מספר תעודת הזהות של הלווה. במקרה של שותפות- יש להזין את מספר השותפות כפי שמופיע ברשם השותפויות בשותפות הרשומה בישראל, ולפי המקובל במדינה המפקחת עבור שותפות זרה.</t>
  </si>
  <si>
    <t>יש להזין את שם מקבל האשראי.</t>
  </si>
  <si>
    <t>שם קבוצת התאגידים</t>
  </si>
  <si>
    <t>יש להזין את שם קבוצת התאגידים המחזיקה במקבלי האשראי.</t>
  </si>
  <si>
    <t>סיווג החוב (חוב בהשגחה מיוחדת, חוב בפיגור, חוב מסופק)</t>
  </si>
  <si>
    <r>
      <t>יש לציין את הסיווג שניתן על ידי הגוף המוסדי - חוב בהשגחה מיוחדת, חוב בפיגור, חוב מסופק (</t>
    </r>
    <r>
      <rPr>
        <sz val="10"/>
        <rFont val="Arial"/>
        <family val="2"/>
        <scheme val="minor"/>
      </rPr>
      <t>עבור חוב בישראל בלבד).</t>
    </r>
  </si>
  <si>
    <t>תאריך סיווג</t>
  </si>
  <si>
    <r>
      <t xml:space="preserve">יש לציין את התאריך שבו החוב סווג כחוב בעייתי. במידה שחל שינוי בסיווג, יש לציין במועד הדיווח את תאריך הסיווג האחרון </t>
    </r>
    <r>
      <rPr>
        <sz val="10"/>
        <rFont val="Arial"/>
        <family val="2"/>
        <scheme val="minor"/>
      </rPr>
      <t>(עבור חוב בישראל בלבד). התאריך ידווח בפורמט הבא: dd/mm/yyyy</t>
    </r>
  </si>
  <si>
    <t>אופן הטיפול בחוב למועד הדיווח</t>
  </si>
  <si>
    <t>משתתף- התקיים דיון בועדת השקעות/לא התקיים דיון בועדת השקעות/ התקיים דיון בועדת אשראי/לא התקיים דיון בועדת אשראי. נוסטרו- מחיקות/ הפרשות לחומ"ס/ אין</t>
  </si>
  <si>
    <t>האם במהלך הרבעון בוצע שינוי מהותי בחוב שלא הביא לכדי שינוי סיווגו?</t>
  </si>
  <si>
    <t>כן/לא (עבור חוב בישראל בלבד)</t>
  </si>
  <si>
    <t>יש להציג את ענף המשק הרלוונטי כפי שמופיע בבורסה (ככל שמוצג תת ענף יצוין תת הענף). תאגידים שאינם נסחרים יסווגו, ע"י הגופים המוסדיים, בהתאם לרשימה המצורפת להלן. יובהר כי תאגיד המסווג לענף משק שאינו מופיע ברשימה, יסווג כ"אחר". כאשר לא ניתן לסווג ענף משק, יסווג כ"ל.ר" (לא רלוונטי).</t>
  </si>
  <si>
    <t>הלוואה מותאמת/ סינדיקציה/ קונסורציום/ אג"ח סחיר/ אג"ח לא סחיר</t>
  </si>
  <si>
    <t>תאריך מתן האשראי המקורי</t>
  </si>
  <si>
    <t xml:space="preserve">יש להזין את תאריך יצירת החוב לראשונה, לרבות הרחבות. בהלוואות יוזן תאריך מתן ההלוואה. באג"ח (סחיר ולא סחיר) יוזן התאריך בו האיגרת נרכשה לראשונה. </t>
  </si>
  <si>
    <t>היקף האשראי המקורי</t>
  </si>
  <si>
    <t>יש להציג את הסכום המקורי של החוב, ואם מדובר בהשקעה לשיעורין אזי הסכום המצטבר. במידה שלא כל החוב שניתן מוגדר כבעייתי, יש לציין בטופס אך ורק את הרכיב שנמצא בעייתי.</t>
  </si>
  <si>
    <t>שיעור תשואה לפידיון במועד העמדת האשראי</t>
  </si>
  <si>
    <t>יש להציג שיעורי תשואה כמספר (ולא, לדוגמא, כ-"פריים+1%") ובאחוזים עם שתי ספרות לאחר הנקודה העשרונית.</t>
  </si>
  <si>
    <t>שיעור תשואה לפידיון למועד הדיווח</t>
  </si>
  <si>
    <t>מח"מ מקורי (שנים)</t>
  </si>
  <si>
    <t xml:space="preserve">מח"מ יוצג בשנים. </t>
  </si>
  <si>
    <t>מח"מ למועד הדיווח (שנים)</t>
  </si>
  <si>
    <r>
      <t xml:space="preserve">מח"מ יוצג בשנים. אם היה הסדר חוב- יוצג המח"מ שנקבע בעת הסדר החוב. אם לא היה הסדר חוב, יוצג המח"מ המקורי </t>
    </r>
    <r>
      <rPr>
        <sz val="10"/>
        <rFont val="Arial"/>
        <family val="2"/>
        <scheme val="minor"/>
      </rPr>
      <t>(עמודה 14</t>
    </r>
    <r>
      <rPr>
        <sz val="10"/>
        <color theme="1"/>
        <rFont val="Arial"/>
        <family val="2"/>
        <scheme val="minor"/>
      </rPr>
      <t>)</t>
    </r>
  </si>
  <si>
    <t xml:space="preserve">הצמדה </t>
  </si>
  <si>
    <t>צמוד למדד/ צמוד למט"ח/ לא צמוד/ נקוב במט"ח</t>
  </si>
  <si>
    <t>יתרת חוב מתואם למועד הדיווח</t>
  </si>
  <si>
    <t>יש להציג יתרה מעודכנת של החוב, נכון למועד הדיווח.</t>
  </si>
  <si>
    <t>דירוג פנימי במועד השקעה ראשונית</t>
  </si>
  <si>
    <t>יצוין הדירוג שניתן, בהתאם לסולם הדירוג של החברה המדרגת.</t>
  </si>
  <si>
    <t>דירוג חיצוני במועד השקעה ראשונית</t>
  </si>
  <si>
    <t>דירוג פנימי עדכני למועד הדיווח</t>
  </si>
  <si>
    <t>דירוג חיצוני עדכני מועד הדיווח</t>
  </si>
  <si>
    <t>דירוג מקומי/ זר</t>
  </si>
  <si>
    <t>בגין דירוג חיצוני עדכני למועד הדיווח- מידרוג/ מעלות S&amp;P/ חו"ל</t>
  </si>
  <si>
    <t>סוג בטוחה</t>
  </si>
  <si>
    <t>מזומנים ופיקדונות/ אג"ח/ נדל"ן/ מניות/ אחר/ אין</t>
  </si>
  <si>
    <t>בטוחה בישראל/בחו"ל</t>
  </si>
  <si>
    <t>ישראל/ חו"ל</t>
  </si>
  <si>
    <t>שווי בטוחות למועד הדיווח</t>
  </si>
  <si>
    <t>יש להציג את שווי הבטוחות נכון למועד הדיווח.</t>
  </si>
  <si>
    <t>                                       דיווח במבנה של  dd/mm/yyyy</t>
  </si>
  <si>
    <t>ארגון מחדש בתנאי החוב בדרך של שינוי תנאי הקרן (לרבות מחיקות)</t>
  </si>
  <si>
    <t>כן/לא</t>
  </si>
  <si>
    <t>ארגון מחדש בתנאי החוב בדרך של שינוי תנאי ריבית</t>
  </si>
  <si>
    <t>(29)</t>
  </si>
  <si>
    <t>ארגון מחדש בתנאי החוב בדרך של שינוי באמות מידה פיננסיות</t>
  </si>
  <si>
    <t>(30)</t>
  </si>
  <si>
    <t xml:space="preserve">ארגון מחדש בתנאי החוב באופן אחר </t>
  </si>
  <si>
    <t>(31)</t>
  </si>
  <si>
    <t>הסבר בדבר הנסיבות שהובילו לשינוי המהותי במצב החוב, לרבות פירוט שינויים שחלו ממועד הדיווח הקודם</t>
  </si>
  <si>
    <t>הסבר מילולי</t>
  </si>
  <si>
    <r>
      <t>·</t>
    </r>
    <r>
      <rPr>
        <sz val="9"/>
        <color theme="1"/>
        <rFont val="Times New Roman"/>
        <family val="1"/>
      </rPr>
      <t xml:space="preserve">         </t>
    </r>
    <r>
      <rPr>
        <sz val="9"/>
        <color theme="1"/>
        <rFont val="David"/>
        <family val="2"/>
      </rPr>
      <t>ביוטכנולוגיה</t>
    </r>
  </si>
  <si>
    <r>
      <t>·</t>
    </r>
    <r>
      <rPr>
        <sz val="9"/>
        <color theme="1"/>
        <rFont val="Times New Roman"/>
        <family val="1"/>
      </rPr>
      <t xml:space="preserve">         </t>
    </r>
    <r>
      <rPr>
        <sz val="9"/>
        <color theme="1"/>
        <rFont val="David"/>
        <family val="2"/>
      </rPr>
      <t>מכשור רפואי</t>
    </r>
  </si>
  <si>
    <r>
      <t>·</t>
    </r>
    <r>
      <rPr>
        <sz val="9"/>
        <color theme="1"/>
        <rFont val="Times New Roman"/>
        <family val="1"/>
      </rPr>
      <t xml:space="preserve">         </t>
    </r>
    <r>
      <rPr>
        <sz val="9"/>
        <color theme="1"/>
        <rFont val="David"/>
        <family val="2"/>
      </rPr>
      <t>השקעות במדעי החיים</t>
    </r>
  </si>
  <si>
    <r>
      <t>·</t>
    </r>
    <r>
      <rPr>
        <sz val="9"/>
        <color theme="1"/>
        <rFont val="Times New Roman"/>
        <family val="1"/>
      </rPr>
      <t xml:space="preserve">         </t>
    </r>
    <r>
      <rPr>
        <sz val="9"/>
        <color theme="1"/>
        <rFont val="David"/>
        <family val="2"/>
      </rPr>
      <t>פארמה</t>
    </r>
  </si>
  <si>
    <r>
      <t>·</t>
    </r>
    <r>
      <rPr>
        <sz val="9"/>
        <color theme="1"/>
        <rFont val="Times New Roman"/>
        <family val="1"/>
      </rPr>
      <t xml:space="preserve">         </t>
    </r>
    <r>
      <rPr>
        <sz val="9"/>
        <color theme="1"/>
        <rFont val="David"/>
        <family val="2"/>
      </rPr>
      <t xml:space="preserve">שירותי מידע </t>
    </r>
  </si>
  <si>
    <r>
      <t>·</t>
    </r>
    <r>
      <rPr>
        <sz val="9"/>
        <color theme="1"/>
        <rFont val="Times New Roman"/>
        <family val="1"/>
      </rPr>
      <t xml:space="preserve">         </t>
    </r>
    <r>
      <rPr>
        <sz val="9"/>
        <color theme="1"/>
        <rFont val="David"/>
        <family val="2"/>
      </rPr>
      <t>תוכנה ואינטרנט</t>
    </r>
  </si>
  <si>
    <r>
      <t>·</t>
    </r>
    <r>
      <rPr>
        <sz val="9"/>
        <color theme="1"/>
        <rFont val="Times New Roman"/>
        <family val="1"/>
      </rPr>
      <t xml:space="preserve">         </t>
    </r>
    <r>
      <rPr>
        <sz val="9"/>
        <color theme="1"/>
        <rFont val="David"/>
        <family val="2"/>
      </rPr>
      <t>אלקטרוניקה ואופטיקה</t>
    </r>
  </si>
  <si>
    <r>
      <t>·</t>
    </r>
    <r>
      <rPr>
        <sz val="9"/>
        <color theme="1"/>
        <rFont val="Times New Roman"/>
        <family val="1"/>
      </rPr>
      <t xml:space="preserve">         </t>
    </r>
    <r>
      <rPr>
        <sz val="9"/>
        <color theme="1"/>
        <rFont val="David"/>
        <family val="2"/>
      </rPr>
      <t>ביטחוניות</t>
    </r>
  </si>
  <si>
    <r>
      <t>·</t>
    </r>
    <r>
      <rPr>
        <sz val="9"/>
        <color theme="1"/>
        <rFont val="Times New Roman"/>
        <family val="1"/>
      </rPr>
      <t xml:space="preserve">         </t>
    </r>
    <r>
      <rPr>
        <sz val="9"/>
        <color theme="1"/>
        <rFont val="David"/>
        <family val="2"/>
      </rPr>
      <t>ציוד תקשורת</t>
    </r>
  </si>
  <si>
    <r>
      <t>·</t>
    </r>
    <r>
      <rPr>
        <sz val="9"/>
        <color theme="1"/>
        <rFont val="Times New Roman"/>
        <family val="1"/>
      </rPr>
      <t xml:space="preserve">         </t>
    </r>
    <r>
      <rPr>
        <sz val="9"/>
        <color theme="1"/>
        <rFont val="David"/>
        <family val="2"/>
      </rPr>
      <t>מוליכים למחצה</t>
    </r>
  </si>
  <si>
    <r>
      <t>·</t>
    </r>
    <r>
      <rPr>
        <sz val="9"/>
        <color theme="1"/>
        <rFont val="Times New Roman"/>
        <family val="1"/>
      </rPr>
      <t xml:space="preserve">         </t>
    </r>
    <r>
      <rPr>
        <sz val="9"/>
        <color theme="1"/>
        <rFont val="David"/>
        <family val="2"/>
      </rPr>
      <t>קלינטק</t>
    </r>
  </si>
  <si>
    <r>
      <t>·</t>
    </r>
    <r>
      <rPr>
        <sz val="9"/>
        <color theme="1"/>
        <rFont val="Times New Roman"/>
        <family val="1"/>
      </rPr>
      <t xml:space="preserve">         </t>
    </r>
    <r>
      <rPr>
        <sz val="9"/>
        <color theme="1"/>
        <rFont val="David"/>
        <family val="2"/>
      </rPr>
      <t>השקעות בהיי-טק</t>
    </r>
  </si>
  <si>
    <r>
      <t>·</t>
    </r>
    <r>
      <rPr>
        <sz val="9"/>
        <color theme="1"/>
        <rFont val="Times New Roman"/>
        <family val="1"/>
      </rPr>
      <t xml:space="preserve">         </t>
    </r>
    <r>
      <rPr>
        <sz val="9"/>
        <color theme="1"/>
        <rFont val="David"/>
        <family val="2"/>
      </rPr>
      <t>קרנות היי טק</t>
    </r>
  </si>
  <si>
    <r>
      <t>·</t>
    </r>
    <r>
      <rPr>
        <sz val="9"/>
        <color theme="1"/>
        <rFont val="Times New Roman"/>
        <family val="1"/>
      </rPr>
      <t xml:space="preserve">         </t>
    </r>
    <r>
      <rPr>
        <sz val="9"/>
        <color theme="1"/>
        <rFont val="David"/>
        <family val="2"/>
      </rPr>
      <t>בנקים</t>
    </r>
  </si>
  <si>
    <r>
      <t>·</t>
    </r>
    <r>
      <rPr>
        <sz val="9"/>
        <color theme="1"/>
        <rFont val="Times New Roman"/>
        <family val="1"/>
      </rPr>
      <t xml:space="preserve">         </t>
    </r>
    <r>
      <rPr>
        <sz val="9"/>
        <color theme="1"/>
        <rFont val="David"/>
        <family val="2"/>
      </rPr>
      <t>ביטוח</t>
    </r>
  </si>
  <si>
    <r>
      <t>·</t>
    </r>
    <r>
      <rPr>
        <sz val="9"/>
        <color theme="1"/>
        <rFont val="Times New Roman"/>
        <family val="1"/>
      </rPr>
      <t xml:space="preserve">         </t>
    </r>
    <r>
      <rPr>
        <sz val="9"/>
        <color theme="1"/>
        <rFont val="David"/>
        <family val="2"/>
      </rPr>
      <t>שירותים פיננסיים</t>
    </r>
  </si>
  <si>
    <r>
      <t>·</t>
    </r>
    <r>
      <rPr>
        <sz val="9"/>
        <color theme="1"/>
        <rFont val="Times New Roman"/>
        <family val="1"/>
      </rPr>
      <t xml:space="preserve">         </t>
    </r>
    <r>
      <rPr>
        <sz val="9"/>
        <color theme="1"/>
        <rFont val="David"/>
        <family val="2"/>
      </rPr>
      <t>מסחר</t>
    </r>
  </si>
  <si>
    <r>
      <t>·</t>
    </r>
    <r>
      <rPr>
        <sz val="9"/>
        <color theme="1"/>
        <rFont val="Times New Roman"/>
        <family val="1"/>
      </rPr>
      <t xml:space="preserve">         </t>
    </r>
    <r>
      <rPr>
        <sz val="9"/>
        <color theme="1"/>
        <rFont val="David"/>
        <family val="2"/>
      </rPr>
      <t>שירותים</t>
    </r>
  </si>
  <si>
    <r>
      <t>·</t>
    </r>
    <r>
      <rPr>
        <sz val="9"/>
        <color theme="1"/>
        <rFont val="Times New Roman"/>
        <family val="1"/>
      </rPr>
      <t xml:space="preserve">         </t>
    </r>
    <r>
      <rPr>
        <sz val="9"/>
        <color theme="1"/>
        <rFont val="David"/>
        <family val="2"/>
      </rPr>
      <t>מלונאות ותיירות</t>
    </r>
  </si>
  <si>
    <r>
      <t>·</t>
    </r>
    <r>
      <rPr>
        <sz val="9"/>
        <color theme="1"/>
        <rFont val="Times New Roman"/>
        <family val="1"/>
      </rPr>
      <t xml:space="preserve">         </t>
    </r>
    <r>
      <rPr>
        <sz val="9"/>
        <color theme="1"/>
        <rFont val="David"/>
        <family val="2"/>
      </rPr>
      <t>תקשורת ומדיה</t>
    </r>
  </si>
  <si>
    <r>
      <t>·</t>
    </r>
    <r>
      <rPr>
        <sz val="9"/>
        <color theme="1"/>
        <rFont val="Times New Roman"/>
        <family val="1"/>
      </rPr>
      <t xml:space="preserve">         </t>
    </r>
    <r>
      <rPr>
        <sz val="9"/>
        <color theme="1"/>
        <rFont val="David"/>
        <family val="2"/>
      </rPr>
      <t>נדל"ן מניב</t>
    </r>
  </si>
  <si>
    <r>
      <t>·</t>
    </r>
    <r>
      <rPr>
        <sz val="9"/>
        <color theme="1"/>
        <rFont val="Times New Roman"/>
        <family val="1"/>
      </rPr>
      <t xml:space="preserve">         </t>
    </r>
    <r>
      <rPr>
        <sz val="9"/>
        <color theme="1"/>
        <rFont val="David"/>
        <family val="2"/>
      </rPr>
      <t>בנייה</t>
    </r>
  </si>
  <si>
    <r>
      <t>·</t>
    </r>
    <r>
      <rPr>
        <sz val="9"/>
        <color theme="1"/>
        <rFont val="Times New Roman"/>
        <family val="1"/>
      </rPr>
      <t xml:space="preserve">         </t>
    </r>
    <r>
      <rPr>
        <sz val="9"/>
        <color theme="1"/>
        <rFont val="David"/>
        <family val="2"/>
      </rPr>
      <t>מזון</t>
    </r>
  </si>
  <si>
    <r>
      <t>·</t>
    </r>
    <r>
      <rPr>
        <sz val="9"/>
        <color theme="1"/>
        <rFont val="Times New Roman"/>
        <family val="1"/>
      </rPr>
      <t xml:space="preserve">         </t>
    </r>
    <r>
      <rPr>
        <sz val="9"/>
        <color theme="1"/>
        <rFont val="David"/>
        <family val="2"/>
      </rPr>
      <t>אופנה והלבשה</t>
    </r>
  </si>
  <si>
    <r>
      <t>·</t>
    </r>
    <r>
      <rPr>
        <sz val="9"/>
        <color theme="1"/>
        <rFont val="Times New Roman"/>
        <family val="1"/>
      </rPr>
      <t xml:space="preserve">         </t>
    </r>
    <r>
      <rPr>
        <sz val="9"/>
        <color theme="1"/>
        <rFont val="David"/>
        <family val="2"/>
      </rPr>
      <t>מתכת ומוצרי בניה</t>
    </r>
  </si>
  <si>
    <r>
      <t>·</t>
    </r>
    <r>
      <rPr>
        <sz val="9"/>
        <color theme="1"/>
        <rFont val="Times New Roman"/>
        <family val="1"/>
      </rPr>
      <t xml:space="preserve">         </t>
    </r>
    <r>
      <rPr>
        <sz val="9"/>
        <color theme="1"/>
        <rFont val="David"/>
        <family val="2"/>
      </rPr>
      <t>חשמל</t>
    </r>
  </si>
  <si>
    <r>
      <t>·</t>
    </r>
    <r>
      <rPr>
        <sz val="9"/>
        <color theme="1"/>
        <rFont val="Times New Roman"/>
        <family val="1"/>
      </rPr>
      <t xml:space="preserve">         </t>
    </r>
    <r>
      <rPr>
        <sz val="9"/>
        <color theme="1"/>
        <rFont val="David"/>
        <family val="2"/>
      </rPr>
      <t>כימיה, גומי ופלסטיק</t>
    </r>
  </si>
  <si>
    <r>
      <t>·</t>
    </r>
    <r>
      <rPr>
        <sz val="9"/>
        <color theme="1"/>
        <rFont val="Times New Roman"/>
        <family val="1"/>
      </rPr>
      <t xml:space="preserve">         </t>
    </r>
    <r>
      <rPr>
        <sz val="9"/>
        <color theme="1"/>
        <rFont val="David"/>
        <family val="2"/>
      </rPr>
      <t>עץ, נייר ודפוס</t>
    </r>
  </si>
  <si>
    <r>
      <t>·</t>
    </r>
    <r>
      <rPr>
        <sz val="9"/>
        <color theme="1"/>
        <rFont val="Times New Roman"/>
        <family val="1"/>
      </rPr>
      <t xml:space="preserve">         </t>
    </r>
    <r>
      <rPr>
        <sz val="9"/>
        <color theme="1"/>
        <rFont val="David"/>
        <family val="2"/>
      </rPr>
      <t>השקעה ואחזקות</t>
    </r>
  </si>
  <si>
    <r>
      <t>·</t>
    </r>
    <r>
      <rPr>
        <sz val="9"/>
        <color theme="1"/>
        <rFont val="Times New Roman"/>
        <family val="1"/>
      </rPr>
      <t xml:space="preserve">         </t>
    </r>
    <r>
      <rPr>
        <sz val="9"/>
        <color theme="1"/>
        <rFont val="David"/>
        <family val="2"/>
      </rPr>
      <t xml:space="preserve">חברות מעטפת </t>
    </r>
  </si>
  <si>
    <r>
      <t>·</t>
    </r>
    <r>
      <rPr>
        <sz val="9"/>
        <color theme="1"/>
        <rFont val="Times New Roman"/>
        <family val="1"/>
      </rPr>
      <t xml:space="preserve">         </t>
    </r>
    <r>
      <rPr>
        <sz val="9"/>
        <color theme="1"/>
        <rFont val="David"/>
        <family val="2"/>
      </rPr>
      <t>חיפושי נפט וגז</t>
    </r>
  </si>
  <si>
    <r>
      <t>·</t>
    </r>
    <r>
      <rPr>
        <sz val="9"/>
        <color theme="1"/>
        <rFont val="Times New Roman"/>
        <family val="1"/>
      </rPr>
      <t xml:space="preserve">         </t>
    </r>
    <r>
      <rPr>
        <sz val="9"/>
        <color theme="1"/>
        <rFont val="David"/>
        <family val="2"/>
      </rPr>
      <t>אנרגיה</t>
    </r>
  </si>
  <si>
    <r>
      <t>·</t>
    </r>
    <r>
      <rPr>
        <sz val="9"/>
        <color theme="1"/>
        <rFont val="Times New Roman"/>
        <family val="1"/>
      </rPr>
      <t xml:space="preserve">         </t>
    </r>
    <r>
      <rPr>
        <sz val="9"/>
        <color theme="1"/>
        <rFont val="David"/>
        <family val="2"/>
      </rPr>
      <t>קרנות סל</t>
    </r>
  </si>
  <si>
    <r>
      <t>·</t>
    </r>
    <r>
      <rPr>
        <sz val="9"/>
        <color theme="1"/>
        <rFont val="Times New Roman"/>
        <family val="1"/>
      </rPr>
      <t xml:space="preserve">         </t>
    </r>
    <r>
      <rPr>
        <sz val="9"/>
        <color theme="1"/>
        <rFont val="David"/>
        <family val="2"/>
      </rPr>
      <t>אג"ח מובנות</t>
    </r>
  </si>
  <si>
    <r>
      <t>·</t>
    </r>
    <r>
      <rPr>
        <sz val="9"/>
        <color theme="1"/>
        <rFont val="Times New Roman"/>
        <family val="1"/>
      </rPr>
      <t xml:space="preserve">         </t>
    </r>
    <r>
      <rPr>
        <sz val="9"/>
        <color theme="1"/>
        <rFont val="David"/>
        <family val="2"/>
      </rPr>
      <t>רשויות מקומות</t>
    </r>
  </si>
  <si>
    <r>
      <t>·</t>
    </r>
    <r>
      <rPr>
        <sz val="9"/>
        <color theme="1"/>
        <rFont val="Times New Roman"/>
        <family val="1"/>
      </rPr>
      <t xml:space="preserve">         </t>
    </r>
    <r>
      <rPr>
        <sz val="9"/>
        <color theme="1"/>
        <rFont val="David"/>
        <family val="2"/>
      </rPr>
      <t>אחר</t>
    </r>
  </si>
  <si>
    <r>
      <t>·</t>
    </r>
    <r>
      <rPr>
        <sz val="9"/>
        <color theme="1"/>
        <rFont val="Times New Roman"/>
        <family val="1"/>
      </rPr>
      <t xml:space="preserve">         </t>
    </r>
    <r>
      <rPr>
        <sz val="9"/>
        <color theme="1"/>
        <rFont val="David"/>
        <family val="2"/>
      </rPr>
      <t>ל.ר</t>
    </r>
  </si>
  <si>
    <r>
      <t>·</t>
    </r>
    <r>
      <rPr>
        <sz val="9"/>
        <color theme="1"/>
        <rFont val="Times New Roman"/>
        <family val="1"/>
      </rPr>
      <t>         Energy</t>
    </r>
  </si>
  <si>
    <r>
      <t>·</t>
    </r>
    <r>
      <rPr>
        <sz val="9"/>
        <color theme="1"/>
        <rFont val="Times New Roman"/>
        <family val="1"/>
      </rPr>
      <t>         Materials</t>
    </r>
  </si>
  <si>
    <r>
      <t>·</t>
    </r>
    <r>
      <rPr>
        <sz val="9"/>
        <color theme="1"/>
        <rFont val="Times New Roman"/>
        <family val="1"/>
      </rPr>
      <t>         Capital Goods</t>
    </r>
  </si>
  <si>
    <r>
      <t>·</t>
    </r>
    <r>
      <rPr>
        <sz val="9"/>
        <color theme="1"/>
        <rFont val="Times New Roman"/>
        <family val="1"/>
      </rPr>
      <t>         Commercial &amp; Professional Services</t>
    </r>
  </si>
  <si>
    <r>
      <t>·</t>
    </r>
    <r>
      <rPr>
        <sz val="9"/>
        <color theme="1"/>
        <rFont val="Times New Roman"/>
        <family val="1"/>
      </rPr>
      <t>         Transportation</t>
    </r>
  </si>
  <si>
    <r>
      <t>·</t>
    </r>
    <r>
      <rPr>
        <sz val="9"/>
        <color theme="1"/>
        <rFont val="Times New Roman"/>
        <family val="1"/>
      </rPr>
      <t>         Automobiles &amp; Components</t>
    </r>
  </si>
  <si>
    <r>
      <t>·</t>
    </r>
    <r>
      <rPr>
        <sz val="9"/>
        <color theme="1"/>
        <rFont val="Times New Roman"/>
        <family val="1"/>
      </rPr>
      <t>         Consumer Durables &amp; Apparel</t>
    </r>
  </si>
  <si>
    <r>
      <t>·</t>
    </r>
    <r>
      <rPr>
        <sz val="9"/>
        <color theme="1"/>
        <rFont val="Times New Roman"/>
        <family val="1"/>
      </rPr>
      <t>         Hotels Restaurants &amp; Leisure</t>
    </r>
  </si>
  <si>
    <r>
      <t>·</t>
    </r>
    <r>
      <rPr>
        <sz val="9"/>
        <color theme="1"/>
        <rFont val="Times New Roman"/>
        <family val="1"/>
      </rPr>
      <t>         Media</t>
    </r>
  </si>
  <si>
    <r>
      <t>·</t>
    </r>
    <r>
      <rPr>
        <sz val="9"/>
        <color theme="1"/>
        <rFont val="Times New Roman"/>
        <family val="1"/>
      </rPr>
      <t>         Retailing</t>
    </r>
  </si>
  <si>
    <r>
      <t>·</t>
    </r>
    <r>
      <rPr>
        <sz val="9"/>
        <color theme="1"/>
        <rFont val="Times New Roman"/>
        <family val="1"/>
      </rPr>
      <t>         Food &amp; Staples Retailing</t>
    </r>
  </si>
  <si>
    <r>
      <t>·</t>
    </r>
    <r>
      <rPr>
        <sz val="9"/>
        <color theme="1"/>
        <rFont val="Times New Roman"/>
        <family val="1"/>
      </rPr>
      <t>         Food, Beverage &amp; Tobacco</t>
    </r>
  </si>
  <si>
    <r>
      <t>·</t>
    </r>
    <r>
      <rPr>
        <sz val="9"/>
        <color theme="1"/>
        <rFont val="Times New Roman"/>
        <family val="1"/>
      </rPr>
      <t>         Household &amp; Personal Products</t>
    </r>
  </si>
  <si>
    <r>
      <t>·</t>
    </r>
    <r>
      <rPr>
        <sz val="9"/>
        <color theme="1"/>
        <rFont val="Times New Roman"/>
        <family val="1"/>
      </rPr>
      <t>         Health Care Equipment &amp; Services</t>
    </r>
  </si>
  <si>
    <r>
      <t>·</t>
    </r>
    <r>
      <rPr>
        <sz val="9"/>
        <color theme="1"/>
        <rFont val="Times New Roman"/>
        <family val="1"/>
      </rPr>
      <t>         Pharmaceuticals &amp; Biotechnology</t>
    </r>
  </si>
  <si>
    <r>
      <t>·</t>
    </r>
    <r>
      <rPr>
        <sz val="9"/>
        <color theme="1"/>
        <rFont val="Times New Roman"/>
        <family val="1"/>
      </rPr>
      <t>         Banks</t>
    </r>
  </si>
  <si>
    <r>
      <t>·</t>
    </r>
    <r>
      <rPr>
        <sz val="9"/>
        <color theme="1"/>
        <rFont val="Times New Roman"/>
        <family val="1"/>
      </rPr>
      <t>         Diversified Financials</t>
    </r>
  </si>
  <si>
    <r>
      <t>·</t>
    </r>
    <r>
      <rPr>
        <sz val="9"/>
        <color theme="1"/>
        <rFont val="Times New Roman"/>
        <family val="1"/>
      </rPr>
      <t>         Insurance</t>
    </r>
  </si>
  <si>
    <r>
      <t>·</t>
    </r>
    <r>
      <rPr>
        <sz val="9"/>
        <color theme="1"/>
        <rFont val="Times New Roman"/>
        <family val="1"/>
      </rPr>
      <t>         Real Estate</t>
    </r>
  </si>
  <si>
    <r>
      <t>·</t>
    </r>
    <r>
      <rPr>
        <sz val="9"/>
        <color theme="1"/>
        <rFont val="Times New Roman"/>
        <family val="1"/>
      </rPr>
      <t>         Software &amp; Services</t>
    </r>
  </si>
  <si>
    <r>
      <t>·</t>
    </r>
    <r>
      <rPr>
        <sz val="9"/>
        <color theme="1"/>
        <rFont val="Times New Roman"/>
        <family val="1"/>
      </rPr>
      <t>         Technology Hardware &amp; Equipment</t>
    </r>
  </si>
  <si>
    <r>
      <t>·</t>
    </r>
    <r>
      <rPr>
        <sz val="9"/>
        <color theme="1"/>
        <rFont val="Times New Roman"/>
        <family val="1"/>
      </rPr>
      <t>         Semiconductors &amp; Semiconductor Equipment</t>
    </r>
  </si>
  <si>
    <r>
      <t>·</t>
    </r>
    <r>
      <rPr>
        <sz val="9"/>
        <color theme="1"/>
        <rFont val="Times New Roman"/>
        <family val="1"/>
      </rPr>
      <t>         Telecommunication Services</t>
    </r>
  </si>
  <si>
    <r>
      <t>·</t>
    </r>
    <r>
      <rPr>
        <sz val="9"/>
        <color theme="1"/>
        <rFont val="Times New Roman"/>
        <family val="1"/>
      </rPr>
      <t>         Utilities</t>
    </r>
  </si>
  <si>
    <r>
      <t>·</t>
    </r>
    <r>
      <rPr>
        <sz val="9"/>
        <color theme="1"/>
        <rFont val="Times New Roman"/>
        <family val="1"/>
      </rPr>
      <t>         Other</t>
    </r>
  </si>
  <si>
    <t>סה"כ היקף חוב בהשגחה מיוחדת</t>
  </si>
  <si>
    <t>סה"כ היקף חוב בפיגור</t>
  </si>
  <si>
    <t>סה"כ היקף חוב מסופק</t>
  </si>
  <si>
    <t>סה"כ היקף חובות בעייתיים</t>
  </si>
  <si>
    <t xml:space="preserve">סה"כ היקף חובות בעייתיים </t>
  </si>
  <si>
    <t xml:space="preserve">סה"כ היקף החוב הקונצרני </t>
  </si>
  <si>
    <t xml:space="preserve">ארגון מחדש בתנאי החוב בדרך של שינוי </t>
  </si>
  <si>
    <t>סיווג חוב בישראל (חוב בהשגחה מיוחדת, חוב בפיגור, חוב מסופק)</t>
  </si>
  <si>
    <t>אופן הטיפול בחוב בספרי הגוף המוסדי למועד הדיווח</t>
  </si>
  <si>
    <t>האם במהלך הרבעון בוצע שינוי מהותי בחוב בישראל שלא הביא לכדי שינוי סיווגו?</t>
  </si>
  <si>
    <t>תנאי הקרן (לרבות מחיקות)</t>
  </si>
  <si>
    <t>תנאי ריבית</t>
  </si>
  <si>
    <t>אמות מידה פיננסיות</t>
  </si>
  <si>
    <t xml:space="preserve">באופן אחר </t>
  </si>
  <si>
    <t>dd/mm/yyyy</t>
  </si>
  <si>
    <t>טופס 16 דיווח אודות חובות בעייתיים - משתתף</t>
  </si>
  <si>
    <t>16א חובות בעייתיים  - ישראל</t>
  </si>
  <si>
    <t>16ב חובות בעייתיים משתתף  - חו"ל</t>
  </si>
  <si>
    <t xml:space="preserve"> 16ג חובות בעייתיים משתתף </t>
  </si>
  <si>
    <t>Type_Debt</t>
  </si>
  <si>
    <t>Indexed</t>
  </si>
  <si>
    <t>B_List</t>
  </si>
  <si>
    <t>CH_List</t>
  </si>
  <si>
    <t>Change</t>
  </si>
  <si>
    <t>Category</t>
  </si>
  <si>
    <t>Rating_Agency</t>
  </si>
  <si>
    <t xml:space="preserve">location </t>
  </si>
  <si>
    <t>Discuss</t>
  </si>
  <si>
    <t>ביוטכנולוגיה</t>
  </si>
  <si>
    <t>הלוואה מותאמת</t>
  </si>
  <si>
    <t>צמוד למדד</t>
  </si>
  <si>
    <t>מזומנים ופקדונות</t>
  </si>
  <si>
    <t>מחיקות</t>
  </si>
  <si>
    <t>השגחה מיוחדת</t>
  </si>
  <si>
    <t>מידרוג</t>
  </si>
  <si>
    <t>התקיים דיון בועדת השקעות</t>
  </si>
  <si>
    <t>מכשור רפואי</t>
  </si>
  <si>
    <t>סינדיקציה/ קונסורציום</t>
  </si>
  <si>
    <t>צמוד למט"ח</t>
  </si>
  <si>
    <t>הפרשות לחומ"ס</t>
  </si>
  <si>
    <t>בפיגור</t>
  </si>
  <si>
    <t xml:space="preserve">S&amp;P מעלות </t>
  </si>
  <si>
    <t>לא התקיים דיון בועדת השקעות</t>
  </si>
  <si>
    <t>השקעות במדעי החיים</t>
  </si>
  <si>
    <t>ארגון מחדש של החוב</t>
  </si>
  <si>
    <t>מסופק</t>
  </si>
  <si>
    <t>ישראל וחו"ל</t>
  </si>
  <si>
    <t>התקיים דיון בועדת אשראי</t>
  </si>
  <si>
    <t>פארמה</t>
  </si>
  <si>
    <t>נקוב במט"ח</t>
  </si>
  <si>
    <t>שינויים באמות מידה פיננסיות</t>
  </si>
  <si>
    <t>לא התקיים דיון בועדת אשראי</t>
  </si>
  <si>
    <t xml:space="preserve">שירותי מידע </t>
  </si>
  <si>
    <t>התקיים דיון בועדת אשראי ובועדת השקעות</t>
  </si>
  <si>
    <t>תוכנה ואינטרנט</t>
  </si>
  <si>
    <t>אין</t>
  </si>
  <si>
    <t>לא התקיים דיון בועדת אשראי ובועדת השקעות</t>
  </si>
  <si>
    <t>אלקטרוניקה ואופטיקה</t>
  </si>
  <si>
    <t>ביטחוניות</t>
  </si>
  <si>
    <t>ציוד תקשורת</t>
  </si>
  <si>
    <t>מוליכים למחצה</t>
  </si>
  <si>
    <t>קלינטק</t>
  </si>
  <si>
    <t>השקעות בהיי-טק</t>
  </si>
  <si>
    <t>קרנות היי טק</t>
  </si>
  <si>
    <t>שירותים</t>
  </si>
  <si>
    <t>תקשורת ומדיה</t>
  </si>
  <si>
    <t>נדל"ן מניב</t>
  </si>
  <si>
    <t>בנייה</t>
  </si>
  <si>
    <t>מזון</t>
  </si>
  <si>
    <t>NR/ NA</t>
  </si>
  <si>
    <t>אופנה והלבשה</t>
  </si>
  <si>
    <t>מתכת ומוצרי בניה</t>
  </si>
  <si>
    <t>חשמל</t>
  </si>
  <si>
    <t>כימיה, גומי ופלסטיק</t>
  </si>
  <si>
    <t>עץ, ניייר ודפוס</t>
  </si>
  <si>
    <t>השקעה ואחזקות</t>
  </si>
  <si>
    <t xml:space="preserve">חברות מעטפת </t>
  </si>
  <si>
    <t>חיפושי נפט וגז</t>
  </si>
  <si>
    <t>אנרגיה</t>
  </si>
  <si>
    <t>קרנות סל</t>
  </si>
  <si>
    <t>אג"ח מובנות</t>
  </si>
  <si>
    <t>רשויות מקומות</t>
  </si>
  <si>
    <t>ל.ר</t>
  </si>
  <si>
    <t>Energy</t>
  </si>
  <si>
    <t>Materials</t>
  </si>
  <si>
    <t>Capital Goods</t>
  </si>
  <si>
    <t>Commercial &amp; Professional Services</t>
  </si>
  <si>
    <t>Transportation</t>
  </si>
  <si>
    <t>Automobiles &amp; Components</t>
  </si>
  <si>
    <t>Consumer Durables &amp; Apparel</t>
  </si>
  <si>
    <t>Hotels Restaurants &amp; Leisure</t>
  </si>
  <si>
    <t>Media</t>
  </si>
  <si>
    <t>Retailing</t>
  </si>
  <si>
    <t>Food &amp; Staples Retailing</t>
  </si>
  <si>
    <t>Food, Beverage &amp; Tobacco</t>
  </si>
  <si>
    <t>Household &amp; Personal Products</t>
  </si>
  <si>
    <t>Health Care Equipment &amp; Services</t>
  </si>
  <si>
    <t>Pharmaceuticals &amp; Biotechnology</t>
  </si>
  <si>
    <t>Banks</t>
  </si>
  <si>
    <t>Diversified Financials</t>
  </si>
  <si>
    <t>Insurance</t>
  </si>
  <si>
    <t>Real Estate</t>
  </si>
  <si>
    <t>Software &amp; Services</t>
  </si>
  <si>
    <t>Technology Hardware &amp; Equipment</t>
  </si>
  <si>
    <t>Semiconductors &amp; Semiconductor Equipment</t>
  </si>
  <si>
    <t>Telecommunication Services</t>
  </si>
  <si>
    <t>Utilities</t>
  </si>
  <si>
    <t>Other</t>
  </si>
  <si>
    <t>31.03.2020</t>
  </si>
  <si>
    <t>V_Q120</t>
  </si>
  <si>
    <t>עודכן</t>
  </si>
  <si>
    <t>מור קופות גמל  בע"מ</t>
  </si>
  <si>
    <t>לא רלוונטי עבור חברה מנהלת</t>
  </si>
  <si>
    <t>B</t>
  </si>
  <si>
    <t>לפחות אחד השמות של הקבוצה \ תאגיד לא ברשמיה Names</t>
  </si>
  <si>
    <t xml:space="preserve">Mess18 </t>
  </si>
  <si>
    <t>אורמת</t>
  </si>
  <si>
    <t>איסתא</t>
  </si>
  <si>
    <t>אלייד</t>
  </si>
  <si>
    <t>אנלייט</t>
  </si>
  <si>
    <t>אקירוב</t>
  </si>
  <si>
    <t>גלטין</t>
  </si>
  <si>
    <t>דיסקונט</t>
  </si>
  <si>
    <t>הפועלים</t>
  </si>
  <si>
    <t>ורטהיים, דוד</t>
  </si>
  <si>
    <t>ורטהיים, דרורית</t>
  </si>
  <si>
    <t>זלקינד</t>
  </si>
  <si>
    <t>חברות ממשלתיות</t>
  </si>
  <si>
    <t>לאומי</t>
  </si>
  <si>
    <t>נפתלי</t>
  </si>
  <si>
    <t>נקש</t>
  </si>
  <si>
    <t>סנטרברידג'</t>
  </si>
  <si>
    <t>סרצ'לייט</t>
  </si>
  <si>
    <t>פדרמן</t>
  </si>
  <si>
    <t>פוגל</t>
  </si>
  <si>
    <t>פורר</t>
  </si>
  <si>
    <t>קרן הליוס</t>
  </si>
  <si>
    <t>קרן נוי</t>
  </si>
  <si>
    <t>קרן תש"י</t>
  </si>
  <si>
    <t>ריט 1</t>
  </si>
  <si>
    <t>שטראוס</t>
  </si>
  <si>
    <t>שניידמן</t>
  </si>
  <si>
    <t>BlackRock</t>
  </si>
  <si>
    <t>J.P. Morgan</t>
  </si>
  <si>
    <t>Nvidia</t>
  </si>
  <si>
    <t>Vanguard</t>
  </si>
  <si>
    <r>
      <rPr>
        <b/>
        <sz val="11"/>
        <color rgb="FFFFFFFF"/>
        <rFont val="Tahoma"/>
        <family val="2"/>
      </rPr>
      <t xml:space="preserve">סטטוס
</t>
    </r>
    <r>
      <rPr>
        <b/>
        <sz val="11"/>
        <color rgb="FFFFFFFF"/>
        <rFont val="Tahoma"/>
        <family val="2"/>
      </rPr>
      <t>המסלול</t>
    </r>
  </si>
  <si>
    <t>תאריך  סגירת מסלול</t>
  </si>
  <si>
    <t>תאריך אישור מסלול</t>
  </si>
  <si>
    <t>התמחות משנית</t>
  </si>
  <si>
    <t>התמחות ראשית</t>
  </si>
  <si>
    <t>סוג מסלול</t>
  </si>
  <si>
    <t>שם ארוך</t>
  </si>
  <si>
    <t xml:space="preserve">מספר מסלול </t>
  </si>
  <si>
    <t>שם חברה מתפעלת</t>
  </si>
  <si>
    <t>שם תאגיד שולט</t>
  </si>
  <si>
    <t>מספר תאגיד שולט</t>
  </si>
  <si>
    <t>מספר חברה מנהלת</t>
  </si>
  <si>
    <t>תחום</t>
  </si>
  <si>
    <t>קל גמל קופת גמל לחסכון מדרגות עד 50</t>
  </si>
  <si>
    <t>קל גמל קופת גמל לחסכון</t>
  </si>
  <si>
    <t>אפ.אמ.אר תפעול</t>
  </si>
  <si>
    <t>ליבורנה</t>
  </si>
  <si>
    <t>514741552</t>
  </si>
  <si>
    <t xml:space="preserve">סלייס גמל בע"מ </t>
  </si>
  <si>
    <t>קל גמל קופת גמל לחסכון מדרגות 50-60</t>
  </si>
  <si>
    <t>קל גמל קופת גמל לחסכון מדרגות 60 ומעלה</t>
  </si>
  <si>
    <t>קל גמל קופת גמל לחסכון אג"ח אג"ח</t>
  </si>
  <si>
    <t xml:space="preserve">קל גמל קופת גמל לחסכון מניות מניות </t>
  </si>
  <si>
    <t>קל גמל קופת גמל לחסכון חו"ל חו"ל</t>
  </si>
  <si>
    <t>קל גמל קופת גמל לחסכון מדד אג"ח</t>
  </si>
  <si>
    <t>קל גמל קופת גמל לחסכון מדד מניות</t>
  </si>
  <si>
    <t>קל גמל קופת גמל לחסכון מדד מניות ישראל</t>
  </si>
  <si>
    <t>קל גמל קופת גמל לחסכון מדד אג"ח ישראל</t>
  </si>
  <si>
    <t>קל גמל קופת גמל לחסכון מדד חו"ל</t>
  </si>
  <si>
    <t>קל גמל קופת גמל לחסכון אג"ח צמוד מדד בינוני</t>
  </si>
  <si>
    <t>קל השתלמות חו"ל חו"ל</t>
  </si>
  <si>
    <t>קל השתלמות חו"ל פאסיבי</t>
  </si>
  <si>
    <t>קל השתלמות מדד חו"ל</t>
  </si>
  <si>
    <t>קל השתלמות מדד אג"ח ישראל</t>
  </si>
  <si>
    <t>קל השתלמות מדד מניות ישראל</t>
  </si>
  <si>
    <t>קל השתלמות מניות פאסיבי</t>
  </si>
  <si>
    <t>קל השתלמות אג"ח פאסיבי</t>
  </si>
  <si>
    <t>קל השתלמות אג"ח אג"ח</t>
  </si>
  <si>
    <t>קל השתלמות כללי פאסיבי</t>
  </si>
  <si>
    <t>קל השתלמות אג"ח צמוד מדד בינוני</t>
  </si>
  <si>
    <t>ילין לפידות החזקות בע"מ</t>
  </si>
  <si>
    <t>513167346</t>
  </si>
  <si>
    <t>פסגות בית השקעות בע"מ</t>
  </si>
  <si>
    <t>513767079</t>
  </si>
  <si>
    <t>אינפיניטי חיסכון לילד - הלכה</t>
  </si>
  <si>
    <t>אינפיניטי ניהול תיקי השקעות (בישראל ובעולם) בע"מ</t>
  </si>
  <si>
    <t>512475104</t>
  </si>
  <si>
    <t>בנק מזרחי טפחות בע"מ</t>
  </si>
  <si>
    <t>הלמן אלדובי פיננסים בע"מ</t>
  </si>
  <si>
    <t>513163105</t>
  </si>
  <si>
    <t>מיטב דש השקעות בע"מ</t>
  </si>
  <si>
    <t>520043795</t>
  </si>
  <si>
    <t>אלטשולר שחם בע"מ</t>
  </si>
  <si>
    <t>511446551</t>
  </si>
  <si>
    <t>מנורה מבטחים החזקות בע"מ</t>
  </si>
  <si>
    <t>520007469</t>
  </si>
  <si>
    <t>הפניקס אחזקות</t>
  </si>
  <si>
    <t>520017450</t>
  </si>
  <si>
    <t xml:space="preserve">הפניקס אקסלנס פנסיה וגמל בע"מ </t>
  </si>
  <si>
    <t>שלמה אליהו אחזקות בע"מ</t>
  </si>
  <si>
    <t>510464803</t>
  </si>
  <si>
    <t>הבנק הבינלאומי הראשון</t>
  </si>
  <si>
    <t>איילון אחזקות</t>
  </si>
  <si>
    <t>520030677</t>
  </si>
  <si>
    <t>אנליסט אי. אמ. אס. - שרותי ניהול השקעות בע"מ</t>
  </si>
  <si>
    <t>520041963</t>
  </si>
  <si>
    <t xml:space="preserve">אינפיניטי גמל להשקעה </t>
  </si>
  <si>
    <t xml:space="preserve">אינפיניטי גמל להשקעה פאסיבי כללי </t>
  </si>
  <si>
    <t xml:space="preserve">אינפיניטי גמל להשקעה מסלול פאסיבי כללי </t>
  </si>
  <si>
    <t>אינפיניטי גמל להשקעה הלכה</t>
  </si>
  <si>
    <t>ד.ס.ש ייעוץ ושירותים בע"מ</t>
  </si>
  <si>
    <t>חברת תפעול גמל בע"מ</t>
  </si>
  <si>
    <t xml:space="preserve">אי.בי.אי. חברת ניהול קופות גמל וקרנות השתלמות בע"מ </t>
  </si>
  <si>
    <t>הראל השקעות בביטוח ושירותים פיננסיים בע"מ</t>
  </si>
  <si>
    <t>520033986</t>
  </si>
  <si>
    <t>הראל חיסכון לילד - חוסכים המעדיפים סיכון מוגבר</t>
  </si>
  <si>
    <t>מגדל ביטוח</t>
  </si>
  <si>
    <t>מגדל מקפת</t>
  </si>
  <si>
    <t>מור חיסכון לילד - חוסכים המעדיפים סיכון בינוני</t>
  </si>
  <si>
    <t>מור לקופת גמל להשקעה לחיסכון ארוך טווח לילד</t>
  </si>
  <si>
    <t>י.ד מור השקעות בע"מ</t>
  </si>
  <si>
    <t>513834606</t>
  </si>
  <si>
    <t>מור קופות גמל בע"מ</t>
  </si>
  <si>
    <t>מורחיסכון לילד - חוסכים המעדיפים סיכון מועט</t>
  </si>
  <si>
    <t>מור חיסכון לילד - חוסכים המעדיפים סיכון מועט</t>
  </si>
  <si>
    <t>מור חיסכון לילד - שריעה</t>
  </si>
  <si>
    <t>מור חיסכון לילד - הלכה</t>
  </si>
  <si>
    <t>מור חיסכון לילד - חוסכים המעדיפים סיכון מוגבר</t>
  </si>
  <si>
    <t>הראל גמל</t>
  </si>
  <si>
    <t>מור השתלמות אג"ח עד 25% במניות</t>
  </si>
  <si>
    <t>מור קרן השתלמות לשכירים ולעצמאים  אג"ח עד 25% במניות</t>
  </si>
  <si>
    <t xml:space="preserve">מור קרן השתלמות לשכירים ולעצמאים </t>
  </si>
  <si>
    <t>מור השתלמות -מדד "מניות תל אביב 35"</t>
  </si>
  <si>
    <t>מור השתלמות -מסלול עוקב מדד "מניות תל אביב 35"</t>
  </si>
  <si>
    <t xml:space="preserve">מור השתלמות- אג"ח ממשלת ישראל, צמוד מדד </t>
  </si>
  <si>
    <t>מור השתלמות - מסלול עוקב מדד "מדדיות ממשלתיות לטווח של 5-10 שנים"</t>
  </si>
  <si>
    <t>מור גמל השתלמות מעורב מחקה מדדים</t>
  </si>
  <si>
    <t>מור השתלמות קרן השתלמות לשכירים ולעצמאים  מעורב מחקה מדדים</t>
  </si>
  <si>
    <t>"מור השתלמות מדד "תל בונד 20"</t>
  </si>
  <si>
    <t>מור השתלמות - מסלול עוקב מדד "תל בונד 20"</t>
  </si>
  <si>
    <t>מור השתלמות -מסלול מזומנים ושווי מזומנים</t>
  </si>
  <si>
    <t>מור השתלמות - מסלול מזומן</t>
  </si>
  <si>
    <t>מור השתלמות -מניות S&amp;P500</t>
  </si>
  <si>
    <t>מור השתלמות - מסלול מניות בארה"ב העוקב אחר מדד S&amp;P500</t>
  </si>
  <si>
    <t xml:space="preserve">מור השתלמות מניות </t>
  </si>
  <si>
    <t xml:space="preserve">מור השתלמות קרן השתלמות לשכירים ולעצמאים  מניות </t>
  </si>
  <si>
    <t xml:space="preserve">מור השתלמות כללי </t>
  </si>
  <si>
    <t xml:space="preserve">מור השתלמות קרן השתלמות לשכירים ולעצמאים כללי </t>
  </si>
  <si>
    <t>מור השתלמות אג"ח ממשלתי שקלי בריבית קבועה</t>
  </si>
  <si>
    <t>מור השתלמות - מסלול עוקב מדד "שקליות ריבית קבועה ממשלתיות"</t>
  </si>
  <si>
    <t xml:space="preserve">אלפא מור תגמולים מניות </t>
  </si>
  <si>
    <t xml:space="preserve">אלפא מור קופת גמל לתגמולים ואישית לפיצויים וקופת גמל לא משלמת לקצבה מניות </t>
  </si>
  <si>
    <t>אלפא מור קופת גמל לתגמולים ואישית לפיצויים וקופת גמל לא משלמת לקצבה</t>
  </si>
  <si>
    <t>אלפא מור תגמולים מעורב מחקה מדדים</t>
  </si>
  <si>
    <t>אלפא מור קופת גמל לתגמולים ואישית לפיצויים וקופת גמל לא משלמת לקצבה מעורב מחקה מדדים</t>
  </si>
  <si>
    <t>אלפא מור תגמולים מדרגות 50-60</t>
  </si>
  <si>
    <t>אלפא מור קופת גמל לתגמולים ואישית לפיצויים וקופת גמל לא משלמת לקצבה מדרגות 50-60</t>
  </si>
  <si>
    <t>אלפא מור תגמולים מדרגות 60 ומעלה</t>
  </si>
  <si>
    <t>אלפא מור קופת גמל לתגמולים ואישית לפיצויים וקופת גמל לא משלמת לקצבה מדרגות 60 ומעלה</t>
  </si>
  <si>
    <t>אלפא מור תגמולים אג"ח עד 25% במניות</t>
  </si>
  <si>
    <t>אלפא מור קופת גמל לתגמולים ואישית לפיצויים וקופת גמל לא משלמת לקצבה אג"ח עד 25% במניות</t>
  </si>
  <si>
    <t>אלפא מור תגמולים מדרגות עד 50</t>
  </si>
  <si>
    <t>אלפא מור קופת גמל לתגמולים ואישית לפיצויים וקופת גמל לא משלמת לקצבה מדרגות עד 50</t>
  </si>
  <si>
    <t>אלפא מור תגמולים - מניות מדד S&amp;P500</t>
  </si>
  <si>
    <t>אלפא מור תגמולים -  מסלול מניות בארה"ב העוקב אחר מדד S&amp;P500</t>
  </si>
  <si>
    <t>אלפא מור תגמולים - מסלול מזומנים ושווי מזומנים</t>
  </si>
  <si>
    <t>אלפא מור תגמולים - מסלול מזומן</t>
  </si>
  <si>
    <t>אלפא מור תגמולים - מדד "תל בונד 20"</t>
  </si>
  <si>
    <t>אלפא מור תגמולים - מסלול עוקב מדד "תל בונד 20"</t>
  </si>
  <si>
    <t>אלפא מור תגמולים - אג"ח ממשלתי שקלי בריבית קבועה</t>
  </si>
  <si>
    <t>אלפא מור תגמולים - מסלול עוקב מדד "שקליות ריבית קבועה ממשלתיות"</t>
  </si>
  <si>
    <t>אלפא מור תגמולים - אג"ח ממשלת ישראל, צמוד מדד לטווח של 5-10 שנים</t>
  </si>
  <si>
    <t>אלפא מור תגמולים - מסלול עוקב מדד "מדדיות ממשלתיות לטווח של 5-10 שנים"</t>
  </si>
  <si>
    <t>אלפא מור תגמולים - מדד "מניות תל אביב 35"</t>
  </si>
  <si>
    <t>אלפא מור תגמולים - מסלול עוקב מדד "מניות תל אביב 35"</t>
  </si>
  <si>
    <t>מנורה מבטחים חסכון טופ מסלול הלכה</t>
  </si>
  <si>
    <t>מנורה מבטחים חסכון טופ</t>
  </si>
  <si>
    <t>מנורה מבטחים חסכון טופ שיקלי טווח קצר</t>
  </si>
  <si>
    <t>מנורה מבטחים חסכון טופ פאסיבי - אג"ח עד 25% במניות</t>
  </si>
  <si>
    <t>מנורה מבטחים חסכון טופ פאסיבי מדדי אג"ח עד 25% במדדי מניות</t>
  </si>
  <si>
    <t>מנורה מבטחים חסכון טופ פאסיבי מניות</t>
  </si>
  <si>
    <t>מנורה מבטחים חסכון טופ פאסיבי - מדדי מניות</t>
  </si>
  <si>
    <t>מנורה מבטחים חסכון טופ אג"ח</t>
  </si>
  <si>
    <t xml:space="preserve">מנורה מבטחים חסכון טופ כללי </t>
  </si>
  <si>
    <t>הראל גמל להשקעה הלכה</t>
  </si>
  <si>
    <t xml:space="preserve">הראל גמל להשקעה מניות </t>
  </si>
  <si>
    <t>הראל גמל להשקעה אג"ח עד 20% מניות</t>
  </si>
  <si>
    <t>בנק לאומי בע"מ</t>
  </si>
  <si>
    <t>אי.בי.אי. גמל להשקעה מחקה מדד נדל"ן מניב ישראל</t>
  </si>
  <si>
    <t>אי.בי.אי. גמל קופת גמל להשקעה מחקה מדד נדל"ן מניב ישראל</t>
  </si>
  <si>
    <t>הלמן-אלדובי קופת גמל להשקעה</t>
  </si>
  <si>
    <t>הלמן-אלדובי להשקעה מחקה מדד S&amp;P500</t>
  </si>
  <si>
    <t>הלמן-אלדובי קופת גמל להשקעה מחקה מדד S&amp;P500</t>
  </si>
  <si>
    <t>הלמן-אלדובי קופת גמל להשקעה שריעה</t>
  </si>
  <si>
    <t>הלמן-אלדובי להשקעה פאסיבי - מדדי מניות</t>
  </si>
  <si>
    <t xml:space="preserve">הלמן-אלדובי קופת גמל להשקעה פאסיבי - מדדי מניות </t>
  </si>
  <si>
    <t xml:space="preserve">הלמן-אלדובי קופת גמל להשקעה מניות </t>
  </si>
  <si>
    <t>הלמן-אלדובי להשקעה פאסיבי - מדדי אג"ח עד 10% במדדי מניות</t>
  </si>
  <si>
    <t>הלמן-אלדובי קופת גמל להשקעה פאסיבי - מדדי אג"ח עד 10% במדדי מניות</t>
  </si>
  <si>
    <t xml:space="preserve">הלמן-אלדובי גמל להשקעה כללי </t>
  </si>
  <si>
    <t>הלמן-אלדובי קופת גמל להשקעה כללי</t>
  </si>
  <si>
    <t>הלמן-אלדובי להשקעה פאסיבי - כללי</t>
  </si>
  <si>
    <t>הלמן-אלדובי קופת גמל להשקעה פאסיבי - כללי</t>
  </si>
  <si>
    <t>מור קופות גמל להשקעה כללי פאסיבי</t>
  </si>
  <si>
    <t>מור קופת גמל להשקעה</t>
  </si>
  <si>
    <t>מור קופת גמל להשקעה אג"ח עד 25% במניות</t>
  </si>
  <si>
    <t xml:space="preserve">מור קופות גמל להשקעה מניות </t>
  </si>
  <si>
    <t xml:space="preserve">מור קופות גמל להשקעה כללי </t>
  </si>
  <si>
    <t>מור קופת גמל להשקעה מסלול כספי</t>
  </si>
  <si>
    <t>מור קופת גמל להשקעה מסלול מחקה מדד אג"ח ממשלתי, לא צמודות בריבית קבועה</t>
  </si>
  <si>
    <t>מור קופת גמל להשקעה מסלול מחקה מדד אג"ח ממשלתי, צמודות מדד ממשלתי לטווח 5-10 שנים</t>
  </si>
  <si>
    <t>מור קופת גמל להשקעה מסלול מחקה מדד תל בונד 20</t>
  </si>
  <si>
    <t>מור קופת גמל להשקעה מסלול מחקה מדד S&amp;P500</t>
  </si>
  <si>
    <t>מור קופת גמל להשקעה מסלול מחקה מדד ת"א 35</t>
  </si>
  <si>
    <t>אלטשולר שחם חיסכון פלוס הלכה</t>
  </si>
  <si>
    <t>פסגות NEXT גמל להשקעה אג"ח קונצרני</t>
  </si>
  <si>
    <t>פסגות NEXT גמל להשקעה</t>
  </si>
  <si>
    <t>מלם גמל ופנסיה בע"מ</t>
  </si>
  <si>
    <t>פסגות NEXT גמל להשקעה אג"ח עד 10% מניות</t>
  </si>
  <si>
    <t>פסגות NEXT גמל להשקעה אג"ח</t>
  </si>
  <si>
    <t xml:space="preserve">פסגות NEXT גמל להשקעה אג"ח </t>
  </si>
  <si>
    <t xml:space="preserve">פסגות NEXT גמל להשקעה מניות  </t>
  </si>
  <si>
    <t xml:space="preserve">פסגות NEXT גמל להשקעה מניות </t>
  </si>
  <si>
    <t>פסגות NEXT גמל להשקעה כללי</t>
  </si>
  <si>
    <t xml:space="preserve">פסגות NEXT גמל להשקעה חו"ל </t>
  </si>
  <si>
    <t>הפניקס פנסיה בע"מ</t>
  </si>
  <si>
    <t>פסגות קופות גמל ופנסיה</t>
  </si>
  <si>
    <t>פסגות כללית כללי - למקבלי  קצבה לאחר ה-1.1.18</t>
  </si>
  <si>
    <t>פסגות קרן פנסיה כללית - מקבלי קצבה לאחר ה-1.1.18</t>
  </si>
  <si>
    <t>פסגות מקיפה פנסיונרים בסיסי למקבלי קצבה לאחר ה-1.1.18</t>
  </si>
  <si>
    <t xml:space="preserve">פסגות פנסיה מקיפה פנסיונרים למקבלי קצבה לאחר ה-1.1.18 </t>
  </si>
  <si>
    <t>פסגות מקיפה הלכתי למקבלי קצבה לאחר ה-1.1.18</t>
  </si>
  <si>
    <t>פסגות פנסיה מקיפה הלכתי למקבלי קצבה לאחר ה-1.1.18</t>
  </si>
  <si>
    <t>הסתדרות המורים בישראל, אגודה עות'מאנית</t>
  </si>
  <si>
    <t>בנק יהב לעובדי המדינה בע"מ</t>
  </si>
  <si>
    <t>אלטשולר שחם פנסיה כללית מסלול בסיסי למקבלי קצבה קיימים</t>
  </si>
  <si>
    <t xml:space="preserve">אלטשולר שחם פנסיה כללית מסלול בסיסי למקבלי קצבה </t>
  </si>
  <si>
    <t>אלטשולר שחם פנסיה מקיפה מסלול בסיסי למקבלי קצבה קיימים</t>
  </si>
  <si>
    <t xml:space="preserve">אלטשולר שחם פנסיה מקיפה מניות </t>
  </si>
  <si>
    <t xml:space="preserve">אלטשולר שחם פנסיה מקיפה מניות מניות </t>
  </si>
  <si>
    <t>מור מנורה מבטחים מניות</t>
  </si>
  <si>
    <t>ניהול  עצמי</t>
  </si>
  <si>
    <t>520018078</t>
  </si>
  <si>
    <t xml:space="preserve">הלמן-אלדובי קרן פנסיה כללית מסלול בסיסי למקבלי פנסיה קיימים </t>
  </si>
  <si>
    <t>הלמן-אלדובי קרן פנסיה כללית מסלול בסיסי למקבלי פנסיה קיימים (עד 1.1.18)</t>
  </si>
  <si>
    <t>הלמן אלדובי כללית פנסיונרים בסיסי</t>
  </si>
  <si>
    <t>הלמן-אלדובי קרן פנסיה כללית פנסיונרים בסיסי</t>
  </si>
  <si>
    <t>פיק, כהן ושות' חברה למיכון ומחשבים בע"מ</t>
  </si>
  <si>
    <t>בנק מסד בע"מ</t>
  </si>
  <si>
    <t>אלטשולר שחם השתלמות הלכה</t>
  </si>
  <si>
    <t>אינפיניטי השתלמות אג"ח עד 25% מניות</t>
  </si>
  <si>
    <t xml:space="preserve">אינפיניטי השתלמות אג"ח עד 25% מניות </t>
  </si>
  <si>
    <t>בנק דיסקונט לישראל בע"מ</t>
  </si>
  <si>
    <t>ילין לפידות קרן השתלמות מסלול אג"ח עד 15% מניות</t>
  </si>
  <si>
    <t xml:space="preserve">הלמן - אלדובי מניות מניות </t>
  </si>
  <si>
    <t xml:space="preserve">הלמן אלדובי קרן פנסיה מקיפה מניות מניות </t>
  </si>
  <si>
    <t>הלמן - אלדובי מחקה מדד</t>
  </si>
  <si>
    <t>הלמן אלדובי קרן פנסיה מקיפה מחקה מדד S&amp;P500</t>
  </si>
  <si>
    <t>הלמן - אלדובי אג"ח ישראל</t>
  </si>
  <si>
    <t>הלמן אלדובי קרן פנסיה מקיפה אג"ח ישראל</t>
  </si>
  <si>
    <t>הלמן-אלדובי פנסיה אג"ח עד 25% במניות</t>
  </si>
  <si>
    <t>הלמן אלדובי קרן פנסיה מקיפה מסלול אג"ח עד 25% במניות</t>
  </si>
  <si>
    <t>הלמן אלדובי קרן פנסיה מקיפה בסיסי למקבלי פנסיה</t>
  </si>
  <si>
    <t xml:space="preserve">הלמן-אלדובי קרן פנסיה מקיפה מסלול בסיסי למקבלי קצבה קיימים </t>
  </si>
  <si>
    <t>הלמן-אלדובי קרן פנסיה מקיפה מסלול בסיסי למקבלי קצבה קיימים (עד 1.1.18)</t>
  </si>
  <si>
    <t>מבטחים הותיקה</t>
  </si>
  <si>
    <t>אמן בע"מ</t>
  </si>
  <si>
    <t>מיטב דש השתלמות מחקה מדד S&amp;P500</t>
  </si>
  <si>
    <t>מיטב דש גמל אג"ח עד 25% מניות</t>
  </si>
  <si>
    <t>מיטב דש גמל  אג"ח עד 25% במניות</t>
  </si>
  <si>
    <t>מיטב דש גמל מחקה מדד S&amp;P500</t>
  </si>
  <si>
    <t xml:space="preserve">אקסלנס מרכזית לפיצויים </t>
  </si>
  <si>
    <t>אקסלנס מרכזית לפיצויים מחקה מדדים</t>
  </si>
  <si>
    <t>אקסלנס מרכזית לפיצויים מחקה מדדי אג"ח</t>
  </si>
  <si>
    <t>הלמן-אלדובי מרכזית לפיצויים רב מסלולית</t>
  </si>
  <si>
    <t>הלמן-אלדובי מרכזית לפיצויים מסלול אג"ח</t>
  </si>
  <si>
    <t>הלמן-אלדובי מרכזית לפיצויים כללי</t>
  </si>
  <si>
    <t>מסלול השקעות בסיסי לפנסיונרים</t>
  </si>
  <si>
    <t>כלל משלימה- מסלול למקבלי קצבה</t>
  </si>
  <si>
    <t>כלל פנסיה משלימה- מסלול למקבלי קצבה</t>
  </si>
  <si>
    <t>כלל פנסיה משלימה שיקלי טווח קצר</t>
  </si>
  <si>
    <t>כלל פנסיה משלימה מקבלי קצבה אג"ח עד 20% מניות</t>
  </si>
  <si>
    <t>כלל פנסיה משלימה מסלול למקבלי קצבה   אג"ח עד 20% מניות</t>
  </si>
  <si>
    <t>מנורה מבטחים משלימה</t>
  </si>
  <si>
    <t>מנורה מבטחים משלימה - מקבלי פנסיה קיימים</t>
  </si>
  <si>
    <t>מנורה מבטחים משלימה - מקבלי פנסיה חדשים</t>
  </si>
  <si>
    <t>מנורה מבטחים משלימה - יעד לפרישה 2020</t>
  </si>
  <si>
    <t>מנורה מבטחים משלימה - יעד לפרישה 2025</t>
  </si>
  <si>
    <t>מנורה מבטחים משלימה - יעד לפרישה 2030</t>
  </si>
  <si>
    <t>מנורה מבטחים משלימה - יעד לפרישה 2035</t>
  </si>
  <si>
    <t>מנורה מבטחים משלימה - יעד לפרישה 2040</t>
  </si>
  <si>
    <t>מנורה מבטחים משלימה - יעד לפרישה 2045</t>
  </si>
  <si>
    <t>מנורה מבטחים משלימה - יעד לפרישה 2050</t>
  </si>
  <si>
    <t>מנורה מבטחים משלימה -יעד לפרישה 2050</t>
  </si>
  <si>
    <t>מנורה מבטחים משלימה - יעד לפרישה 2055</t>
  </si>
  <si>
    <t>מנורה מבטחים משלימה - יעד לפרישה 2060</t>
  </si>
  <si>
    <t>הראל פנסיה כללית - בסיסי למקבלי קצבה קיימים</t>
  </si>
  <si>
    <t>הראל כללית - בסיסי למקבלי קצבה</t>
  </si>
  <si>
    <t>הראל פנסיה כללית - גילאי 60 ומעלה</t>
  </si>
  <si>
    <t>הראל פנסיה כללית - גילאי 50 עד 60</t>
  </si>
  <si>
    <t>הראל פנסיה כללית - גילאי 50 ומטה</t>
  </si>
  <si>
    <t>איילון מיטב כללית מסלול אג"ח עד 10% במניות</t>
  </si>
  <si>
    <t>איילון מיטב פנסיה כללית</t>
  </si>
  <si>
    <t>איילון מיטב כללית 60 ומעלה</t>
  </si>
  <si>
    <t>איילון מיטב כללית לבני 60 ומעלה</t>
  </si>
  <si>
    <t xml:space="preserve"> איילון מיטב כללית מסלול מניות</t>
  </si>
  <si>
    <t>איילון מיטב כללית מסלול מניות</t>
  </si>
  <si>
    <t xml:space="preserve"> איילון מיטב כללית מסלול לבני 50 ומטה </t>
  </si>
  <si>
    <t xml:space="preserve">איילון מיטב כללית מסלול לבני 50 ומטה </t>
  </si>
  <si>
    <t>איילון מיטב כללית- מסלול הלכה</t>
  </si>
  <si>
    <t xml:space="preserve"> איילון מיטב כללית- מסלול הלכה</t>
  </si>
  <si>
    <t>איילון מיטב כללית מסלול בסיסי למקבלי קצבה</t>
  </si>
  <si>
    <t xml:space="preserve">איילון מיטב כללית מקבלי קצבה החל מיום 1.1.2018 </t>
  </si>
  <si>
    <t xml:space="preserve">איילון מיטב פנסיה כללית מסלול מקבלי קצבה החל מיום 1.1.2018 </t>
  </si>
  <si>
    <t>איילון מיטב כללית 50-60</t>
  </si>
  <si>
    <t>איילון מיטב כללית לבני 50-60</t>
  </si>
  <si>
    <t>מקפת משלימה כללי</t>
  </si>
  <si>
    <t>מגדל מקפת משלימה כללי</t>
  </si>
  <si>
    <t>מקפת משלימה מניות</t>
  </si>
  <si>
    <t>מגדל מקפת משלימה מניות</t>
  </si>
  <si>
    <t>מקפת משלימה שקלי טווח קצר</t>
  </si>
  <si>
    <t>מגדל מקפת משלימה שקלי טווח קצר</t>
  </si>
  <si>
    <t>מקפת משלימה אג"ח</t>
  </si>
  <si>
    <t>מגדל מקפת משלימה אג"ח</t>
  </si>
  <si>
    <t>מקפת משלימה הלכה</t>
  </si>
  <si>
    <t>מגדל מקפת משלימה הלכה</t>
  </si>
  <si>
    <t>מקפת משלימה למקבלי קצבה קיימים</t>
  </si>
  <si>
    <t>מגדל מקפת משלימה למקבלי קצבה קיימים</t>
  </si>
  <si>
    <t>מקפת משלימה הלכה למקבלי קצבה</t>
  </si>
  <si>
    <t>מגדל מקפת משלימה הלכה למקבלי קצבה</t>
  </si>
  <si>
    <t>מקפת משלימה לבני 50 ומטה</t>
  </si>
  <si>
    <t>מגדל מקפת משלימה לבני 50 ומטה</t>
  </si>
  <si>
    <t>מקפת משלימה לבני 50 עד 60</t>
  </si>
  <si>
    <t>מגדל מקפת משלימה לבני 50 עד 60</t>
  </si>
  <si>
    <t>מקפת משלימה לבני 60 ומעלה</t>
  </si>
  <si>
    <t>מגדל מקפת משלימה לבני 60 ומעלה</t>
  </si>
  <si>
    <t>מקפת משלימה למקבלי קצבה</t>
  </si>
  <si>
    <t>מגדל מקפת משלימה למקבלי קצבה</t>
  </si>
  <si>
    <t>הקיבוץ הדתי אגודה שיתופית בע"מ</t>
  </si>
  <si>
    <t>570018044</t>
  </si>
  <si>
    <t>הסוכנות היהודית לארץ ישראל</t>
  </si>
  <si>
    <t>500500046</t>
  </si>
  <si>
    <t>ארגון המורים העל יסודיים</t>
  </si>
  <si>
    <t>589922772</t>
  </si>
  <si>
    <t xml:space="preserve">כלל השתלמות אג"ח עד 15% מניות </t>
  </si>
  <si>
    <t>בנק אוצר החייל בע"מ</t>
  </si>
  <si>
    <t>ההסתדרות הרפואית בישראל</t>
  </si>
  <si>
    <t>589903046</t>
  </si>
  <si>
    <t xml:space="preserve">השתלמות רופאים מניות </t>
  </si>
  <si>
    <t>הסתדרות האחים והאחיות בישראל</t>
  </si>
  <si>
    <t>הלמן-אלדובי השתלמות מחקה מדד ת"א 35</t>
  </si>
  <si>
    <t>הלמן-אלדובי השתלמות פאסיבי - מדדי אג"ח ממשלת ישראל</t>
  </si>
  <si>
    <t>הלמן-אלדובי קרן השתלמות מסלול פאסיבי - מדדי אג"ח ממשלת ישראל</t>
  </si>
  <si>
    <t>הלמן-אלדובי השתלמות פאסיבי - מדדי מניות חו"ל</t>
  </si>
  <si>
    <t>הלמן-אלדובי קרן השתלמות מסלול פאסיבי - מדדי מניות חו"ל</t>
  </si>
  <si>
    <t>הלמן-אלדובי השתלמות פאסיבי משולב עד 25% מניות</t>
  </si>
  <si>
    <t>הלמן-אלדובי השתלמות מחקה מדד S&amp;P500</t>
  </si>
  <si>
    <t>הלמן-אלדובי השתלמות מסלול אג"ח עד 10% מניות</t>
  </si>
  <si>
    <t>הלמן-אלדובי קרן השתלמות מסלול אג"ח עד 10% מניות</t>
  </si>
  <si>
    <t>הלמן-אלדובי השתלמות אג"ח ללא מניות</t>
  </si>
  <si>
    <t>הלמן-אלדובי קרן השתלמות מסלול אג"ח ללא מניות</t>
  </si>
  <si>
    <t>הלמן-אלדובי גמל פאסיבי משולב עד 25% מניות</t>
  </si>
  <si>
    <t>הלמן-אלדובי גמל</t>
  </si>
  <si>
    <t>הלמן-אלדובי גמל מחקה מדד S&amp;P500</t>
  </si>
  <si>
    <t>הלמן-אלדובי גמל מחקה מדד ת"א 35</t>
  </si>
  <si>
    <t>הלמן-אלדובי גמל כללי (לשעבר קופת פקידי מרכנתיל דיסקונט)</t>
  </si>
  <si>
    <t>הלמן-אלדובי גמל ישראל</t>
  </si>
  <si>
    <t>הלמן-אלדובי גמל אג"ח עד 25% במניות</t>
  </si>
  <si>
    <t>הלמן-אלדובי גמל מניות</t>
  </si>
  <si>
    <t>הלמן-אלדובי גמל אג"ח ללא מניות</t>
  </si>
  <si>
    <t>הלמן-אלדובי גמל מסלול אג"ח ללא מניות</t>
  </si>
  <si>
    <t>הלמן-אלדובי גמל פאסיבי - מדדי אג"ח ממשלת ישראל</t>
  </si>
  <si>
    <t>הלמן-אלדובי גמל מסלול פאסיבי - מדדי אג"ח ממשלת ישראל</t>
  </si>
  <si>
    <t>הלמן-אלדובי גמל פאסיבי - מדדי מניות חו"ל</t>
  </si>
  <si>
    <t>הלמן-אלדובי גמל מסלול מדדי מניות חו"ל (פאסיבי)</t>
  </si>
  <si>
    <t>הלמן-אלדובי גמל שריעה</t>
  </si>
  <si>
    <t>הסתדרות העובדים הכללית החדשה מס' אגודה עות'מאנית</t>
  </si>
  <si>
    <t>רום  מסלול הלכה</t>
  </si>
  <si>
    <t>רום קרן השתלמות לעובדי הרשויות המקומיות מסלול הלכה</t>
  </si>
  <si>
    <t>אקסלנס השתלמות לטווח קצר</t>
  </si>
  <si>
    <t>אקסלנס השתלמות הלכה</t>
  </si>
  <si>
    <t>חיסכון של עובדי המושבים</t>
  </si>
  <si>
    <t>570017400</t>
  </si>
  <si>
    <t>רעות קרן השתלמות</t>
  </si>
  <si>
    <t xml:space="preserve">הסתדרות המעו"ף, מינהל עובדי משק ופקידים </t>
  </si>
  <si>
    <t>הסתדרות עובדי המדינה</t>
  </si>
  <si>
    <t>קרן השתלמות לעובדי המדינה  הלכתי הלכה יהודית</t>
  </si>
  <si>
    <t>איגוד העובדים הסוציאליים</t>
  </si>
  <si>
    <t xml:space="preserve">שיבולת-תגמולים מניות מניות </t>
  </si>
  <si>
    <t xml:space="preserve">שיבולת קופת תגמולים מניות מניות </t>
  </si>
  <si>
    <t>עובדי עיריית ת"א -יפו - תגמולים</t>
  </si>
  <si>
    <t>חקלאים</t>
  </si>
  <si>
    <t>ארגון הרופאים, אגודה עות'מאנית</t>
  </si>
  <si>
    <t>הסתדרות המיקרוביולוגים והביוכימאים</t>
  </si>
  <si>
    <t>הסתדרות האקדמאים במדעי החברה והרוח</t>
  </si>
  <si>
    <t>כלל תמר אג"ח עד 15% מניות</t>
  </si>
  <si>
    <t xml:space="preserve">כלל תמר אג"ח עד 25% מניות </t>
  </si>
  <si>
    <t>כלל תמר אג"ח עד 25% מניות</t>
  </si>
  <si>
    <t>520007030</t>
  </si>
  <si>
    <t>קופת התגמולים לעובדים האקדמאים של אוניברסיטת תל אביב - מסלול כללי</t>
  </si>
  <si>
    <t>אוניברסיטת ת'א</t>
  </si>
  <si>
    <t>קופת התגמולים לעובדים האקדמאים של אוניברסיטת תל אביב - מסלול שקלי</t>
  </si>
  <si>
    <t>החברה האמריקאית ישראלית לגז</t>
  </si>
  <si>
    <t>הראל  פנסיה - בסיסי למקבלי קצבה קיימים</t>
  </si>
  <si>
    <t>הראל פנסיה - ילידי שנות ה- 2000</t>
  </si>
  <si>
    <t>הראל פנסיה  - זכאים קיימים לקצבה</t>
  </si>
  <si>
    <t>הראל פנסיה- הלכה למקבלי קצבה קיימים</t>
  </si>
  <si>
    <t>גילאי 50 ומטה</t>
  </si>
  <si>
    <t>הראל פנסיה - גילאי 50 ומטה</t>
  </si>
  <si>
    <t>גילאי 50 עד 60</t>
  </si>
  <si>
    <t>הראל פנסיה - גילאי 50 עד 60</t>
  </si>
  <si>
    <t>גילאי 60 ומעלה</t>
  </si>
  <si>
    <t>הראל פנסיה - גילאי 60 ומעלה</t>
  </si>
  <si>
    <t>הראל פנסיה -  הלכה למקבלי קצבה</t>
  </si>
  <si>
    <t>הפניקס פנסיה מקיפה - מסלול בסיסי למקבלי קצבה</t>
  </si>
  <si>
    <t>הפניקס פנסיה מקיפה - פאסיבי לבני 50 ומטה</t>
  </si>
  <si>
    <t>הפניקס פנסיה מקיפה מסלול פאסיבי לבני 50 ומטה</t>
  </si>
  <si>
    <t>הפניקס פנסיה מקיפה - פאסיבי לבני 50 עד 60</t>
  </si>
  <si>
    <t>הפניקס פנסיה מקיפה מסלול פאסיבי לבני 50 עד 60</t>
  </si>
  <si>
    <t>הפניקס פנסיה מקיפה - פאסיבי לבני  60 ומעלה</t>
  </si>
  <si>
    <t>הפניקס פנסיה מקיפה מסלול פאסיבי לבני  60 ומעלה</t>
  </si>
  <si>
    <t xml:space="preserve">הפניקס פנסיה מקיפה - מסלול בסיסי לפנסיונרים </t>
  </si>
  <si>
    <t>עובדי אל על</t>
  </si>
  <si>
    <t>כלל מסלול הלכה למקבלי קצבה</t>
  </si>
  <si>
    <t xml:space="preserve">מסלול הלכה למקבלי קצבה  </t>
  </si>
  <si>
    <t>מסלול בסיסי למקבלי קצבה קיימים</t>
  </si>
  <si>
    <t xml:space="preserve">מסלול בסיסי למקבלי קצבה קיימים </t>
  </si>
  <si>
    <t>כלל פנסיה שיקלי טווח קצר</t>
  </si>
  <si>
    <t xml:space="preserve">כלל מסלול הלכה למקבלי קצבה קיימים </t>
  </si>
  <si>
    <t>מסלול הלכה למקבלי קצבה קיימים</t>
  </si>
  <si>
    <t>כלל מסלול בסיסי למקבלי קצבה</t>
  </si>
  <si>
    <t>מנורה מבטחים פנסיה מקבלי פנסיה חדשים</t>
  </si>
  <si>
    <t>מנורה מבטחים פנסיה - תיק מקבלי פנסיה חדשים</t>
  </si>
  <si>
    <t>מנורה מבטחים פנסיה</t>
  </si>
  <si>
    <t>מנורה מבטחים פנסיה - מסלול יעד לפרישה 2055</t>
  </si>
  <si>
    <t>מנורה מבטחים פנסיה - זכאים קיימים</t>
  </si>
  <si>
    <t>מנורה מבטחים פנסיה - תיק זכאים קיימים</t>
  </si>
  <si>
    <t>מנורה מבטחים פנסיה - מסלול יעד לפרישה 2060</t>
  </si>
  <si>
    <t xml:space="preserve">מנורה מבטחים פנסיה כללי </t>
  </si>
  <si>
    <t xml:space="preserve">מנורה מבטחים פנסיה - כללי </t>
  </si>
  <si>
    <t>מנורה מבטחים פנסיה - מסלול יעד לפרישה 2020</t>
  </si>
  <si>
    <t>מנורה מבטחים פנסיה - מסלול יעד לפרישה 2025</t>
  </si>
  <si>
    <t>מנורה מבטחים פנסיה - מסלול יעד לפרישה 2030</t>
  </si>
  <si>
    <t>מנורה מבטחים פנסיה - מסלול יעד לפרישה 2035</t>
  </si>
  <si>
    <t>מנורה מבטחים פנסיה - מסלול יעד לפרישה 2040</t>
  </si>
  <si>
    <t>מנורה מבטחים פנסיה- מסלול יעד לפרישה 2045</t>
  </si>
  <si>
    <t>מנורה מבטחים פנסיה - מסלול יעד לפרישה 2045</t>
  </si>
  <si>
    <t xml:space="preserve">מנורה מבטחים פנסיה - מסלול מניות </t>
  </si>
  <si>
    <t>מנורה מבטחים פנסיה - מסלול אג"ח</t>
  </si>
  <si>
    <t>מנורה מבטחים פנסיה - מסלול הלכה</t>
  </si>
  <si>
    <t>מנורה מבטחים פנסיה - מסלול יעד לפרישה 2050</t>
  </si>
  <si>
    <t>מנורה מבטחים פנסיה - פנסיונרים קיימים</t>
  </si>
  <si>
    <t>מנורה מבטחים פנסיה - תיק מקבלי פנסיה קיימים</t>
  </si>
  <si>
    <t>מגן הותיקה</t>
  </si>
  <si>
    <t>איילון מיטב מקיפה 50-60</t>
  </si>
  <si>
    <t>איילון מיטב פנסיה מקיפה</t>
  </si>
  <si>
    <t>איילון מיטב מקיפה מסלול בסיסי למקבלי קצבה (למעט לפנסיונרים זכאים קיימים)</t>
  </si>
  <si>
    <t>איילון מיטב מקיפה 60 ומעלה</t>
  </si>
  <si>
    <t>איילון מיטב פנסיה מקיפה פאסיבי- מדדי אג"ח עד 25% במדדי מניות</t>
  </si>
  <si>
    <t>איילון מיטב מקיפה פאסיבי- מדדי מניות</t>
  </si>
  <si>
    <t>איילון מיטב פנסיה מקיפה פאסיבי- מדדי מניות</t>
  </si>
  <si>
    <t>איילון מיטב מקיפה מסלול מקבלי קצבה החל מיום 1.1.2018</t>
  </si>
  <si>
    <t>איילון מיטב פנסיה מקיפה מסלול מקבלי קצבה החל מיום 1.1.2018</t>
  </si>
  <si>
    <t>הלכה למקבלי קצבה</t>
  </si>
  <si>
    <t>איילון מיטב פנסיה מקיפה הלכה למקבלי קצבה</t>
  </si>
  <si>
    <t xml:space="preserve"> איילון מיטב מקיפה אג"ח עד 25% במנית</t>
  </si>
  <si>
    <t>איילון מיטב מקיפה אג"ח עד 25% במנית</t>
  </si>
  <si>
    <t xml:space="preserve"> איילון מיטב מקיפה קצבה לזכאים קיימים</t>
  </si>
  <si>
    <t>איילון מיטב מקיפה קצבה לזכאים קיימים</t>
  </si>
  <si>
    <t>איילון מיטב מקיפה - מסלול אג"ח (ללא מניות)</t>
  </si>
  <si>
    <t>איילון מיטב מקיפה - מסלול מניות</t>
  </si>
  <si>
    <t>איילון מיטב מקיפה מסלול לבני 50 ומטה</t>
  </si>
  <si>
    <t>איילון מיטב מקיפה הלכה</t>
  </si>
  <si>
    <t>מקפת אישית למקבלי קצבה</t>
  </si>
  <si>
    <t>מגדל מקפת אישית למקבלי קצבה</t>
  </si>
  <si>
    <t>מקפת אישית אג"ח</t>
  </si>
  <si>
    <t>מגדל מקפת אישית אג"ח</t>
  </si>
  <si>
    <t>מקפת אישית מניות למקבלי קצבה</t>
  </si>
  <si>
    <t>מגדל מקפת אישית מניות למקבלי קצבה</t>
  </si>
  <si>
    <t>מקפת אישית אג"ח למקבלי קצבה</t>
  </si>
  <si>
    <t>מגדל מקפת אישית אג"ח למקבלי קצבה</t>
  </si>
  <si>
    <t>מקפת אישית למקבלי קצבה קיימים</t>
  </si>
  <si>
    <t>מגדל מקפת אישית  למקבלי קצבה קיימים</t>
  </si>
  <si>
    <t>מקפת אישית לזכאים קיימים לקצבה</t>
  </si>
  <si>
    <t>מגדל מקפת אישית לזכאים קיימים לקצבה</t>
  </si>
  <si>
    <t xml:space="preserve">מקפת אישית הלכה למקבלי קצבה קיימים </t>
  </si>
  <si>
    <t xml:space="preserve">מגדל מקפת אישית הלכה למקבלי קצבה קיימים </t>
  </si>
  <si>
    <t>מקפת אישית לבני 50 ומטה</t>
  </si>
  <si>
    <t>מגדל מקפת אישית לבני 50 ומטה</t>
  </si>
  <si>
    <t>מקפת אישית לבני 50 עד 60</t>
  </si>
  <si>
    <t>מגדל מקפת אישית לבני 50 עד 60</t>
  </si>
  <si>
    <t>מקפת אישית לבני 60 ומעלה</t>
  </si>
  <si>
    <t>מגדל מקפת אישית לבני 60 ומעלה</t>
  </si>
  <si>
    <t>מקפת אישית כללי</t>
  </si>
  <si>
    <t>מגדל מקפת אישית כללי</t>
  </si>
  <si>
    <t>מקפת אישית הלכה</t>
  </si>
  <si>
    <t>מגדל מקפת אישית הלכה</t>
  </si>
  <si>
    <t>מקפת אישית מניות</t>
  </si>
  <si>
    <t>מגדל מקפת אישית מניות</t>
  </si>
  <si>
    <t>מקפת אישית שקלי טווח קצר</t>
  </si>
  <si>
    <t>מגדל מקפת אישית שקלי טווח קצר</t>
  </si>
  <si>
    <t>מקפת אישית הלכה למקבלי קצבה</t>
  </si>
  <si>
    <t>מגדל מקפת אישית הלכה למקבלי קצבה</t>
  </si>
  <si>
    <t xml:space="preserve">קופת גמל עמ"י  מניות מניות </t>
  </si>
  <si>
    <t>הסתדרות העובדים הכללית החדשה</t>
  </si>
  <si>
    <t>קופת גמל שובל</t>
  </si>
  <si>
    <t>הגומל לבני 50 ומטה</t>
  </si>
  <si>
    <t>קופת גמל הגומל לבני 50 ומטה</t>
  </si>
  <si>
    <t>קופת גמל הגומל</t>
  </si>
  <si>
    <t>הגומל לבני 50 עד 60</t>
  </si>
  <si>
    <t>קופת גמל הגומל לבני 50 עד 60</t>
  </si>
  <si>
    <t>הגומל לבני 60 ומעלה</t>
  </si>
  <si>
    <t>קופת גמל הגומל לבני 60 ומעלה</t>
  </si>
  <si>
    <t xml:space="preserve">אקסלנס גמל מסלול לבני 50 עד 60 </t>
  </si>
  <si>
    <t>אקסלנס גמל פאסיבי לבני 50 ומטה</t>
  </si>
  <si>
    <t>אקסלנס גמל פאסיבי לבני 50 עד 60</t>
  </si>
  <si>
    <t>אקסלנס גמל  פאסיבי לבני 50 עד 60</t>
  </si>
  <si>
    <t>אקסלנס גמל מסלול מניות</t>
  </si>
  <si>
    <t>אקסלנס גמל פאסיבי לבני 60 ומעלה</t>
  </si>
  <si>
    <t>30.06.2020</t>
  </si>
  <si>
    <t>טופס 18 N</t>
  </si>
  <si>
    <t>טופס 16N</t>
  </si>
  <si>
    <t>T16N</t>
  </si>
  <si>
    <t>T8N</t>
  </si>
  <si>
    <t>הוספתי עוד 25 קבוצות דיווח; הוספנו מספר רב של שמות קבוצות\תאגידים</t>
  </si>
  <si>
    <t xml:space="preserve">הנוסכאות בטור P לא עודכנו עבור התוספת של חברות </t>
  </si>
  <si>
    <t>5#DateS!</t>
  </si>
  <si>
    <t>16Opea</t>
  </si>
  <si>
    <t>חסר נוסחה בתאים D20 ן- E20</t>
  </si>
  <si>
    <t>30.09.2020</t>
  </si>
  <si>
    <t>הוספנו מספר רב של שמות קבוצות/תאגידים</t>
  </si>
  <si>
    <t>אדלסברג</t>
  </si>
  <si>
    <t>אלעזרא</t>
  </si>
  <si>
    <t>אלפא מים השקעות</t>
  </si>
  <si>
    <t>אנרגיאן</t>
  </si>
  <si>
    <t>בוימלגרין קפיטל</t>
  </si>
  <si>
    <t>בנק אגוד</t>
  </si>
  <si>
    <t xml:space="preserve">ג'נריישן קפיטל </t>
  </si>
  <si>
    <t>דבח</t>
  </si>
  <si>
    <t>דהן</t>
  </si>
  <si>
    <t>דיין</t>
  </si>
  <si>
    <t xml:space="preserve">דנון </t>
  </si>
  <si>
    <t>דנירקו</t>
  </si>
  <si>
    <t>דנקנר</t>
  </si>
  <si>
    <t>וינר</t>
  </si>
  <si>
    <t>ויצמן</t>
  </si>
  <si>
    <t>זורולו</t>
  </si>
  <si>
    <t xml:space="preserve">טאואר סמיקונדקטור </t>
  </si>
  <si>
    <t>יונדקאו</t>
  </si>
  <si>
    <t>יורוקום</t>
  </si>
  <si>
    <t>ירדן, רמי</t>
  </si>
  <si>
    <t>ישראכרט</t>
  </si>
  <si>
    <t>לנדאו</t>
  </si>
  <si>
    <t>לסר</t>
  </si>
  <si>
    <t>מבנה</t>
  </si>
  <si>
    <t>מויניאן</t>
  </si>
  <si>
    <t>מזרחי</t>
  </si>
  <si>
    <t>מניבים קרן הריט החדשה</t>
  </si>
  <si>
    <t>נוסבאום</t>
  </si>
  <si>
    <t>נחמיאס</t>
  </si>
  <si>
    <t>סטרווד ווסט</t>
  </si>
  <si>
    <t xml:space="preserve">סלע קפיטל נדלן </t>
  </si>
  <si>
    <t>עיני</t>
  </si>
  <si>
    <t>פורמולה</t>
  </si>
  <si>
    <t>פרוכטר</t>
  </si>
  <si>
    <t>פרידמן</t>
  </si>
  <si>
    <t>קבוצת ברם</t>
  </si>
  <si>
    <t>קרן Macquarie</t>
  </si>
  <si>
    <t>קרן אלפא</t>
  </si>
  <si>
    <t>קרן נוקד</t>
  </si>
  <si>
    <t>רילייטד</t>
  </si>
  <si>
    <t>רקנאטי</t>
  </si>
  <si>
    <t xml:space="preserve">שובל </t>
  </si>
  <si>
    <t>שובל כנה</t>
  </si>
  <si>
    <t>שפירא</t>
  </si>
  <si>
    <t xml:space="preserve">Alibaba </t>
  </si>
  <si>
    <t xml:space="preserve">Alphabet </t>
  </si>
  <si>
    <t>Amazon</t>
  </si>
  <si>
    <t>American Airlines</t>
  </si>
  <si>
    <t>Apollo</t>
  </si>
  <si>
    <t>Apple</t>
  </si>
  <si>
    <t>Arclight</t>
  </si>
  <si>
    <t>Ares</t>
  </si>
  <si>
    <t>AroundTown</t>
  </si>
  <si>
    <t>Bank of America</t>
  </si>
  <si>
    <t>Barclays</t>
  </si>
  <si>
    <t xml:space="preserve">Blue Atlan </t>
  </si>
  <si>
    <t>Boeing</t>
  </si>
  <si>
    <t>Brookfield</t>
  </si>
  <si>
    <t xml:space="preserve">Citigroup </t>
  </si>
  <si>
    <t>CNAC International</t>
  </si>
  <si>
    <t>Credit Swiss</t>
  </si>
  <si>
    <t>Deutsche Bank</t>
  </si>
  <si>
    <t>EQT</t>
  </si>
  <si>
    <t>FIMI</t>
  </si>
  <si>
    <t>Fortissimo</t>
  </si>
  <si>
    <t>Hamiltion Lane</t>
  </si>
  <si>
    <t>IFM GIF</t>
  </si>
  <si>
    <t>Ing Bank</t>
  </si>
  <si>
    <t xml:space="preserve">Intel </t>
  </si>
  <si>
    <t>LLOYDS</t>
  </si>
  <si>
    <t>Mastercard</t>
  </si>
  <si>
    <t>Micron Technology</t>
  </si>
  <si>
    <t xml:space="preserve">Microsoft </t>
  </si>
  <si>
    <t>MIGS</t>
  </si>
  <si>
    <t>Milestone Mrei 4</t>
  </si>
  <si>
    <t xml:space="preserve">Nestle </t>
  </si>
  <si>
    <t>Palo Alto</t>
  </si>
  <si>
    <t>Pantheon</t>
  </si>
  <si>
    <t>Paramount</t>
  </si>
  <si>
    <t>PayPal</t>
  </si>
  <si>
    <t>Perrigo</t>
  </si>
  <si>
    <t>Sony</t>
  </si>
  <si>
    <t>Sphera</t>
  </si>
  <si>
    <t>Taiwan Semiconductor</t>
  </si>
  <si>
    <t>Tencet</t>
  </si>
  <si>
    <t>Visa</t>
  </si>
  <si>
    <t>Wells Fargo</t>
  </si>
  <si>
    <t>Wix</t>
  </si>
  <si>
    <t>מחשבים</t>
  </si>
  <si>
    <t>איזנברג שלמה</t>
  </si>
  <si>
    <t>אלביט מערכות</t>
  </si>
  <si>
    <t>דסק"ש</t>
  </si>
  <si>
    <t>נייס</t>
  </si>
  <si>
    <t>סופטוייל</t>
  </si>
  <si>
    <t>שופרסל</t>
  </si>
  <si>
    <t>שמלצר עתליה</t>
  </si>
  <si>
    <t>CCP III Cayman GP,Matthew Botein,Lewis (Lee) Sachs</t>
  </si>
  <si>
    <t>DWS</t>
  </si>
  <si>
    <t>HARBOURVEST</t>
  </si>
  <si>
    <t>Sonanda</t>
  </si>
  <si>
    <t>31.12.2020</t>
  </si>
  <si>
    <t>אי.בי.אי גמל בע"מ</t>
  </si>
  <si>
    <t>הפניקס גמל להשקעה מחקה מדד S&amp;P500</t>
  </si>
  <si>
    <t>הראל גמל להשקעה שיקלי טווח קצר</t>
  </si>
  <si>
    <t>מיטב דש גמל להשקעה מחקה מדד S&amp;P 500</t>
  </si>
  <si>
    <t>הפניקס גמל מחקה מדד s&amp;p500</t>
  </si>
  <si>
    <t>הפניקס השתלמות מחקה מדד s&amp;p500</t>
  </si>
  <si>
    <t>כלל השתלמות מחקה מדד s&amp;p 500</t>
  </si>
  <si>
    <t>כלל תמר מחקה מדד s&amp;p 500</t>
  </si>
  <si>
    <t>כלל גמל לעתיד מחקה מדד s&amp;p 500</t>
  </si>
  <si>
    <t>קופה להשקעה האוניברסיטה העברית  כללי כללי</t>
  </si>
  <si>
    <t>פסגות NEXT גמל להשקעה מחקה מדד S&amp;P500</t>
  </si>
  <si>
    <t>פסגות NEXT גמל להשקעה כספי</t>
  </si>
  <si>
    <t>מנורה מבטחים חסכון טופ מדדי מניות חו"ל - פאסיבי</t>
  </si>
  <si>
    <t>מנורה מבטחים חסכון טופ חו"ל</t>
  </si>
  <si>
    <t>מנורה מבטחים תגמולים חו"ל</t>
  </si>
  <si>
    <t>מנורה מבטחים תגמולים מדדי מניות חו"ל - פאסיבי</t>
  </si>
  <si>
    <t>מנורה מבטחים השתלמות חו"ל</t>
  </si>
  <si>
    <t>פסגות שיא השתלמות מחקה מדד S&amp;P 500</t>
  </si>
  <si>
    <t>הראל גמל להשקעה מחקה מדד s&amp;p 500</t>
  </si>
  <si>
    <t>הראל גמל - מחקה מדד s&amp;p 500</t>
  </si>
  <si>
    <t>הראל השתלמות - מחקה מדד s&amp;p 500</t>
  </si>
  <si>
    <t>מגדל גמל להשקעה מחקה מדד s&amp;p500</t>
  </si>
  <si>
    <t>מגדל לתגמולים מחקה מדד s&amp;p500</t>
  </si>
  <si>
    <t xml:space="preserve">גמל להשקעה האוניברסיטה העברית  מניות מניות </t>
  </si>
  <si>
    <t>הפניקס גמל להשקעה</t>
  </si>
  <si>
    <t xml:space="preserve">הפניקס גמל </t>
  </si>
  <si>
    <t xml:space="preserve">גמל להשקעה האוניברסיטה העברית </t>
  </si>
  <si>
    <t xml:space="preserve">הפניקס פנסיה וגמל בע"מ </t>
  </si>
  <si>
    <t>מיטב דש פנסיה מקיפה</t>
  </si>
  <si>
    <t xml:space="preserve">אלטשולר שחם פנסיה כללית מניות  </t>
  </si>
  <si>
    <t>אלטשולר שחם פנסיה כללית "הלכה"</t>
  </si>
  <si>
    <t xml:space="preserve">מיטב דש מניות מניות </t>
  </si>
  <si>
    <t>מיטב דש מחקה מדד</t>
  </si>
  <si>
    <t>הפניקס מסלול מחקה מדד S&amp;P500</t>
  </si>
  <si>
    <t xml:space="preserve">כלל פנסיה משלימה מחקה מדד s&amp;p 500 </t>
  </si>
  <si>
    <t xml:space="preserve">כלל פנסיה משלימה מניות </t>
  </si>
  <si>
    <t>מנורה מבטחים משלימה חו"ל</t>
  </si>
  <si>
    <t>מנורה מבטחים משלימה מדדי מניות חו"ל - פאסיבי</t>
  </si>
  <si>
    <t>מנורה מבטחים משלימה יעד לפרישה 2065</t>
  </si>
  <si>
    <t xml:space="preserve">הראל כללית מניות מניות </t>
  </si>
  <si>
    <t>הראל כללית שיקלי טווח קצר</t>
  </si>
  <si>
    <t>הראל פנסיה כללית מחקה מדד s&amp;p</t>
  </si>
  <si>
    <t>הראל כללית הלכה</t>
  </si>
  <si>
    <t>הראל כללית הלכה למקבלי קצבה</t>
  </si>
  <si>
    <t>מחקה מדד S&amp;P500</t>
  </si>
  <si>
    <t>איילון מיטב כללית הלכה למקבלי קצבה</t>
  </si>
  <si>
    <t>מגדל מקפת משלימה מחקה מדד S&amp;P500</t>
  </si>
  <si>
    <t>הראל פנסיה מחקה מדד s&amp;p 500</t>
  </si>
  <si>
    <t>כלל פנסיה מחקה מדד s&amp;p 500</t>
  </si>
  <si>
    <t>מנורה מבטחים פנסיה יעד לפרישה 2065</t>
  </si>
  <si>
    <t>מנורה מבטחים פנסיה מדדי מניות חו"ל - פאסיבי</t>
  </si>
  <si>
    <t>מנורה מבטחים פנסיה חו"ל</t>
  </si>
  <si>
    <t>איילון מיטב מקיפה מחקה מדד S&amp;P 500</t>
  </si>
  <si>
    <t>מגדל מקפת אישית מחקה מדד S&amp;P500</t>
  </si>
  <si>
    <t>31.12.2021</t>
  </si>
  <si>
    <t>Data Dir</t>
  </si>
  <si>
    <t>Gemel</t>
  </si>
  <si>
    <t>Pen New</t>
  </si>
  <si>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</sst>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41" formatCode="_ * #,##0_ ;_ * \-#,##0_ ;_ * &quot;-&quot;_ ;_ @_ "/>
    <numFmt numFmtId="43" formatCode="_ * #,##0.00_ ;_ * \-#,##0.00_ ;_ * &quot;-&quot;??_ ;_ @_ "/>
    <numFmt numFmtId="164" formatCode="0.0%"/>
    <numFmt numFmtId="165" formatCode="_-&quot;₪&quot;* #,##0_-;\-&quot;₪&quot;* #,##0_-;_-&quot;₪&quot;* &quot;-&quot;_-;_-@_-"/>
    <numFmt numFmtId="166" formatCode="&quot;¤&quot;#,##0;\-&quot;¤&quot;#,##0"/>
    <numFmt numFmtId="167" formatCode="#,##0;[Red]\(#,##0\)"/>
    <numFmt numFmtId="168" formatCode="#,##0;\(#,##0\)"/>
    <numFmt numFmtId="169" formatCode="_ * #,##0_ ;_ * \-#,##0_ ;_ * &quot;-&quot;??_ ;_ @_ "/>
    <numFmt numFmtId="170" formatCode="#,##0;[Red]#,##0"/>
    <numFmt numFmtId="171" formatCode="B1mmm\-yy"/>
    <numFmt numFmtId="172" formatCode="#,##0.0000"/>
    <numFmt numFmtId="173" formatCode="0.000"/>
    <numFmt numFmtId="174" formatCode="#,##0_ ;[Red]\-#,##0\ "/>
    <numFmt numFmtId="175" formatCode="[$-1010000]d\.m\.yy;@"/>
    <numFmt numFmtId="176" formatCode="0_ ;[Red]\-0\ "/>
    <numFmt numFmtId="177" formatCode="[$-1010000]d/m/yyyy;@"/>
    <numFmt numFmtId="178" formatCode="#,##0.000"/>
    <numFmt numFmtId="179" formatCode="[$-10409]dd/mm/yyyy"/>
    <numFmt numFmtId="180" formatCode="[$-1010000]m/d/yyyy;@"/>
    <numFmt numFmtId="181" formatCode="[$-1010409]d/m/yyyy\ h:mm\ AM/PM;@"/>
    <numFmt numFmtId="182" formatCode="mm/dd/yy;@"/>
    <numFmt numFmtId="183" formatCode="[$-1040D]dd/mm/yyyy"/>
  </numFmts>
  <fonts count="198">
    <font>
      <sz val="10"/>
      <name val="Arial"/>
      <charset val="177"/>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name val="Arial"/>
      <family val="2"/>
    </font>
    <font>
      <sz val="10"/>
      <color indexed="9"/>
      <name val="David"/>
      <family val="2"/>
      <charset val="177"/>
    </font>
    <font>
      <b/>
      <sz val="14"/>
      <color indexed="8"/>
      <name val="David"/>
      <family val="2"/>
      <charset val="177"/>
    </font>
    <font>
      <b/>
      <i/>
      <sz val="11"/>
      <color indexed="54"/>
      <name val="David"/>
      <family val="2"/>
      <charset val="177"/>
    </font>
    <font>
      <sz val="10"/>
      <name val="David"/>
      <family val="2"/>
      <charset val="177"/>
    </font>
    <font>
      <u/>
      <sz val="9.9"/>
      <color indexed="12"/>
      <name val="Arial"/>
      <family val="2"/>
    </font>
    <font>
      <b/>
      <u/>
      <sz val="12"/>
      <color indexed="12"/>
      <name val="David"/>
      <family val="2"/>
      <charset val="177"/>
    </font>
    <font>
      <b/>
      <i/>
      <sz val="14"/>
      <color indexed="54"/>
      <name val="David"/>
      <family val="2"/>
      <charset val="177"/>
    </font>
    <font>
      <b/>
      <i/>
      <sz val="10"/>
      <color indexed="54"/>
      <name val="David"/>
      <family val="2"/>
      <charset val="177"/>
    </font>
    <font>
      <b/>
      <i/>
      <sz val="12"/>
      <color indexed="54"/>
      <name val="David"/>
      <family val="2"/>
      <charset val="177"/>
    </font>
    <font>
      <b/>
      <sz val="11"/>
      <name val="David"/>
      <family val="2"/>
      <charset val="177"/>
    </font>
    <font>
      <sz val="10"/>
      <name val="Arial"/>
      <family val="2"/>
    </font>
    <font>
      <b/>
      <sz val="11"/>
      <color indexed="8"/>
      <name val="David"/>
      <family val="2"/>
      <charset val="177"/>
    </font>
    <font>
      <b/>
      <sz val="10"/>
      <color indexed="8"/>
      <name val="David"/>
      <family val="2"/>
      <charset val="177"/>
    </font>
    <font>
      <b/>
      <sz val="10"/>
      <name val="David"/>
      <family val="2"/>
      <charset val="177"/>
    </font>
    <font>
      <sz val="10"/>
      <color indexed="8"/>
      <name val="David"/>
      <family val="2"/>
      <charset val="177"/>
    </font>
    <font>
      <b/>
      <i/>
      <sz val="10"/>
      <name val="David"/>
      <family val="2"/>
      <charset val="177"/>
    </font>
    <font>
      <sz val="11"/>
      <color indexed="8"/>
      <name val="David"/>
      <family val="2"/>
      <charset val="177"/>
    </font>
    <font>
      <sz val="9"/>
      <name val="David"/>
      <family val="2"/>
      <charset val="177"/>
    </font>
    <font>
      <sz val="9"/>
      <color indexed="8"/>
      <name val="David"/>
      <family val="2"/>
      <charset val="177"/>
    </font>
    <font>
      <i/>
      <sz val="10"/>
      <name val="David"/>
      <family val="2"/>
      <charset val="177"/>
    </font>
    <font>
      <b/>
      <sz val="9"/>
      <name val="David"/>
      <family val="2"/>
      <charset val="177"/>
    </font>
    <font>
      <b/>
      <sz val="10"/>
      <color indexed="54"/>
      <name val="David"/>
      <family val="2"/>
      <charset val="177"/>
    </font>
    <font>
      <b/>
      <sz val="14"/>
      <name val="David"/>
      <family val="2"/>
      <charset val="177"/>
    </font>
    <font>
      <sz val="12"/>
      <name val="Pi-Barak-Light"/>
      <charset val="177"/>
    </font>
    <font>
      <sz val="11"/>
      <color indexed="8"/>
      <name val="David"/>
      <family val="2"/>
    </font>
    <font>
      <sz val="12"/>
      <name val="David"/>
      <family val="2"/>
      <charset val="177"/>
    </font>
    <font>
      <b/>
      <u/>
      <sz val="14"/>
      <name val="Arial"/>
      <family val="2"/>
    </font>
    <font>
      <sz val="10"/>
      <name val="Arial (Hebrew)"/>
      <family val="2"/>
      <charset val="177"/>
    </font>
    <font>
      <b/>
      <sz val="14"/>
      <color indexed="54"/>
      <name val="David"/>
      <family val="2"/>
      <charset val="177"/>
    </font>
    <font>
      <b/>
      <u/>
      <sz val="13"/>
      <color indexed="54"/>
      <name val="David"/>
      <family val="2"/>
      <charset val="177"/>
    </font>
    <font>
      <b/>
      <sz val="11"/>
      <color indexed="54"/>
      <name val="David"/>
      <family val="2"/>
      <charset val="177"/>
    </font>
    <font>
      <b/>
      <sz val="12"/>
      <name val="David"/>
      <family val="2"/>
      <charset val="177"/>
    </font>
    <font>
      <b/>
      <u/>
      <sz val="12"/>
      <color indexed="12"/>
      <name val="Arial"/>
      <family val="2"/>
    </font>
    <font>
      <sz val="16"/>
      <name val="Arial (Hebrew)"/>
      <family val="2"/>
      <charset val="177"/>
    </font>
    <font>
      <b/>
      <sz val="13"/>
      <color indexed="54"/>
      <name val="David"/>
      <family val="2"/>
      <charset val="177"/>
    </font>
    <font>
      <b/>
      <u/>
      <sz val="14"/>
      <name val="Arial (Hebrew)"/>
      <family val="2"/>
      <charset val="177"/>
    </font>
    <font>
      <b/>
      <sz val="10"/>
      <color indexed="54"/>
      <name val="Arial (Hebrew)"/>
      <family val="2"/>
      <charset val="177"/>
    </font>
    <font>
      <b/>
      <u/>
      <sz val="12"/>
      <color indexed="8"/>
      <name val="David"/>
      <family val="2"/>
      <charset val="177"/>
    </font>
    <font>
      <b/>
      <u/>
      <sz val="10"/>
      <color indexed="54"/>
      <name val="David"/>
      <family val="2"/>
      <charset val="177"/>
    </font>
    <font>
      <b/>
      <sz val="8"/>
      <name val="Arial (hebrew)"/>
      <family val="2"/>
      <charset val="177"/>
    </font>
    <font>
      <sz val="11"/>
      <name val="David"/>
      <family val="2"/>
      <charset val="177"/>
    </font>
    <font>
      <sz val="11"/>
      <name val="Arial (Hebrew)"/>
      <family val="2"/>
      <charset val="177"/>
    </font>
    <font>
      <b/>
      <u/>
      <sz val="11"/>
      <color indexed="54"/>
      <name val="David"/>
      <family val="2"/>
      <charset val="177"/>
    </font>
    <font>
      <b/>
      <u/>
      <sz val="10"/>
      <color indexed="8"/>
      <name val="David"/>
      <family val="2"/>
      <charset val="177"/>
    </font>
    <font>
      <b/>
      <u/>
      <sz val="12"/>
      <name val="David"/>
      <family val="2"/>
      <charset val="177"/>
    </font>
    <font>
      <b/>
      <u/>
      <sz val="12"/>
      <color indexed="54"/>
      <name val="David"/>
      <family val="2"/>
      <charset val="177"/>
    </font>
    <font>
      <b/>
      <sz val="12"/>
      <color indexed="12"/>
      <name val="David"/>
      <family val="2"/>
      <charset val="177"/>
    </font>
    <font>
      <b/>
      <sz val="12"/>
      <color indexed="10"/>
      <name val="David"/>
      <family val="2"/>
      <charset val="177"/>
    </font>
    <font>
      <b/>
      <i/>
      <sz val="12"/>
      <color indexed="8"/>
      <name val="David"/>
      <family val="2"/>
      <charset val="177"/>
    </font>
    <font>
      <b/>
      <i/>
      <u/>
      <sz val="12"/>
      <color indexed="8"/>
      <name val="David"/>
      <family val="2"/>
      <charset val="177"/>
    </font>
    <font>
      <sz val="12"/>
      <color indexed="12"/>
      <name val="David"/>
      <family val="2"/>
      <charset val="177"/>
    </font>
    <font>
      <b/>
      <i/>
      <sz val="12"/>
      <name val="David"/>
      <family val="2"/>
      <charset val="177"/>
    </font>
    <font>
      <i/>
      <sz val="12"/>
      <name val="David"/>
      <family val="2"/>
      <charset val="177"/>
    </font>
    <font>
      <sz val="11"/>
      <color indexed="9"/>
      <name val="David"/>
      <family val="2"/>
      <charset val="177"/>
    </font>
    <font>
      <sz val="12"/>
      <color indexed="9"/>
      <name val="David"/>
      <family val="2"/>
      <charset val="177"/>
    </font>
    <font>
      <sz val="12"/>
      <color indexed="8"/>
      <name val="David"/>
      <family val="2"/>
      <charset val="177"/>
    </font>
    <font>
      <sz val="12"/>
      <color indexed="10"/>
      <name val="David"/>
      <family val="2"/>
      <charset val="177"/>
    </font>
    <font>
      <b/>
      <sz val="12"/>
      <color indexed="8"/>
      <name val="David"/>
      <family val="2"/>
      <charset val="177"/>
    </font>
    <font>
      <u/>
      <sz val="11"/>
      <name val="David"/>
      <family val="2"/>
      <charset val="177"/>
    </font>
    <font>
      <b/>
      <sz val="10"/>
      <name val="Arial"/>
      <family val="2"/>
    </font>
    <font>
      <sz val="10"/>
      <color indexed="64"/>
      <name val="Arial"/>
      <family val="2"/>
    </font>
    <font>
      <sz val="10"/>
      <color indexed="64"/>
      <name val="Microsoft Sans Serif"/>
      <family val="2"/>
    </font>
    <font>
      <b/>
      <u/>
      <sz val="13"/>
      <color indexed="9"/>
      <name val="David"/>
      <family val="2"/>
      <charset val="177"/>
    </font>
    <font>
      <sz val="12"/>
      <name val="Arial"/>
      <family val="2"/>
      <charset val="177"/>
    </font>
    <font>
      <sz val="13"/>
      <name val="FrankRuehl"/>
      <family val="2"/>
      <charset val="177"/>
    </font>
    <font>
      <sz val="12"/>
      <name val="Arial Narrow"/>
      <family val="2"/>
    </font>
    <font>
      <b/>
      <sz val="12"/>
      <name val="Arial Narrow"/>
      <family val="2"/>
    </font>
    <font>
      <sz val="11"/>
      <name val="Narkisim"/>
      <family val="2"/>
      <charset val="177"/>
    </font>
    <font>
      <b/>
      <sz val="11"/>
      <name val="Narkisim"/>
      <family val="2"/>
      <charset val="177"/>
    </font>
    <font>
      <sz val="10"/>
      <name val="Narkisim"/>
      <family val="2"/>
      <charset val="177"/>
    </font>
    <font>
      <u/>
      <sz val="12"/>
      <name val="David"/>
      <family val="2"/>
      <charset val="177"/>
    </font>
    <font>
      <u/>
      <sz val="11"/>
      <name val="Narkisim"/>
      <family val="2"/>
      <charset val="177"/>
    </font>
    <font>
      <vertAlign val="superscript"/>
      <sz val="10"/>
      <name val="Times New Roman"/>
      <family val="1"/>
    </font>
    <font>
      <vertAlign val="superscript"/>
      <sz val="9"/>
      <name val="David"/>
      <family val="2"/>
      <charset val="177"/>
    </font>
    <font>
      <u/>
      <sz val="9.9"/>
      <color indexed="12"/>
      <name val="David"/>
      <family val="2"/>
      <charset val="177"/>
    </font>
    <font>
      <sz val="13"/>
      <name val="David"/>
      <family val="2"/>
      <charset val="177"/>
    </font>
    <font>
      <b/>
      <sz val="11"/>
      <name val="Arial"/>
      <family val="2"/>
    </font>
    <font>
      <b/>
      <sz val="12"/>
      <color indexed="54"/>
      <name val="David"/>
      <family val="2"/>
      <charset val="177"/>
    </font>
    <font>
      <u/>
      <sz val="12"/>
      <color indexed="12"/>
      <name val="David"/>
      <family val="2"/>
      <charset val="177"/>
    </font>
    <font>
      <b/>
      <sz val="14"/>
      <color indexed="10"/>
      <name val="David"/>
      <family val="2"/>
      <charset val="177"/>
    </font>
    <font>
      <u/>
      <sz val="18"/>
      <name val="David"/>
      <family val="2"/>
      <charset val="177"/>
    </font>
    <font>
      <b/>
      <sz val="16"/>
      <color indexed="8"/>
      <name val="David"/>
      <family val="2"/>
      <charset val="177"/>
    </font>
    <font>
      <b/>
      <u/>
      <sz val="14"/>
      <color indexed="8"/>
      <name val="David"/>
      <family val="2"/>
      <charset val="177"/>
    </font>
    <font>
      <b/>
      <sz val="9"/>
      <color indexed="8"/>
      <name val="David"/>
      <family val="2"/>
      <charset val="177"/>
    </font>
    <font>
      <i/>
      <sz val="11"/>
      <name val="David"/>
      <family val="2"/>
      <charset val="177"/>
    </font>
    <font>
      <i/>
      <sz val="10"/>
      <name val="Arial"/>
      <family val="2"/>
    </font>
    <font>
      <b/>
      <sz val="12"/>
      <color indexed="12"/>
      <name val="Arial"/>
      <family val="2"/>
    </font>
    <font>
      <b/>
      <sz val="10"/>
      <name val="David"/>
      <family val="2"/>
      <charset val="177"/>
    </font>
    <font>
      <b/>
      <sz val="14"/>
      <color indexed="12"/>
      <name val="Arial"/>
      <family val="2"/>
    </font>
    <font>
      <sz val="12"/>
      <name val="Arial"/>
      <family val="2"/>
    </font>
    <font>
      <b/>
      <sz val="12"/>
      <name val="Arial"/>
      <family val="2"/>
    </font>
    <font>
      <sz val="10"/>
      <color theme="1"/>
      <name val="David"/>
      <family val="2"/>
      <charset val="177"/>
    </font>
    <font>
      <sz val="11"/>
      <color theme="1"/>
      <name val="Arial"/>
      <family val="2"/>
      <charset val="177"/>
      <scheme val="minor"/>
    </font>
    <font>
      <sz val="12"/>
      <color theme="1"/>
      <name val="David"/>
      <family val="2"/>
      <charset val="177"/>
    </font>
    <font>
      <sz val="12"/>
      <color theme="0"/>
      <name val="David"/>
      <family val="2"/>
      <charset val="177"/>
    </font>
    <font>
      <b/>
      <sz val="14"/>
      <color rgb="FFFF0000"/>
      <name val="David"/>
      <family val="2"/>
      <charset val="177"/>
    </font>
    <font>
      <b/>
      <sz val="12"/>
      <color theme="1"/>
      <name val="David"/>
      <family val="2"/>
      <charset val="177"/>
    </font>
    <font>
      <b/>
      <sz val="11"/>
      <color theme="1"/>
      <name val="Arial"/>
      <family val="2"/>
      <charset val="177"/>
      <scheme val="minor"/>
    </font>
    <font>
      <b/>
      <sz val="12"/>
      <color rgb="FFFF0000"/>
      <name val="David"/>
      <family val="2"/>
      <charset val="177"/>
    </font>
    <font>
      <b/>
      <sz val="14"/>
      <color theme="1"/>
      <name val="David"/>
      <family val="2"/>
      <charset val="177"/>
    </font>
    <font>
      <sz val="12"/>
      <color rgb="FFFF0000"/>
      <name val="David"/>
      <family val="2"/>
      <charset val="177"/>
    </font>
    <font>
      <sz val="11"/>
      <color theme="0"/>
      <name val="Arial"/>
      <family val="2"/>
      <charset val="177"/>
      <scheme val="minor"/>
    </font>
    <font>
      <b/>
      <sz val="18"/>
      <color rgb="FFFF0000"/>
      <name val="David"/>
      <family val="2"/>
      <charset val="177"/>
    </font>
    <font>
      <sz val="18"/>
      <color theme="1"/>
      <name val="David"/>
      <family val="2"/>
      <charset val="177"/>
    </font>
    <font>
      <sz val="12"/>
      <color rgb="FF00B0F0"/>
      <name val="David"/>
      <family val="2"/>
      <charset val="177"/>
    </font>
    <font>
      <b/>
      <sz val="11"/>
      <color theme="1"/>
      <name val="Arial"/>
      <family val="2"/>
      <scheme val="minor"/>
    </font>
    <font>
      <sz val="11"/>
      <color indexed="12"/>
      <name val="Arial"/>
      <family val="2"/>
    </font>
    <font>
      <sz val="12"/>
      <color indexed="12"/>
      <name val="Arial"/>
      <family val="2"/>
    </font>
    <font>
      <sz val="10"/>
      <color indexed="9"/>
      <name val="Arial"/>
      <family val="2"/>
    </font>
    <font>
      <b/>
      <sz val="12"/>
      <color rgb="FF0070C0"/>
      <name val="David"/>
      <family val="2"/>
      <charset val="177"/>
    </font>
    <font>
      <sz val="12"/>
      <color indexed="64"/>
      <name val="David"/>
      <family val="2"/>
      <charset val="177"/>
    </font>
    <font>
      <b/>
      <sz val="14"/>
      <name val="Arial"/>
      <family val="2"/>
    </font>
    <font>
      <sz val="11"/>
      <color indexed="8"/>
      <name val="Arial"/>
      <family val="2"/>
      <charset val="177"/>
    </font>
    <font>
      <sz val="11"/>
      <color indexed="9"/>
      <name val="Arial"/>
      <family val="2"/>
      <charset val="177"/>
    </font>
    <font>
      <b/>
      <sz val="11"/>
      <color indexed="52"/>
      <name val="Arial"/>
      <family val="2"/>
      <charset val="177"/>
    </font>
    <font>
      <sz val="11"/>
      <color indexed="17"/>
      <name val="Arial"/>
      <family val="2"/>
      <charset val="177"/>
    </font>
    <font>
      <sz val="11"/>
      <color indexed="10"/>
      <name val="Arial"/>
      <family val="2"/>
      <charset val="177"/>
    </font>
    <font>
      <i/>
      <sz val="11"/>
      <color indexed="23"/>
      <name val="Arial"/>
      <family val="2"/>
      <charset val="177"/>
    </font>
    <font>
      <b/>
      <sz val="18"/>
      <color indexed="56"/>
      <name val="Times New Roman"/>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0"/>
      <name val="Arial"/>
      <family val="2"/>
      <charset val="177"/>
    </font>
    <font>
      <b/>
      <sz val="11"/>
      <color indexed="8"/>
      <name val="Arial"/>
      <family val="2"/>
      <charset val="177"/>
    </font>
    <font>
      <b/>
      <sz val="11"/>
      <color indexed="63"/>
      <name val="Arial"/>
      <family val="2"/>
      <charset val="177"/>
    </font>
    <font>
      <sz val="11"/>
      <color indexed="62"/>
      <name val="Arial"/>
      <family val="2"/>
      <charset val="177"/>
    </font>
    <font>
      <sz val="11"/>
      <color indexed="20"/>
      <name val="Arial"/>
      <family val="2"/>
      <charset val="177"/>
    </font>
    <font>
      <b/>
      <sz val="11"/>
      <color indexed="9"/>
      <name val="Arial"/>
      <family val="2"/>
      <charset val="177"/>
    </font>
    <font>
      <sz val="11"/>
      <color indexed="52"/>
      <name val="Arial"/>
      <family val="2"/>
      <charset val="177"/>
    </font>
    <font>
      <sz val="11"/>
      <color theme="1"/>
      <name val="David"/>
      <family val="2"/>
      <charset val="177"/>
    </font>
    <font>
      <b/>
      <u/>
      <sz val="11"/>
      <color theme="1"/>
      <name val="David"/>
      <family val="2"/>
      <charset val="177"/>
    </font>
    <font>
      <b/>
      <sz val="11"/>
      <color theme="1"/>
      <name val="David"/>
      <family val="2"/>
      <charset val="177"/>
    </font>
    <font>
      <sz val="18"/>
      <color theme="0"/>
      <name val="Arial"/>
      <family val="2"/>
      <charset val="177"/>
      <scheme val="minor"/>
    </font>
    <font>
      <b/>
      <sz val="9.9"/>
      <color rgb="FF0070C0"/>
      <name val="Arial"/>
      <family val="2"/>
    </font>
    <font>
      <b/>
      <sz val="10"/>
      <color indexed="8"/>
      <name val="Arial"/>
      <family val="2"/>
    </font>
    <font>
      <sz val="10"/>
      <color indexed="8"/>
      <name val="Arial"/>
      <family val="2"/>
    </font>
    <font>
      <sz val="14"/>
      <name val="David"/>
      <family val="2"/>
      <charset val="177"/>
    </font>
    <font>
      <sz val="9.9"/>
      <color indexed="12"/>
      <name val="Arial"/>
      <family val="2"/>
    </font>
    <font>
      <sz val="12"/>
      <color theme="1"/>
      <name val="Arial"/>
      <family val="2"/>
      <charset val="177"/>
      <scheme val="minor"/>
    </font>
    <font>
      <sz val="10"/>
      <color rgb="FFFF0000"/>
      <name val="Arial"/>
      <family val="2"/>
    </font>
    <font>
      <b/>
      <i/>
      <u/>
      <sz val="8"/>
      <color indexed="54"/>
      <name val="David"/>
      <family val="2"/>
      <charset val="177"/>
    </font>
    <font>
      <b/>
      <sz val="10"/>
      <color indexed="12"/>
      <name val="David"/>
      <family val="2"/>
      <charset val="177"/>
    </font>
    <font>
      <b/>
      <sz val="9.9"/>
      <color theme="0" tint="-0.249977111117893"/>
      <name val="Arial"/>
      <family val="2"/>
    </font>
    <font>
      <u/>
      <sz val="9.9"/>
      <color theme="0" tint="-0.249977111117893"/>
      <name val="Arial"/>
      <family val="2"/>
    </font>
    <font>
      <b/>
      <sz val="11"/>
      <color indexed="12"/>
      <name val="Arial"/>
      <family val="2"/>
    </font>
    <font>
      <b/>
      <vertAlign val="superscript"/>
      <sz val="10"/>
      <name val="David"/>
      <family val="2"/>
      <charset val="177"/>
    </font>
    <font>
      <vertAlign val="superscript"/>
      <sz val="10"/>
      <name val="David"/>
      <family val="2"/>
      <charset val="177"/>
    </font>
    <font>
      <b/>
      <vertAlign val="superscript"/>
      <sz val="16"/>
      <color indexed="8"/>
      <name val="David"/>
      <family val="2"/>
      <charset val="177"/>
    </font>
    <font>
      <b/>
      <vertAlign val="superscript"/>
      <sz val="12"/>
      <name val="David"/>
      <family val="2"/>
      <charset val="177"/>
    </font>
    <font>
      <b/>
      <sz val="16"/>
      <color rgb="FFFF0000"/>
      <name val="David"/>
      <family val="2"/>
      <charset val="177"/>
    </font>
    <font>
      <b/>
      <sz val="12"/>
      <color theme="1"/>
      <name val="Arial"/>
      <family val="2"/>
      <scheme val="minor"/>
    </font>
    <font>
      <b/>
      <sz val="11"/>
      <color rgb="FFFFFFFF"/>
      <name val="Tahoma"/>
      <family val="2"/>
    </font>
    <font>
      <sz val="10"/>
      <color rgb="FF000000"/>
      <name val="Arial"/>
      <family val="2"/>
    </font>
    <font>
      <sz val="11"/>
      <color rgb="FF1F497D"/>
      <name val="Arial"/>
      <family val="2"/>
    </font>
    <font>
      <sz val="11"/>
      <color rgb="FF1F497D"/>
      <name val="Calibri"/>
      <family val="2"/>
    </font>
    <font>
      <b/>
      <vertAlign val="superscript"/>
      <sz val="10"/>
      <name val="Calibri"/>
      <family val="2"/>
    </font>
    <font>
      <b/>
      <sz val="10"/>
      <color rgb="FFFF0000"/>
      <name val="David"/>
      <family val="2"/>
      <charset val="177"/>
    </font>
    <font>
      <b/>
      <sz val="10"/>
      <color rgb="FFFF0000"/>
      <name val="Arial"/>
      <family val="2"/>
    </font>
    <font>
      <b/>
      <sz val="18"/>
      <name val="Arial"/>
      <family val="2"/>
    </font>
    <font>
      <sz val="11"/>
      <name val="Calibri"/>
      <family val="2"/>
    </font>
    <font>
      <b/>
      <sz val="10"/>
      <color theme="1"/>
      <name val="David"/>
      <family val="2"/>
      <charset val="177"/>
    </font>
    <font>
      <sz val="7"/>
      <name val="David"/>
      <family val="2"/>
    </font>
    <font>
      <sz val="10"/>
      <color theme="1"/>
      <name val="Arial"/>
      <family val="2"/>
      <scheme val="minor"/>
    </font>
    <font>
      <sz val="10"/>
      <name val="Arial"/>
      <family val="2"/>
      <scheme val="minor"/>
    </font>
    <font>
      <b/>
      <sz val="10"/>
      <name val="David"/>
      <family val="2"/>
    </font>
    <font>
      <b/>
      <sz val="12"/>
      <name val="David"/>
      <family val="2"/>
    </font>
    <font>
      <u/>
      <sz val="10"/>
      <name val="David"/>
      <family val="2"/>
    </font>
    <font>
      <sz val="10"/>
      <name val="David"/>
      <family val="2"/>
    </font>
    <font>
      <b/>
      <sz val="11"/>
      <name val="David"/>
      <family val="2"/>
    </font>
    <font>
      <b/>
      <i/>
      <sz val="10"/>
      <color theme="1"/>
      <name val="David"/>
      <family val="2"/>
      <charset val="177"/>
    </font>
    <font>
      <sz val="9"/>
      <color theme="1"/>
      <name val="David"/>
      <family val="2"/>
      <charset val="177"/>
    </font>
    <font>
      <b/>
      <sz val="10"/>
      <color theme="0"/>
      <name val="Arial"/>
      <family val="2"/>
      <scheme val="minor"/>
    </font>
    <font>
      <b/>
      <sz val="9"/>
      <color theme="1"/>
      <name val="Arial"/>
      <family val="2"/>
      <scheme val="minor"/>
    </font>
    <font>
      <sz val="9"/>
      <color theme="1"/>
      <name val="Arial"/>
      <family val="2"/>
      <scheme val="minor"/>
    </font>
    <font>
      <b/>
      <sz val="9"/>
      <name val="Arial"/>
      <family val="2"/>
    </font>
    <font>
      <sz val="12"/>
      <name val="David"/>
      <family val="2"/>
    </font>
    <font>
      <sz val="10"/>
      <name val="Arial"/>
      <family val="2"/>
      <charset val="177"/>
    </font>
    <font>
      <b/>
      <sz val="9"/>
      <color theme="0"/>
      <name val="Arial"/>
      <family val="2"/>
      <scheme val="minor"/>
    </font>
    <font>
      <b/>
      <sz val="10"/>
      <color theme="1"/>
      <name val="Arial"/>
      <family val="2"/>
      <scheme val="minor"/>
    </font>
    <font>
      <sz val="9"/>
      <color theme="1"/>
      <name val="Arial"/>
      <family val="2"/>
      <charset val="177"/>
      <scheme val="minor"/>
    </font>
    <font>
      <sz val="9"/>
      <color theme="1"/>
      <name val="David"/>
      <family val="2"/>
    </font>
    <font>
      <u/>
      <sz val="9"/>
      <color theme="1"/>
      <name val="David"/>
      <family val="2"/>
    </font>
    <font>
      <sz val="9"/>
      <color theme="1"/>
      <name val="Symbol"/>
      <family val="1"/>
      <charset val="2"/>
    </font>
    <font>
      <sz val="9"/>
      <color theme="1"/>
      <name val="Times New Roman"/>
      <family val="1"/>
    </font>
    <font>
      <b/>
      <sz val="9"/>
      <color theme="1"/>
      <name val="David"/>
      <family val="2"/>
      <charset val="177"/>
    </font>
    <font>
      <b/>
      <sz val="8"/>
      <color theme="1"/>
      <name val="David"/>
      <family val="2"/>
      <charset val="177"/>
    </font>
    <font>
      <u/>
      <sz val="14"/>
      <color indexed="12"/>
      <name val="Arial"/>
      <family val="2"/>
    </font>
    <font>
      <u/>
      <sz val="11"/>
      <color theme="10"/>
      <name val="Arial"/>
      <family val="2"/>
      <charset val="177"/>
      <scheme val="minor"/>
    </font>
    <font>
      <sz val="11"/>
      <name val="Arial"/>
      <family val="2"/>
    </font>
    <font>
      <sz val="10"/>
      <color rgb="FF000000"/>
      <name val="Tahoma"/>
      <family val="2"/>
    </font>
  </fonts>
  <fills count="72">
    <fill>
      <patternFill patternType="none"/>
    </fill>
    <fill>
      <patternFill patternType="gray125"/>
    </fill>
    <fill>
      <patternFill patternType="solid">
        <fgColor indexed="22"/>
        <bgColor indexed="64"/>
      </patternFill>
    </fill>
    <fill>
      <patternFill patternType="solid">
        <fgColor indexed="65"/>
        <bgColor indexed="8"/>
      </patternFill>
    </fill>
    <fill>
      <patternFill patternType="solid">
        <fgColor indexed="13"/>
        <bgColor indexed="8"/>
      </patternFill>
    </fill>
    <fill>
      <patternFill patternType="solid">
        <fgColor indexed="9"/>
        <bgColor indexed="64"/>
      </patternFill>
    </fill>
    <fill>
      <patternFill patternType="solid">
        <fgColor indexed="42"/>
        <bgColor indexed="64"/>
      </patternFill>
    </fill>
    <fill>
      <patternFill patternType="solid">
        <fgColor indexed="26"/>
        <bgColor indexed="64"/>
      </patternFill>
    </fill>
    <fill>
      <patternFill patternType="solid">
        <fgColor indexed="13"/>
        <bgColor indexed="64"/>
      </patternFill>
    </fill>
    <fill>
      <patternFill patternType="solid">
        <fgColor indexed="43"/>
        <bgColor indexed="64"/>
      </patternFill>
    </fill>
    <fill>
      <patternFill patternType="gray0625">
        <bgColor indexed="26"/>
      </patternFill>
    </fill>
    <fill>
      <patternFill patternType="solid">
        <fgColor indexed="9"/>
        <bgColor indexed="8"/>
      </patternFill>
    </fill>
    <fill>
      <patternFill patternType="solid">
        <fgColor indexed="48"/>
        <bgColor indexed="64"/>
      </patternFill>
    </fill>
    <fill>
      <patternFill patternType="solid">
        <fgColor indexed="27"/>
        <bgColor indexed="64"/>
      </patternFill>
    </fill>
    <fill>
      <patternFill patternType="solid">
        <fgColor indexed="41"/>
        <bgColor indexed="64"/>
      </patternFill>
    </fill>
    <fill>
      <patternFill patternType="solid">
        <fgColor indexed="43"/>
        <bgColor indexed="8"/>
      </patternFill>
    </fill>
    <fill>
      <patternFill patternType="solid">
        <fgColor rgb="FFFFFF00"/>
        <bgColor indexed="8"/>
      </patternFill>
    </fill>
    <fill>
      <patternFill patternType="solid">
        <fgColor theme="9" tint="0.39997558519241921"/>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FFFFCC"/>
        <bgColor indexed="8"/>
      </patternFill>
    </fill>
    <fill>
      <patternFill patternType="solid">
        <fgColor theme="8" tint="0.79998168889431442"/>
        <bgColor indexed="64"/>
      </patternFill>
    </fill>
    <fill>
      <patternFill patternType="solid">
        <fgColor rgb="FF92D050"/>
        <bgColor indexed="64"/>
      </patternFill>
    </fill>
    <fill>
      <patternFill patternType="solid">
        <fgColor theme="0"/>
        <bgColor indexed="64"/>
      </patternFill>
    </fill>
    <fill>
      <patternFill patternType="solid">
        <fgColor rgb="FF00B0F0"/>
        <bgColor indexed="64"/>
      </patternFill>
    </fill>
    <fill>
      <patternFill patternType="lightGray">
        <bgColor theme="1" tint="0.499984740745262"/>
      </patternFill>
    </fill>
    <fill>
      <patternFill patternType="solid">
        <fgColor rgb="FFFFC000"/>
        <bgColor indexed="64"/>
      </patternFill>
    </fill>
    <fill>
      <patternFill patternType="solid">
        <fgColor theme="6" tint="0.79998168889431442"/>
        <bgColor indexed="64"/>
      </patternFill>
    </fill>
    <fill>
      <patternFill patternType="solid">
        <fgColor theme="0" tint="-0.2499465926084170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43"/>
      </patternFill>
    </fill>
    <fill>
      <patternFill patternType="solid">
        <fgColor indexed="55"/>
      </patternFill>
    </fill>
    <fill>
      <patternFill patternType="solid">
        <fgColor theme="0" tint="-0.14996795556505021"/>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theme="0" tint="-0.249977111117893"/>
        <bgColor indexed="8"/>
      </patternFill>
    </fill>
    <fill>
      <patternFill patternType="solid">
        <fgColor theme="9" tint="0.79998168889431442"/>
        <bgColor indexed="64"/>
      </patternFill>
    </fill>
    <fill>
      <patternFill patternType="solid">
        <fgColor rgb="FFADD8E6"/>
        <bgColor rgb="FFADD8E6"/>
      </patternFill>
    </fill>
    <fill>
      <patternFill patternType="solid">
        <fgColor theme="4" tint="0.59999389629810485"/>
        <bgColor indexed="64"/>
      </patternFill>
    </fill>
    <fill>
      <patternFill patternType="solid">
        <fgColor rgb="FFEEFAA6"/>
        <bgColor indexed="8"/>
      </patternFill>
    </fill>
    <fill>
      <patternFill patternType="solid">
        <fgColor rgb="FFB4C6E7"/>
        <bgColor indexed="64"/>
      </patternFill>
    </fill>
    <fill>
      <patternFill patternType="solid">
        <fgColor rgb="FFFFFF99"/>
        <bgColor indexed="64"/>
      </patternFill>
    </fill>
    <fill>
      <patternFill patternType="solid">
        <fgColor rgb="FF0070C0"/>
        <bgColor indexed="64"/>
      </patternFill>
    </fill>
    <fill>
      <patternFill patternType="solid">
        <fgColor rgb="FFEFF6FB"/>
        <bgColor indexed="64"/>
      </patternFill>
    </fill>
    <fill>
      <patternFill patternType="solid">
        <fgColor theme="4" tint="0.79995117038483843"/>
        <bgColor indexed="64"/>
      </patternFill>
    </fill>
    <fill>
      <patternFill patternType="solid">
        <fgColor theme="4" tint="-0.249977111117893"/>
        <bgColor indexed="64"/>
      </patternFill>
    </fill>
    <fill>
      <patternFill patternType="solid">
        <fgColor theme="7" tint="0.39997558519241921"/>
        <bgColor indexed="64"/>
      </patternFill>
    </fill>
    <fill>
      <patternFill patternType="solid">
        <fgColor rgb="FF4682B4"/>
        <bgColor rgb="FF4682B4"/>
      </patternFill>
    </fill>
  </fills>
  <borders count="159">
    <border>
      <left/>
      <right/>
      <top/>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54"/>
      </bottom>
      <diagonal/>
    </border>
    <border>
      <left/>
      <right/>
      <top/>
      <bottom style="hair">
        <color indexed="54"/>
      </bottom>
      <diagonal/>
    </border>
    <border>
      <left/>
      <right style="thin">
        <color indexed="64"/>
      </right>
      <top/>
      <bottom style="hair">
        <color indexed="5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54"/>
      </top>
      <bottom style="hair">
        <color indexed="54"/>
      </bottom>
      <diagonal/>
    </border>
    <border>
      <left/>
      <right/>
      <top style="hair">
        <color indexed="64"/>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right/>
      <top/>
      <bottom style="thin">
        <color indexed="64"/>
      </bottom>
      <diagonal/>
    </border>
    <border>
      <left/>
      <right/>
      <top/>
      <bottom style="thin">
        <color indexed="8"/>
      </bottom>
      <diagonal/>
    </border>
    <border>
      <left style="thin">
        <color indexed="64"/>
      </left>
      <right style="hair">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top style="thin">
        <color indexed="64"/>
      </top>
      <bottom style="hair">
        <color indexed="54"/>
      </bottom>
      <diagonal/>
    </border>
    <border>
      <left/>
      <right style="thin">
        <color indexed="64"/>
      </right>
      <top/>
      <bottom style="hair">
        <color indexed="8"/>
      </bottom>
      <diagonal/>
    </border>
    <border>
      <left/>
      <right style="thin">
        <color indexed="64"/>
      </right>
      <top/>
      <bottom style="thin">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diagonal/>
    </border>
    <border>
      <left style="hair">
        <color indexed="64"/>
      </left>
      <right style="hair">
        <color indexed="64"/>
      </right>
      <top/>
      <bottom/>
      <diagonal/>
    </border>
    <border>
      <left/>
      <right/>
      <top style="thin">
        <color indexed="64"/>
      </top>
      <bottom style="double">
        <color indexed="64"/>
      </bottom>
      <diagonal/>
    </border>
    <border>
      <left/>
      <right style="thin">
        <color indexed="64"/>
      </right>
      <top style="thin">
        <color indexed="64"/>
      </top>
      <bottom style="hair">
        <color indexed="64"/>
      </bottom>
      <diagonal/>
    </border>
    <border>
      <left/>
      <right style="thin">
        <color indexed="64"/>
      </right>
      <top style="thin">
        <color indexed="64"/>
      </top>
      <bottom style="hair">
        <color indexed="5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theme="1"/>
      </left>
      <right style="hair">
        <color theme="1"/>
      </right>
      <top style="hair">
        <color theme="1"/>
      </top>
      <bottom/>
      <diagonal/>
    </border>
    <border>
      <left style="hair">
        <color theme="1"/>
      </left>
      <right style="hair">
        <color theme="1"/>
      </right>
      <top style="hair">
        <color theme="1"/>
      </top>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hair">
        <color theme="1"/>
      </right>
      <top/>
      <bottom style="hair">
        <color theme="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hair">
        <color indexed="64"/>
      </right>
      <top style="thin">
        <color indexed="64"/>
      </top>
      <bottom/>
      <diagonal/>
    </border>
    <border>
      <left style="hair">
        <color indexed="64"/>
      </left>
      <right/>
      <top/>
      <bottom/>
      <diagonal/>
    </border>
    <border>
      <left style="thin">
        <color indexed="64"/>
      </left>
      <right/>
      <top style="thin">
        <color indexed="64"/>
      </top>
      <bottom style="hair">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style="hair">
        <color auto="1"/>
      </right>
      <top style="thin">
        <color indexed="64"/>
      </top>
      <bottom/>
      <diagonal/>
    </border>
    <border>
      <left style="hair">
        <color indexed="64"/>
      </left>
      <right style="hair">
        <color auto="1"/>
      </right>
      <top/>
      <bottom style="hair">
        <color auto="1"/>
      </bottom>
      <diagonal/>
    </border>
    <border>
      <left style="hair">
        <color indexed="64"/>
      </left>
      <right/>
      <top style="thin">
        <color indexed="64"/>
      </top>
      <bottom/>
      <diagonal/>
    </border>
    <border>
      <left/>
      <right style="hair">
        <color auto="1"/>
      </right>
      <top style="thin">
        <color indexed="64"/>
      </top>
      <bottom/>
      <diagonal/>
    </border>
    <border>
      <left style="thin">
        <color auto="1"/>
      </left>
      <right style="hair">
        <color auto="1"/>
      </right>
      <top/>
      <bottom style="hair">
        <color auto="1"/>
      </bottom>
      <diagonal/>
    </border>
    <border>
      <left style="thin">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thin">
        <color auto="1"/>
      </top>
      <bottom style="thin">
        <color indexed="64"/>
      </bottom>
      <diagonal/>
    </border>
    <border>
      <left style="thin">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auto="1"/>
      </right>
      <top/>
      <bottom style="hair">
        <color auto="1"/>
      </bottom>
      <diagonal/>
    </border>
    <border>
      <left style="thin">
        <color rgb="FFD3D3D3"/>
      </left>
      <right style="thin">
        <color rgb="FFD3D3D3"/>
      </right>
      <top style="thin">
        <color rgb="FFD3D3D3"/>
      </top>
      <bottom style="thin">
        <color rgb="FFD3D3D3"/>
      </bottom>
      <diagonal/>
    </border>
    <border>
      <left style="hair">
        <color theme="1"/>
      </left>
      <right style="thin">
        <color theme="1"/>
      </right>
      <top style="hair">
        <color theme="1"/>
      </top>
      <bottom style="thin">
        <color theme="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indexed="64"/>
      </left>
      <right style="hair">
        <color auto="1"/>
      </right>
      <top/>
      <bottom style="hair">
        <color auto="1"/>
      </bottom>
      <diagonal/>
    </border>
    <border>
      <left style="hair">
        <color indexed="64"/>
      </left>
      <right/>
      <top style="thin">
        <color indexed="64"/>
      </top>
      <bottom style="hair">
        <color auto="1"/>
      </bottom>
      <diagonal/>
    </border>
    <border>
      <left/>
      <right style="hair">
        <color auto="1"/>
      </right>
      <top style="thin">
        <color indexed="64"/>
      </top>
      <bottom style="hair">
        <color auto="1"/>
      </bottom>
      <diagonal/>
    </border>
    <border>
      <left style="hair">
        <color auto="1"/>
      </left>
      <right style="thin">
        <color auto="1"/>
      </right>
      <top style="thin">
        <color auto="1"/>
      </top>
      <bottom/>
      <diagonal/>
    </border>
    <border>
      <left style="hair">
        <color auto="1"/>
      </left>
      <right style="thin">
        <color auto="1"/>
      </right>
      <top/>
      <bottom style="hair">
        <color auto="1"/>
      </bottom>
      <diagonal/>
    </border>
    <border>
      <left/>
      <right/>
      <top/>
      <bottom style="hair">
        <color auto="1"/>
      </bottom>
      <diagonal/>
    </border>
    <border>
      <left/>
      <right/>
      <top/>
      <bottom style="hair">
        <color indexed="5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hair">
        <color theme="8"/>
      </left>
      <right/>
      <top style="hair">
        <color theme="8"/>
      </top>
      <bottom/>
      <diagonal/>
    </border>
    <border>
      <left style="hair">
        <color theme="8"/>
      </left>
      <right/>
      <top style="hair">
        <color theme="8"/>
      </top>
      <bottom style="thin">
        <color indexed="64"/>
      </bottom>
      <diagonal/>
    </border>
    <border>
      <left/>
      <right style="thin">
        <color indexed="64"/>
      </right>
      <top style="hair">
        <color theme="8"/>
      </top>
      <bottom style="thin">
        <color indexed="64"/>
      </bottom>
      <diagonal/>
    </border>
    <border>
      <left style="thin">
        <color auto="1"/>
      </left>
      <right style="hair">
        <color auto="1"/>
      </right>
      <top/>
      <bottom style="thin">
        <color theme="1"/>
      </bottom>
      <diagonal/>
    </border>
    <border>
      <left/>
      <right style="thin">
        <color rgb="FFD3D3D3"/>
      </right>
      <top style="thin">
        <color rgb="FFD3D3D3"/>
      </top>
      <bottom style="thin">
        <color rgb="FFD3D3D3"/>
      </bottom>
      <diagonal/>
    </border>
  </borders>
  <cellStyleXfs count="78">
    <xf numFmtId="0" fontId="0" fillId="0" borderId="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3" fontId="31" fillId="0" borderId="0" applyFill="0" applyBorder="0" applyAlignment="0" applyProtection="0"/>
    <xf numFmtId="165" fontId="11" fillId="0" borderId="0" applyFont="0" applyFill="0" applyBorder="0" applyAlignment="0" applyProtection="0"/>
    <xf numFmtId="166" fontId="31" fillId="0" borderId="0" applyFill="0" applyBorder="0" applyAlignment="0" applyProtection="0"/>
    <xf numFmtId="0" fontId="31" fillId="0" borderId="0" applyNumberFormat="0" applyFill="0" applyBorder="0" applyAlignment="0" applyProtection="0"/>
    <xf numFmtId="2" fontId="31" fillId="0" borderId="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8" fillId="0" borderId="0"/>
    <xf numFmtId="0" fontId="32" fillId="0" borderId="0"/>
    <xf numFmtId="0" fontId="68" fillId="0" borderId="0"/>
    <xf numFmtId="0" fontId="99" fillId="0" borderId="0"/>
    <xf numFmtId="0" fontId="7" fillId="0" borderId="0"/>
    <xf numFmtId="0" fontId="68" fillId="0" borderId="0"/>
    <xf numFmtId="0" fontId="100" fillId="0" borderId="0"/>
    <xf numFmtId="0" fontId="7" fillId="0" borderId="0">
      <alignment wrapText="1"/>
    </xf>
    <xf numFmtId="0" fontId="7" fillId="0" borderId="0">
      <alignment wrapText="1"/>
    </xf>
    <xf numFmtId="0" fontId="18" fillId="0" borderId="0">
      <alignment wrapText="1"/>
    </xf>
    <xf numFmtId="0" fontId="7" fillId="0" borderId="0">
      <alignment wrapText="1"/>
    </xf>
    <xf numFmtId="9" fontId="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00" fillId="0" borderId="0" applyFont="0" applyFill="0" applyBorder="0" applyAlignment="0" applyProtection="0"/>
    <xf numFmtId="9" fontId="34" fillId="0" borderId="0" applyFill="0" applyBorder="0" applyProtection="0">
      <alignment horizontal="center"/>
    </xf>
    <xf numFmtId="164" fontId="34" fillId="0" borderId="0" applyFill="0" applyBorder="0" applyProtection="0">
      <alignment horizontal="center"/>
    </xf>
    <xf numFmtId="0" fontId="120" fillId="34" borderId="0" applyNumberFormat="0" applyBorder="0" applyAlignment="0" applyProtection="0"/>
    <xf numFmtId="0" fontId="120" fillId="35" borderId="0" applyNumberFormat="0" applyBorder="0" applyAlignment="0" applyProtection="0"/>
    <xf numFmtId="0" fontId="120" fillId="36" borderId="0" applyNumberFormat="0" applyBorder="0" applyAlignment="0" applyProtection="0"/>
    <xf numFmtId="0" fontId="120" fillId="37" borderId="0" applyNumberFormat="0" applyBorder="0" applyAlignment="0" applyProtection="0"/>
    <xf numFmtId="0" fontId="120" fillId="38" borderId="0" applyNumberFormat="0" applyBorder="0" applyAlignment="0" applyProtection="0"/>
    <xf numFmtId="0" fontId="120" fillId="39" borderId="0" applyNumberFormat="0" applyBorder="0" applyAlignment="0" applyProtection="0"/>
    <xf numFmtId="0" fontId="120" fillId="40" borderId="0" applyNumberFormat="0" applyBorder="0" applyAlignment="0" applyProtection="0"/>
    <xf numFmtId="0" fontId="120" fillId="41" borderId="0" applyNumberFormat="0" applyBorder="0" applyAlignment="0" applyProtection="0"/>
    <xf numFmtId="0" fontId="120" fillId="42" borderId="0" applyNumberFormat="0" applyBorder="0" applyAlignment="0" applyProtection="0"/>
    <xf numFmtId="0" fontId="120" fillId="37" borderId="0" applyNumberFormat="0" applyBorder="0" applyAlignment="0" applyProtection="0"/>
    <xf numFmtId="0" fontId="120" fillId="40" borderId="0" applyNumberFormat="0" applyBorder="0" applyAlignment="0" applyProtection="0"/>
    <xf numFmtId="0" fontId="120" fillId="43" borderId="0" applyNumberFormat="0" applyBorder="0" applyAlignment="0" applyProtection="0"/>
    <xf numFmtId="0" fontId="121" fillId="44" borderId="0" applyNumberFormat="0" applyBorder="0" applyAlignment="0" applyProtection="0"/>
    <xf numFmtId="0" fontId="121" fillId="41" borderId="0" applyNumberFormat="0" applyBorder="0" applyAlignment="0" applyProtection="0"/>
    <xf numFmtId="0" fontId="121" fillId="42"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121" fillId="47" borderId="0" applyNumberFormat="0" applyBorder="0" applyAlignment="0" applyProtection="0"/>
    <xf numFmtId="0" fontId="121" fillId="48" borderId="0" applyNumberFormat="0" applyBorder="0" applyAlignment="0" applyProtection="0"/>
    <xf numFmtId="0" fontId="121" fillId="49" borderId="0" applyNumberFormat="0" applyBorder="0" applyAlignment="0" applyProtection="0"/>
    <xf numFmtId="0" fontId="121" fillId="50" borderId="0" applyNumberFormat="0" applyBorder="0" applyAlignment="0" applyProtection="0"/>
    <xf numFmtId="0" fontId="121" fillId="45" borderId="0" applyNumberFormat="0" applyBorder="0" applyAlignment="0" applyProtection="0"/>
    <xf numFmtId="0" fontId="121" fillId="46" borderId="0" applyNumberFormat="0" applyBorder="0" applyAlignment="0" applyProtection="0"/>
    <xf numFmtId="0" fontId="121" fillId="51" borderId="0" applyNumberFormat="0" applyBorder="0" applyAlignment="0" applyProtection="0"/>
    <xf numFmtId="0" fontId="7" fillId="52" borderId="88" applyNumberFormat="0" applyFont="0" applyAlignment="0" applyProtection="0"/>
    <xf numFmtId="0" fontId="122" fillId="53" borderId="89" applyNumberFormat="0" applyAlignment="0" applyProtection="0"/>
    <xf numFmtId="0" fontId="123" fillId="36" borderId="0" applyNumberFormat="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6" fillId="0" borderId="0" applyNumberFormat="0" applyFill="0" applyBorder="0" applyAlignment="0" applyProtection="0"/>
    <xf numFmtId="0" fontId="127" fillId="0" borderId="90" applyNumberFormat="0" applyFill="0" applyAlignment="0" applyProtection="0"/>
    <xf numFmtId="0" fontId="128" fillId="0" borderId="91" applyNumberFormat="0" applyFill="0" applyAlignment="0" applyProtection="0"/>
    <xf numFmtId="0" fontId="129" fillId="0" borderId="92" applyNumberFormat="0" applyFill="0" applyAlignment="0" applyProtection="0"/>
    <xf numFmtId="0" fontId="129" fillId="0" borderId="0" applyNumberFormat="0" applyFill="0" applyBorder="0" applyAlignment="0" applyProtection="0"/>
    <xf numFmtId="0" fontId="130" fillId="54" borderId="0" applyNumberFormat="0" applyBorder="0" applyAlignment="0" applyProtection="0"/>
    <xf numFmtId="0" fontId="131" fillId="0" borderId="93" applyNumberFormat="0" applyFill="0" applyAlignment="0" applyProtection="0"/>
    <xf numFmtId="0" fontId="132" fillId="53" borderId="94" applyNumberFormat="0" applyAlignment="0" applyProtection="0"/>
    <xf numFmtId="0" fontId="133" fillId="39" borderId="89" applyNumberFormat="0" applyAlignment="0" applyProtection="0"/>
    <xf numFmtId="0" fontId="134" fillId="35" borderId="0" applyNumberFormat="0" applyBorder="0" applyAlignment="0" applyProtection="0"/>
    <xf numFmtId="0" fontId="135" fillId="55" borderId="95" applyNumberFormat="0" applyAlignment="0" applyProtection="0"/>
    <xf numFmtId="0" fontId="136" fillId="0" borderId="96" applyNumberFormat="0" applyFill="0" applyAlignment="0" applyProtection="0"/>
    <xf numFmtId="0" fontId="6" fillId="0" borderId="0"/>
    <xf numFmtId="43" fontId="7" fillId="0" borderId="0" applyFont="0" applyFill="0" applyBorder="0" applyAlignment="0" applyProtection="0"/>
    <xf numFmtId="0" fontId="7" fillId="0" borderId="0"/>
    <xf numFmtId="0" fontId="2" fillId="0" borderId="0"/>
    <xf numFmtId="9" fontId="2" fillId="0" borderId="0" applyFont="0" applyFill="0" applyBorder="0" applyAlignment="0" applyProtection="0"/>
    <xf numFmtId="0" fontId="184" fillId="0" borderId="0"/>
    <xf numFmtId="43" fontId="2" fillId="0" borderId="0" applyFont="0" applyFill="0" applyBorder="0" applyAlignment="0" applyProtection="0"/>
    <xf numFmtId="0" fontId="1" fillId="0" borderId="0"/>
    <xf numFmtId="0" fontId="195" fillId="0" borderId="0" applyNumberFormat="0" applyFill="0" applyBorder="0" applyAlignment="0" applyProtection="0"/>
  </cellStyleXfs>
  <cellXfs count="1949">
    <xf numFmtId="0" fontId="0" fillId="0" borderId="0" xfId="0"/>
    <xf numFmtId="0" fontId="21" fillId="2" borderId="1" xfId="0" applyFont="1" applyFill="1" applyBorder="1" applyAlignment="1">
      <alignment horizontal="center"/>
    </xf>
    <xf numFmtId="0" fontId="17" fillId="2" borderId="1" xfId="0" applyFont="1" applyFill="1" applyBorder="1" applyAlignment="1">
      <alignment horizontal="center" wrapText="1" readingOrder="2"/>
    </xf>
    <xf numFmtId="0" fontId="17" fillId="2" borderId="2" xfId="0" applyFont="1" applyFill="1" applyBorder="1" applyAlignment="1">
      <alignment horizontal="center" wrapText="1" readingOrder="2"/>
    </xf>
    <xf numFmtId="176" fontId="17" fillId="2" borderId="1" xfId="0" applyNumberFormat="1" applyFont="1" applyFill="1" applyBorder="1" applyAlignment="1">
      <alignment horizontal="center" wrapText="1" readingOrder="2"/>
    </xf>
    <xf numFmtId="176" fontId="17" fillId="2" borderId="2" xfId="0" applyNumberFormat="1" applyFont="1" applyFill="1" applyBorder="1" applyAlignment="1">
      <alignment horizontal="center" wrapText="1" readingOrder="2"/>
    </xf>
    <xf numFmtId="0" fontId="21" fillId="2" borderId="1" xfId="0" applyFont="1" applyFill="1" applyBorder="1" applyAlignment="1">
      <alignment horizontal="center" wrapText="1" readingOrder="2"/>
    </xf>
    <xf numFmtId="0" fontId="21" fillId="2" borderId="2" xfId="0" applyFont="1" applyFill="1" applyBorder="1" applyAlignment="1">
      <alignment horizontal="center" wrapText="1" readingOrder="2"/>
    </xf>
    <xf numFmtId="0" fontId="72" fillId="0" borderId="0" xfId="15" applyFont="1" applyAlignment="1">
      <alignment horizontal="justify" vertical="center" wrapText="1" readingOrder="2"/>
    </xf>
    <xf numFmtId="0" fontId="59" fillId="0" borderId="0" xfId="19" applyFont="1" applyBorder="1" applyAlignment="1">
      <alignment horizontal="right" wrapText="1" readingOrder="2"/>
    </xf>
    <xf numFmtId="0" fontId="39" fillId="3" borderId="0" xfId="19" applyFont="1" applyFill="1" applyBorder="1" applyAlignment="1" applyProtection="1">
      <alignment horizontal="center"/>
    </xf>
    <xf numFmtId="0" fontId="58" fillId="16" borderId="3" xfId="9" applyFont="1" applyFill="1" applyBorder="1" applyAlignment="1" applyProtection="1">
      <alignment horizontal="right" readingOrder="2"/>
    </xf>
    <xf numFmtId="0" fontId="58" fillId="16" borderId="4" xfId="9" applyFont="1" applyFill="1" applyBorder="1" applyAlignment="1" applyProtection="1">
      <alignment horizontal="center"/>
    </xf>
    <xf numFmtId="0" fontId="13" fillId="0" borderId="0" xfId="9" quotePrefix="1" applyFont="1" applyFill="1" applyAlignment="1" applyProtection="1">
      <alignment wrapText="1"/>
    </xf>
    <xf numFmtId="3" fontId="8" fillId="5" borderId="0" xfId="19" applyNumberFormat="1" applyFont="1" applyFill="1" applyProtection="1">
      <alignment wrapText="1"/>
    </xf>
    <xf numFmtId="0" fontId="9" fillId="5" borderId="0" xfId="19" applyFont="1" applyFill="1" applyAlignment="1" applyProtection="1">
      <alignment horizontal="right" vertical="center" readingOrder="2"/>
    </xf>
    <xf numFmtId="3" fontId="10" fillId="5" borderId="0" xfId="19" applyNumberFormat="1" applyFont="1" applyFill="1" applyAlignment="1" applyProtection="1">
      <alignment horizontal="centerContinuous" vertical="center"/>
    </xf>
    <xf numFmtId="3" fontId="11" fillId="5" borderId="0" xfId="19" applyNumberFormat="1" applyFont="1" applyFill="1" applyAlignment="1" applyProtection="1">
      <alignment horizontal="centerContinuous"/>
    </xf>
    <xf numFmtId="3" fontId="11" fillId="5" borderId="0" xfId="19" applyNumberFormat="1" applyFont="1" applyFill="1" applyAlignment="1" applyProtection="1">
      <alignment horizontal="centerContinuous" wrapText="1"/>
    </xf>
    <xf numFmtId="0" fontId="11" fillId="0" borderId="0" xfId="19" applyFont="1" applyProtection="1">
      <alignment wrapText="1"/>
    </xf>
    <xf numFmtId="0" fontId="13" fillId="6" borderId="0" xfId="9" applyFont="1" applyFill="1" applyAlignment="1" applyProtection="1">
      <alignment horizontal="center" wrapText="1"/>
    </xf>
    <xf numFmtId="3" fontId="11" fillId="5" borderId="0" xfId="19" applyNumberFormat="1" applyFont="1" applyFill="1" applyProtection="1">
      <alignment wrapText="1"/>
    </xf>
    <xf numFmtId="0" fontId="11" fillId="0" borderId="0" xfId="0" applyFont="1"/>
    <xf numFmtId="0" fontId="9" fillId="0" borderId="0" xfId="19" applyFont="1" applyBorder="1" applyAlignment="1" applyProtection="1">
      <alignment horizontal="right" readingOrder="2"/>
      <protection locked="0"/>
    </xf>
    <xf numFmtId="3" fontId="14" fillId="5" borderId="0" xfId="19" applyNumberFormat="1" applyFont="1" applyFill="1" applyAlignment="1" applyProtection="1">
      <alignment horizontal="right"/>
    </xf>
    <xf numFmtId="3" fontId="15" fillId="5" borderId="0" xfId="19" applyNumberFormat="1" applyFont="1" applyFill="1" applyAlignment="1" applyProtection="1">
      <alignment horizontal="right" wrapText="1"/>
    </xf>
    <xf numFmtId="49" fontId="16" fillId="5" borderId="0" xfId="19" applyNumberFormat="1" applyFont="1" applyFill="1" applyAlignment="1" applyProtection="1">
      <alignment horizontal="left"/>
    </xf>
    <xf numFmtId="3" fontId="18" fillId="17" borderId="0" xfId="19" applyNumberFormat="1" applyFont="1" applyFill="1" applyAlignment="1" applyProtection="1">
      <alignment wrapText="1"/>
    </xf>
    <xf numFmtId="0" fontId="19" fillId="5" borderId="0" xfId="19" applyFont="1" applyFill="1" applyAlignment="1" applyProtection="1">
      <alignment horizontal="right" vertical="center"/>
    </xf>
    <xf numFmtId="0" fontId="10" fillId="5" borderId="0" xfId="19" applyFont="1" applyFill="1" applyAlignment="1" applyProtection="1">
      <alignment horizontal="centerContinuous" vertical="center"/>
    </xf>
    <xf numFmtId="0" fontId="15" fillId="5" borderId="0" xfId="19" applyFont="1" applyFill="1" applyAlignment="1" applyProtection="1">
      <alignment horizontal="centerContinuous"/>
    </xf>
    <xf numFmtId="0" fontId="15" fillId="5" borderId="0" xfId="19" applyFont="1" applyFill="1" applyAlignment="1" applyProtection="1">
      <alignment horizontal="left"/>
    </xf>
    <xf numFmtId="3" fontId="20" fillId="2" borderId="0" xfId="18" applyNumberFormat="1" applyFont="1" applyFill="1" applyBorder="1" applyAlignment="1" applyProtection="1">
      <alignment horizontal="right" wrapText="1"/>
    </xf>
    <xf numFmtId="3" fontId="20" fillId="2" borderId="5" xfId="18" applyNumberFormat="1" applyFont="1" applyFill="1" applyBorder="1" applyAlignment="1" applyProtection="1">
      <alignment horizontal="center"/>
    </xf>
    <xf numFmtId="3" fontId="20" fillId="2" borderId="5" xfId="18" applyNumberFormat="1" applyFont="1" applyFill="1" applyBorder="1" applyAlignment="1" applyProtection="1">
      <alignment horizontal="centerContinuous" wrapText="1"/>
    </xf>
    <xf numFmtId="3" fontId="20" fillId="2" borderId="0" xfId="18" applyNumberFormat="1" applyFont="1" applyFill="1" applyBorder="1" applyAlignment="1" applyProtection="1">
      <alignment horizontal="center" wrapText="1"/>
    </xf>
    <xf numFmtId="3" fontId="20" fillId="2" borderId="8" xfId="18" applyNumberFormat="1" applyFont="1" applyFill="1" applyBorder="1" applyAlignment="1" applyProtection="1">
      <alignment horizontal="right" wrapText="1"/>
    </xf>
    <xf numFmtId="3" fontId="20" fillId="2" borderId="7" xfId="18" applyNumberFormat="1" applyFont="1" applyFill="1" applyBorder="1" applyAlignment="1" applyProtection="1">
      <alignment horizontal="centerContinuous" vertical="top" wrapText="1"/>
    </xf>
    <xf numFmtId="3" fontId="20" fillId="7" borderId="10" xfId="18" applyNumberFormat="1" applyFont="1" applyFill="1" applyBorder="1" applyAlignment="1" applyProtection="1">
      <alignment horizontal="right" readingOrder="2"/>
    </xf>
    <xf numFmtId="3" fontId="19" fillId="7" borderId="11" xfId="18" applyNumberFormat="1" applyFont="1" applyFill="1" applyBorder="1" applyAlignment="1" applyProtection="1">
      <alignment horizontal="right" readingOrder="2"/>
    </xf>
    <xf numFmtId="49" fontId="19" fillId="7" borderId="11" xfId="18" applyNumberFormat="1" applyFont="1" applyFill="1" applyBorder="1" applyAlignment="1" applyProtection="1">
      <alignment horizontal="right" readingOrder="2"/>
    </xf>
    <xf numFmtId="3" fontId="19" fillId="7" borderId="12" xfId="18" applyNumberFormat="1" applyFont="1" applyFill="1" applyBorder="1" applyAlignment="1" applyProtection="1">
      <alignment horizontal="right" readingOrder="2"/>
    </xf>
    <xf numFmtId="3" fontId="21" fillId="2" borderId="13" xfId="18" applyNumberFormat="1" applyFont="1" applyFill="1" applyBorder="1" applyAlignment="1" applyProtection="1">
      <alignment wrapText="1"/>
    </xf>
    <xf numFmtId="3" fontId="21" fillId="2" borderId="14" xfId="18" applyNumberFormat="1" applyFont="1" applyFill="1" applyBorder="1" applyAlignment="1" applyProtection="1">
      <alignment wrapText="1"/>
    </xf>
    <xf numFmtId="3" fontId="21" fillId="2" borderId="15" xfId="18" applyNumberFormat="1" applyFont="1" applyFill="1" applyBorder="1" applyAlignment="1" applyProtection="1">
      <alignment wrapText="1"/>
    </xf>
    <xf numFmtId="3" fontId="21" fillId="2" borderId="16" xfId="18" applyNumberFormat="1" applyFont="1" applyFill="1" applyBorder="1" applyAlignment="1" applyProtection="1">
      <alignment wrapText="1"/>
    </xf>
    <xf numFmtId="3" fontId="20" fillId="7" borderId="11" xfId="18" applyNumberFormat="1" applyFont="1" applyFill="1" applyBorder="1" applyAlignment="1" applyProtection="1">
      <alignment horizontal="right" readingOrder="2"/>
    </xf>
    <xf numFmtId="3" fontId="22" fillId="7" borderId="11" xfId="18" applyNumberFormat="1" applyFont="1" applyFill="1" applyBorder="1" applyAlignment="1" applyProtection="1">
      <alignment horizontal="right"/>
    </xf>
    <xf numFmtId="49" fontId="23" fillId="7" borderId="11" xfId="18" applyNumberFormat="1" applyFont="1" applyFill="1" applyBorder="1" applyAlignment="1" applyProtection="1">
      <alignment horizontal="right" readingOrder="2"/>
    </xf>
    <xf numFmtId="49" fontId="20" fillId="7" borderId="11" xfId="18" applyNumberFormat="1" applyFont="1" applyFill="1" applyBorder="1" applyAlignment="1" applyProtection="1">
      <alignment horizontal="right" readingOrder="2"/>
    </xf>
    <xf numFmtId="3" fontId="20" fillId="7" borderId="12" xfId="18" applyNumberFormat="1" applyFont="1" applyFill="1" applyBorder="1" applyAlignment="1" applyProtection="1">
      <alignment horizontal="right" readingOrder="2"/>
    </xf>
    <xf numFmtId="3" fontId="21" fillId="2" borderId="17" xfId="18" applyNumberFormat="1" applyFont="1" applyFill="1" applyBorder="1" applyAlignment="1" applyProtection="1">
      <alignment wrapText="1"/>
    </xf>
    <xf numFmtId="3" fontId="11" fillId="7" borderId="18" xfId="18" applyNumberFormat="1" applyFont="1" applyFill="1" applyBorder="1" applyAlignment="1" applyProtection="1">
      <alignment wrapText="1"/>
    </xf>
    <xf numFmtId="3" fontId="11" fillId="2" borderId="18" xfId="18" applyNumberFormat="1" applyFont="1" applyFill="1" applyBorder="1" applyAlignment="1" applyProtection="1">
      <alignment wrapText="1"/>
    </xf>
    <xf numFmtId="3" fontId="22" fillId="7" borderId="11" xfId="18" applyNumberFormat="1" applyFont="1" applyFill="1" applyBorder="1" applyAlignment="1" applyProtection="1">
      <alignment horizontal="right" readingOrder="2"/>
    </xf>
    <xf numFmtId="3" fontId="11" fillId="7" borderId="18" xfId="18" applyNumberFormat="1" applyFont="1" applyFill="1" applyBorder="1" applyAlignment="1" applyProtection="1">
      <alignment wrapText="1"/>
      <protection locked="0"/>
    </xf>
    <xf numFmtId="49" fontId="22" fillId="7" borderId="11" xfId="18" applyNumberFormat="1" applyFont="1" applyFill="1" applyBorder="1" applyAlignment="1" applyProtection="1">
      <alignment horizontal="right" readingOrder="2"/>
    </xf>
    <xf numFmtId="49" fontId="22" fillId="7" borderId="19" xfId="18" applyNumberFormat="1" applyFont="1" applyFill="1" applyBorder="1" applyAlignment="1" applyProtection="1">
      <alignment horizontal="right" readingOrder="2"/>
    </xf>
    <xf numFmtId="3" fontId="22" fillId="7" borderId="20" xfId="18" applyNumberFormat="1" applyFont="1" applyFill="1" applyBorder="1" applyAlignment="1" applyProtection="1">
      <alignment vertical="top" readingOrder="2"/>
    </xf>
    <xf numFmtId="3" fontId="17" fillId="7" borderId="19" xfId="18" applyNumberFormat="1" applyFont="1" applyFill="1" applyBorder="1" applyAlignment="1" applyProtection="1">
      <alignment horizontal="right" readingOrder="2"/>
    </xf>
    <xf numFmtId="3" fontId="24" fillId="7" borderId="11" xfId="18" applyNumberFormat="1" applyFont="1" applyFill="1" applyBorder="1" applyAlignment="1" applyProtection="1">
      <alignment horizontal="right" readingOrder="2"/>
    </xf>
    <xf numFmtId="49" fontId="24" fillId="7" borderId="11" xfId="18" applyNumberFormat="1" applyFont="1" applyFill="1" applyBorder="1" applyAlignment="1" applyProtection="1">
      <alignment horizontal="right" readingOrder="2"/>
    </xf>
    <xf numFmtId="3" fontId="21" fillId="2" borderId="18" xfId="18" applyNumberFormat="1" applyFont="1" applyFill="1" applyBorder="1" applyAlignment="1" applyProtection="1">
      <alignment wrapText="1"/>
    </xf>
    <xf numFmtId="3" fontId="19" fillId="7" borderId="11" xfId="18" applyNumberFormat="1" applyFont="1" applyFill="1" applyBorder="1" applyAlignment="1" applyProtection="1">
      <alignment horizontal="right"/>
    </xf>
    <xf numFmtId="3" fontId="17" fillId="7" borderId="11" xfId="18" applyNumberFormat="1" applyFont="1" applyFill="1" applyBorder="1" applyAlignment="1" applyProtection="1">
      <alignment horizontal="right" readingOrder="2"/>
    </xf>
    <xf numFmtId="3" fontId="21" fillId="7" borderId="18" xfId="18" applyNumberFormat="1" applyFont="1" applyFill="1" applyBorder="1" applyAlignment="1" applyProtection="1">
      <alignment wrapText="1"/>
    </xf>
    <xf numFmtId="3" fontId="21" fillId="7" borderId="11" xfId="18" applyNumberFormat="1" applyFont="1" applyFill="1" applyBorder="1" applyAlignment="1" applyProtection="1">
      <alignment horizontal="right" readingOrder="2"/>
    </xf>
    <xf numFmtId="3" fontId="11" fillId="7" borderId="11" xfId="18" applyNumberFormat="1" applyFont="1" applyFill="1" applyBorder="1" applyAlignment="1" applyProtection="1">
      <alignment horizontal="right" readingOrder="1"/>
    </xf>
    <xf numFmtId="3" fontId="25" fillId="7" borderId="17" xfId="18" applyNumberFormat="1" applyFont="1" applyFill="1" applyBorder="1" applyAlignment="1" applyProtection="1">
      <alignment wrapText="1"/>
    </xf>
    <xf numFmtId="3" fontId="11" fillId="7" borderId="11" xfId="18" applyNumberFormat="1" applyFont="1" applyFill="1" applyBorder="1" applyAlignment="1" applyProtection="1">
      <alignment horizontal="right" readingOrder="2"/>
    </xf>
    <xf numFmtId="3" fontId="21" fillId="7" borderId="18" xfId="18" applyNumberFormat="1" applyFont="1" applyFill="1" applyBorder="1" applyAlignment="1" applyProtection="1">
      <alignment wrapText="1"/>
      <protection locked="0"/>
    </xf>
    <xf numFmtId="3" fontId="23" fillId="7" borderId="11" xfId="18" applyNumberFormat="1" applyFont="1" applyFill="1" applyBorder="1" applyAlignment="1" applyProtection="1">
      <alignment horizontal="right" readingOrder="2"/>
    </xf>
    <xf numFmtId="3" fontId="11" fillId="2" borderId="18" xfId="18" applyNumberFormat="1" applyFont="1" applyFill="1" applyBorder="1" applyAlignment="1" applyProtection="1">
      <alignment wrapText="1"/>
      <protection locked="0"/>
    </xf>
    <xf numFmtId="3" fontId="20" fillId="8" borderId="10" xfId="18" applyNumberFormat="1" applyFont="1" applyFill="1" applyBorder="1" applyAlignment="1" applyProtection="1">
      <alignment horizontal="right" readingOrder="2"/>
    </xf>
    <xf numFmtId="49" fontId="27" fillId="7" borderId="11" xfId="18" applyNumberFormat="1" applyFont="1" applyFill="1" applyBorder="1" applyAlignment="1" applyProtection="1">
      <alignment horizontal="right" readingOrder="2"/>
    </xf>
    <xf numFmtId="3" fontId="27" fillId="7" borderId="11" xfId="18" applyNumberFormat="1" applyFont="1" applyFill="1" applyBorder="1" applyAlignment="1" applyProtection="1">
      <alignment horizontal="right" readingOrder="2"/>
    </xf>
    <xf numFmtId="3" fontId="28" fillId="7" borderId="11" xfId="18" applyNumberFormat="1" applyFont="1" applyFill="1" applyBorder="1" applyAlignment="1" applyProtection="1">
      <alignment horizontal="right" readingOrder="2"/>
    </xf>
    <xf numFmtId="3" fontId="11" fillId="7" borderId="11" xfId="18" applyNumberFormat="1" applyFont="1" applyFill="1" applyBorder="1" applyAlignment="1" applyProtection="1">
      <alignment horizontal="right"/>
    </xf>
    <xf numFmtId="3" fontId="21" fillId="2" borderId="20" xfId="18" applyNumberFormat="1" applyFont="1" applyFill="1" applyBorder="1" applyAlignment="1" applyProtection="1">
      <alignment wrapText="1"/>
    </xf>
    <xf numFmtId="3" fontId="11" fillId="7" borderId="20" xfId="18" applyNumberFormat="1" applyFont="1" applyFill="1" applyBorder="1" applyAlignment="1" applyProtection="1">
      <alignment wrapText="1"/>
      <protection locked="0"/>
    </xf>
    <xf numFmtId="3" fontId="22" fillId="7" borderId="11" xfId="18" applyNumberFormat="1" applyFont="1" applyFill="1" applyBorder="1" applyAlignment="1" applyProtection="1">
      <alignment horizontal="right" readingOrder="1"/>
    </xf>
    <xf numFmtId="2" fontId="22" fillId="7" borderId="11" xfId="18" applyNumberFormat="1" applyFont="1" applyFill="1" applyBorder="1" applyAlignment="1" applyProtection="1">
      <alignment horizontal="right" readingOrder="2"/>
    </xf>
    <xf numFmtId="2" fontId="19" fillId="7" borderId="11" xfId="18" applyNumberFormat="1" applyFont="1" applyFill="1" applyBorder="1" applyAlignment="1" applyProtection="1">
      <alignment horizontal="right" readingOrder="2"/>
    </xf>
    <xf numFmtId="2" fontId="20" fillId="7" borderId="11" xfId="18" applyNumberFormat="1" applyFont="1" applyFill="1" applyBorder="1" applyAlignment="1" applyProtection="1">
      <alignment horizontal="right" readingOrder="2"/>
    </xf>
    <xf numFmtId="3" fontId="22" fillId="7" borderId="21" xfId="18" applyNumberFormat="1" applyFont="1" applyFill="1" applyBorder="1" applyAlignment="1" applyProtection="1">
      <alignment vertical="top" readingOrder="2"/>
    </xf>
    <xf numFmtId="0" fontId="22" fillId="7" borderId="11" xfId="18" applyNumberFormat="1" applyFont="1" applyFill="1" applyBorder="1" applyAlignment="1" applyProtection="1">
      <alignment horizontal="right" readingOrder="2"/>
    </xf>
    <xf numFmtId="0" fontId="20" fillId="7" borderId="11" xfId="18" applyNumberFormat="1" applyFont="1" applyFill="1" applyBorder="1" applyAlignment="1" applyProtection="1">
      <alignment horizontal="right" readingOrder="2"/>
    </xf>
    <xf numFmtId="3" fontId="11" fillId="7" borderId="22" xfId="18" applyNumberFormat="1" applyFont="1" applyFill="1" applyBorder="1" applyAlignment="1" applyProtection="1">
      <alignment wrapText="1"/>
      <protection locked="0"/>
    </xf>
    <xf numFmtId="3" fontId="11" fillId="7" borderId="13" xfId="18" applyNumberFormat="1" applyFont="1" applyFill="1" applyBorder="1" applyAlignment="1" applyProtection="1">
      <alignment wrapText="1"/>
      <protection locked="0"/>
    </xf>
    <xf numFmtId="3" fontId="21" fillId="5" borderId="0" xfId="18" applyNumberFormat="1" applyFont="1" applyFill="1" applyAlignment="1" applyProtection="1">
      <alignment horizontal="right"/>
    </xf>
    <xf numFmtId="49" fontId="11" fillId="5" borderId="0" xfId="18" applyNumberFormat="1" applyFont="1" applyFill="1" applyAlignment="1" applyProtection="1">
      <alignment horizontal="right"/>
    </xf>
    <xf numFmtId="3" fontId="11" fillId="5" borderId="0" xfId="18" applyNumberFormat="1" applyFont="1" applyFill="1" applyAlignment="1" applyProtection="1">
      <alignment horizontal="right" wrapText="1"/>
    </xf>
    <xf numFmtId="3" fontId="30" fillId="5" borderId="0" xfId="18" applyNumberFormat="1" applyFont="1" applyFill="1" applyAlignment="1" applyProtection="1"/>
    <xf numFmtId="3" fontId="11" fillId="5" borderId="0" xfId="18" applyNumberFormat="1" applyFont="1" applyFill="1" applyAlignment="1" applyProtection="1">
      <alignment wrapText="1"/>
    </xf>
    <xf numFmtId="49" fontId="21" fillId="5" borderId="0" xfId="18" applyNumberFormat="1" applyFont="1" applyFill="1" applyAlignment="1" applyProtection="1">
      <alignment horizontal="right"/>
    </xf>
    <xf numFmtId="3" fontId="21" fillId="5" borderId="0" xfId="18" applyNumberFormat="1" applyFont="1" applyFill="1" applyAlignment="1" applyProtection="1">
      <alignment horizontal="left" wrapText="1"/>
    </xf>
    <xf numFmtId="3" fontId="11" fillId="0" borderId="0" xfId="19" applyNumberFormat="1" applyFont="1" applyAlignment="1">
      <alignment horizontal="right" wrapText="1" readingOrder="2"/>
    </xf>
    <xf numFmtId="3" fontId="11" fillId="0" borderId="0" xfId="19" applyNumberFormat="1" applyFont="1">
      <alignment wrapText="1"/>
    </xf>
    <xf numFmtId="3" fontId="11" fillId="0" borderId="0" xfId="19" quotePrefix="1" applyNumberFormat="1" applyFont="1" applyAlignment="1">
      <alignment horizontal="right" wrapText="1" readingOrder="1"/>
    </xf>
    <xf numFmtId="0" fontId="35" fillId="5" borderId="0" xfId="19" applyFont="1" applyFill="1" applyAlignment="1">
      <alignment wrapText="1"/>
    </xf>
    <xf numFmtId="0" fontId="38" fillId="5" borderId="0" xfId="19" applyFont="1" applyFill="1" applyAlignment="1" applyProtection="1">
      <alignment horizontal="centerContinuous" vertical="center"/>
    </xf>
    <xf numFmtId="0" fontId="39" fillId="0" borderId="0" xfId="19" applyFont="1" applyAlignment="1" applyProtection="1">
      <alignment horizontal="right" readingOrder="2"/>
    </xf>
    <xf numFmtId="0" fontId="39" fillId="0" borderId="0" xfId="19" applyFont="1" applyAlignment="1" applyProtection="1">
      <alignment horizontal="left"/>
    </xf>
    <xf numFmtId="0" fontId="35" fillId="5" borderId="0" xfId="19" applyFont="1" applyFill="1" applyAlignment="1">
      <alignment horizontal="right" wrapText="1"/>
    </xf>
    <xf numFmtId="0" fontId="35" fillId="5" borderId="0" xfId="19" applyFont="1" applyFill="1" applyAlignment="1" applyProtection="1"/>
    <xf numFmtId="0" fontId="35" fillId="5" borderId="0" xfId="19" applyFont="1" applyFill="1" applyAlignment="1" applyProtection="1">
      <alignment wrapText="1" readingOrder="2"/>
    </xf>
    <xf numFmtId="0" fontId="11" fillId="5" borderId="0" xfId="19" applyFont="1" applyFill="1" applyAlignment="1" applyProtection="1">
      <alignment horizontal="center" wrapText="1" readingOrder="2"/>
    </xf>
    <xf numFmtId="0" fontId="11" fillId="5" borderId="0" xfId="19" applyFont="1" applyFill="1" applyAlignment="1" applyProtection="1">
      <alignment horizontal="center" readingOrder="2"/>
    </xf>
    <xf numFmtId="0" fontId="40" fillId="6" borderId="0" xfId="9" applyFont="1" applyFill="1" applyAlignment="1" applyProtection="1">
      <alignment horizontal="center" wrapText="1"/>
    </xf>
    <xf numFmtId="0" fontId="11" fillId="5" borderId="0" xfId="19" applyFont="1" applyFill="1" applyAlignment="1" applyProtection="1">
      <alignment wrapText="1" readingOrder="2"/>
    </xf>
    <xf numFmtId="0" fontId="41" fillId="5" borderId="0" xfId="19" applyFont="1" applyFill="1" applyAlignment="1" applyProtection="1">
      <alignment wrapText="1" readingOrder="2"/>
    </xf>
    <xf numFmtId="0" fontId="9" fillId="0" borderId="0" xfId="19" applyFont="1" applyBorder="1" applyAlignment="1" applyProtection="1">
      <alignment horizontal="right" readingOrder="2"/>
    </xf>
    <xf numFmtId="0" fontId="36" fillId="5" borderId="0" xfId="19" applyFont="1" applyFill="1" applyAlignment="1" applyProtection="1">
      <alignment horizontal="centerContinuous" readingOrder="2"/>
    </xf>
    <xf numFmtId="0" fontId="37" fillId="5" borderId="0" xfId="19" applyFont="1" applyFill="1" applyAlignment="1" applyProtection="1">
      <alignment horizontal="centerContinuous" readingOrder="2"/>
    </xf>
    <xf numFmtId="0" fontId="11" fillId="5" borderId="0" xfId="19" applyFont="1" applyFill="1" applyAlignment="1" applyProtection="1">
      <alignment horizontal="centerContinuous" wrapText="1" readingOrder="2"/>
    </xf>
    <xf numFmtId="0" fontId="30" fillId="5" borderId="0" xfId="19" applyFont="1" applyFill="1" applyAlignment="1" applyProtection="1">
      <alignment horizontal="centerContinuous" readingOrder="2"/>
    </xf>
    <xf numFmtId="0" fontId="42" fillId="5" borderId="0" xfId="19" applyFont="1" applyFill="1" applyAlignment="1" applyProtection="1">
      <alignment horizontal="centerContinuous" readingOrder="2"/>
    </xf>
    <xf numFmtId="0" fontId="43" fillId="5" borderId="0" xfId="19" applyFont="1" applyFill="1" applyAlignment="1" applyProtection="1">
      <alignment horizontal="centerContinuous" readingOrder="2"/>
    </xf>
    <xf numFmtId="0" fontId="11" fillId="5" borderId="0" xfId="19" applyFont="1" applyFill="1" applyAlignment="1" applyProtection="1">
      <alignment horizontal="centerContinuous" wrapText="1" readingOrder="1"/>
    </xf>
    <xf numFmtId="0" fontId="35" fillId="5" borderId="0" xfId="19" applyFont="1" applyFill="1" applyAlignment="1" applyProtection="1">
      <alignment horizontal="centerContinuous" wrapText="1" readingOrder="2"/>
    </xf>
    <xf numFmtId="0" fontId="44" fillId="5" borderId="0" xfId="19" quotePrefix="1" applyFont="1" applyFill="1" applyAlignment="1" applyProtection="1">
      <alignment horizontal="centerContinuous" readingOrder="2"/>
    </xf>
    <xf numFmtId="49" fontId="20" fillId="5" borderId="0" xfId="19" applyNumberFormat="1" applyFont="1" applyFill="1" applyAlignment="1" applyProtection="1">
      <alignment readingOrder="1"/>
    </xf>
    <xf numFmtId="0" fontId="46" fillId="5" borderId="0" xfId="19" applyFont="1" applyFill="1" applyAlignment="1" applyProtection="1">
      <alignment readingOrder="2"/>
    </xf>
    <xf numFmtId="0" fontId="11" fillId="5" borderId="0" xfId="19" applyFont="1" applyFill="1" applyAlignment="1" applyProtection="1">
      <alignment readingOrder="2"/>
    </xf>
    <xf numFmtId="167" fontId="11" fillId="5" borderId="0" xfId="19" applyNumberFormat="1" applyFont="1" applyFill="1" applyAlignment="1" applyProtection="1">
      <alignment readingOrder="2"/>
    </xf>
    <xf numFmtId="0" fontId="47" fillId="5" borderId="0" xfId="19" applyFont="1" applyFill="1" applyAlignment="1" applyProtection="1">
      <alignment horizontal="centerContinuous" readingOrder="2"/>
    </xf>
    <xf numFmtId="0" fontId="48" fillId="5" borderId="0" xfId="19" applyFont="1" applyFill="1" applyAlignment="1" applyProtection="1">
      <alignment horizontal="right" readingOrder="2"/>
    </xf>
    <xf numFmtId="0" fontId="17" fillId="5" borderId="0" xfId="19" applyFont="1" applyFill="1" applyAlignment="1" applyProtection="1">
      <alignment horizontal="right" readingOrder="2"/>
    </xf>
    <xf numFmtId="0" fontId="48" fillId="5" borderId="0" xfId="19" applyFont="1" applyFill="1" applyAlignment="1" applyProtection="1">
      <alignment horizontal="centerContinuous" wrapText="1" readingOrder="2"/>
    </xf>
    <xf numFmtId="0" fontId="17" fillId="5" borderId="0" xfId="19" applyFont="1" applyFill="1" applyAlignment="1" applyProtection="1">
      <alignment horizontal="centerContinuous" readingOrder="2"/>
    </xf>
    <xf numFmtId="0" fontId="48" fillId="0" borderId="0" xfId="19" applyFont="1" applyAlignment="1" applyProtection="1">
      <alignment horizontal="centerContinuous" wrapText="1" readingOrder="2"/>
    </xf>
    <xf numFmtId="0" fontId="17" fillId="5" borderId="0" xfId="19" applyFont="1" applyFill="1" applyAlignment="1" applyProtection="1">
      <alignment horizontal="centerContinuous" wrapText="1" readingOrder="2"/>
    </xf>
    <xf numFmtId="3" fontId="17" fillId="5" borderId="0" xfId="19" applyNumberFormat="1" applyFont="1" applyFill="1" applyAlignment="1" applyProtection="1">
      <alignment wrapText="1" readingOrder="2"/>
    </xf>
    <xf numFmtId="0" fontId="49" fillId="5" borderId="0" xfId="19" applyFont="1" applyFill="1" applyAlignment="1" applyProtection="1">
      <alignment horizontal="centerContinuous" wrapText="1" readingOrder="2"/>
    </xf>
    <xf numFmtId="0" fontId="11" fillId="5" borderId="0" xfId="19" applyFont="1" applyFill="1" applyAlignment="1" applyProtection="1">
      <alignment wrapText="1" readingOrder="1"/>
    </xf>
    <xf numFmtId="0" fontId="48" fillId="5" borderId="0" xfId="19" applyFont="1" applyFill="1" applyAlignment="1" applyProtection="1">
      <alignment wrapText="1" readingOrder="2"/>
    </xf>
    <xf numFmtId="0" fontId="49" fillId="5" borderId="0" xfId="19" applyFont="1" applyFill="1" applyAlignment="1" applyProtection="1">
      <alignment wrapText="1" readingOrder="2"/>
    </xf>
    <xf numFmtId="0" fontId="35" fillId="5" borderId="0" xfId="19" applyFont="1" applyFill="1" applyAlignment="1" applyProtection="1">
      <alignment readingOrder="2"/>
    </xf>
    <xf numFmtId="167" fontId="48" fillId="5" borderId="0" xfId="19" applyNumberFormat="1" applyFont="1" applyFill="1" applyBorder="1" applyAlignment="1" applyProtection="1">
      <alignment readingOrder="2"/>
    </xf>
    <xf numFmtId="167" fontId="48" fillId="5" borderId="0" xfId="19" applyNumberFormat="1" applyFont="1" applyFill="1" applyAlignment="1" applyProtection="1">
      <alignment readingOrder="2"/>
    </xf>
    <xf numFmtId="168" fontId="49" fillId="5" borderId="0" xfId="19" applyNumberFormat="1" applyFont="1" applyFill="1" applyAlignment="1" applyProtection="1">
      <alignment wrapText="1" readingOrder="2"/>
    </xf>
    <xf numFmtId="168" fontId="35" fillId="5" borderId="0" xfId="19" applyNumberFormat="1" applyFont="1" applyFill="1" applyAlignment="1" applyProtection="1">
      <alignment readingOrder="2"/>
    </xf>
    <xf numFmtId="0" fontId="48" fillId="5" borderId="0" xfId="19" applyFont="1" applyFill="1" applyAlignment="1" applyProtection="1">
      <alignment readingOrder="2"/>
    </xf>
    <xf numFmtId="167" fontId="17" fillId="5" borderId="0" xfId="19" applyNumberFormat="1" applyFont="1" applyFill="1" applyBorder="1" applyAlignment="1" applyProtection="1">
      <alignment readingOrder="2"/>
    </xf>
    <xf numFmtId="0" fontId="50" fillId="5" borderId="0" xfId="19" applyFont="1" applyFill="1" applyAlignment="1" applyProtection="1">
      <alignment readingOrder="2"/>
    </xf>
    <xf numFmtId="3" fontId="17" fillId="5" borderId="0" xfId="19" applyNumberFormat="1" applyFont="1" applyFill="1" applyBorder="1" applyAlignment="1" applyProtection="1">
      <alignment horizontal="right" readingOrder="2"/>
    </xf>
    <xf numFmtId="49" fontId="51" fillId="5" borderId="0" xfId="19" applyNumberFormat="1" applyFont="1" applyFill="1" applyAlignment="1" applyProtection="1">
      <alignment readingOrder="1"/>
    </xf>
    <xf numFmtId="167" fontId="50" fillId="5" borderId="0" xfId="19" applyNumberFormat="1" applyFont="1" applyFill="1" applyAlignment="1" applyProtection="1">
      <alignment readingOrder="2"/>
    </xf>
    <xf numFmtId="167" fontId="48" fillId="5" borderId="0" xfId="19" applyNumberFormat="1" applyFont="1" applyFill="1" applyAlignment="1" applyProtection="1">
      <alignment wrapText="1" readingOrder="2"/>
    </xf>
    <xf numFmtId="168" fontId="35" fillId="5" borderId="0" xfId="19" applyNumberFormat="1" applyFont="1" applyFill="1" applyAlignment="1" applyProtection="1">
      <alignment wrapText="1" readingOrder="2"/>
    </xf>
    <xf numFmtId="168" fontId="41" fillId="5" borderId="0" xfId="19" applyNumberFormat="1" applyFont="1" applyFill="1" applyAlignment="1" applyProtection="1">
      <alignment wrapText="1" readingOrder="2"/>
    </xf>
    <xf numFmtId="49" fontId="11" fillId="5" borderId="0" xfId="19" applyNumberFormat="1" applyFont="1" applyFill="1" applyAlignment="1" applyProtection="1">
      <alignment readingOrder="1"/>
    </xf>
    <xf numFmtId="49" fontId="35" fillId="5" borderId="0" xfId="19" applyNumberFormat="1" applyFont="1" applyFill="1" applyAlignment="1" applyProtection="1">
      <alignment horizontal="left" wrapText="1" readingOrder="2"/>
    </xf>
    <xf numFmtId="0" fontId="11" fillId="0" borderId="0" xfId="19" applyFont="1" applyAlignment="1" applyProtection="1">
      <alignment wrapText="1" readingOrder="2"/>
    </xf>
    <xf numFmtId="167" fontId="11" fillId="5" borderId="0" xfId="19" applyNumberFormat="1" applyFont="1" applyFill="1" applyBorder="1" applyAlignment="1" applyProtection="1">
      <alignment readingOrder="2"/>
    </xf>
    <xf numFmtId="167" fontId="21" fillId="5" borderId="0" xfId="19" applyNumberFormat="1" applyFont="1" applyFill="1" applyBorder="1" applyAlignment="1" applyProtection="1">
      <alignment readingOrder="2"/>
    </xf>
    <xf numFmtId="3" fontId="21" fillId="5" borderId="0" xfId="19" applyNumberFormat="1" applyFont="1" applyFill="1" applyBorder="1" applyAlignment="1" applyProtection="1">
      <alignment horizontal="right" readingOrder="2"/>
    </xf>
    <xf numFmtId="9" fontId="25" fillId="5" borderId="0" xfId="19" applyNumberFormat="1" applyFont="1" applyFill="1" applyAlignment="1" applyProtection="1">
      <alignment readingOrder="2"/>
    </xf>
    <xf numFmtId="9" fontId="48" fillId="5" borderId="0" xfId="19" applyNumberFormat="1" applyFont="1" applyFill="1" applyAlignment="1" applyProtection="1">
      <alignment horizontal="right"/>
    </xf>
    <xf numFmtId="167" fontId="17" fillId="5" borderId="0" xfId="1" applyNumberFormat="1" applyFont="1" applyFill="1" applyBorder="1" applyAlignment="1" applyProtection="1">
      <alignment readingOrder="2"/>
    </xf>
    <xf numFmtId="0" fontId="48" fillId="0" borderId="0" xfId="19" applyFont="1" applyAlignment="1" applyProtection="1">
      <alignment wrapText="1" readingOrder="2"/>
    </xf>
    <xf numFmtId="49" fontId="11" fillId="5" borderId="0" xfId="19" applyNumberFormat="1" applyFont="1" applyFill="1" applyAlignment="1" applyProtection="1">
      <alignment horizontal="right" readingOrder="2"/>
    </xf>
    <xf numFmtId="10" fontId="22" fillId="5" borderId="0" xfId="19" applyNumberFormat="1" applyFont="1" applyFill="1" applyAlignment="1" applyProtection="1">
      <alignment horizontal="right" readingOrder="2"/>
    </xf>
    <xf numFmtId="167" fontId="48" fillId="5" borderId="0" xfId="19" applyNumberFormat="1" applyFont="1" applyFill="1" applyAlignment="1" applyProtection="1">
      <alignment wrapText="1" readingOrder="1"/>
    </xf>
    <xf numFmtId="167" fontId="48" fillId="5" borderId="0" xfId="19" applyNumberFormat="1" applyFont="1" applyFill="1" applyAlignment="1" applyProtection="1">
      <alignment readingOrder="1"/>
    </xf>
    <xf numFmtId="167" fontId="17" fillId="5" borderId="23" xfId="19" applyNumberFormat="1" applyFont="1" applyFill="1" applyBorder="1" applyAlignment="1" applyProtection="1">
      <alignment readingOrder="2"/>
    </xf>
    <xf numFmtId="167" fontId="48" fillId="5" borderId="0" xfId="1" applyNumberFormat="1" applyFont="1" applyFill="1" applyBorder="1" applyAlignment="1" applyProtection="1">
      <alignment readingOrder="2"/>
    </xf>
    <xf numFmtId="0" fontId="21" fillId="5" borderId="0" xfId="19" applyFont="1" applyFill="1" applyAlignment="1" applyProtection="1">
      <alignment horizontal="right" readingOrder="2"/>
    </xf>
    <xf numFmtId="0" fontId="39" fillId="5" borderId="0" xfId="19" applyFont="1" applyFill="1" applyAlignment="1" applyProtection="1">
      <alignment horizontal="right" readingOrder="2"/>
    </xf>
    <xf numFmtId="0" fontId="21" fillId="5" borderId="0" xfId="19" applyFont="1" applyFill="1" applyAlignment="1" applyProtection="1">
      <alignment readingOrder="2"/>
    </xf>
    <xf numFmtId="167" fontId="17" fillId="9" borderId="24" xfId="19" applyNumberFormat="1" applyFont="1" applyFill="1" applyBorder="1" applyAlignment="1" applyProtection="1">
      <alignment readingOrder="2"/>
    </xf>
    <xf numFmtId="49" fontId="45" fillId="5" borderId="0" xfId="19" applyNumberFormat="1" applyFont="1" applyFill="1" applyAlignment="1" applyProtection="1">
      <alignment readingOrder="1"/>
    </xf>
    <xf numFmtId="0" fontId="45" fillId="5" borderId="0" xfId="19" applyFont="1" applyFill="1" applyAlignment="1" applyProtection="1">
      <alignment horizontal="right" readingOrder="2"/>
    </xf>
    <xf numFmtId="168" fontId="35" fillId="5" borderId="0" xfId="19" applyNumberFormat="1" applyFont="1" applyFill="1" applyBorder="1" applyAlignment="1" applyProtection="1">
      <alignment wrapText="1" readingOrder="2"/>
    </xf>
    <xf numFmtId="168" fontId="35" fillId="5" borderId="0" xfId="19" applyNumberFormat="1" applyFont="1" applyFill="1" applyAlignment="1" applyProtection="1">
      <alignment wrapText="1" readingOrder="2"/>
      <protection locked="0"/>
    </xf>
    <xf numFmtId="0" fontId="53" fillId="5" borderId="0" xfId="19" applyFont="1" applyFill="1" applyAlignment="1" applyProtection="1">
      <alignment readingOrder="2"/>
    </xf>
    <xf numFmtId="0" fontId="33" fillId="5" borderId="0" xfId="19" applyFont="1" applyFill="1" applyAlignment="1" applyProtection="1">
      <alignment readingOrder="2"/>
    </xf>
    <xf numFmtId="167" fontId="33" fillId="5" borderId="0" xfId="19" applyNumberFormat="1" applyFont="1" applyFill="1" applyAlignment="1" applyProtection="1">
      <alignment readingOrder="2"/>
    </xf>
    <xf numFmtId="167" fontId="52" fillId="5" borderId="0" xfId="19" applyNumberFormat="1" applyFont="1" applyFill="1" applyBorder="1" applyAlignment="1" applyProtection="1">
      <alignment vertical="center" readingOrder="2"/>
    </xf>
    <xf numFmtId="167" fontId="33" fillId="5" borderId="0" xfId="19" applyNumberFormat="1" applyFont="1" applyFill="1" applyBorder="1" applyAlignment="1" applyProtection="1">
      <alignment readingOrder="2"/>
    </xf>
    <xf numFmtId="9" fontId="35" fillId="5" borderId="0" xfId="22" applyFont="1" applyFill="1" applyAlignment="1" applyProtection="1">
      <alignment wrapText="1" readingOrder="2"/>
    </xf>
    <xf numFmtId="168" fontId="48" fillId="5" borderId="0" xfId="19" applyNumberFormat="1" applyFont="1" applyFill="1" applyAlignment="1" applyProtection="1">
      <alignment readingOrder="2"/>
    </xf>
    <xf numFmtId="168" fontId="48" fillId="5" borderId="0" xfId="19" applyNumberFormat="1" applyFont="1" applyFill="1" applyBorder="1" applyAlignment="1" applyProtection="1">
      <alignment readingOrder="2"/>
    </xf>
    <xf numFmtId="9" fontId="35" fillId="8" borderId="0" xfId="22" applyFont="1" applyFill="1" applyAlignment="1" applyProtection="1">
      <alignment horizontal="center" wrapText="1" readingOrder="2"/>
    </xf>
    <xf numFmtId="0" fontId="17" fillId="5" borderId="0" xfId="19" applyFont="1" applyFill="1" applyAlignment="1" applyProtection="1">
      <alignment readingOrder="2"/>
    </xf>
    <xf numFmtId="0" fontId="48" fillId="0" borderId="0" xfId="19" applyFont="1" applyProtection="1">
      <alignment wrapText="1"/>
    </xf>
    <xf numFmtId="0" fontId="35" fillId="5" borderId="0" xfId="19" applyFont="1" applyFill="1" applyBorder="1" applyAlignment="1" applyProtection="1">
      <alignment wrapText="1" readingOrder="2"/>
    </xf>
    <xf numFmtId="3" fontId="0" fillId="0" borderId="0" xfId="0" applyNumberFormat="1"/>
    <xf numFmtId="0" fontId="35" fillId="0" borderId="0" xfId="19" applyFont="1" applyAlignment="1" applyProtection="1">
      <alignment wrapText="1" readingOrder="2"/>
    </xf>
    <xf numFmtId="0" fontId="13" fillId="9" borderId="0" xfId="9" applyFont="1" applyFill="1" applyAlignment="1" applyProtection="1">
      <alignment horizontal="center" wrapText="1"/>
    </xf>
    <xf numFmtId="0" fontId="7" fillId="0" borderId="0" xfId="19" applyProtection="1">
      <alignment wrapText="1"/>
    </xf>
    <xf numFmtId="0" fontId="39" fillId="0" borderId="0" xfId="19" applyFont="1" applyAlignment="1" applyProtection="1">
      <alignment horizontal="centerContinuous"/>
    </xf>
    <xf numFmtId="0" fontId="33" fillId="0" borderId="0" xfId="19" applyFont="1" applyProtection="1">
      <alignment wrapText="1"/>
    </xf>
    <xf numFmtId="0" fontId="39" fillId="0" borderId="0" xfId="19" applyFont="1" applyProtection="1">
      <alignment wrapText="1"/>
    </xf>
    <xf numFmtId="0" fontId="33" fillId="0" borderId="0" xfId="19" applyFont="1" applyAlignment="1" applyProtection="1">
      <alignment wrapText="1"/>
    </xf>
    <xf numFmtId="0" fontId="62" fillId="0" borderId="0" xfId="19" applyFont="1" applyProtection="1">
      <alignment wrapText="1"/>
    </xf>
    <xf numFmtId="0" fontId="62" fillId="0" borderId="0" xfId="19" applyFont="1" applyAlignment="1" applyProtection="1">
      <alignment readingOrder="2"/>
    </xf>
    <xf numFmtId="0" fontId="63" fillId="0" borderId="0" xfId="19" applyFont="1" applyProtection="1">
      <alignment wrapText="1"/>
    </xf>
    <xf numFmtId="0" fontId="62" fillId="0" borderId="0" xfId="19" applyFont="1" applyAlignment="1" applyProtection="1">
      <alignment horizontal="right" readingOrder="2"/>
    </xf>
    <xf numFmtId="0" fontId="64" fillId="0" borderId="0" xfId="19" applyFont="1" applyProtection="1">
      <alignment wrapText="1"/>
    </xf>
    <xf numFmtId="2" fontId="33" fillId="0" borderId="0" xfId="19" applyNumberFormat="1" applyFont="1" applyProtection="1">
      <alignment wrapText="1"/>
    </xf>
    <xf numFmtId="0" fontId="7" fillId="0" borderId="0" xfId="19">
      <alignment wrapText="1"/>
    </xf>
    <xf numFmtId="164" fontId="48" fillId="5" borderId="0" xfId="19" applyNumberFormat="1" applyFont="1" applyFill="1" applyAlignment="1" applyProtection="1">
      <alignment horizontal="right"/>
    </xf>
    <xf numFmtId="10" fontId="48" fillId="5" borderId="0" xfId="19" applyNumberFormat="1" applyFont="1" applyFill="1" applyAlignment="1" applyProtection="1">
      <alignment horizontal="right"/>
    </xf>
    <xf numFmtId="49" fontId="11" fillId="18" borderId="25" xfId="19" applyNumberFormat="1" applyFont="1" applyFill="1" applyBorder="1" applyAlignment="1" applyProtection="1">
      <alignment horizontal="center"/>
    </xf>
    <xf numFmtId="167" fontId="17" fillId="0" borderId="0" xfId="19" applyNumberFormat="1" applyFont="1" applyFill="1" applyBorder="1" applyAlignment="1" applyProtection="1">
      <alignment readingOrder="2"/>
    </xf>
    <xf numFmtId="10" fontId="66" fillId="5" borderId="0" xfId="19" applyNumberFormat="1" applyFont="1" applyFill="1" applyAlignment="1" applyProtection="1">
      <alignment readingOrder="2"/>
    </xf>
    <xf numFmtId="0" fontId="11" fillId="5" borderId="0" xfId="19" applyFont="1" applyFill="1" applyAlignment="1">
      <alignment wrapText="1"/>
    </xf>
    <xf numFmtId="0" fontId="21" fillId="5" borderId="0" xfId="19" applyFont="1" applyFill="1" applyAlignment="1">
      <alignment wrapText="1"/>
    </xf>
    <xf numFmtId="0" fontId="21" fillId="0" borderId="0" xfId="19" applyFont="1" applyAlignment="1" applyProtection="1">
      <alignment wrapText="1" readingOrder="2"/>
    </xf>
    <xf numFmtId="0" fontId="17" fillId="5" borderId="0" xfId="19" applyFont="1" applyFill="1" applyAlignment="1"/>
    <xf numFmtId="0" fontId="11" fillId="5" borderId="0" xfId="19" applyFont="1" applyFill="1" applyAlignment="1"/>
    <xf numFmtId="0" fontId="21" fillId="18" borderId="20" xfId="19" applyFont="1" applyFill="1" applyBorder="1" applyAlignment="1" applyProtection="1">
      <alignment horizontal="right" readingOrder="2"/>
    </xf>
    <xf numFmtId="0" fontId="11" fillId="18" borderId="20" xfId="19" applyFont="1" applyFill="1" applyBorder="1" applyAlignment="1">
      <alignment wrapText="1"/>
    </xf>
    <xf numFmtId="0" fontId="11" fillId="18" borderId="26" xfId="19" applyFont="1" applyFill="1" applyBorder="1" applyAlignment="1">
      <alignment wrapText="1"/>
    </xf>
    <xf numFmtId="0" fontId="21" fillId="19" borderId="27" xfId="19" applyFont="1" applyFill="1" applyBorder="1" applyAlignment="1"/>
    <xf numFmtId="10" fontId="11" fillId="18" borderId="20" xfId="22" applyNumberFormat="1" applyFont="1" applyFill="1" applyBorder="1" applyAlignment="1">
      <alignment wrapText="1"/>
    </xf>
    <xf numFmtId="0" fontId="11" fillId="18" borderId="28" xfId="19" applyFont="1" applyFill="1" applyBorder="1" applyAlignment="1">
      <alignment wrapText="1"/>
    </xf>
    <xf numFmtId="10" fontId="11" fillId="18" borderId="26" xfId="22" applyNumberFormat="1" applyFont="1" applyFill="1" applyBorder="1" applyAlignment="1">
      <alignment wrapText="1"/>
    </xf>
    <xf numFmtId="0" fontId="11" fillId="18" borderId="18" xfId="20" applyFont="1" applyFill="1" applyBorder="1" applyAlignment="1" applyProtection="1">
      <alignment vertical="center"/>
    </xf>
    <xf numFmtId="0" fontId="11" fillId="0" borderId="0" xfId="19" applyFont="1" applyFill="1" applyBorder="1" applyAlignment="1">
      <alignment wrapText="1"/>
    </xf>
    <xf numFmtId="0" fontId="11" fillId="0" borderId="0" xfId="19" applyFont="1" applyFill="1" applyBorder="1" applyAlignment="1" applyProtection="1">
      <alignment wrapText="1" readingOrder="2"/>
    </xf>
    <xf numFmtId="0" fontId="21" fillId="0" borderId="0" xfId="19" applyFont="1" applyFill="1" applyBorder="1" applyAlignment="1"/>
    <xf numFmtId="0" fontId="11" fillId="18" borderId="18" xfId="19" applyFont="1" applyFill="1" applyBorder="1" applyAlignment="1"/>
    <xf numFmtId="169" fontId="11" fillId="18" borderId="20" xfId="1" applyNumberFormat="1" applyFont="1" applyFill="1" applyBorder="1" applyAlignment="1">
      <alignment wrapText="1"/>
    </xf>
    <xf numFmtId="169" fontId="11" fillId="18" borderId="29" xfId="1" applyNumberFormat="1" applyFont="1" applyFill="1" applyBorder="1" applyAlignment="1">
      <alignment wrapText="1"/>
    </xf>
    <xf numFmtId="167" fontId="48" fillId="0" borderId="0" xfId="19" applyNumberFormat="1" applyFont="1" applyFill="1" applyAlignment="1" applyProtection="1">
      <alignment readingOrder="2"/>
    </xf>
    <xf numFmtId="167" fontId="17" fillId="0" borderId="0" xfId="1" applyNumberFormat="1" applyFont="1" applyFill="1" applyBorder="1" applyAlignment="1" applyProtection="1">
      <alignment readingOrder="2"/>
    </xf>
    <xf numFmtId="17" fontId="11" fillId="5" borderId="0" xfId="19" applyNumberFormat="1" applyFont="1" applyFill="1" applyAlignment="1"/>
    <xf numFmtId="167" fontId="17" fillId="0" borderId="0" xfId="19" applyNumberFormat="1" applyFont="1" applyFill="1" applyAlignment="1" applyProtection="1">
      <alignment readingOrder="2"/>
    </xf>
    <xf numFmtId="168" fontId="35" fillId="0" borderId="0" xfId="19" applyNumberFormat="1" applyFont="1" applyFill="1" applyAlignment="1" applyProtection="1">
      <alignment wrapText="1" readingOrder="2"/>
    </xf>
    <xf numFmtId="167" fontId="48" fillId="0" borderId="0" xfId="19" applyNumberFormat="1" applyFont="1" applyFill="1" applyBorder="1" applyAlignment="1" applyProtection="1">
      <alignment readingOrder="2"/>
    </xf>
    <xf numFmtId="167" fontId="17" fillId="0" borderId="15" xfId="1" applyNumberFormat="1" applyFont="1" applyFill="1" applyBorder="1" applyAlignment="1" applyProtection="1">
      <alignment readingOrder="2"/>
    </xf>
    <xf numFmtId="167" fontId="17" fillId="0" borderId="24" xfId="19" applyNumberFormat="1" applyFont="1" applyFill="1" applyBorder="1" applyAlignment="1" applyProtection="1">
      <alignment readingOrder="2"/>
    </xf>
    <xf numFmtId="168" fontId="48" fillId="0" borderId="0" xfId="19" applyNumberFormat="1" applyFont="1" applyFill="1" applyAlignment="1" applyProtection="1">
      <alignment readingOrder="2"/>
    </xf>
    <xf numFmtId="49" fontId="11" fillId="0" borderId="0" xfId="19" applyNumberFormat="1" applyFont="1" applyFill="1" applyAlignment="1" applyProtection="1">
      <alignment readingOrder="1"/>
    </xf>
    <xf numFmtId="0" fontId="11" fillId="0" borderId="0" xfId="19" applyFont="1" applyFill="1" applyAlignment="1" applyProtection="1">
      <alignment readingOrder="2"/>
    </xf>
    <xf numFmtId="0" fontId="17" fillId="0" borderId="0" xfId="19" applyFont="1" applyFill="1" applyAlignment="1" applyProtection="1">
      <alignment horizontal="left" readingOrder="2"/>
    </xf>
    <xf numFmtId="0" fontId="17" fillId="0" borderId="23" xfId="19" applyFont="1" applyFill="1" applyBorder="1" applyAlignment="1" applyProtection="1">
      <alignment readingOrder="2"/>
      <protection locked="0"/>
    </xf>
    <xf numFmtId="0" fontId="17" fillId="0" borderId="0" xfId="19" applyFont="1" applyFill="1" applyAlignment="1" applyProtection="1">
      <alignment readingOrder="2"/>
    </xf>
    <xf numFmtId="0" fontId="48" fillId="0" borderId="23" xfId="19" applyFont="1" applyFill="1" applyBorder="1" applyAlignment="1" applyProtection="1">
      <alignment readingOrder="2"/>
      <protection locked="0"/>
    </xf>
    <xf numFmtId="0" fontId="48" fillId="0" borderId="0" xfId="19" applyFont="1" applyFill="1" applyAlignment="1" applyProtection="1">
      <alignment readingOrder="2"/>
    </xf>
    <xf numFmtId="0" fontId="48" fillId="0" borderId="8" xfId="19" applyFont="1" applyFill="1" applyBorder="1" applyAlignment="1" applyProtection="1">
      <alignment readingOrder="2"/>
      <protection locked="0"/>
    </xf>
    <xf numFmtId="0" fontId="11" fillId="0" borderId="30" xfId="19" applyFont="1" applyFill="1" applyBorder="1" applyAlignment="1" applyProtection="1">
      <alignment readingOrder="2"/>
    </xf>
    <xf numFmtId="14" fontId="35" fillId="5" borderId="0" xfId="19" applyNumberFormat="1" applyFont="1" applyFill="1" applyAlignment="1" applyProtection="1">
      <alignment wrapText="1" readingOrder="2"/>
    </xf>
    <xf numFmtId="167" fontId="17" fillId="5" borderId="0" xfId="19" applyNumberFormat="1" applyFont="1" applyFill="1" applyBorder="1" applyAlignment="1" applyProtection="1">
      <alignment horizontal="center" wrapText="1" readingOrder="2"/>
    </xf>
    <xf numFmtId="0" fontId="17" fillId="5" borderId="0" xfId="19" applyNumberFormat="1" applyFont="1" applyFill="1" applyBorder="1" applyAlignment="1" applyProtection="1">
      <alignment horizontal="center" wrapText="1" readingOrder="2"/>
    </xf>
    <xf numFmtId="0" fontId="65" fillId="5" borderId="0" xfId="19" applyFont="1" applyFill="1" applyAlignment="1" applyProtection="1">
      <alignment horizontal="right" readingOrder="2"/>
    </xf>
    <xf numFmtId="10" fontId="65" fillId="5" borderId="0" xfId="19" applyNumberFormat="1" applyFont="1" applyFill="1" applyAlignment="1" applyProtection="1">
      <alignment readingOrder="2"/>
    </xf>
    <xf numFmtId="0" fontId="65" fillId="5" borderId="0" xfId="19" applyFont="1" applyFill="1" applyAlignment="1" applyProtection="1">
      <alignment readingOrder="2"/>
    </xf>
    <xf numFmtId="0" fontId="11" fillId="18" borderId="2" xfId="19" applyFont="1" applyFill="1" applyBorder="1" applyAlignment="1" applyProtection="1">
      <alignment horizontal="right"/>
    </xf>
    <xf numFmtId="0" fontId="11" fillId="18" borderId="31" xfId="19" applyFont="1" applyFill="1" applyBorder="1" applyAlignment="1" applyProtection="1">
      <alignment horizontal="right"/>
    </xf>
    <xf numFmtId="3" fontId="11" fillId="18" borderId="25" xfId="19" applyNumberFormat="1" applyFont="1" applyFill="1" applyBorder="1" applyAlignment="1" applyProtection="1">
      <alignment horizontal="center"/>
    </xf>
    <xf numFmtId="0" fontId="21" fillId="20" borderId="2" xfId="19" applyFont="1" applyFill="1" applyBorder="1" applyAlignment="1"/>
    <xf numFmtId="0" fontId="29" fillId="18" borderId="32" xfId="20" applyFont="1" applyFill="1" applyBorder="1" applyAlignment="1" applyProtection="1">
      <alignment vertical="center"/>
    </xf>
    <xf numFmtId="3" fontId="11" fillId="18" borderId="4" xfId="19" applyNumberFormat="1" applyFont="1" applyFill="1" applyBorder="1" applyAlignment="1" applyProtection="1">
      <alignment horizontal="center"/>
    </xf>
    <xf numFmtId="0" fontId="21" fillId="20" borderId="33" xfId="19" applyFont="1" applyFill="1" applyBorder="1" applyAlignment="1"/>
    <xf numFmtId="0" fontId="21" fillId="20" borderId="1" xfId="19" applyFont="1" applyFill="1" applyBorder="1" applyAlignment="1" applyProtection="1">
      <alignment horizontal="center" wrapText="1" readingOrder="2"/>
    </xf>
    <xf numFmtId="0" fontId="11" fillId="20" borderId="34" xfId="19" applyFont="1" applyFill="1" applyBorder="1" applyAlignment="1" applyProtection="1">
      <alignment wrapText="1" readingOrder="2"/>
    </xf>
    <xf numFmtId="3" fontId="11" fillId="5" borderId="0" xfId="19" applyNumberFormat="1" applyFont="1" applyFill="1" applyAlignment="1">
      <alignment wrapText="1"/>
    </xf>
    <xf numFmtId="169" fontId="35" fillId="20" borderId="0" xfId="1" applyNumberFormat="1" applyFont="1" applyFill="1" applyAlignment="1">
      <alignment horizontal="right" wrapText="1"/>
    </xf>
    <xf numFmtId="0" fontId="67" fillId="0" borderId="0" xfId="0" applyFont="1"/>
    <xf numFmtId="0" fontId="21" fillId="20" borderId="2" xfId="19" applyFont="1" applyFill="1" applyBorder="1" applyAlignment="1" applyProtection="1">
      <alignment horizontal="center" wrapText="1" readingOrder="2"/>
    </xf>
    <xf numFmtId="3" fontId="11" fillId="20" borderId="0" xfId="19" applyNumberFormat="1" applyFont="1" applyFill="1" applyAlignment="1">
      <alignment wrapText="1"/>
    </xf>
    <xf numFmtId="0" fontId="11" fillId="21" borderId="32" xfId="19" applyFont="1" applyFill="1" applyBorder="1" applyAlignment="1" applyProtection="1">
      <alignment wrapText="1"/>
      <protection locked="0"/>
    </xf>
    <xf numFmtId="0" fontId="11" fillId="21" borderId="31" xfId="19" applyFont="1" applyFill="1" applyBorder="1" applyAlignment="1" applyProtection="1">
      <alignment wrapText="1"/>
      <protection locked="0"/>
    </xf>
    <xf numFmtId="3" fontId="11" fillId="0" borderId="0" xfId="19" applyNumberFormat="1" applyFont="1" applyFill="1" applyBorder="1" applyAlignment="1">
      <alignment wrapText="1"/>
    </xf>
    <xf numFmtId="3" fontId="11" fillId="0" borderId="0" xfId="19" applyNumberFormat="1" applyFont="1" applyAlignment="1" applyProtection="1">
      <alignment wrapText="1" readingOrder="2"/>
    </xf>
    <xf numFmtId="169" fontId="11" fillId="18" borderId="21" xfId="1" applyNumberFormat="1" applyFont="1" applyFill="1" applyBorder="1" applyAlignment="1">
      <alignment wrapText="1"/>
    </xf>
    <xf numFmtId="10" fontId="11" fillId="18" borderId="21" xfId="22" applyNumberFormat="1" applyFont="1" applyFill="1" applyBorder="1" applyAlignment="1">
      <alignment wrapText="1"/>
    </xf>
    <xf numFmtId="169" fontId="11" fillId="18" borderId="35" xfId="1" applyNumberFormat="1" applyFont="1" applyFill="1" applyBorder="1" applyAlignment="1">
      <alignment wrapText="1"/>
    </xf>
    <xf numFmtId="3" fontId="39" fillId="20" borderId="36" xfId="19" applyNumberFormat="1" applyFont="1" applyFill="1" applyBorder="1" applyAlignment="1" applyProtection="1">
      <alignment wrapText="1" readingOrder="2"/>
    </xf>
    <xf numFmtId="3" fontId="39" fillId="20" borderId="37" xfId="19" applyNumberFormat="1" applyFont="1" applyFill="1" applyBorder="1" applyAlignment="1" applyProtection="1">
      <alignment wrapText="1" readingOrder="2"/>
    </xf>
    <xf numFmtId="3" fontId="33" fillId="20" borderId="32" xfId="19" applyNumberFormat="1" applyFont="1" applyFill="1" applyBorder="1" applyAlignment="1">
      <alignment wrapText="1"/>
    </xf>
    <xf numFmtId="3" fontId="33" fillId="20" borderId="38" xfId="19" applyNumberFormat="1" applyFont="1" applyFill="1" applyBorder="1" applyAlignment="1">
      <alignment wrapText="1"/>
    </xf>
    <xf numFmtId="170" fontId="48" fillId="5" borderId="0" xfId="19" applyNumberFormat="1" applyFont="1" applyFill="1" applyAlignment="1" applyProtection="1">
      <alignment readingOrder="2"/>
    </xf>
    <xf numFmtId="0" fontId="11" fillId="21" borderId="32" xfId="20" applyFont="1" applyFill="1" applyBorder="1" applyAlignment="1" applyProtection="1">
      <alignment vertical="center"/>
      <protection locked="0"/>
    </xf>
    <xf numFmtId="3" fontId="33" fillId="21" borderId="38" xfId="19" applyNumberFormat="1" applyFont="1" applyFill="1" applyBorder="1" applyAlignment="1" applyProtection="1">
      <alignment wrapText="1"/>
      <protection locked="0"/>
    </xf>
    <xf numFmtId="3" fontId="33" fillId="21" borderId="3" xfId="19" applyNumberFormat="1" applyFont="1" applyFill="1" applyBorder="1" applyAlignment="1" applyProtection="1">
      <alignment wrapText="1"/>
      <protection locked="0"/>
    </xf>
    <xf numFmtId="171" fontId="11" fillId="0" borderId="0" xfId="19" applyNumberFormat="1" applyFont="1" applyAlignment="1" applyProtection="1">
      <alignment wrapText="1" readingOrder="2"/>
    </xf>
    <xf numFmtId="0" fontId="21" fillId="20" borderId="34" xfId="19" applyFont="1" applyFill="1" applyBorder="1" applyAlignment="1">
      <alignment horizontal="center" wrapText="1"/>
    </xf>
    <xf numFmtId="0" fontId="21" fillId="20" borderId="1" xfId="19" applyFont="1" applyFill="1" applyBorder="1" applyAlignment="1">
      <alignment horizontal="center" wrapText="1"/>
    </xf>
    <xf numFmtId="9" fontId="35" fillId="5" borderId="0" xfId="19" applyNumberFormat="1" applyFont="1" applyFill="1" applyAlignment="1" applyProtection="1">
      <alignment wrapText="1" readingOrder="2"/>
    </xf>
    <xf numFmtId="3" fontId="21" fillId="19" borderId="18" xfId="18" applyNumberFormat="1" applyFont="1" applyFill="1" applyBorder="1" applyAlignment="1" applyProtection="1">
      <alignment wrapText="1"/>
    </xf>
    <xf numFmtId="3" fontId="21" fillId="18" borderId="32" xfId="19" applyNumberFormat="1" applyFont="1" applyFill="1" applyBorder="1" applyAlignment="1" applyProtection="1">
      <alignment horizontal="right" readingOrder="2"/>
    </xf>
    <xf numFmtId="3" fontId="39" fillId="20" borderId="38" xfId="19" applyNumberFormat="1" applyFont="1" applyFill="1" applyBorder="1" applyAlignment="1" applyProtection="1">
      <alignment horizontal="right" readingOrder="2"/>
    </xf>
    <xf numFmtId="3" fontId="11" fillId="21" borderId="31" xfId="19" applyNumberFormat="1" applyFont="1" applyFill="1" applyBorder="1" applyAlignment="1" applyProtection="1">
      <alignment wrapText="1"/>
      <protection locked="0"/>
    </xf>
    <xf numFmtId="3" fontId="33" fillId="20" borderId="3" xfId="19" applyNumberFormat="1" applyFont="1" applyFill="1" applyBorder="1" applyAlignment="1">
      <alignment wrapText="1"/>
    </xf>
    <xf numFmtId="3" fontId="20" fillId="2" borderId="30" xfId="18" applyNumberFormat="1" applyFont="1" applyFill="1" applyBorder="1" applyAlignment="1" applyProtection="1">
      <alignment horizontal="right" wrapText="1"/>
    </xf>
    <xf numFmtId="3" fontId="20" fillId="2" borderId="39" xfId="18" applyNumberFormat="1" applyFont="1" applyFill="1" applyBorder="1" applyAlignment="1" applyProtection="1">
      <alignment horizontal="center"/>
    </xf>
    <xf numFmtId="3" fontId="20" fillId="2" borderId="41" xfId="18" applyNumberFormat="1" applyFont="1" applyFill="1" applyBorder="1" applyAlignment="1" applyProtection="1">
      <alignment horizontal="center"/>
    </xf>
    <xf numFmtId="3" fontId="20" fillId="2" borderId="42" xfId="18" applyNumberFormat="1" applyFont="1" applyFill="1" applyBorder="1" applyAlignment="1" applyProtection="1">
      <alignment horizontal="center"/>
    </xf>
    <xf numFmtId="3" fontId="20" fillId="2" borderId="42" xfId="18" applyNumberFormat="1" applyFont="1" applyFill="1" applyBorder="1" applyAlignment="1" applyProtection="1">
      <alignment horizontal="centerContinuous" wrapText="1"/>
    </xf>
    <xf numFmtId="3" fontId="20" fillId="2" borderId="13" xfId="18" applyNumberFormat="1" applyFont="1" applyFill="1" applyBorder="1" applyAlignment="1" applyProtection="1">
      <alignment horizontal="centerContinuous" vertical="top" wrapText="1"/>
    </xf>
    <xf numFmtId="3" fontId="21" fillId="2" borderId="43" xfId="18" applyNumberFormat="1" applyFont="1" applyFill="1" applyBorder="1" applyAlignment="1" applyProtection="1">
      <alignment wrapText="1"/>
    </xf>
    <xf numFmtId="3" fontId="21" fillId="2" borderId="44" xfId="18" applyNumberFormat="1" applyFont="1" applyFill="1" applyBorder="1" applyAlignment="1" applyProtection="1">
      <alignment wrapText="1"/>
    </xf>
    <xf numFmtId="3" fontId="11" fillId="7" borderId="17" xfId="18" applyNumberFormat="1" applyFont="1" applyFill="1" applyBorder="1" applyAlignment="1" applyProtection="1">
      <alignment wrapText="1"/>
    </xf>
    <xf numFmtId="3" fontId="11" fillId="7" borderId="17" xfId="18" applyNumberFormat="1" applyFont="1" applyFill="1" applyBorder="1" applyAlignment="1" applyProtection="1">
      <alignment wrapText="1"/>
      <protection locked="0"/>
    </xf>
    <xf numFmtId="3" fontId="22" fillId="7" borderId="45" xfId="18" applyNumberFormat="1" applyFont="1" applyFill="1" applyBorder="1" applyAlignment="1" applyProtection="1">
      <alignment vertical="top" readingOrder="2"/>
    </xf>
    <xf numFmtId="3" fontId="21" fillId="7" borderId="17" xfId="18" applyNumberFormat="1" applyFont="1" applyFill="1" applyBorder="1" applyAlignment="1" applyProtection="1">
      <alignment wrapText="1"/>
    </xf>
    <xf numFmtId="3" fontId="21" fillId="7" borderId="17" xfId="18" applyNumberFormat="1" applyFont="1" applyFill="1" applyBorder="1" applyAlignment="1" applyProtection="1">
      <alignment wrapText="1"/>
      <protection locked="0"/>
    </xf>
    <xf numFmtId="3" fontId="11" fillId="2" borderId="17" xfId="18" applyNumberFormat="1" applyFont="1" applyFill="1" applyBorder="1" applyAlignment="1" applyProtection="1">
      <alignment wrapText="1"/>
    </xf>
    <xf numFmtId="3" fontId="11" fillId="2" borderId="17" xfId="18" applyNumberFormat="1" applyFont="1" applyFill="1" applyBorder="1" applyAlignment="1" applyProtection="1">
      <alignment wrapText="1"/>
      <protection locked="0"/>
    </xf>
    <xf numFmtId="3" fontId="11" fillId="7" borderId="45" xfId="18" applyNumberFormat="1" applyFont="1" applyFill="1" applyBorder="1" applyAlignment="1" applyProtection="1">
      <alignment wrapText="1"/>
      <protection locked="0"/>
    </xf>
    <xf numFmtId="3" fontId="21" fillId="19" borderId="17" xfId="18" applyNumberFormat="1" applyFont="1" applyFill="1" applyBorder="1" applyAlignment="1" applyProtection="1">
      <alignment wrapText="1"/>
    </xf>
    <xf numFmtId="3" fontId="11" fillId="7" borderId="46" xfId="18" applyNumberFormat="1" applyFont="1" applyFill="1" applyBorder="1" applyAlignment="1" applyProtection="1">
      <alignment wrapText="1"/>
      <protection locked="0"/>
    </xf>
    <xf numFmtId="3" fontId="22" fillId="7" borderId="47" xfId="18" applyNumberFormat="1" applyFont="1" applyFill="1" applyBorder="1" applyAlignment="1" applyProtection="1">
      <alignment vertical="top" readingOrder="2"/>
    </xf>
    <xf numFmtId="3" fontId="20" fillId="7" borderId="48" xfId="18" applyNumberFormat="1" applyFont="1" applyFill="1" applyBorder="1" applyAlignment="1" applyProtection="1">
      <alignment horizontal="right" readingOrder="2"/>
    </xf>
    <xf numFmtId="3" fontId="21" fillId="2" borderId="46" xfId="18" applyNumberFormat="1" applyFont="1" applyFill="1" applyBorder="1" applyAlignment="1" applyProtection="1">
      <alignment wrapText="1"/>
    </xf>
    <xf numFmtId="167" fontId="17" fillId="0" borderId="23" xfId="19" applyNumberFormat="1" applyFont="1" applyFill="1" applyBorder="1" applyAlignment="1" applyProtection="1">
      <alignment readingOrder="2"/>
    </xf>
    <xf numFmtId="169" fontId="11" fillId="18" borderId="49" xfId="1" applyNumberFormat="1" applyFont="1" applyFill="1" applyBorder="1" applyAlignment="1">
      <alignment wrapText="1"/>
    </xf>
    <xf numFmtId="0" fontId="11" fillId="18" borderId="34" xfId="19" applyFont="1" applyFill="1" applyBorder="1" applyAlignment="1"/>
    <xf numFmtId="169" fontId="11" fillId="18" borderId="2" xfId="1" applyNumberFormat="1" applyFont="1" applyFill="1" applyBorder="1" applyAlignment="1">
      <alignment wrapText="1"/>
    </xf>
    <xf numFmtId="169" fontId="11" fillId="18" borderId="1" xfId="1" applyNumberFormat="1" applyFont="1" applyFill="1" applyBorder="1" applyAlignment="1">
      <alignment wrapText="1"/>
    </xf>
    <xf numFmtId="0" fontId="11" fillId="18" borderId="25" xfId="19" applyFont="1" applyFill="1" applyBorder="1" applyAlignment="1"/>
    <xf numFmtId="169" fontId="11" fillId="18" borderId="32" xfId="1" applyNumberFormat="1" applyFont="1" applyFill="1" applyBorder="1" applyAlignment="1">
      <alignment wrapText="1"/>
    </xf>
    <xf numFmtId="169" fontId="11" fillId="18" borderId="38" xfId="1" applyNumberFormat="1" applyFont="1" applyFill="1" applyBorder="1" applyAlignment="1">
      <alignment wrapText="1"/>
    </xf>
    <xf numFmtId="169" fontId="11" fillId="18" borderId="31" xfId="1" applyNumberFormat="1" applyFont="1" applyFill="1" applyBorder="1" applyAlignment="1">
      <alignment wrapText="1"/>
    </xf>
    <xf numFmtId="169" fontId="11" fillId="18" borderId="3" xfId="1" applyNumberFormat="1" applyFont="1" applyFill="1" applyBorder="1" applyAlignment="1">
      <alignment wrapText="1"/>
    </xf>
    <xf numFmtId="2" fontId="11" fillId="5" borderId="0" xfId="19" applyNumberFormat="1" applyFont="1" applyFill="1" applyAlignment="1">
      <alignment wrapText="1"/>
    </xf>
    <xf numFmtId="2" fontId="11" fillId="21" borderId="0" xfId="19" applyNumberFormat="1" applyFont="1" applyFill="1" applyAlignment="1">
      <alignment wrapText="1"/>
    </xf>
    <xf numFmtId="0" fontId="101" fillId="0" borderId="0" xfId="19" applyFont="1" applyProtection="1">
      <alignment wrapText="1"/>
      <protection locked="0"/>
    </xf>
    <xf numFmtId="0" fontId="35" fillId="5" borderId="0" xfId="19" applyFont="1" applyFill="1" applyAlignment="1"/>
    <xf numFmtId="49" fontId="11" fillId="18" borderId="25" xfId="19" applyNumberFormat="1" applyFont="1" applyFill="1" applyBorder="1" applyAlignment="1" applyProtection="1">
      <alignment horizontal="center"/>
    </xf>
    <xf numFmtId="49" fontId="11" fillId="18" borderId="4" xfId="19" applyNumberFormat="1" applyFont="1" applyFill="1" applyBorder="1" applyAlignment="1" applyProtection="1">
      <alignment horizontal="center"/>
    </xf>
    <xf numFmtId="3" fontId="11" fillId="0" borderId="0" xfId="19" applyNumberFormat="1" applyFont="1" applyProtection="1">
      <alignment wrapText="1"/>
    </xf>
    <xf numFmtId="3" fontId="30" fillId="5" borderId="0" xfId="19" applyNumberFormat="1" applyFont="1" applyFill="1" applyAlignment="1" applyProtection="1">
      <alignment horizontal="centerContinuous" readingOrder="2"/>
    </xf>
    <xf numFmtId="3" fontId="17" fillId="5" borderId="0" xfId="19" applyNumberFormat="1" applyFont="1" applyFill="1" applyAlignment="1" applyProtection="1">
      <alignment readingOrder="2"/>
    </xf>
    <xf numFmtId="3" fontId="21" fillId="20" borderId="2" xfId="19" applyNumberFormat="1" applyFont="1" applyFill="1" applyBorder="1" applyAlignment="1" applyProtection="1">
      <alignment horizontal="center" wrapText="1" readingOrder="2"/>
    </xf>
    <xf numFmtId="3" fontId="21" fillId="20" borderId="1" xfId="19" applyNumberFormat="1" applyFont="1" applyFill="1" applyBorder="1" applyAlignment="1" applyProtection="1">
      <alignment horizontal="right" wrapText="1" readingOrder="2"/>
    </xf>
    <xf numFmtId="3" fontId="11" fillId="18" borderId="50" xfId="19" applyNumberFormat="1" applyFont="1" applyFill="1" applyBorder="1" applyAlignment="1">
      <alignment wrapText="1"/>
    </xf>
    <xf numFmtId="3" fontId="11" fillId="18" borderId="51" xfId="19" applyNumberFormat="1" applyFont="1" applyFill="1" applyBorder="1" applyAlignment="1">
      <alignment wrapText="1"/>
    </xf>
    <xf numFmtId="3" fontId="11" fillId="5" borderId="0" xfId="19" applyNumberFormat="1" applyFont="1" applyFill="1" applyAlignment="1"/>
    <xf numFmtId="3" fontId="35" fillId="5" borderId="0" xfId="19" applyNumberFormat="1" applyFont="1" applyFill="1" applyAlignment="1">
      <alignment wrapText="1"/>
    </xf>
    <xf numFmtId="3" fontId="39" fillId="20" borderId="38" xfId="19" applyNumberFormat="1" applyFont="1" applyFill="1" applyBorder="1" applyAlignment="1">
      <alignment wrapText="1"/>
    </xf>
    <xf numFmtId="167" fontId="70" fillId="5" borderId="0" xfId="19" applyNumberFormat="1" applyFont="1" applyFill="1" applyAlignment="1" applyProtection="1">
      <alignment horizontal="centerContinuous" readingOrder="2"/>
      <protection locked="0"/>
    </xf>
    <xf numFmtId="0" fontId="11" fillId="3" borderId="0" xfId="19" applyFont="1" applyFill="1" applyAlignment="1" applyProtection="1">
      <alignment horizontal="centerContinuous" wrapText="1"/>
    </xf>
    <xf numFmtId="0" fontId="33" fillId="5" borderId="0" xfId="19" applyFont="1" applyFill="1" applyProtection="1">
      <alignment wrapText="1"/>
    </xf>
    <xf numFmtId="0" fontId="71" fillId="5" borderId="0" xfId="19" applyFont="1" applyFill="1" applyProtection="1">
      <alignment wrapText="1"/>
    </xf>
    <xf numFmtId="0" fontId="36" fillId="0" borderId="0" xfId="19" applyFont="1" applyAlignment="1" applyProtection="1">
      <alignment horizontal="centerContinuous"/>
    </xf>
    <xf numFmtId="167" fontId="11" fillId="17" borderId="0" xfId="19" applyNumberFormat="1" applyFont="1" applyFill="1" applyProtection="1">
      <alignment wrapText="1"/>
    </xf>
    <xf numFmtId="3" fontId="29" fillId="5" borderId="0" xfId="19" applyNumberFormat="1" applyFont="1" applyFill="1" applyAlignment="1" applyProtection="1">
      <alignment horizontal="centerContinuous"/>
    </xf>
    <xf numFmtId="0" fontId="11" fillId="5" borderId="0" xfId="19" applyFont="1" applyFill="1" applyAlignment="1" applyProtection="1">
      <alignment horizontal="centerContinuous" wrapText="1"/>
    </xf>
    <xf numFmtId="0" fontId="7" fillId="5" borderId="0" xfId="19" applyFill="1" applyProtection="1">
      <alignment wrapText="1"/>
    </xf>
    <xf numFmtId="0" fontId="11" fillId="5" borderId="0" xfId="19" applyFont="1" applyFill="1" applyProtection="1">
      <alignment wrapText="1"/>
    </xf>
    <xf numFmtId="0" fontId="20" fillId="7" borderId="34" xfId="19" applyFont="1" applyFill="1" applyBorder="1" applyAlignment="1" applyProtection="1">
      <alignment horizontal="right" readingOrder="2"/>
    </xf>
    <xf numFmtId="0" fontId="20" fillId="7" borderId="34" xfId="19" applyFont="1" applyFill="1" applyBorder="1" applyAlignment="1" applyProtection="1">
      <alignment horizontal="right" wrapText="1" readingOrder="2"/>
    </xf>
    <xf numFmtId="0" fontId="11" fillId="7" borderId="52" xfId="19" applyFont="1" applyFill="1" applyBorder="1" applyProtection="1">
      <alignment wrapText="1"/>
    </xf>
    <xf numFmtId="0" fontId="46" fillId="7" borderId="10" xfId="19" applyFont="1" applyFill="1" applyBorder="1" applyAlignment="1" applyProtection="1">
      <alignment horizontal="right" readingOrder="2"/>
    </xf>
    <xf numFmtId="0" fontId="11" fillId="7" borderId="11" xfId="19" applyFont="1" applyFill="1" applyBorder="1" applyAlignment="1" applyProtection="1"/>
    <xf numFmtId="0" fontId="11" fillId="7" borderId="11" xfId="19" applyFont="1" applyFill="1" applyBorder="1" applyProtection="1">
      <alignment wrapText="1"/>
    </xf>
    <xf numFmtId="167" fontId="11" fillId="7" borderId="0" xfId="19" applyNumberFormat="1" applyFont="1" applyFill="1" applyBorder="1" applyAlignment="1" applyProtection="1"/>
    <xf numFmtId="167" fontId="11" fillId="7" borderId="11" xfId="19" applyNumberFormat="1" applyFont="1" applyFill="1" applyBorder="1" applyAlignment="1" applyProtection="1"/>
    <xf numFmtId="167" fontId="11" fillId="7" borderId="12" xfId="19" applyNumberFormat="1" applyFont="1" applyFill="1" applyBorder="1" applyProtection="1">
      <alignment wrapText="1"/>
    </xf>
    <xf numFmtId="0" fontId="11" fillId="5" borderId="0" xfId="19" applyFont="1" applyFill="1" applyAlignment="1" applyProtection="1"/>
    <xf numFmtId="0" fontId="11" fillId="7" borderId="10" xfId="19" applyFont="1" applyFill="1" applyBorder="1" applyAlignment="1" applyProtection="1"/>
    <xf numFmtId="0" fontId="11" fillId="7" borderId="11" xfId="19" applyFont="1" applyFill="1" applyBorder="1" applyAlignment="1" applyProtection="1">
      <alignment horizontal="center" readingOrder="2"/>
    </xf>
    <xf numFmtId="0" fontId="11" fillId="7" borderId="11" xfId="19" applyFont="1" applyFill="1" applyBorder="1" applyAlignment="1" applyProtection="1">
      <alignment horizontal="right" readingOrder="2"/>
    </xf>
    <xf numFmtId="167" fontId="48" fillId="21" borderId="44" xfId="19" applyNumberFormat="1" applyFont="1" applyFill="1" applyBorder="1" applyAlignment="1" applyProtection="1">
      <alignment wrapText="1"/>
      <protection locked="0"/>
    </xf>
    <xf numFmtId="167" fontId="11" fillId="7" borderId="11" xfId="19" applyNumberFormat="1" applyFont="1" applyFill="1" applyBorder="1" applyAlignment="1" applyProtection="1">
      <alignment horizontal="right"/>
    </xf>
    <xf numFmtId="167" fontId="11" fillId="7" borderId="12" xfId="19" applyNumberFormat="1" applyFont="1" applyFill="1" applyBorder="1" applyAlignment="1" applyProtection="1">
      <alignment horizontal="right"/>
    </xf>
    <xf numFmtId="0" fontId="11" fillId="7" borderId="19" xfId="19" applyFont="1" applyFill="1" applyBorder="1" applyAlignment="1" applyProtection="1">
      <alignment horizontal="center" vertical="top" wrapText="1" readingOrder="2"/>
    </xf>
    <xf numFmtId="0" fontId="11" fillId="7" borderId="19" xfId="19" applyFont="1" applyFill="1" applyBorder="1" applyAlignment="1" applyProtection="1">
      <alignment horizontal="right" wrapText="1" readingOrder="2"/>
    </xf>
    <xf numFmtId="167" fontId="48" fillId="21" borderId="17" xfId="19" applyNumberFormat="1" applyFont="1" applyFill="1" applyBorder="1" applyAlignment="1" applyProtection="1">
      <alignment wrapText="1"/>
      <protection locked="0"/>
    </xf>
    <xf numFmtId="0" fontId="72" fillId="0" borderId="0" xfId="15" applyFont="1" applyAlignment="1">
      <alignment vertical="center" wrapText="1" readingOrder="2"/>
    </xf>
    <xf numFmtId="0" fontId="29" fillId="7" borderId="10" xfId="19" applyFont="1" applyFill="1" applyBorder="1" applyAlignment="1" applyProtection="1"/>
    <xf numFmtId="0" fontId="20" fillId="7" borderId="25" xfId="19" applyFont="1" applyFill="1" applyBorder="1" applyAlignment="1" applyProtection="1">
      <alignment horizontal="right" readingOrder="2"/>
    </xf>
    <xf numFmtId="0" fontId="11" fillId="7" borderId="11" xfId="19" applyFont="1" applyFill="1" applyBorder="1" applyAlignment="1" applyProtection="1">
      <alignment horizontal="right" wrapText="1"/>
    </xf>
    <xf numFmtId="0" fontId="11" fillId="7" borderId="11" xfId="19" applyFont="1" applyFill="1" applyBorder="1" applyAlignment="1" applyProtection="1">
      <alignment horizontal="centerContinuous"/>
    </xf>
    <xf numFmtId="167" fontId="11" fillId="7" borderId="0" xfId="19" applyNumberFormat="1" applyFont="1" applyFill="1" applyBorder="1" applyAlignment="1" applyProtection="1">
      <alignment horizontal="right"/>
    </xf>
    <xf numFmtId="167" fontId="11" fillId="7" borderId="12" xfId="19" applyNumberFormat="1" applyFont="1" applyFill="1" applyBorder="1" applyAlignment="1" applyProtection="1">
      <alignment horizontal="right" wrapText="1"/>
    </xf>
    <xf numFmtId="167" fontId="11" fillId="7" borderId="53" xfId="19" applyNumberFormat="1" applyFont="1" applyFill="1" applyBorder="1" applyAlignment="1" applyProtection="1">
      <alignment horizontal="right" wrapText="1"/>
    </xf>
    <xf numFmtId="0" fontId="11" fillId="7" borderId="19" xfId="19" applyFont="1" applyFill="1" applyBorder="1" applyAlignment="1" applyProtection="1">
      <alignment horizontal="center" wrapText="1" readingOrder="2"/>
    </xf>
    <xf numFmtId="0" fontId="29" fillId="7" borderId="10" xfId="19" applyFont="1" applyFill="1" applyBorder="1" applyAlignment="1" applyProtection="1">
      <alignment horizontal="right" indent="7"/>
    </xf>
    <xf numFmtId="0" fontId="11" fillId="7" borderId="11" xfId="19" applyFont="1" applyFill="1" applyBorder="1" applyAlignment="1" applyProtection="1">
      <alignment horizontal="right" indent="1"/>
    </xf>
    <xf numFmtId="0" fontId="20" fillId="7" borderId="45" xfId="19" applyFont="1" applyFill="1" applyBorder="1" applyAlignment="1" applyProtection="1">
      <alignment horizontal="right" readingOrder="2"/>
    </xf>
    <xf numFmtId="0" fontId="20" fillId="7" borderId="4" xfId="19" applyFont="1" applyFill="1" applyBorder="1" applyAlignment="1" applyProtection="1">
      <alignment horizontal="right" readingOrder="2"/>
    </xf>
    <xf numFmtId="0" fontId="11" fillId="7" borderId="23" xfId="19" applyFont="1" applyFill="1" applyBorder="1" applyAlignment="1" applyProtection="1">
      <alignment horizontal="centerContinuous" wrapText="1"/>
    </xf>
    <xf numFmtId="0" fontId="11" fillId="7" borderId="23" xfId="19" applyFont="1" applyFill="1" applyBorder="1" applyAlignment="1" applyProtection="1">
      <alignment horizontal="centerContinuous"/>
    </xf>
    <xf numFmtId="167" fontId="21" fillId="7" borderId="23" xfId="19" applyNumberFormat="1" applyFont="1" applyFill="1" applyBorder="1" applyAlignment="1" applyProtection="1">
      <alignment horizontal="right"/>
    </xf>
    <xf numFmtId="167" fontId="11" fillId="7" borderId="54" xfId="19" applyNumberFormat="1" applyFont="1" applyFill="1" applyBorder="1" applyAlignment="1" applyProtection="1">
      <alignment horizontal="right"/>
    </xf>
    <xf numFmtId="0" fontId="7" fillId="5" borderId="0" xfId="19" applyFill="1">
      <alignment wrapText="1"/>
    </xf>
    <xf numFmtId="0" fontId="20" fillId="7" borderId="20" xfId="19" applyFont="1" applyFill="1" applyBorder="1" applyAlignment="1" applyProtection="1">
      <alignment horizontal="right" readingOrder="2"/>
    </xf>
    <xf numFmtId="9" fontId="48" fillId="20" borderId="32" xfId="22" applyFont="1" applyFill="1" applyBorder="1" applyAlignment="1" applyProtection="1"/>
    <xf numFmtId="167" fontId="48" fillId="20" borderId="32" xfId="19" applyNumberFormat="1" applyFont="1" applyFill="1" applyBorder="1" applyAlignment="1" applyProtection="1">
      <alignment wrapText="1"/>
    </xf>
    <xf numFmtId="167" fontId="11" fillId="20" borderId="32" xfId="19" applyNumberFormat="1" applyFont="1" applyFill="1" applyBorder="1" applyAlignment="1" applyProtection="1">
      <alignment horizontal="right"/>
    </xf>
    <xf numFmtId="167" fontId="39" fillId="20" borderId="31" xfId="19" applyNumberFormat="1" applyFont="1" applyFill="1" applyBorder="1" applyAlignment="1" applyProtection="1">
      <alignment wrapText="1"/>
    </xf>
    <xf numFmtId="0" fontId="21" fillId="20" borderId="32" xfId="19" applyFont="1" applyFill="1" applyBorder="1" applyAlignment="1" applyProtection="1">
      <alignment horizontal="right" wrapText="1"/>
    </xf>
    <xf numFmtId="1" fontId="69" fillId="21" borderId="44" xfId="13" applyNumberFormat="1" applyFont="1" applyFill="1" applyBorder="1" applyProtection="1">
      <protection locked="0"/>
    </xf>
    <xf numFmtId="1" fontId="69" fillId="21" borderId="17" xfId="13" applyNumberFormat="1" applyFont="1" applyFill="1" applyBorder="1" applyProtection="1">
      <protection locked="0"/>
    </xf>
    <xf numFmtId="1" fontId="35" fillId="21" borderId="17" xfId="19" applyNumberFormat="1" applyFont="1" applyFill="1" applyBorder="1" applyAlignment="1" applyProtection="1">
      <alignment wrapText="1" readingOrder="2"/>
      <protection locked="0"/>
    </xf>
    <xf numFmtId="1" fontId="35" fillId="21" borderId="46" xfId="19" applyNumberFormat="1" applyFont="1" applyFill="1" applyBorder="1" applyAlignment="1" applyProtection="1">
      <alignment wrapText="1" readingOrder="2"/>
      <protection locked="0"/>
    </xf>
    <xf numFmtId="0" fontId="101" fillId="0" borderId="0" xfId="19" applyFont="1" applyProtection="1">
      <alignment wrapText="1"/>
    </xf>
    <xf numFmtId="167" fontId="35" fillId="0" borderId="0" xfId="19" applyNumberFormat="1" applyFont="1" applyFill="1" applyAlignment="1" applyProtection="1">
      <alignment wrapText="1" readingOrder="2"/>
    </xf>
    <xf numFmtId="0" fontId="102" fillId="0" borderId="0" xfId="19" applyFont="1" applyAlignment="1" applyProtection="1">
      <alignment readingOrder="2"/>
    </xf>
    <xf numFmtId="0" fontId="102" fillId="0" borderId="0" xfId="19" applyFont="1" applyAlignment="1" applyProtection="1">
      <alignment readingOrder="1"/>
    </xf>
    <xf numFmtId="0" fontId="102" fillId="0" borderId="0" xfId="19" applyFont="1" applyAlignment="1" applyProtection="1">
      <alignment horizontal="left"/>
    </xf>
    <xf numFmtId="0" fontId="102" fillId="0" borderId="0" xfId="19" applyFont="1" applyAlignment="1" applyProtection="1">
      <alignment horizontal="right" wrapText="1"/>
    </xf>
    <xf numFmtId="0" fontId="102" fillId="0" borderId="0" xfId="19" applyFont="1" applyProtection="1">
      <alignment wrapText="1"/>
    </xf>
    <xf numFmtId="0" fontId="11" fillId="18" borderId="55" xfId="19" applyFont="1" applyFill="1" applyBorder="1" applyAlignment="1" applyProtection="1">
      <alignment wrapText="1" readingOrder="2"/>
    </xf>
    <xf numFmtId="0" fontId="21" fillId="18" borderId="36" xfId="19" applyFont="1" applyFill="1" applyBorder="1" applyAlignment="1">
      <alignment horizontal="left"/>
    </xf>
    <xf numFmtId="0" fontId="12" fillId="5" borderId="0" xfId="9" applyFill="1" applyAlignment="1" applyProtection="1">
      <alignment readingOrder="2"/>
    </xf>
    <xf numFmtId="3" fontId="12" fillId="5" borderId="0" xfId="9" applyNumberFormat="1" applyFill="1" applyAlignment="1" applyProtection="1">
      <alignment horizontal="right" readingOrder="2"/>
    </xf>
    <xf numFmtId="0" fontId="21" fillId="20" borderId="33" xfId="19" applyFont="1" applyFill="1" applyBorder="1" applyAlignment="1">
      <alignment horizontal="right"/>
    </xf>
    <xf numFmtId="0" fontId="21" fillId="20" borderId="56" xfId="19" applyFont="1" applyFill="1" applyBorder="1" applyAlignment="1"/>
    <xf numFmtId="3" fontId="21" fillId="20" borderId="33" xfId="19" applyNumberFormat="1" applyFont="1" applyFill="1" applyBorder="1" applyAlignment="1" applyProtection="1">
      <alignment horizontal="right" wrapText="1" readingOrder="2"/>
    </xf>
    <xf numFmtId="3" fontId="33" fillId="20" borderId="45" xfId="19" applyNumberFormat="1" applyFont="1" applyFill="1" applyBorder="1" applyAlignment="1">
      <alignment wrapText="1"/>
    </xf>
    <xf numFmtId="0" fontId="21" fillId="20" borderId="34" xfId="19" applyFont="1" applyFill="1" applyBorder="1" applyAlignment="1" applyProtection="1">
      <alignment wrapText="1" readingOrder="2"/>
    </xf>
    <xf numFmtId="3" fontId="39" fillId="20" borderId="57" xfId="19" applyNumberFormat="1" applyFont="1" applyFill="1" applyBorder="1" applyAlignment="1">
      <alignment wrapText="1"/>
    </xf>
    <xf numFmtId="0" fontId="21" fillId="18" borderId="26" xfId="19" applyFont="1" applyFill="1" applyBorder="1" applyAlignment="1">
      <alignment wrapText="1"/>
    </xf>
    <xf numFmtId="0" fontId="21" fillId="18" borderId="22" xfId="19" applyFont="1" applyFill="1" applyBorder="1" applyAlignment="1"/>
    <xf numFmtId="49" fontId="11" fillId="18" borderId="34" xfId="19" applyNumberFormat="1" applyFont="1" applyFill="1" applyBorder="1" applyAlignment="1" applyProtection="1">
      <alignment horizontal="center"/>
    </xf>
    <xf numFmtId="3" fontId="11" fillId="18" borderId="25" xfId="19" applyNumberFormat="1" applyFont="1" applyFill="1" applyBorder="1" applyAlignment="1" applyProtection="1">
      <alignment horizontal="center"/>
    </xf>
    <xf numFmtId="0" fontId="11" fillId="18" borderId="32" xfId="19" applyFont="1" applyFill="1" applyBorder="1" applyAlignment="1" applyProtection="1">
      <alignment horizontal="right"/>
    </xf>
    <xf numFmtId="3" fontId="33" fillId="20" borderId="38" xfId="19" applyNumberFormat="1" applyFont="1" applyFill="1" applyBorder="1" applyAlignment="1" applyProtection="1">
      <alignment wrapText="1"/>
    </xf>
    <xf numFmtId="3" fontId="11" fillId="18" borderId="4" xfId="19" applyNumberFormat="1" applyFont="1" applyFill="1" applyBorder="1" applyAlignment="1" applyProtection="1">
      <alignment horizontal="center"/>
    </xf>
    <xf numFmtId="9" fontId="11" fillId="21" borderId="31" xfId="22" applyNumberFormat="1" applyFont="1" applyFill="1" applyBorder="1" applyAlignment="1" applyProtection="1">
      <alignment wrapText="1"/>
      <protection locked="0"/>
    </xf>
    <xf numFmtId="1" fontId="69" fillId="21" borderId="46" xfId="13" applyNumberFormat="1" applyFont="1" applyFill="1" applyBorder="1" applyProtection="1">
      <protection locked="0"/>
    </xf>
    <xf numFmtId="0" fontId="21" fillId="20" borderId="31" xfId="19" applyFont="1" applyFill="1" applyBorder="1" applyAlignment="1" applyProtection="1">
      <alignment horizontal="right" wrapText="1"/>
    </xf>
    <xf numFmtId="3" fontId="21" fillId="20" borderId="1" xfId="19" applyNumberFormat="1" applyFont="1" applyFill="1" applyBorder="1" applyAlignment="1" applyProtection="1">
      <alignment horizontal="center" wrapText="1" readingOrder="2"/>
    </xf>
    <xf numFmtId="0" fontId="11" fillId="18" borderId="25" xfId="19" applyFont="1" applyFill="1" applyBorder="1" applyAlignment="1" applyProtection="1">
      <alignment wrapText="1" readingOrder="2"/>
    </xf>
    <xf numFmtId="0" fontId="21" fillId="18" borderId="32" xfId="19" applyFont="1" applyFill="1" applyBorder="1" applyAlignment="1">
      <alignment horizontal="left"/>
    </xf>
    <xf numFmtId="3" fontId="39" fillId="20" borderId="38" xfId="19" applyNumberFormat="1" applyFont="1" applyFill="1" applyBorder="1" applyAlignment="1" applyProtection="1">
      <alignment wrapText="1" readingOrder="2"/>
    </xf>
    <xf numFmtId="168" fontId="35" fillId="5" borderId="0" xfId="19" applyNumberFormat="1" applyFont="1" applyFill="1" applyAlignment="1" applyProtection="1">
      <alignment horizontal="right" readingOrder="2"/>
    </xf>
    <xf numFmtId="167" fontId="103" fillId="5" borderId="0" xfId="19" applyNumberFormat="1" applyFont="1" applyFill="1" applyAlignment="1" applyProtection="1">
      <alignment readingOrder="2"/>
    </xf>
    <xf numFmtId="0" fontId="17" fillId="0" borderId="0" xfId="19" applyFont="1" applyAlignment="1" applyProtection="1">
      <alignment horizontal="center" wrapText="1" readingOrder="2"/>
    </xf>
    <xf numFmtId="0" fontId="56" fillId="3" borderId="0" xfId="19" applyFont="1" applyFill="1" applyBorder="1" applyAlignment="1" applyProtection="1">
      <alignment horizontal="right" readingOrder="2"/>
    </xf>
    <xf numFmtId="0" fontId="55" fillId="0" borderId="0" xfId="19" applyFont="1" applyFill="1" applyBorder="1" applyAlignment="1" applyProtection="1">
      <alignment horizontal="center" readingOrder="2"/>
    </xf>
    <xf numFmtId="0" fontId="54" fillId="0" borderId="0" xfId="19" applyFont="1" applyFill="1" applyBorder="1" applyAlignment="1" applyProtection="1">
      <alignment horizontal="center" readingOrder="2"/>
    </xf>
    <xf numFmtId="0" fontId="57" fillId="0" borderId="0" xfId="19" applyFont="1" applyFill="1" applyBorder="1" applyAlignment="1" applyProtection="1">
      <alignment horizontal="right" vertical="center" wrapText="1" readingOrder="2"/>
    </xf>
    <xf numFmtId="0" fontId="60" fillId="0" borderId="0" xfId="19" applyFont="1" applyFill="1" applyBorder="1" applyAlignment="1">
      <alignment horizontal="right" wrapText="1" readingOrder="2"/>
    </xf>
    <xf numFmtId="0" fontId="33" fillId="0" borderId="0" xfId="19" applyFont="1" applyFill="1" applyBorder="1" applyAlignment="1" applyProtection="1">
      <alignment horizontal="center"/>
    </xf>
    <xf numFmtId="3" fontId="33" fillId="20" borderId="32" xfId="19" applyNumberFormat="1" applyFont="1" applyFill="1" applyBorder="1" applyAlignment="1" applyProtection="1">
      <alignment wrapText="1"/>
    </xf>
    <xf numFmtId="3" fontId="33" fillId="20" borderId="31" xfId="19" applyNumberFormat="1" applyFont="1" applyFill="1" applyBorder="1" applyAlignment="1" applyProtection="1">
      <alignment wrapText="1"/>
    </xf>
    <xf numFmtId="3" fontId="33" fillId="20" borderId="3" xfId="19" applyNumberFormat="1" applyFont="1" applyFill="1" applyBorder="1" applyAlignment="1" applyProtection="1">
      <alignment wrapText="1"/>
    </xf>
    <xf numFmtId="3" fontId="21" fillId="18" borderId="45" xfId="19" applyNumberFormat="1" applyFont="1" applyFill="1" applyBorder="1" applyAlignment="1" applyProtection="1">
      <alignment horizontal="right" wrapText="1"/>
    </xf>
    <xf numFmtId="3" fontId="21" fillId="18" borderId="32" xfId="19" applyNumberFormat="1" applyFont="1" applyFill="1" applyBorder="1" applyAlignment="1" applyProtection="1">
      <alignment horizontal="right" wrapText="1"/>
    </xf>
    <xf numFmtId="164" fontId="33" fillId="21" borderId="32" xfId="22" applyNumberFormat="1" applyFont="1" applyFill="1" applyBorder="1" applyAlignment="1" applyProtection="1">
      <alignment wrapText="1"/>
      <protection locked="0"/>
    </xf>
    <xf numFmtId="3" fontId="33" fillId="21" borderId="32" xfId="19" applyNumberFormat="1" applyFont="1" applyFill="1" applyBorder="1" applyAlignment="1" applyProtection="1">
      <alignment wrapText="1"/>
      <protection locked="0"/>
    </xf>
    <xf numFmtId="9" fontId="33" fillId="21" borderId="32" xfId="22" applyNumberFormat="1" applyFont="1" applyFill="1" applyBorder="1" applyAlignment="1" applyProtection="1">
      <alignment wrapText="1"/>
      <protection locked="0"/>
    </xf>
    <xf numFmtId="167" fontId="48" fillId="20" borderId="46" xfId="19" applyNumberFormat="1" applyFont="1" applyFill="1" applyBorder="1" applyAlignment="1" applyProtection="1">
      <alignment wrapText="1"/>
    </xf>
    <xf numFmtId="3" fontId="33" fillId="20" borderId="1" xfId="19" applyNumberFormat="1" applyFont="1" applyFill="1" applyBorder="1" applyAlignment="1" applyProtection="1">
      <alignment wrapText="1"/>
    </xf>
    <xf numFmtId="3" fontId="33" fillId="21" borderId="45" xfId="19" applyNumberFormat="1" applyFont="1" applyFill="1" applyBorder="1" applyAlignment="1" applyProtection="1">
      <alignment wrapText="1"/>
      <protection locked="0"/>
    </xf>
    <xf numFmtId="0" fontId="58" fillId="8" borderId="34" xfId="9" applyFont="1" applyFill="1" applyBorder="1" applyAlignment="1" applyProtection="1">
      <alignment horizontal="center" wrapText="1"/>
    </xf>
    <xf numFmtId="0" fontId="58" fillId="8" borderId="1" xfId="9" applyFont="1" applyFill="1" applyBorder="1" applyAlignment="1" applyProtection="1"/>
    <xf numFmtId="0" fontId="58" fillId="8" borderId="4" xfId="9" applyFont="1" applyFill="1" applyBorder="1" applyAlignment="1" applyProtection="1">
      <alignment horizontal="center" wrapText="1"/>
    </xf>
    <xf numFmtId="0" fontId="58" fillId="8" borderId="3" xfId="9" applyFont="1" applyFill="1" applyBorder="1" applyAlignment="1" applyProtection="1"/>
    <xf numFmtId="0" fontId="58" fillId="4" borderId="34" xfId="9" applyFont="1" applyFill="1" applyBorder="1" applyAlignment="1" applyProtection="1">
      <alignment horizontal="center"/>
    </xf>
    <xf numFmtId="0" fontId="58" fillId="4" borderId="1" xfId="9" applyFont="1" applyFill="1" applyBorder="1" applyAlignment="1" applyProtection="1">
      <alignment horizontal="right" readingOrder="2"/>
    </xf>
    <xf numFmtId="0" fontId="17" fillId="22" borderId="0" xfId="19" applyFont="1" applyFill="1" applyAlignment="1" applyProtection="1">
      <alignment readingOrder="2"/>
      <protection locked="0"/>
    </xf>
    <xf numFmtId="0" fontId="17" fillId="22" borderId="32" xfId="19" applyFont="1" applyFill="1" applyBorder="1" applyAlignment="1" applyProtection="1">
      <alignment horizontal="right" indent="4"/>
      <protection locked="0"/>
    </xf>
    <xf numFmtId="49" fontId="39" fillId="22" borderId="0" xfId="19" applyNumberFormat="1" applyFont="1" applyFill="1" applyAlignment="1" applyProtection="1">
      <alignment horizontal="center" wrapText="1"/>
      <protection locked="0"/>
    </xf>
    <xf numFmtId="49" fontId="11" fillId="0" borderId="0" xfId="19" applyNumberFormat="1" applyFont="1" applyAlignment="1" applyProtection="1">
      <alignment wrapText="1" readingOrder="2"/>
    </xf>
    <xf numFmtId="173" fontId="7" fillId="0" borderId="0" xfId="0" applyNumberFormat="1" applyFont="1"/>
    <xf numFmtId="173" fontId="7" fillId="17" borderId="0" xfId="0" applyNumberFormat="1" applyFont="1" applyFill="1"/>
    <xf numFmtId="172" fontId="11" fillId="18" borderId="58" xfId="19" applyNumberFormat="1" applyFont="1" applyFill="1" applyBorder="1" applyAlignment="1">
      <alignment horizontal="center" wrapText="1"/>
    </xf>
    <xf numFmtId="173" fontId="7" fillId="17" borderId="0" xfId="0" applyNumberFormat="1" applyFont="1" applyFill="1" applyProtection="1">
      <protection locked="0"/>
    </xf>
    <xf numFmtId="0" fontId="11" fillId="18" borderId="4" xfId="19" applyFont="1" applyFill="1" applyBorder="1" applyAlignment="1"/>
    <xf numFmtId="169" fontId="11" fillId="18" borderId="59" xfId="1" applyNumberFormat="1" applyFont="1" applyFill="1" applyBorder="1" applyAlignment="1">
      <alignment wrapText="1"/>
    </xf>
    <xf numFmtId="172" fontId="11" fillId="18" borderId="60" xfId="19" applyNumberFormat="1" applyFont="1" applyFill="1" applyBorder="1" applyAlignment="1">
      <alignment wrapText="1"/>
    </xf>
    <xf numFmtId="0" fontId="33" fillId="0" borderId="0" xfId="0" applyFont="1" applyAlignment="1">
      <alignment horizontal="justify" vertical="center" wrapText="1" readingOrder="2"/>
    </xf>
    <xf numFmtId="0" fontId="33" fillId="0" borderId="0" xfId="0" applyFont="1" applyAlignment="1">
      <alignment horizontal="center" vertical="center" wrapText="1" readingOrder="2"/>
    </xf>
    <xf numFmtId="0" fontId="33" fillId="0" borderId="0" xfId="0" applyFont="1" applyAlignment="1">
      <alignment horizontal="right" vertical="center" wrapText="1" readingOrder="2"/>
    </xf>
    <xf numFmtId="0" fontId="73" fillId="0" borderId="0" xfId="0" applyFont="1" applyAlignment="1">
      <alignment horizontal="center" vertical="center" wrapText="1" readingOrder="2"/>
    </xf>
    <xf numFmtId="0" fontId="73" fillId="0" borderId="0" xfId="0" applyFont="1" applyAlignment="1">
      <alignment horizontal="right" vertical="center" wrapText="1" readingOrder="2"/>
    </xf>
    <xf numFmtId="0" fontId="7" fillId="0" borderId="0" xfId="0" applyFont="1"/>
    <xf numFmtId="0" fontId="0" fillId="19" borderId="34" xfId="0" applyFill="1" applyBorder="1"/>
    <xf numFmtId="0" fontId="0" fillId="19" borderId="2" xfId="0" applyFill="1" applyBorder="1" applyAlignment="1">
      <alignment horizontal="center"/>
    </xf>
    <xf numFmtId="0" fontId="0" fillId="19" borderId="1" xfId="0" applyFill="1" applyBorder="1" applyAlignment="1">
      <alignment horizontal="center"/>
    </xf>
    <xf numFmtId="0" fontId="39" fillId="19" borderId="25" xfId="0" applyFont="1" applyFill="1" applyBorder="1" applyAlignment="1">
      <alignment horizontal="right" vertical="center" wrapText="1" readingOrder="2"/>
    </xf>
    <xf numFmtId="0" fontId="33" fillId="19" borderId="25" xfId="0" applyFont="1" applyFill="1" applyBorder="1" applyAlignment="1">
      <alignment horizontal="right" vertical="center" wrapText="1" readingOrder="2"/>
    </xf>
    <xf numFmtId="0" fontId="39" fillId="19" borderId="4" xfId="0" applyFont="1" applyFill="1" applyBorder="1" applyAlignment="1">
      <alignment horizontal="right" vertical="center" wrapText="1" readingOrder="2"/>
    </xf>
    <xf numFmtId="0" fontId="33" fillId="19" borderId="25" xfId="0" applyFont="1" applyFill="1" applyBorder="1" applyAlignment="1">
      <alignment horizontal="right" vertical="center" wrapText="1" indent="2" readingOrder="2"/>
    </xf>
    <xf numFmtId="3" fontId="0" fillId="23" borderId="32" xfId="0" applyNumberFormat="1" applyFill="1" applyBorder="1"/>
    <xf numFmtId="3" fontId="0" fillId="23" borderId="38" xfId="0" applyNumberFormat="1" applyFill="1" applyBorder="1"/>
    <xf numFmtId="3" fontId="0" fillId="18" borderId="32" xfId="0" applyNumberFormat="1" applyFill="1" applyBorder="1"/>
    <xf numFmtId="3" fontId="0" fillId="18" borderId="38" xfId="0" applyNumberFormat="1" applyFill="1" applyBorder="1"/>
    <xf numFmtId="3" fontId="0" fillId="19" borderId="32" xfId="0" applyNumberFormat="1" applyFill="1" applyBorder="1"/>
    <xf numFmtId="3" fontId="7" fillId="19" borderId="32" xfId="0" applyNumberFormat="1" applyFont="1" applyFill="1" applyBorder="1"/>
    <xf numFmtId="3" fontId="0" fillId="19" borderId="31" xfId="0" applyNumberFormat="1" applyFill="1" applyBorder="1"/>
    <xf numFmtId="0" fontId="0" fillId="19" borderId="25" xfId="0" applyFill="1" applyBorder="1"/>
    <xf numFmtId="49" fontId="7" fillId="19" borderId="32" xfId="0" applyNumberFormat="1" applyFont="1" applyFill="1" applyBorder="1" applyAlignment="1">
      <alignment horizontal="center"/>
    </xf>
    <xf numFmtId="49" fontId="7" fillId="19" borderId="38" xfId="0" applyNumberFormat="1" applyFont="1" applyFill="1" applyBorder="1" applyAlignment="1">
      <alignment horizontal="center"/>
    </xf>
    <xf numFmtId="3" fontId="7" fillId="19" borderId="38" xfId="0" applyNumberFormat="1" applyFont="1" applyFill="1" applyBorder="1"/>
    <xf numFmtId="3" fontId="0" fillId="19" borderId="38" xfId="0" applyNumberFormat="1" applyFill="1" applyBorder="1"/>
    <xf numFmtId="3" fontId="0" fillId="19" borderId="3" xfId="0" applyNumberFormat="1" applyFill="1" applyBorder="1"/>
    <xf numFmtId="3" fontId="0" fillId="18" borderId="29" xfId="0" applyNumberFormat="1" applyFill="1" applyBorder="1"/>
    <xf numFmtId="0" fontId="0" fillId="19" borderId="2" xfId="0" applyFill="1" applyBorder="1" applyAlignment="1">
      <alignment horizontal="center" wrapText="1"/>
    </xf>
    <xf numFmtId="0" fontId="7" fillId="19" borderId="27" xfId="0" applyFont="1" applyFill="1" applyBorder="1" applyAlignment="1">
      <alignment horizontal="center" wrapText="1"/>
    </xf>
    <xf numFmtId="0" fontId="0" fillId="19" borderId="27" xfId="0" applyFill="1" applyBorder="1" applyAlignment="1">
      <alignment horizontal="center" wrapText="1"/>
    </xf>
    <xf numFmtId="0" fontId="7" fillId="19" borderId="1" xfId="0" applyFont="1" applyFill="1" applyBorder="1" applyAlignment="1">
      <alignment horizontal="center" wrapText="1"/>
    </xf>
    <xf numFmtId="0" fontId="74" fillId="0" borderId="0" xfId="0" applyFont="1" applyAlignment="1">
      <alignment horizontal="right" vertical="center" wrapText="1" readingOrder="2"/>
    </xf>
    <xf numFmtId="0" fontId="48" fillId="0" borderId="0" xfId="0" applyFont="1" applyAlignment="1">
      <alignment horizontal="right" vertical="center" wrapText="1" readingOrder="2"/>
    </xf>
    <xf numFmtId="174" fontId="0" fillId="18" borderId="32" xfId="0" applyNumberFormat="1" applyFill="1" applyBorder="1" applyProtection="1">
      <protection locked="0"/>
    </xf>
    <xf numFmtId="174" fontId="0" fillId="18" borderId="29" xfId="0" applyNumberFormat="1" applyFill="1" applyBorder="1" applyProtection="1">
      <protection locked="0"/>
    </xf>
    <xf numFmtId="174" fontId="0" fillId="18" borderId="38" xfId="0" applyNumberFormat="1" applyFill="1" applyBorder="1" applyProtection="1">
      <protection locked="0"/>
    </xf>
    <xf numFmtId="0" fontId="39" fillId="19" borderId="25" xfId="0" applyFont="1" applyFill="1" applyBorder="1" applyAlignment="1">
      <alignment horizontal="right" vertical="center" wrapText="1" indent="2" readingOrder="2"/>
    </xf>
    <xf numFmtId="3" fontId="0" fillId="18" borderId="32" xfId="0" applyNumberFormat="1" applyFill="1" applyBorder="1" applyProtection="1">
      <protection locked="0"/>
    </xf>
    <xf numFmtId="3" fontId="0" fillId="18" borderId="29" xfId="0" applyNumberFormat="1" applyFill="1" applyBorder="1" applyProtection="1">
      <protection locked="0"/>
    </xf>
    <xf numFmtId="3" fontId="0" fillId="18" borderId="38" xfId="0" applyNumberFormat="1" applyFill="1" applyBorder="1" applyProtection="1">
      <protection locked="0"/>
    </xf>
    <xf numFmtId="0" fontId="39" fillId="19" borderId="25" xfId="0" applyFont="1" applyFill="1" applyBorder="1" applyAlignment="1">
      <alignment horizontal="right" vertical="center" wrapText="1" indent="3" readingOrder="2"/>
    </xf>
    <xf numFmtId="167" fontId="8" fillId="5" borderId="0" xfId="19" applyNumberFormat="1" applyFont="1" applyFill="1" applyBorder="1" applyAlignment="1" applyProtection="1">
      <alignment wrapText="1"/>
    </xf>
    <xf numFmtId="0" fontId="9" fillId="5" borderId="0" xfId="19" applyFont="1" applyFill="1" applyBorder="1" applyAlignment="1" applyProtection="1">
      <alignment horizontal="right" vertical="center" readingOrder="2"/>
    </xf>
    <xf numFmtId="0" fontId="11" fillId="5" borderId="0" xfId="19" applyFont="1" applyFill="1" applyBorder="1" applyAlignment="1" applyProtection="1">
      <alignment wrapText="1"/>
    </xf>
    <xf numFmtId="0" fontId="13" fillId="6" borderId="0" xfId="9" applyFont="1" applyFill="1" applyBorder="1" applyAlignment="1" applyProtection="1">
      <alignment horizontal="center" wrapText="1"/>
    </xf>
    <xf numFmtId="0" fontId="7" fillId="0" borderId="0" xfId="15" applyBorder="1"/>
    <xf numFmtId="0" fontId="19" fillId="5" borderId="0" xfId="19" applyFont="1" applyFill="1" applyBorder="1" applyAlignment="1" applyProtection="1">
      <alignment horizontal="right" vertical="center"/>
    </xf>
    <xf numFmtId="0" fontId="65" fillId="3" borderId="0" xfId="19" quotePrefix="1" applyFont="1" applyFill="1" applyBorder="1" applyAlignment="1" applyProtection="1">
      <alignment horizontal="right" readingOrder="2"/>
    </xf>
    <xf numFmtId="38" fontId="9" fillId="2" borderId="34" xfId="19" applyNumberFormat="1" applyFont="1" applyFill="1" applyBorder="1" applyAlignment="1" applyProtection="1">
      <alignment horizontal="center"/>
    </xf>
    <xf numFmtId="0" fontId="19" fillId="2" borderId="2" xfId="19" applyFont="1" applyFill="1" applyBorder="1" applyAlignment="1" applyProtection="1">
      <alignment horizontal="center" vertical="center" wrapText="1" readingOrder="2"/>
    </xf>
    <xf numFmtId="0" fontId="19" fillId="2" borderId="1" xfId="19" applyFont="1" applyFill="1" applyBorder="1" applyAlignment="1" applyProtection="1">
      <alignment horizontal="center" vertical="center" wrapText="1" readingOrder="2"/>
    </xf>
    <xf numFmtId="38" fontId="9" fillId="7" borderId="25" xfId="19" applyNumberFormat="1" applyFont="1" applyFill="1" applyBorder="1" applyAlignment="1" applyProtection="1">
      <alignment horizontal="center"/>
    </xf>
    <xf numFmtId="0" fontId="19" fillId="2" borderId="38" xfId="19" applyFont="1" applyFill="1" applyBorder="1" applyAlignment="1" applyProtection="1">
      <alignment horizontal="center" vertical="center" wrapText="1" readingOrder="2"/>
    </xf>
    <xf numFmtId="0" fontId="22" fillId="7" borderId="25" xfId="19" applyFont="1" applyFill="1" applyBorder="1" applyAlignment="1" applyProtection="1">
      <alignment horizontal="right" wrapText="1" readingOrder="2"/>
    </xf>
    <xf numFmtId="38" fontId="11" fillId="7" borderId="32" xfId="19" applyNumberFormat="1" applyFont="1" applyFill="1" applyBorder="1" applyAlignment="1" applyProtection="1">
      <alignment wrapText="1" readingOrder="1"/>
      <protection locked="0"/>
    </xf>
    <xf numFmtId="38" fontId="11" fillId="2" borderId="38" xfId="19" applyNumberFormat="1" applyFont="1" applyFill="1" applyBorder="1" applyAlignment="1" applyProtection="1">
      <alignment wrapText="1" readingOrder="1"/>
    </xf>
    <xf numFmtId="0" fontId="20" fillId="7" borderId="25" xfId="19" applyFont="1" applyFill="1" applyBorder="1" applyAlignment="1" applyProtection="1">
      <alignment horizontal="right" wrapText="1" readingOrder="2"/>
    </xf>
    <xf numFmtId="38" fontId="11" fillId="2" borderId="32" xfId="19" applyNumberFormat="1" applyFont="1" applyFill="1" applyBorder="1" applyAlignment="1" applyProtection="1">
      <alignment wrapText="1" readingOrder="1"/>
    </xf>
    <xf numFmtId="0" fontId="75" fillId="0" borderId="0" xfId="15" applyFont="1" applyAlignment="1">
      <alignment horizontal="right" wrapText="1" readingOrder="2"/>
    </xf>
    <xf numFmtId="0" fontId="76" fillId="0" borderId="0" xfId="15" applyFont="1" applyAlignment="1">
      <alignment horizontal="right" wrapText="1" readingOrder="2"/>
    </xf>
    <xf numFmtId="38" fontId="11" fillId="2" borderId="31" xfId="19" applyNumberFormat="1" applyFont="1" applyFill="1" applyBorder="1" applyAlignment="1" applyProtection="1">
      <alignment wrapText="1" readingOrder="1"/>
    </xf>
    <xf numFmtId="38" fontId="11" fillId="2" borderId="3" xfId="19" applyNumberFormat="1" applyFont="1" applyFill="1" applyBorder="1" applyAlignment="1" applyProtection="1">
      <alignment wrapText="1" readingOrder="1"/>
    </xf>
    <xf numFmtId="0" fontId="7" fillId="0" borderId="0" xfId="19" applyFont="1" applyBorder="1" applyAlignment="1">
      <alignment wrapText="1"/>
    </xf>
    <xf numFmtId="0" fontId="7" fillId="19" borderId="2" xfId="0" applyFont="1" applyFill="1" applyBorder="1" applyAlignment="1">
      <alignment horizontal="center" wrapText="1"/>
    </xf>
    <xf numFmtId="3" fontId="7" fillId="24" borderId="32" xfId="0" applyNumberFormat="1" applyFont="1" applyFill="1" applyBorder="1"/>
    <xf numFmtId="3" fontId="0" fillId="24" borderId="32" xfId="0" applyNumberFormat="1" applyFill="1" applyBorder="1" applyProtection="1">
      <protection locked="0"/>
    </xf>
    <xf numFmtId="0" fontId="39" fillId="19" borderId="25" xfId="0" applyFont="1" applyFill="1" applyBorder="1" applyAlignment="1" applyProtection="1">
      <alignment horizontal="right" vertical="center" readingOrder="2"/>
      <protection locked="0"/>
    </xf>
    <xf numFmtId="0" fontId="7" fillId="0" borderId="0" xfId="0" applyFont="1" applyAlignment="1">
      <alignment horizontal="right"/>
    </xf>
    <xf numFmtId="0" fontId="39" fillId="19" borderId="25" xfId="0" applyFont="1" applyFill="1" applyBorder="1" applyAlignment="1" applyProtection="1">
      <alignment horizontal="center" vertical="center" readingOrder="2"/>
      <protection locked="0"/>
    </xf>
    <xf numFmtId="0" fontId="7" fillId="0" borderId="0" xfId="15"/>
    <xf numFmtId="0" fontId="36" fillId="5" borderId="0" xfId="19" applyFont="1" applyFill="1" applyAlignment="1" applyProtection="1"/>
    <xf numFmtId="175" fontId="7" fillId="0" borderId="0" xfId="15" applyNumberFormat="1"/>
    <xf numFmtId="0" fontId="11" fillId="5" borderId="0" xfId="19" applyFont="1" applyFill="1" applyAlignment="1" applyProtection="1">
      <alignment horizontal="centerContinuous"/>
    </xf>
    <xf numFmtId="0" fontId="39" fillId="5" borderId="0" xfId="19" applyFont="1" applyFill="1" applyAlignment="1" applyProtection="1">
      <alignment horizontal="right"/>
    </xf>
    <xf numFmtId="0" fontId="52" fillId="0" borderId="0" xfId="15" applyFont="1" applyAlignment="1">
      <alignment horizontal="right" readingOrder="2"/>
    </xf>
    <xf numFmtId="0" fontId="78" fillId="0" borderId="0" xfId="15" applyFont="1" applyAlignment="1">
      <alignment horizontal="right" readingOrder="2"/>
    </xf>
    <xf numFmtId="0" fontId="48" fillId="0" borderId="0" xfId="15" applyFont="1" applyAlignment="1">
      <alignment horizontal="right" readingOrder="2"/>
    </xf>
    <xf numFmtId="0" fontId="48" fillId="2" borderId="34" xfId="15" applyFont="1" applyFill="1" applyBorder="1" applyAlignment="1">
      <alignment horizontal="right" vertical="top" wrapText="1" readingOrder="2"/>
    </xf>
    <xf numFmtId="0" fontId="21" fillId="2" borderId="2" xfId="15" applyFont="1" applyFill="1" applyBorder="1" applyAlignment="1">
      <alignment horizontal="center" wrapText="1" readingOrder="2"/>
    </xf>
    <xf numFmtId="0" fontId="21" fillId="2" borderId="1" xfId="15" applyFont="1" applyFill="1" applyBorder="1" applyAlignment="1">
      <alignment horizontal="center" wrapText="1" readingOrder="2"/>
    </xf>
    <xf numFmtId="0" fontId="39" fillId="2" borderId="25" xfId="15" applyFont="1" applyFill="1" applyBorder="1" applyAlignment="1">
      <alignment horizontal="right" vertical="top" wrapText="1" readingOrder="2"/>
    </xf>
    <xf numFmtId="38" fontId="48" fillId="7" borderId="32" xfId="15" applyNumberFormat="1" applyFont="1" applyFill="1" applyBorder="1" applyAlignment="1" applyProtection="1">
      <alignment horizontal="right"/>
    </xf>
    <xf numFmtId="38" fontId="48" fillId="7" borderId="38" xfId="15" applyNumberFormat="1" applyFont="1" applyFill="1" applyBorder="1" applyAlignment="1" applyProtection="1">
      <alignment horizontal="right"/>
    </xf>
    <xf numFmtId="0" fontId="17" fillId="2" borderId="25" xfId="15" applyFont="1" applyFill="1" applyBorder="1" applyAlignment="1">
      <alignment horizontal="right" vertical="top" wrapText="1" readingOrder="2"/>
    </xf>
    <xf numFmtId="38" fontId="48" fillId="7" borderId="32" xfId="15" applyNumberFormat="1" applyFont="1" applyFill="1" applyBorder="1" applyAlignment="1" applyProtection="1">
      <alignment horizontal="right"/>
      <protection locked="0"/>
    </xf>
    <xf numFmtId="0" fontId="48" fillId="2" borderId="25" xfId="15" applyFont="1" applyFill="1" applyBorder="1" applyAlignment="1">
      <alignment horizontal="right" vertical="top" wrapText="1" indent="2" readingOrder="2"/>
    </xf>
    <xf numFmtId="0" fontId="77" fillId="0" borderId="0" xfId="15" applyFont="1" applyAlignment="1">
      <alignment horizontal="right" wrapText="1" readingOrder="2"/>
    </xf>
    <xf numFmtId="38" fontId="48" fillId="2" borderId="38" xfId="15" applyNumberFormat="1" applyFont="1" applyFill="1" applyBorder="1" applyAlignment="1">
      <alignment wrapText="1" readingOrder="2"/>
    </xf>
    <xf numFmtId="0" fontId="17" fillId="2" borderId="49" xfId="15" applyFont="1" applyFill="1" applyBorder="1" applyAlignment="1">
      <alignment horizontal="right" vertical="top" wrapText="1" readingOrder="2"/>
    </xf>
    <xf numFmtId="38" fontId="48" fillId="2" borderId="61" xfId="15" applyNumberFormat="1" applyFont="1" applyFill="1" applyBorder="1" applyAlignment="1">
      <alignment horizontal="left" wrapText="1" readingOrder="1"/>
    </xf>
    <xf numFmtId="38" fontId="48" fillId="2" borderId="62" xfId="15" applyNumberFormat="1" applyFont="1" applyFill="1" applyBorder="1" applyAlignment="1">
      <alignment wrapText="1" readingOrder="2"/>
    </xf>
    <xf numFmtId="0" fontId="39" fillId="2" borderId="63" xfId="15" applyFont="1" applyFill="1" applyBorder="1" applyAlignment="1">
      <alignment horizontal="right" vertical="top" wrapText="1" readingOrder="2"/>
    </xf>
    <xf numFmtId="38" fontId="48" fillId="7" borderId="36" xfId="15" applyNumberFormat="1" applyFont="1" applyFill="1" applyBorder="1" applyAlignment="1" applyProtection="1">
      <alignment horizontal="right"/>
    </xf>
    <xf numFmtId="38" fontId="48" fillId="7" borderId="37" xfId="15" applyNumberFormat="1" applyFont="1" applyFill="1" applyBorder="1" applyAlignment="1" applyProtection="1">
      <alignment horizontal="right"/>
    </xf>
    <xf numFmtId="0" fontId="39" fillId="2" borderId="55" xfId="15" applyFont="1" applyFill="1" applyBorder="1" applyAlignment="1">
      <alignment horizontal="right" vertical="top" wrapText="1" readingOrder="2"/>
    </xf>
    <xf numFmtId="38" fontId="48" fillId="2" borderId="64" xfId="15" applyNumberFormat="1" applyFont="1" applyFill="1" applyBorder="1" applyAlignment="1">
      <alignment horizontal="left" wrapText="1" readingOrder="1"/>
    </xf>
    <xf numFmtId="38" fontId="48" fillId="7" borderId="65" xfId="15" applyNumberFormat="1" applyFont="1" applyFill="1" applyBorder="1" applyAlignment="1" applyProtection="1">
      <alignment horizontal="right"/>
    </xf>
    <xf numFmtId="38" fontId="48" fillId="7" borderId="66" xfId="15" applyNumberFormat="1" applyFont="1" applyFill="1" applyBorder="1" applyAlignment="1" applyProtection="1">
      <alignment horizontal="right"/>
    </xf>
    <xf numFmtId="0" fontId="17" fillId="2" borderId="25" xfId="15" applyFont="1" applyFill="1" applyBorder="1" applyAlignment="1">
      <alignment horizontal="right" vertical="top" wrapText="1" indent="2" readingOrder="2"/>
    </xf>
    <xf numFmtId="0" fontId="17" fillId="2" borderId="4" xfId="15" applyFont="1" applyFill="1" applyBorder="1" applyAlignment="1">
      <alignment horizontal="right" vertical="top" wrapText="1" indent="2" readingOrder="2"/>
    </xf>
    <xf numFmtId="38" fontId="48" fillId="7" borderId="31" xfId="15" applyNumberFormat="1" applyFont="1" applyFill="1" applyBorder="1" applyAlignment="1" applyProtection="1">
      <alignment horizontal="right"/>
    </xf>
    <xf numFmtId="38" fontId="48" fillId="7" borderId="3" xfId="15" applyNumberFormat="1" applyFont="1" applyFill="1" applyBorder="1" applyAlignment="1" applyProtection="1">
      <alignment horizontal="right"/>
    </xf>
    <xf numFmtId="38" fontId="48" fillId="7" borderId="1" xfId="15" applyNumberFormat="1" applyFont="1" applyFill="1" applyBorder="1" applyAlignment="1" applyProtection="1">
      <alignment horizontal="right"/>
    </xf>
    <xf numFmtId="38" fontId="7" fillId="0" borderId="0" xfId="15" applyNumberFormat="1" applyAlignment="1">
      <alignment horizontal="left" readingOrder="1"/>
    </xf>
    <xf numFmtId="38" fontId="7" fillId="0" borderId="0" xfId="15" applyNumberFormat="1"/>
    <xf numFmtId="0" fontId="77" fillId="0" borderId="0" xfId="15" applyFont="1" applyAlignment="1">
      <alignment horizontal="left" wrapText="1" readingOrder="1"/>
    </xf>
    <xf numFmtId="38" fontId="48" fillId="7" borderId="38" xfId="15" applyNumberFormat="1" applyFont="1" applyFill="1" applyBorder="1" applyAlignment="1" applyProtection="1">
      <alignment horizontal="right"/>
      <protection locked="0"/>
    </xf>
    <xf numFmtId="38" fontId="48" fillId="7" borderId="3" xfId="15" applyNumberFormat="1" applyFont="1" applyFill="1" applyBorder="1" applyAlignment="1" applyProtection="1">
      <alignment horizontal="right"/>
      <protection locked="0"/>
    </xf>
    <xf numFmtId="0" fontId="48" fillId="0" borderId="0" xfId="15" applyFont="1" applyAlignment="1">
      <alignment horizontal="right" vertical="top" wrapText="1" readingOrder="2"/>
    </xf>
    <xf numFmtId="0" fontId="48" fillId="0" borderId="0" xfId="15" applyFont="1" applyAlignment="1">
      <alignment horizontal="right" wrapText="1" readingOrder="2"/>
    </xf>
    <xf numFmtId="0" fontId="48" fillId="0" borderId="0" xfId="15" applyFont="1" applyAlignment="1">
      <alignment horizontal="center" wrapText="1" readingOrder="2"/>
    </xf>
    <xf numFmtId="0" fontId="48" fillId="0" borderId="0" xfId="15" applyFont="1" applyAlignment="1">
      <alignment horizontal="center" vertical="top" wrapText="1" readingOrder="2"/>
    </xf>
    <xf numFmtId="49" fontId="39" fillId="5" borderId="0" xfId="19" applyNumberFormat="1" applyFont="1" applyFill="1" applyAlignment="1" applyProtection="1">
      <alignment horizontal="right"/>
    </xf>
    <xf numFmtId="0" fontId="52" fillId="0" borderId="0" xfId="15" applyFont="1"/>
    <xf numFmtId="175" fontId="17" fillId="2" borderId="2" xfId="15" applyNumberFormat="1" applyFont="1" applyFill="1" applyBorder="1" applyAlignment="1">
      <alignment horizontal="center" wrapText="1" readingOrder="2"/>
    </xf>
    <xf numFmtId="175" fontId="17" fillId="2" borderId="1" xfId="15" applyNumberFormat="1" applyFont="1" applyFill="1" applyBorder="1" applyAlignment="1">
      <alignment horizontal="center" wrapText="1" readingOrder="2"/>
    </xf>
    <xf numFmtId="38" fontId="48" fillId="7" borderId="32" xfId="15" applyNumberFormat="1" applyFont="1" applyFill="1" applyBorder="1" applyAlignment="1" applyProtection="1">
      <alignment wrapText="1" readingOrder="1"/>
      <protection locked="0"/>
    </xf>
    <xf numFmtId="38" fontId="48" fillId="7" borderId="38" xfId="15" applyNumberFormat="1" applyFont="1" applyFill="1" applyBorder="1" applyAlignment="1" applyProtection="1">
      <alignment wrapText="1" readingOrder="1"/>
      <protection locked="0"/>
    </xf>
    <xf numFmtId="38" fontId="48" fillId="2" borderId="31" xfId="15" applyNumberFormat="1" applyFont="1" applyFill="1" applyBorder="1"/>
    <xf numFmtId="38" fontId="48" fillId="2" borderId="3" xfId="15" applyNumberFormat="1" applyFont="1" applyFill="1" applyBorder="1"/>
    <xf numFmtId="0" fontId="48" fillId="2" borderId="34" xfId="15" applyFont="1" applyFill="1" applyBorder="1" applyAlignment="1">
      <alignment horizontal="right" wrapText="1" readingOrder="2"/>
    </xf>
    <xf numFmtId="0" fontId="17" fillId="2" borderId="2" xfId="15" applyFont="1" applyFill="1" applyBorder="1" applyAlignment="1">
      <alignment horizontal="center" wrapText="1" readingOrder="2"/>
    </xf>
    <xf numFmtId="0" fontId="17" fillId="2" borderId="1" xfId="15" applyFont="1" applyFill="1" applyBorder="1" applyAlignment="1">
      <alignment horizontal="center" wrapText="1" readingOrder="2"/>
    </xf>
    <xf numFmtId="0" fontId="48" fillId="2" borderId="5" xfId="15" applyFont="1" applyFill="1" applyBorder="1"/>
    <xf numFmtId="0" fontId="17" fillId="2" borderId="32" xfId="15" applyFont="1" applyFill="1" applyBorder="1" applyAlignment="1">
      <alignment horizontal="center" wrapText="1" readingOrder="2"/>
    </xf>
    <xf numFmtId="0" fontId="48" fillId="2" borderId="25" xfId="15" applyFont="1" applyFill="1" applyBorder="1" applyAlignment="1">
      <alignment horizontal="right" wrapText="1" indent="1" readingOrder="2"/>
    </xf>
    <xf numFmtId="0" fontId="48" fillId="2" borderId="25" xfId="15" applyFont="1" applyFill="1" applyBorder="1" applyAlignment="1">
      <alignment horizontal="right" wrapText="1" indent="2" readingOrder="2"/>
    </xf>
    <xf numFmtId="0" fontId="17" fillId="2" borderId="4" xfId="15" applyFont="1" applyFill="1" applyBorder="1" applyAlignment="1">
      <alignment horizontal="right" vertical="top" wrapText="1" readingOrder="2"/>
    </xf>
    <xf numFmtId="0" fontId="48" fillId="0" borderId="0" xfId="15" applyFont="1" applyAlignment="1">
      <alignment wrapText="1" readingOrder="2"/>
    </xf>
    <xf numFmtId="0" fontId="39" fillId="2" borderId="25" xfId="15" applyFont="1" applyFill="1" applyBorder="1" applyAlignment="1">
      <alignment horizontal="right" wrapText="1" readingOrder="2"/>
    </xf>
    <xf numFmtId="38" fontId="48" fillId="2" borderId="38" xfId="15" applyNumberFormat="1" applyFont="1" applyFill="1" applyBorder="1" applyAlignment="1">
      <alignment wrapText="1" readingOrder="1"/>
    </xf>
    <xf numFmtId="0" fontId="79" fillId="0" borderId="0" xfId="15" applyFont="1" applyAlignment="1">
      <alignment horizontal="right" wrapText="1" readingOrder="2"/>
    </xf>
    <xf numFmtId="0" fontId="48" fillId="2" borderId="25" xfId="15" applyFont="1" applyFill="1" applyBorder="1" applyAlignment="1">
      <alignment horizontal="center" wrapText="1" readingOrder="2"/>
    </xf>
    <xf numFmtId="0" fontId="11" fillId="0" borderId="0" xfId="15" applyFont="1"/>
    <xf numFmtId="175" fontId="11" fillId="0" borderId="0" xfId="15" applyNumberFormat="1" applyFont="1"/>
    <xf numFmtId="0" fontId="52" fillId="0" borderId="0" xfId="15" applyFont="1" applyAlignment="1">
      <alignment horizontal="right" wrapText="1" readingOrder="2"/>
    </xf>
    <xf numFmtId="0" fontId="48" fillId="0" borderId="0" xfId="15" applyFont="1" applyAlignment="1" applyProtection="1">
      <alignment horizontal="right" readingOrder="2"/>
      <protection locked="0"/>
    </xf>
    <xf numFmtId="38" fontId="11" fillId="0" borderId="0" xfId="15" applyNumberFormat="1" applyFont="1"/>
    <xf numFmtId="38" fontId="48" fillId="2" borderId="25" xfId="15" applyNumberFormat="1" applyFont="1" applyFill="1" applyBorder="1" applyAlignment="1">
      <alignment horizontal="right" wrapText="1" readingOrder="2"/>
    </xf>
    <xf numFmtId="38" fontId="48" fillId="2" borderId="25" xfId="15" applyNumberFormat="1" applyFont="1" applyFill="1" applyBorder="1" applyAlignment="1">
      <alignment horizontal="right" vertical="top" wrapText="1" readingOrder="2"/>
    </xf>
    <xf numFmtId="38" fontId="48" fillId="2" borderId="25" xfId="15" applyNumberFormat="1" applyFont="1" applyFill="1" applyBorder="1" applyAlignment="1">
      <alignment horizontal="right" wrapText="1" indent="2" readingOrder="2"/>
    </xf>
    <xf numFmtId="38" fontId="17" fillId="2" borderId="25" xfId="15" applyNumberFormat="1" applyFont="1" applyFill="1" applyBorder="1" applyAlignment="1">
      <alignment horizontal="right" wrapText="1" readingOrder="2"/>
    </xf>
    <xf numFmtId="38" fontId="48" fillId="2" borderId="25" xfId="15" applyNumberFormat="1" applyFont="1" applyFill="1" applyBorder="1" applyAlignment="1">
      <alignment horizontal="right" wrapText="1" indent="1" readingOrder="2"/>
    </xf>
    <xf numFmtId="38" fontId="17" fillId="2" borderId="25" xfId="15" applyNumberFormat="1" applyFont="1" applyFill="1" applyBorder="1" applyAlignment="1">
      <alignment horizontal="right" wrapText="1" indent="2" readingOrder="2"/>
    </xf>
    <xf numFmtId="38" fontId="17" fillId="2" borderId="4" xfId="15" applyNumberFormat="1" applyFont="1" applyFill="1" applyBorder="1" applyAlignment="1">
      <alignment horizontal="right" wrapText="1" readingOrder="2"/>
    </xf>
    <xf numFmtId="38" fontId="48" fillId="0" borderId="0" xfId="15" applyNumberFormat="1" applyFont="1"/>
    <xf numFmtId="38" fontId="17" fillId="2" borderId="2" xfId="15" applyNumberFormat="1" applyFont="1" applyFill="1" applyBorder="1" applyAlignment="1">
      <alignment horizontal="center" wrapText="1" readingOrder="2"/>
    </xf>
    <xf numFmtId="38" fontId="48" fillId="2" borderId="4" xfId="15" applyNumberFormat="1" applyFont="1" applyFill="1" applyBorder="1"/>
    <xf numFmtId="38" fontId="48" fillId="7" borderId="31" xfId="15" applyNumberFormat="1" applyFont="1" applyFill="1" applyBorder="1" applyAlignment="1" applyProtection="1">
      <alignment horizontal="right"/>
      <protection locked="0"/>
    </xf>
    <xf numFmtId="49" fontId="39" fillId="5" borderId="0" xfId="19" applyNumberFormat="1" applyFont="1" applyFill="1" applyAlignment="1" applyProtection="1">
      <alignment horizontal="center"/>
    </xf>
    <xf numFmtId="38" fontId="17" fillId="2" borderId="16" xfId="15" applyNumberFormat="1" applyFont="1" applyFill="1" applyBorder="1" applyAlignment="1">
      <alignment horizontal="right" vertical="top" wrapText="1" readingOrder="2"/>
    </xf>
    <xf numFmtId="38" fontId="48" fillId="2" borderId="18" xfId="15" applyNumberFormat="1" applyFont="1" applyFill="1" applyBorder="1" applyAlignment="1">
      <alignment horizontal="right" vertical="top" wrapText="1" indent="1" readingOrder="2"/>
    </xf>
    <xf numFmtId="38" fontId="48" fillId="2" borderId="22" xfId="15" applyNumberFormat="1" applyFont="1" applyFill="1" applyBorder="1" applyAlignment="1">
      <alignment horizontal="right" vertical="top" wrapText="1" indent="1" readingOrder="2"/>
    </xf>
    <xf numFmtId="38" fontId="48" fillId="7" borderId="25" xfId="15" applyNumberFormat="1" applyFont="1" applyFill="1" applyBorder="1" applyAlignment="1" applyProtection="1">
      <alignment horizontal="right"/>
      <protection locked="0"/>
    </xf>
    <xf numFmtId="38" fontId="48" fillId="7" borderId="25" xfId="15" applyNumberFormat="1" applyFont="1" applyFill="1" applyBorder="1" applyAlignment="1" applyProtection="1">
      <alignment horizontal="right"/>
    </xf>
    <xf numFmtId="38" fontId="48" fillId="7" borderId="4" xfId="15" applyNumberFormat="1" applyFont="1" applyFill="1" applyBorder="1" applyAlignment="1" applyProtection="1">
      <alignment horizontal="right"/>
      <protection locked="0"/>
    </xf>
    <xf numFmtId="0" fontId="48" fillId="2" borderId="34" xfId="0" applyFont="1" applyFill="1" applyBorder="1" applyAlignment="1">
      <alignment horizontal="right" vertical="top" wrapText="1" readingOrder="2"/>
    </xf>
    <xf numFmtId="0" fontId="48" fillId="2" borderId="25" xfId="0" applyFont="1" applyFill="1" applyBorder="1" applyAlignment="1">
      <alignment horizontal="right" vertical="top" wrapText="1" readingOrder="2"/>
    </xf>
    <xf numFmtId="0" fontId="17" fillId="2" borderId="32" xfId="0" applyFont="1" applyFill="1" applyBorder="1" applyAlignment="1">
      <alignment horizontal="center" wrapText="1" readingOrder="2"/>
    </xf>
    <xf numFmtId="0" fontId="17" fillId="2" borderId="38" xfId="0" applyFont="1" applyFill="1" applyBorder="1" applyAlignment="1">
      <alignment horizontal="center" wrapText="1" readingOrder="2"/>
    </xf>
    <xf numFmtId="0" fontId="48" fillId="2" borderId="25" xfId="0" applyFont="1" applyFill="1" applyBorder="1" applyAlignment="1">
      <alignment horizontal="right" wrapText="1" readingOrder="2"/>
    </xf>
    <xf numFmtId="38" fontId="48" fillId="7" borderId="32" xfId="0" applyNumberFormat="1" applyFont="1" applyFill="1" applyBorder="1" applyAlignment="1" applyProtection="1">
      <alignment wrapText="1" readingOrder="1"/>
      <protection locked="0"/>
    </xf>
    <xf numFmtId="38" fontId="48" fillId="7" borderId="38" xfId="0" applyNumberFormat="1" applyFont="1" applyFill="1" applyBorder="1" applyAlignment="1" applyProtection="1">
      <alignment wrapText="1" readingOrder="1"/>
      <protection locked="0"/>
    </xf>
    <xf numFmtId="0" fontId="48" fillId="2" borderId="4" xfId="0" applyFont="1" applyFill="1" applyBorder="1" applyAlignment="1">
      <alignment wrapText="1" readingOrder="2"/>
    </xf>
    <xf numFmtId="38" fontId="48" fillId="2" borderId="31" xfId="0" applyNumberFormat="1" applyFont="1" applyFill="1" applyBorder="1" applyAlignment="1" applyProtection="1">
      <alignment wrapText="1" readingOrder="1"/>
    </xf>
    <xf numFmtId="38" fontId="48" fillId="2" borderId="3" xfId="0" applyNumberFormat="1" applyFont="1" applyFill="1" applyBorder="1" applyAlignment="1" applyProtection="1">
      <alignment wrapText="1" readingOrder="1"/>
    </xf>
    <xf numFmtId="0" fontId="52" fillId="0" borderId="0" xfId="0" applyFont="1" applyAlignment="1">
      <alignment wrapText="1" readingOrder="2"/>
    </xf>
    <xf numFmtId="38" fontId="52" fillId="0" borderId="0" xfId="15" applyNumberFormat="1" applyFont="1" applyAlignment="1">
      <alignment readingOrder="2"/>
    </xf>
    <xf numFmtId="38" fontId="48" fillId="19" borderId="31" xfId="15" applyNumberFormat="1" applyFont="1" applyFill="1" applyBorder="1" applyAlignment="1" applyProtection="1">
      <alignment horizontal="right"/>
    </xf>
    <xf numFmtId="38" fontId="48" fillId="19" borderId="3" xfId="15" applyNumberFormat="1" applyFont="1" applyFill="1" applyBorder="1" applyAlignment="1" applyProtection="1">
      <alignment horizontal="right"/>
    </xf>
    <xf numFmtId="38" fontId="61" fillId="5" borderId="0" xfId="15" applyNumberFormat="1" applyFont="1" applyFill="1" applyAlignment="1">
      <alignment wrapText="1" readingOrder="2"/>
    </xf>
    <xf numFmtId="0" fontId="17" fillId="2" borderId="25" xfId="15" applyFont="1" applyFill="1" applyBorder="1" applyAlignment="1">
      <alignment horizontal="right" wrapText="1" readingOrder="2"/>
    </xf>
    <xf numFmtId="0" fontId="48" fillId="2" borderId="25" xfId="15" applyFont="1" applyFill="1" applyBorder="1" applyAlignment="1">
      <alignment horizontal="right" wrapText="1" readingOrder="2"/>
    </xf>
    <xf numFmtId="0" fontId="48" fillId="2" borderId="4" xfId="15" applyFont="1" applyFill="1" applyBorder="1" applyAlignment="1">
      <alignment horizontal="right" wrapText="1" indent="1" readingOrder="2"/>
    </xf>
    <xf numFmtId="38" fontId="48" fillId="18" borderId="32" xfId="15" applyNumberFormat="1" applyFont="1" applyFill="1" applyBorder="1" applyAlignment="1" applyProtection="1">
      <alignment horizontal="right"/>
      <protection locked="0"/>
    </xf>
    <xf numFmtId="38" fontId="48" fillId="18" borderId="38" xfId="15" applyNumberFormat="1" applyFont="1" applyFill="1" applyBorder="1" applyAlignment="1" applyProtection="1">
      <alignment horizontal="right"/>
      <protection locked="0"/>
    </xf>
    <xf numFmtId="38" fontId="48" fillId="18" borderId="31" xfId="15" applyNumberFormat="1" applyFont="1" applyFill="1" applyBorder="1" applyAlignment="1" applyProtection="1">
      <alignment horizontal="right"/>
    </xf>
    <xf numFmtId="38" fontId="48" fillId="18" borderId="3" xfId="15" applyNumberFormat="1" applyFont="1" applyFill="1" applyBorder="1" applyAlignment="1" applyProtection="1">
      <alignment horizontal="right"/>
    </xf>
    <xf numFmtId="0" fontId="7" fillId="19" borderId="34" xfId="15" applyFill="1" applyBorder="1"/>
    <xf numFmtId="0" fontId="17" fillId="19" borderId="2" xfId="15" applyFont="1" applyFill="1" applyBorder="1" applyAlignment="1">
      <alignment horizontal="center" wrapText="1" readingOrder="2"/>
    </xf>
    <xf numFmtId="0" fontId="48" fillId="19" borderId="25" xfId="15" applyFont="1" applyFill="1" applyBorder="1" applyAlignment="1">
      <alignment horizontal="right" wrapText="1" readingOrder="2"/>
    </xf>
    <xf numFmtId="0" fontId="48" fillId="19" borderId="4" xfId="15" applyFont="1" applyFill="1" applyBorder="1" applyAlignment="1">
      <alignment horizontal="right" wrapText="1" readingOrder="2"/>
    </xf>
    <xf numFmtId="0" fontId="54" fillId="6" borderId="0" xfId="9" applyFont="1" applyFill="1" applyAlignment="1" applyProtection="1">
      <alignment horizontal="center" wrapText="1"/>
    </xf>
    <xf numFmtId="174" fontId="48" fillId="7" borderId="32" xfId="15" applyNumberFormat="1" applyFont="1" applyFill="1" applyBorder="1" applyAlignment="1" applyProtection="1">
      <alignment horizontal="right"/>
      <protection locked="0"/>
    </xf>
    <xf numFmtId="174" fontId="48" fillId="7" borderId="38" xfId="15" applyNumberFormat="1" applyFont="1" applyFill="1" applyBorder="1" applyAlignment="1" applyProtection="1">
      <alignment horizontal="right"/>
      <protection locked="0"/>
    </xf>
    <xf numFmtId="174" fontId="48" fillId="19" borderId="32" xfId="15" applyNumberFormat="1" applyFont="1" applyFill="1" applyBorder="1" applyAlignment="1" applyProtection="1">
      <alignment horizontal="right"/>
    </xf>
    <xf numFmtId="174" fontId="48" fillId="19" borderId="38" xfId="15" applyNumberFormat="1" applyFont="1" applyFill="1" applyBorder="1" applyAlignment="1" applyProtection="1">
      <alignment horizontal="right"/>
    </xf>
    <xf numFmtId="0" fontId="48" fillId="2" borderId="4" xfId="15" applyFont="1" applyFill="1" applyBorder="1" applyAlignment="1">
      <alignment horizontal="right" wrapText="1" readingOrder="2"/>
    </xf>
    <xf numFmtId="174" fontId="48" fillId="19" borderId="31" xfId="15" applyNumberFormat="1" applyFont="1" applyFill="1" applyBorder="1" applyAlignment="1" applyProtection="1">
      <alignment horizontal="right"/>
    </xf>
    <xf numFmtId="174" fontId="48" fillId="19" borderId="3" xfId="15" applyNumberFormat="1" applyFont="1" applyFill="1" applyBorder="1" applyAlignment="1" applyProtection="1">
      <alignment horizontal="right"/>
    </xf>
    <xf numFmtId="0" fontId="30" fillId="2" borderId="34" xfId="0" applyFont="1" applyFill="1" applyBorder="1" applyAlignment="1">
      <alignment horizontal="center" wrapText="1" readingOrder="2"/>
    </xf>
    <xf numFmtId="0" fontId="30" fillId="2" borderId="25" xfId="0" applyFont="1" applyFill="1" applyBorder="1" applyAlignment="1">
      <alignment horizontal="center" wrapText="1" readingOrder="2"/>
    </xf>
    <xf numFmtId="38" fontId="48" fillId="7" borderId="32" xfId="0" applyNumberFormat="1" applyFont="1" applyFill="1" applyBorder="1" applyAlignment="1" applyProtection="1">
      <alignment horizontal="right"/>
    </xf>
    <xf numFmtId="38" fontId="48" fillId="7" borderId="38" xfId="0" applyNumberFormat="1" applyFont="1" applyFill="1" applyBorder="1" applyAlignment="1" applyProtection="1">
      <alignment horizontal="right"/>
    </xf>
    <xf numFmtId="0" fontId="48" fillId="2" borderId="25" xfId="0" applyFont="1" applyFill="1" applyBorder="1" applyAlignment="1">
      <alignment horizontal="justify" vertical="top" wrapText="1" readingOrder="2"/>
    </xf>
    <xf numFmtId="38" fontId="48" fillId="7" borderId="32" xfId="0" applyNumberFormat="1" applyFont="1" applyFill="1" applyBorder="1" applyAlignment="1" applyProtection="1">
      <alignment horizontal="right"/>
      <protection locked="0"/>
    </xf>
    <xf numFmtId="0" fontId="17" fillId="2" borderId="25" xfId="0" applyFont="1" applyFill="1" applyBorder="1" applyAlignment="1">
      <alignment vertical="top" wrapText="1" readingOrder="2"/>
    </xf>
    <xf numFmtId="1" fontId="30" fillId="2" borderId="25" xfId="0" applyNumberFormat="1" applyFont="1" applyFill="1" applyBorder="1" applyAlignment="1">
      <alignment horizontal="center" wrapText="1" readingOrder="2"/>
    </xf>
    <xf numFmtId="0" fontId="17" fillId="2" borderId="25" xfId="0" applyFont="1" applyFill="1" applyBorder="1" applyAlignment="1">
      <alignment horizontal="justify" vertical="top" wrapText="1" readingOrder="2"/>
    </xf>
    <xf numFmtId="0" fontId="17" fillId="2" borderId="4" xfId="0" applyFont="1" applyFill="1" applyBorder="1" applyAlignment="1">
      <alignment horizontal="right" vertical="top" wrapText="1" readingOrder="2"/>
    </xf>
    <xf numFmtId="38" fontId="48" fillId="7" borderId="31" xfId="0" applyNumberFormat="1" applyFont="1" applyFill="1" applyBorder="1" applyAlignment="1" applyProtection="1">
      <alignment horizontal="right"/>
    </xf>
    <xf numFmtId="38" fontId="48" fillId="7" borderId="3" xfId="0" applyNumberFormat="1" applyFont="1" applyFill="1" applyBorder="1" applyAlignment="1" applyProtection="1">
      <alignment horizontal="right"/>
    </xf>
    <xf numFmtId="0" fontId="52" fillId="0" borderId="0" xfId="0" applyFont="1" applyAlignment="1">
      <alignment horizontal="right" readingOrder="1"/>
    </xf>
    <xf numFmtId="0" fontId="48" fillId="0" borderId="0" xfId="0" applyFont="1" applyAlignment="1">
      <alignment wrapText="1" readingOrder="2"/>
    </xf>
    <xf numFmtId="0" fontId="67" fillId="0" borderId="0" xfId="0" applyFont="1" applyAlignment="1">
      <alignment horizontal="center" wrapText="1"/>
    </xf>
    <xf numFmtId="0" fontId="78" fillId="0" borderId="0" xfId="0" applyFont="1" applyAlignment="1">
      <alignment horizontal="right" readingOrder="2"/>
    </xf>
    <xf numFmtId="0" fontId="0" fillId="0" borderId="34" xfId="0" applyBorder="1"/>
    <xf numFmtId="0" fontId="48" fillId="0" borderId="0" xfId="0" applyFont="1" applyAlignment="1">
      <alignment horizontal="right" readingOrder="2"/>
    </xf>
    <xf numFmtId="38" fontId="48" fillId="7" borderId="38" xfId="0" applyNumberFormat="1" applyFont="1" applyFill="1" applyBorder="1" applyAlignment="1" applyProtection="1">
      <alignment horizontal="right"/>
      <protection locked="0"/>
    </xf>
    <xf numFmtId="0" fontId="48" fillId="2" borderId="25" xfId="0" applyFont="1" applyFill="1" applyBorder="1" applyAlignment="1">
      <alignment horizontal="right" vertical="top" wrapText="1" indent="2" readingOrder="2"/>
    </xf>
    <xf numFmtId="0" fontId="17" fillId="2" borderId="25" xfId="0" applyFont="1" applyFill="1" applyBorder="1" applyAlignment="1">
      <alignment horizontal="right" vertical="top" wrapText="1" indent="1" readingOrder="2"/>
    </xf>
    <xf numFmtId="0" fontId="17" fillId="2" borderId="25" xfId="0" applyFont="1" applyFill="1" applyBorder="1" applyAlignment="1">
      <alignment horizontal="right" vertical="top" wrapText="1" indent="2" readingOrder="2"/>
    </xf>
    <xf numFmtId="0" fontId="48" fillId="2" borderId="25" xfId="0" applyFont="1" applyFill="1" applyBorder="1" applyAlignment="1">
      <alignment horizontal="right" vertical="top" wrapText="1" indent="3" readingOrder="2"/>
    </xf>
    <xf numFmtId="0" fontId="48" fillId="2" borderId="25" xfId="0" applyFont="1" applyFill="1" applyBorder="1" applyAlignment="1" applyProtection="1">
      <alignment horizontal="right" vertical="top" wrapText="1" indent="2" readingOrder="2"/>
    </xf>
    <xf numFmtId="38" fontId="48" fillId="2" borderId="32" xfId="0" applyNumberFormat="1" applyFont="1" applyFill="1" applyBorder="1" applyAlignment="1" applyProtection="1">
      <alignment horizontal="right"/>
    </xf>
    <xf numFmtId="0" fontId="17" fillId="2" borderId="4" xfId="0" applyFont="1" applyFill="1" applyBorder="1" applyAlignment="1">
      <alignment wrapText="1"/>
    </xf>
    <xf numFmtId="0" fontId="39" fillId="2" borderId="25" xfId="0" applyFont="1" applyFill="1" applyBorder="1" applyAlignment="1">
      <alignment horizontal="right" vertical="top" wrapText="1" readingOrder="2"/>
    </xf>
    <xf numFmtId="0" fontId="48" fillId="2" borderId="25" xfId="0" applyFont="1" applyFill="1" applyBorder="1" applyAlignment="1">
      <alignment horizontal="right" vertical="top" wrapText="1" indent="1" readingOrder="2"/>
    </xf>
    <xf numFmtId="38" fontId="48" fillId="19" borderId="32" xfId="0" applyNumberFormat="1" applyFont="1" applyFill="1" applyBorder="1" applyAlignment="1" applyProtection="1">
      <alignment horizontal="right"/>
      <protection locked="0"/>
    </xf>
    <xf numFmtId="38" fontId="48" fillId="19" borderId="38" xfId="0" applyNumberFormat="1" applyFont="1" applyFill="1" applyBorder="1" applyAlignment="1" applyProtection="1">
      <alignment horizontal="right"/>
      <protection locked="0"/>
    </xf>
    <xf numFmtId="38" fontId="48" fillId="7" borderId="31" xfId="0" applyNumberFormat="1" applyFont="1" applyFill="1" applyBorder="1" applyAlignment="1" applyProtection="1">
      <alignment horizontal="right"/>
      <protection locked="0"/>
    </xf>
    <xf numFmtId="38" fontId="48" fillId="7" borderId="3" xfId="0" applyNumberFormat="1" applyFont="1" applyFill="1" applyBorder="1" applyAlignment="1" applyProtection="1">
      <alignment horizontal="right"/>
      <protection locked="0"/>
    </xf>
    <xf numFmtId="0" fontId="17" fillId="2" borderId="2" xfId="0" applyFont="1" applyFill="1" applyBorder="1" applyAlignment="1">
      <alignment wrapText="1" readingOrder="2"/>
    </xf>
    <xf numFmtId="10" fontId="48" fillId="7" borderId="32" xfId="0" applyNumberFormat="1" applyFont="1" applyFill="1" applyBorder="1" applyAlignment="1" applyProtection="1">
      <alignment horizontal="right"/>
      <protection locked="0"/>
    </xf>
    <xf numFmtId="10" fontId="48" fillId="7" borderId="38" xfId="0" applyNumberFormat="1" applyFont="1" applyFill="1" applyBorder="1" applyAlignment="1" applyProtection="1">
      <alignment wrapText="1" readingOrder="2"/>
      <protection locked="0"/>
    </xf>
    <xf numFmtId="10" fontId="48" fillId="7" borderId="38" xfId="0" applyNumberFormat="1" applyFont="1" applyFill="1" applyBorder="1" applyAlignment="1" applyProtection="1">
      <alignment wrapText="1"/>
      <protection locked="0"/>
    </xf>
    <xf numFmtId="0" fontId="48" fillId="2" borderId="4" xfId="0" applyFont="1" applyFill="1" applyBorder="1" applyAlignment="1">
      <alignment horizontal="right" vertical="top" wrapText="1" indent="2" readingOrder="2"/>
    </xf>
    <xf numFmtId="10" fontId="48" fillId="7" borderId="31" xfId="0" applyNumberFormat="1" applyFont="1" applyFill="1" applyBorder="1" applyAlignment="1" applyProtection="1">
      <alignment horizontal="right"/>
      <protection locked="0"/>
    </xf>
    <xf numFmtId="10" fontId="48" fillId="7" borderId="3" xfId="0" applyNumberFormat="1" applyFont="1" applyFill="1" applyBorder="1" applyAlignment="1" applyProtection="1">
      <alignment wrapText="1"/>
      <protection locked="0"/>
    </xf>
    <xf numFmtId="2" fontId="9" fillId="0" borderId="0" xfId="19" applyNumberFormat="1" applyFont="1" applyBorder="1" applyAlignment="1" applyProtection="1">
      <alignment horizontal="right" readingOrder="2"/>
    </xf>
    <xf numFmtId="0" fontId="0" fillId="2" borderId="34" xfId="0" applyFill="1" applyBorder="1"/>
    <xf numFmtId="0" fontId="17" fillId="2" borderId="4" xfId="0" applyFont="1" applyFill="1" applyBorder="1" applyAlignment="1">
      <alignment horizontal="justify" vertical="top" wrapText="1" readingOrder="2"/>
    </xf>
    <xf numFmtId="0" fontId="11" fillId="19" borderId="67" xfId="0" applyFont="1" applyFill="1" applyBorder="1"/>
    <xf numFmtId="0" fontId="17" fillId="0" borderId="0" xfId="0" applyFont="1" applyAlignment="1">
      <alignment horizontal="right" readingOrder="2"/>
    </xf>
    <xf numFmtId="0" fontId="48" fillId="2" borderId="4" xfId="0" applyFont="1" applyFill="1" applyBorder="1" applyAlignment="1">
      <alignment horizontal="justify" vertical="top" wrapText="1" readingOrder="2"/>
    </xf>
    <xf numFmtId="0" fontId="21" fillId="0" borderId="0" xfId="0" applyFont="1"/>
    <xf numFmtId="0" fontId="39" fillId="2" borderId="25" xfId="0" applyFont="1" applyFill="1" applyBorder="1" applyAlignment="1">
      <alignment horizontal="justify" vertical="top" wrapText="1" readingOrder="2"/>
    </xf>
    <xf numFmtId="10" fontId="48" fillId="7" borderId="32" xfId="0" applyNumberFormat="1" applyFont="1" applyFill="1" applyBorder="1" applyProtection="1">
      <protection locked="0"/>
    </xf>
    <xf numFmtId="10" fontId="48" fillId="7" borderId="31" xfId="0" applyNumberFormat="1" applyFont="1" applyFill="1" applyBorder="1" applyProtection="1">
      <protection locked="0"/>
    </xf>
    <xf numFmtId="10" fontId="48" fillId="7" borderId="3" xfId="0" applyNumberFormat="1" applyFont="1" applyFill="1" applyBorder="1" applyAlignment="1" applyProtection="1">
      <alignment wrapText="1" readingOrder="2"/>
      <protection locked="0"/>
    </xf>
    <xf numFmtId="0" fontId="11" fillId="2" borderId="67" xfId="0" applyFont="1" applyFill="1" applyBorder="1"/>
    <xf numFmtId="0" fontId="11" fillId="2" borderId="68" xfId="0" applyFont="1" applyFill="1" applyBorder="1"/>
    <xf numFmtId="0" fontId="33" fillId="2" borderId="32" xfId="0" applyFont="1" applyFill="1" applyBorder="1" applyAlignment="1">
      <alignment horizontal="center" vertical="top" wrapText="1" readingOrder="2"/>
    </xf>
    <xf numFmtId="0" fontId="33" fillId="2" borderId="38" xfId="0" applyFont="1" applyFill="1" applyBorder="1" applyAlignment="1">
      <alignment horizontal="center" vertical="top" wrapText="1" readingOrder="2"/>
    </xf>
    <xf numFmtId="0" fontId="39" fillId="2" borderId="20" xfId="0" applyFont="1" applyFill="1" applyBorder="1" applyAlignment="1">
      <alignment vertical="top" wrapText="1" readingOrder="2"/>
    </xf>
    <xf numFmtId="0" fontId="39" fillId="2" borderId="50" xfId="0" applyFont="1" applyFill="1" applyBorder="1" applyAlignment="1">
      <alignment vertical="top" wrapText="1" readingOrder="2"/>
    </xf>
    <xf numFmtId="3" fontId="11" fillId="7" borderId="32" xfId="0" applyNumberFormat="1" applyFont="1" applyFill="1" applyBorder="1" applyProtection="1">
      <protection locked="0"/>
    </xf>
    <xf numFmtId="3" fontId="11" fillId="2" borderId="38" xfId="0" applyNumberFormat="1" applyFont="1" applyFill="1" applyBorder="1"/>
    <xf numFmtId="3" fontId="11" fillId="2" borderId="31" xfId="0" applyNumberFormat="1" applyFont="1" applyFill="1" applyBorder="1"/>
    <xf numFmtId="3" fontId="11" fillId="2" borderId="3" xfId="0" applyNumberFormat="1" applyFont="1" applyFill="1" applyBorder="1"/>
    <xf numFmtId="1" fontId="39" fillId="2" borderId="18" xfId="0" applyNumberFormat="1" applyFont="1" applyFill="1" applyBorder="1" applyAlignment="1">
      <alignment vertical="top" wrapText="1" readingOrder="2"/>
    </xf>
    <xf numFmtId="2" fontId="52" fillId="0" borderId="0" xfId="0" applyNumberFormat="1" applyFont="1" applyAlignment="1">
      <alignment horizontal="right" readingOrder="1"/>
    </xf>
    <xf numFmtId="0" fontId="17" fillId="2" borderId="25" xfId="0" applyFont="1" applyFill="1" applyBorder="1" applyAlignment="1">
      <alignment horizontal="right" vertical="top" wrapText="1" readingOrder="2"/>
    </xf>
    <xf numFmtId="0" fontId="48" fillId="2" borderId="25" xfId="0" applyFont="1" applyFill="1" applyBorder="1"/>
    <xf numFmtId="3" fontId="11" fillId="2" borderId="32" xfId="0" applyNumberFormat="1" applyFont="1" applyFill="1" applyBorder="1"/>
    <xf numFmtId="0" fontId="48" fillId="2" borderId="4" xfId="0" applyFont="1" applyFill="1" applyBorder="1" applyAlignment="1">
      <alignment horizontal="right" wrapText="1"/>
    </xf>
    <xf numFmtId="3" fontId="11" fillId="7" borderId="31" xfId="0" applyNumberFormat="1" applyFont="1" applyFill="1" applyBorder="1" applyProtection="1">
      <protection locked="0"/>
    </xf>
    <xf numFmtId="3" fontId="48" fillId="7" borderId="32" xfId="0" applyNumberFormat="1" applyFont="1" applyFill="1" applyBorder="1" applyAlignment="1" applyProtection="1">
      <alignment horizontal="right"/>
    </xf>
    <xf numFmtId="3" fontId="48" fillId="7" borderId="38" xfId="0" applyNumberFormat="1" applyFont="1" applyFill="1" applyBorder="1" applyAlignment="1" applyProtection="1">
      <alignment horizontal="right"/>
    </xf>
    <xf numFmtId="0" fontId="11" fillId="0" borderId="0" xfId="0" applyFont="1" applyAlignment="1">
      <alignment wrapText="1" readingOrder="2"/>
    </xf>
    <xf numFmtId="0" fontId="17" fillId="0" borderId="0" xfId="0" applyFont="1" applyAlignment="1">
      <alignment horizontal="justify" readingOrder="2"/>
    </xf>
    <xf numFmtId="0" fontId="48" fillId="0" borderId="0" xfId="0" applyFont="1"/>
    <xf numFmtId="0" fontId="17" fillId="2" borderId="34" xfId="0" applyFont="1" applyFill="1" applyBorder="1" applyAlignment="1">
      <alignment horizontal="left" vertical="top" wrapText="1" readingOrder="2"/>
    </xf>
    <xf numFmtId="0" fontId="17" fillId="2" borderId="25" xfId="0" applyFont="1" applyFill="1" applyBorder="1" applyAlignment="1">
      <alignment horizontal="right" wrapText="1" readingOrder="2"/>
    </xf>
    <xf numFmtId="0" fontId="48" fillId="2" borderId="25" xfId="0" applyFont="1" applyFill="1" applyBorder="1" applyAlignment="1">
      <alignment horizontal="right" wrapText="1" indent="2" readingOrder="2"/>
    </xf>
    <xf numFmtId="38" fontId="48" fillId="7" borderId="32" xfId="0" applyNumberFormat="1" applyFont="1" applyFill="1" applyBorder="1" applyProtection="1">
      <protection locked="0"/>
    </xf>
    <xf numFmtId="38" fontId="48" fillId="7" borderId="38" xfId="0" applyNumberFormat="1" applyFont="1" applyFill="1" applyBorder="1" applyProtection="1">
      <protection locked="0"/>
    </xf>
    <xf numFmtId="0" fontId="17" fillId="2" borderId="4" xfId="0" applyFont="1" applyFill="1" applyBorder="1" applyAlignment="1">
      <alignment horizontal="right" wrapText="1" readingOrder="2"/>
    </xf>
    <xf numFmtId="0" fontId="55" fillId="0" borderId="0" xfId="0" applyFont="1"/>
    <xf numFmtId="38" fontId="48" fillId="7" borderId="38" xfId="0" quotePrefix="1" applyNumberFormat="1" applyFont="1" applyFill="1" applyBorder="1" applyAlignment="1" applyProtection="1">
      <alignment horizontal="center"/>
      <protection locked="0"/>
    </xf>
    <xf numFmtId="38" fontId="48" fillId="2" borderId="38" xfId="0" applyNumberFormat="1" applyFont="1" applyFill="1" applyBorder="1" applyAlignment="1" applyProtection="1">
      <alignment horizontal="right"/>
    </xf>
    <xf numFmtId="0" fontId="17" fillId="2" borderId="25" xfId="0" applyFont="1" applyFill="1" applyBorder="1" applyAlignment="1">
      <alignment horizontal="right" wrapText="1" indent="1" readingOrder="2"/>
    </xf>
    <xf numFmtId="9" fontId="48" fillId="7" borderId="32" xfId="0" applyNumberFormat="1" applyFont="1" applyFill="1" applyBorder="1" applyAlignment="1" applyProtection="1">
      <alignment horizontal="right"/>
      <protection locked="0"/>
    </xf>
    <xf numFmtId="9" fontId="48" fillId="7" borderId="38" xfId="0" applyNumberFormat="1" applyFont="1" applyFill="1" applyBorder="1" applyAlignment="1" applyProtection="1">
      <alignment horizontal="right"/>
      <protection locked="0"/>
    </xf>
    <xf numFmtId="0" fontId="48" fillId="2" borderId="25" xfId="0" applyFont="1" applyFill="1" applyBorder="1" applyAlignment="1">
      <alignment horizontal="right" wrapText="1" indent="3" readingOrder="2"/>
    </xf>
    <xf numFmtId="0" fontId="17" fillId="2" borderId="27" xfId="0" applyFont="1" applyFill="1" applyBorder="1" applyAlignment="1">
      <alignment wrapText="1" readingOrder="2"/>
    </xf>
    <xf numFmtId="0" fontId="17" fillId="2" borderId="1" xfId="0" applyFont="1" applyFill="1" applyBorder="1" applyAlignment="1">
      <alignment wrapText="1" readingOrder="2"/>
    </xf>
    <xf numFmtId="0" fontId="17" fillId="2" borderId="4" xfId="0" applyFont="1" applyFill="1" applyBorder="1" applyAlignment="1">
      <alignment horizontal="right" wrapText="1" indent="2" readingOrder="2"/>
    </xf>
    <xf numFmtId="38" fontId="48" fillId="19" borderId="31" xfId="0" applyNumberFormat="1" applyFont="1" applyFill="1" applyBorder="1" applyAlignment="1" applyProtection="1">
      <alignment horizontal="right"/>
    </xf>
    <xf numFmtId="38" fontId="48" fillId="19" borderId="3" xfId="0" applyNumberFormat="1" applyFont="1" applyFill="1" applyBorder="1" applyAlignment="1" applyProtection="1">
      <alignment horizontal="right"/>
    </xf>
    <xf numFmtId="9" fontId="7" fillId="0" borderId="0" xfId="22"/>
    <xf numFmtId="0" fontId="39" fillId="0" borderId="0" xfId="0" applyFont="1" applyAlignment="1">
      <alignment horizontal="right" readingOrder="1"/>
    </xf>
    <xf numFmtId="38" fontId="48" fillId="0" borderId="0" xfId="0" applyNumberFormat="1" applyFont="1" applyAlignment="1">
      <alignment wrapText="1" readingOrder="2"/>
    </xf>
    <xf numFmtId="38" fontId="11" fillId="0" borderId="0" xfId="0" applyNumberFormat="1" applyFont="1"/>
    <xf numFmtId="38" fontId="17" fillId="2" borderId="2" xfId="0" applyNumberFormat="1" applyFont="1" applyFill="1" applyBorder="1" applyAlignment="1">
      <alignment horizontal="center" wrapText="1" readingOrder="2"/>
    </xf>
    <xf numFmtId="38" fontId="17" fillId="2" borderId="1" xfId="0" applyNumberFormat="1" applyFont="1" applyFill="1" applyBorder="1" applyAlignment="1">
      <alignment horizontal="center" wrapText="1" readingOrder="2"/>
    </xf>
    <xf numFmtId="0" fontId="48" fillId="2" borderId="25" xfId="0" applyFont="1" applyFill="1" applyBorder="1" applyAlignment="1">
      <alignment horizontal="right" wrapText="1"/>
    </xf>
    <xf numFmtId="0" fontId="33" fillId="0" borderId="0" xfId="0" applyFont="1" applyAlignment="1">
      <alignment horizontal="justify" vertical="top" wrapText="1" readingOrder="2"/>
    </xf>
    <xf numFmtId="0" fontId="17" fillId="2" borderId="25" xfId="0" applyFont="1" applyFill="1" applyBorder="1" applyAlignment="1">
      <alignment horizontal="right" wrapText="1"/>
    </xf>
    <xf numFmtId="0" fontId="48" fillId="2" borderId="25" xfId="0" applyFont="1" applyFill="1" applyBorder="1" applyAlignment="1">
      <alignment horizontal="right" wrapText="1" indent="2"/>
    </xf>
    <xf numFmtId="0" fontId="17" fillId="2" borderId="25" xfId="0" applyFont="1" applyFill="1" applyBorder="1" applyAlignment="1">
      <alignment horizontal="right" wrapText="1" indent="1"/>
    </xf>
    <xf numFmtId="0" fontId="17" fillId="2" borderId="4" xfId="0" applyFont="1" applyFill="1" applyBorder="1" applyAlignment="1">
      <alignment horizontal="right" wrapText="1"/>
    </xf>
    <xf numFmtId="0" fontId="48" fillId="2" borderId="2" xfId="0" applyFont="1" applyFill="1" applyBorder="1" applyAlignment="1">
      <alignment horizontal="center" wrapText="1" readingOrder="2"/>
    </xf>
    <xf numFmtId="0" fontId="48" fillId="2" borderId="1" xfId="0" applyFont="1" applyFill="1" applyBorder="1" applyAlignment="1">
      <alignment horizontal="center" wrapText="1" readingOrder="2"/>
    </xf>
    <xf numFmtId="49" fontId="48" fillId="2" borderId="32" xfId="0" applyNumberFormat="1" applyFont="1" applyFill="1" applyBorder="1" applyAlignment="1">
      <alignment horizontal="center" wrapText="1" readingOrder="2"/>
    </xf>
    <xf numFmtId="0" fontId="48" fillId="2" borderId="25" xfId="0" applyFont="1" applyFill="1" applyBorder="1" applyAlignment="1">
      <alignment horizontal="right" wrapText="1" indent="3"/>
    </xf>
    <xf numFmtId="0" fontId="48" fillId="2" borderId="25" xfId="0" applyFont="1" applyFill="1" applyBorder="1" applyAlignment="1">
      <alignment wrapText="1"/>
    </xf>
    <xf numFmtId="38" fontId="48" fillId="2" borderId="31" xfId="0" applyNumberFormat="1" applyFont="1" applyFill="1" applyBorder="1" applyProtection="1">
      <protection locked="0"/>
    </xf>
    <xf numFmtId="38" fontId="48" fillId="2" borderId="3" xfId="0" applyNumberFormat="1" applyFont="1" applyFill="1" applyBorder="1" applyProtection="1">
      <protection locked="0"/>
    </xf>
    <xf numFmtId="10" fontId="48" fillId="7" borderId="38" xfId="0" applyNumberFormat="1" applyFont="1" applyFill="1" applyBorder="1" applyAlignment="1" applyProtection="1">
      <alignment horizontal="right"/>
      <protection locked="0"/>
    </xf>
    <xf numFmtId="164" fontId="48" fillId="7" borderId="3" xfId="0" applyNumberFormat="1" applyFont="1" applyFill="1" applyBorder="1" applyAlignment="1" applyProtection="1">
      <alignment wrapText="1" readingOrder="2"/>
      <protection locked="0"/>
    </xf>
    <xf numFmtId="0" fontId="48" fillId="2" borderId="55" xfId="0" applyFont="1" applyFill="1" applyBorder="1" applyAlignment="1">
      <alignment horizontal="right" vertical="top" wrapText="1" readingOrder="2"/>
    </xf>
    <xf numFmtId="0" fontId="21" fillId="2" borderId="32" xfId="0" applyFont="1" applyFill="1" applyBorder="1" applyAlignment="1">
      <alignment horizontal="center" wrapText="1" readingOrder="2"/>
    </xf>
    <xf numFmtId="0" fontId="21" fillId="2" borderId="38" xfId="0" applyFont="1" applyFill="1" applyBorder="1" applyAlignment="1">
      <alignment horizontal="center" wrapText="1" readingOrder="2"/>
    </xf>
    <xf numFmtId="164" fontId="48" fillId="7" borderId="38" xfId="0" applyNumberFormat="1" applyFont="1" applyFill="1" applyBorder="1" applyAlignment="1" applyProtection="1">
      <alignment wrapText="1" readingOrder="2"/>
      <protection locked="0"/>
    </xf>
    <xf numFmtId="0" fontId="11" fillId="2" borderId="55" xfId="0" applyFont="1" applyFill="1" applyBorder="1"/>
    <xf numFmtId="0" fontId="39" fillId="2" borderId="18" xfId="0" applyFont="1" applyFill="1" applyBorder="1" applyAlignment="1">
      <alignment vertical="top" wrapText="1" readingOrder="2"/>
    </xf>
    <xf numFmtId="0" fontId="48" fillId="2" borderId="67" xfId="0" applyFont="1" applyFill="1" applyBorder="1" applyAlignment="1">
      <alignment horizontal="right" vertical="top" wrapText="1" readingOrder="2"/>
    </xf>
    <xf numFmtId="0" fontId="39" fillId="0" borderId="0" xfId="0" applyFont="1" applyAlignment="1">
      <alignment horizontal="justify" vertical="center" readingOrder="2"/>
    </xf>
    <xf numFmtId="0" fontId="80" fillId="0" borderId="0" xfId="0" applyFont="1" applyAlignment="1">
      <alignment horizontal="justify" vertical="center" readingOrder="2"/>
    </xf>
    <xf numFmtId="0" fontId="12" fillId="0" borderId="0" xfId="9" applyAlignment="1" applyProtection="1">
      <alignment horizontal="justify" vertical="center" readingOrder="2"/>
    </xf>
    <xf numFmtId="0" fontId="11" fillId="0" borderId="0" xfId="0" applyFont="1" applyAlignment="1">
      <alignment horizontal="justify" vertical="center" readingOrder="2"/>
    </xf>
    <xf numFmtId="0" fontId="33" fillId="0" borderId="0" xfId="0" applyFont="1" applyAlignment="1">
      <alignment vertical="center" wrapText="1" readingOrder="2"/>
    </xf>
    <xf numFmtId="0" fontId="21" fillId="2" borderId="25" xfId="0" applyFont="1" applyFill="1" applyBorder="1"/>
    <xf numFmtId="0" fontId="11" fillId="2" borderId="25" xfId="0" applyFont="1" applyFill="1" applyBorder="1" applyAlignment="1">
      <alignment horizontal="right" indent="2"/>
    </xf>
    <xf numFmtId="164" fontId="8" fillId="0" borderId="0" xfId="0" applyNumberFormat="1" applyFont="1"/>
    <xf numFmtId="0" fontId="11" fillId="0" borderId="0" xfId="0" applyFont="1" applyAlignment="1">
      <alignment horizontal="justify" readingOrder="2"/>
    </xf>
    <xf numFmtId="164" fontId="11" fillId="7" borderId="32" xfId="0" applyNumberFormat="1" applyFont="1" applyFill="1" applyBorder="1" applyProtection="1">
      <protection locked="0"/>
    </xf>
    <xf numFmtId="0" fontId="81" fillId="0" borderId="0" xfId="0" applyFont="1" applyAlignment="1">
      <alignment horizontal="justify" readingOrder="2"/>
    </xf>
    <xf numFmtId="0" fontId="82" fillId="0" borderId="0" xfId="9" applyFont="1" applyAlignment="1" applyProtection="1">
      <alignment horizontal="justify" readingOrder="2"/>
    </xf>
    <xf numFmtId="0" fontId="11" fillId="2" borderId="4" xfId="0" applyFont="1" applyFill="1" applyBorder="1" applyAlignment="1">
      <alignment horizontal="right" indent="2"/>
    </xf>
    <xf numFmtId="164" fontId="11" fillId="7" borderId="31" xfId="0" applyNumberFormat="1" applyFont="1" applyFill="1" applyBorder="1" applyProtection="1">
      <protection locked="0"/>
    </xf>
    <xf numFmtId="0" fontId="11" fillId="2" borderId="5" xfId="0" applyFont="1" applyFill="1" applyBorder="1"/>
    <xf numFmtId="0" fontId="21" fillId="2" borderId="4" xfId="0" applyFont="1" applyFill="1" applyBorder="1"/>
    <xf numFmtId="0" fontId="28" fillId="0" borderId="0" xfId="0" applyFont="1" applyAlignment="1">
      <alignment horizontal="justify" vertical="center" wrapText="1" readingOrder="2"/>
    </xf>
    <xf numFmtId="0" fontId="83" fillId="0" borderId="0" xfId="0" applyFont="1" applyAlignment="1">
      <alignment horizontal="justify" vertical="center" wrapText="1" readingOrder="2"/>
    </xf>
    <xf numFmtId="0" fontId="11" fillId="2" borderId="25" xfId="0" applyFont="1" applyFill="1" applyBorder="1"/>
    <xf numFmtId="38" fontId="48" fillId="19" borderId="38" xfId="0" applyNumberFormat="1" applyFont="1" applyFill="1" applyBorder="1" applyAlignment="1" applyProtection="1">
      <alignment horizontal="right"/>
    </xf>
    <xf numFmtId="0" fontId="11" fillId="2" borderId="25" xfId="0" applyFont="1" applyFill="1" applyBorder="1" applyAlignment="1">
      <alignment readingOrder="1"/>
    </xf>
    <xf numFmtId="0" fontId="11" fillId="2" borderId="4" xfId="0" applyFont="1" applyFill="1" applyBorder="1" applyAlignment="1">
      <alignment horizontal="right" readingOrder="2"/>
    </xf>
    <xf numFmtId="0" fontId="67" fillId="2" borderId="32" xfId="0" applyFont="1" applyFill="1" applyBorder="1" applyAlignment="1">
      <alignment horizontal="center" wrapText="1"/>
    </xf>
    <xf numFmtId="0" fontId="11" fillId="0" borderId="0" xfId="0" applyFont="1" applyAlignment="1">
      <alignment horizontal="right" vertical="center" wrapText="1" readingOrder="2"/>
    </xf>
    <xf numFmtId="38" fontId="48" fillId="19" borderId="32" xfId="0" applyNumberFormat="1" applyFont="1" applyFill="1" applyBorder="1" applyAlignment="1" applyProtection="1">
      <alignment horizontal="right"/>
    </xf>
    <xf numFmtId="0" fontId="39" fillId="0" borderId="0" xfId="0" applyFont="1" applyAlignment="1">
      <alignment horizontal="right" vertical="center" wrapText="1" readingOrder="2"/>
    </xf>
    <xf numFmtId="0" fontId="12" fillId="0" borderId="0" xfId="9" applyAlignment="1" applyProtection="1">
      <alignment horizontal="right" vertical="center" wrapText="1" readingOrder="2"/>
    </xf>
    <xf numFmtId="0" fontId="39" fillId="0" borderId="0" xfId="0" applyFont="1" applyAlignment="1">
      <alignment horizontal="justify" vertical="center" wrapText="1" readingOrder="2"/>
    </xf>
    <xf numFmtId="0" fontId="17" fillId="2" borderId="25" xfId="0" applyFont="1" applyFill="1" applyBorder="1" applyAlignment="1">
      <alignment horizontal="right" wrapText="1" indent="2"/>
    </xf>
    <xf numFmtId="164" fontId="48" fillId="7" borderId="32" xfId="0" applyNumberFormat="1" applyFont="1" applyFill="1" applyBorder="1" applyAlignment="1" applyProtection="1">
      <alignment horizontal="right"/>
    </xf>
    <xf numFmtId="164" fontId="48" fillId="7" borderId="32" xfId="0" applyNumberFormat="1" applyFont="1" applyFill="1" applyBorder="1" applyAlignment="1" applyProtection="1">
      <alignment horizontal="right"/>
      <protection locked="0"/>
    </xf>
    <xf numFmtId="164" fontId="48" fillId="7" borderId="38" xfId="0" applyNumberFormat="1" applyFont="1" applyFill="1" applyBorder="1" applyAlignment="1" applyProtection="1">
      <alignment horizontal="right"/>
    </xf>
    <xf numFmtId="164" fontId="48" fillId="7" borderId="38" xfId="0" applyNumberFormat="1" applyFont="1" applyFill="1" applyBorder="1" applyAlignment="1" applyProtection="1">
      <alignment horizontal="right"/>
      <protection locked="0"/>
    </xf>
    <xf numFmtId="164" fontId="48" fillId="7" borderId="31" xfId="0" applyNumberFormat="1" applyFont="1" applyFill="1" applyBorder="1" applyAlignment="1" applyProtection="1">
      <alignment horizontal="right"/>
    </xf>
    <xf numFmtId="164" fontId="48" fillId="7" borderId="3" xfId="0" applyNumberFormat="1" applyFont="1" applyFill="1" applyBorder="1" applyAlignment="1" applyProtection="1">
      <alignment horizontal="right"/>
    </xf>
    <xf numFmtId="38" fontId="48" fillId="7" borderId="50" xfId="0" applyNumberFormat="1" applyFont="1" applyFill="1" applyBorder="1" applyAlignment="1" applyProtection="1">
      <alignment horizontal="right"/>
      <protection locked="0"/>
    </xf>
    <xf numFmtId="38" fontId="48" fillId="7" borderId="50" xfId="0" applyNumberFormat="1" applyFont="1" applyFill="1" applyBorder="1" applyAlignment="1" applyProtection="1">
      <alignment horizontal="right"/>
    </xf>
    <xf numFmtId="176" fontId="17" fillId="2" borderId="32" xfId="0" applyNumberFormat="1" applyFont="1" applyFill="1" applyBorder="1" applyAlignment="1">
      <alignment horizontal="center" wrapText="1" readingOrder="2"/>
    </xf>
    <xf numFmtId="176" fontId="17" fillId="2" borderId="38" xfId="0" applyNumberFormat="1" applyFont="1" applyFill="1" applyBorder="1" applyAlignment="1">
      <alignment horizontal="center" wrapText="1" readingOrder="2"/>
    </xf>
    <xf numFmtId="38" fontId="48" fillId="19" borderId="31" xfId="0" applyNumberFormat="1" applyFont="1" applyFill="1" applyBorder="1" applyAlignment="1" applyProtection="1">
      <alignment horizontal="right"/>
      <protection locked="0"/>
    </xf>
    <xf numFmtId="38" fontId="48" fillId="19" borderId="3" xfId="0" applyNumberFormat="1" applyFont="1" applyFill="1" applyBorder="1" applyAlignment="1" applyProtection="1">
      <alignment horizontal="right"/>
      <protection locked="0"/>
    </xf>
    <xf numFmtId="0" fontId="39" fillId="0" borderId="0" xfId="0" applyFont="1" applyAlignment="1">
      <alignment horizontal="left" vertical="center" wrapText="1" readingOrder="1"/>
    </xf>
    <xf numFmtId="0" fontId="7" fillId="0" borderId="0" xfId="15" applyAlignment="1">
      <alignment horizontal="right" indent="1"/>
    </xf>
    <xf numFmtId="0" fontId="33" fillId="0" borderId="0" xfId="0" applyFont="1" applyAlignment="1">
      <alignment horizontal="right" vertical="top" wrapText="1" indent="1" readingOrder="2"/>
    </xf>
    <xf numFmtId="0" fontId="12" fillId="0" borderId="0" xfId="9" applyAlignment="1" applyProtection="1">
      <alignment horizontal="right" vertical="center" wrapText="1" indent="1" readingOrder="2"/>
    </xf>
    <xf numFmtId="0" fontId="0" fillId="0" borderId="0" xfId="0" applyAlignment="1">
      <alignment horizontal="right" indent="1"/>
    </xf>
    <xf numFmtId="38" fontId="48" fillId="7" borderId="32" xfId="0" applyNumberFormat="1" applyFont="1" applyFill="1" applyBorder="1" applyAlignment="1" applyProtection="1">
      <alignment horizontal="right" readingOrder="1"/>
    </xf>
    <xf numFmtId="38" fontId="48" fillId="7" borderId="38" xfId="0" applyNumberFormat="1" applyFont="1" applyFill="1" applyBorder="1" applyAlignment="1" applyProtection="1">
      <alignment horizontal="right" readingOrder="1"/>
    </xf>
    <xf numFmtId="38" fontId="48" fillId="7" borderId="32" xfId="0" applyNumberFormat="1" applyFont="1" applyFill="1" applyBorder="1" applyAlignment="1" applyProtection="1">
      <alignment readingOrder="1"/>
      <protection locked="0"/>
    </xf>
    <xf numFmtId="0" fontId="48" fillId="2" borderId="25" xfId="0" applyFont="1" applyFill="1" applyBorder="1" applyAlignment="1">
      <alignment horizontal="right" wrapText="1" indent="4"/>
    </xf>
    <xf numFmtId="38" fontId="48" fillId="7" borderId="32" xfId="0" applyNumberFormat="1" applyFont="1" applyFill="1" applyBorder="1" applyAlignment="1" applyProtection="1">
      <alignment horizontal="right" readingOrder="1"/>
      <protection locked="0"/>
    </xf>
    <xf numFmtId="38" fontId="48" fillId="7" borderId="38" xfId="0" applyNumberFormat="1" applyFont="1" applyFill="1" applyBorder="1" applyAlignment="1" applyProtection="1">
      <alignment horizontal="right" readingOrder="1"/>
      <protection locked="0"/>
    </xf>
    <xf numFmtId="38" fontId="48" fillId="7" borderId="31" xfId="0" applyNumberFormat="1" applyFont="1" applyFill="1" applyBorder="1" applyAlignment="1" applyProtection="1">
      <alignment horizontal="right" readingOrder="1"/>
      <protection locked="0"/>
    </xf>
    <xf numFmtId="38" fontId="48" fillId="7" borderId="3" xfId="0" applyNumberFormat="1" applyFont="1" applyFill="1" applyBorder="1" applyAlignment="1" applyProtection="1">
      <alignment horizontal="right" readingOrder="1"/>
      <protection locked="0"/>
    </xf>
    <xf numFmtId="38" fontId="48" fillId="7" borderId="31" xfId="0" applyNumberFormat="1" applyFont="1" applyFill="1" applyBorder="1" applyAlignment="1" applyProtection="1">
      <alignment horizontal="right" readingOrder="1"/>
    </xf>
    <xf numFmtId="38" fontId="48" fillId="7" borderId="3" xfId="0" applyNumberFormat="1" applyFont="1" applyFill="1" applyBorder="1" applyAlignment="1" applyProtection="1">
      <alignment horizontal="right" readingOrder="1"/>
    </xf>
    <xf numFmtId="38" fontId="48" fillId="19" borderId="32" xfId="0" applyNumberFormat="1" applyFont="1" applyFill="1" applyBorder="1" applyAlignment="1" applyProtection="1">
      <alignment readingOrder="1"/>
    </xf>
    <xf numFmtId="38" fontId="48" fillId="7" borderId="38" xfId="0" applyNumberFormat="1" applyFont="1" applyFill="1" applyBorder="1" applyAlignment="1" applyProtection="1">
      <alignment readingOrder="1"/>
      <protection locked="0"/>
    </xf>
    <xf numFmtId="38" fontId="48" fillId="19" borderId="38" xfId="0" applyNumberFormat="1" applyFont="1" applyFill="1" applyBorder="1" applyAlignment="1" applyProtection="1">
      <alignment readingOrder="1"/>
    </xf>
    <xf numFmtId="38" fontId="48" fillId="7" borderId="31" xfId="0" applyNumberFormat="1" applyFont="1" applyFill="1" applyBorder="1" applyAlignment="1" applyProtection="1">
      <alignment readingOrder="1"/>
      <protection locked="0"/>
    </xf>
    <xf numFmtId="38" fontId="48" fillId="7" borderId="3" xfId="0" applyNumberFormat="1" applyFont="1" applyFill="1" applyBorder="1" applyAlignment="1" applyProtection="1">
      <alignment readingOrder="1"/>
      <protection locked="0"/>
    </xf>
    <xf numFmtId="38" fontId="7" fillId="19" borderId="31" xfId="15" applyNumberFormat="1" applyFill="1" applyBorder="1"/>
    <xf numFmtId="38" fontId="7" fillId="19" borderId="3" xfId="15" applyNumberFormat="1" applyFill="1" applyBorder="1"/>
    <xf numFmtId="38" fontId="48" fillId="19" borderId="31" xfId="0" applyNumberFormat="1" applyFont="1" applyFill="1" applyBorder="1" applyAlignment="1" applyProtection="1">
      <alignment readingOrder="1"/>
    </xf>
    <xf numFmtId="38" fontId="48" fillId="19" borderId="3" xfId="0" applyNumberFormat="1" applyFont="1" applyFill="1" applyBorder="1" applyAlignment="1" applyProtection="1">
      <alignment readingOrder="1"/>
    </xf>
    <xf numFmtId="0" fontId="39" fillId="2" borderId="67" xfId="0" applyFont="1" applyFill="1" applyBorder="1" applyAlignment="1">
      <alignment horizontal="center" vertical="center" wrapText="1" readingOrder="2"/>
    </xf>
    <xf numFmtId="49" fontId="21" fillId="2" borderId="32" xfId="0" applyNumberFormat="1" applyFont="1" applyFill="1" applyBorder="1" applyAlignment="1">
      <alignment horizontal="center" wrapText="1" readingOrder="2"/>
    </xf>
    <xf numFmtId="49" fontId="21" fillId="2" borderId="38" xfId="0" applyNumberFormat="1" applyFont="1" applyFill="1" applyBorder="1" applyAlignment="1">
      <alignment horizontal="center" wrapText="1" readingOrder="2"/>
    </xf>
    <xf numFmtId="0" fontId="39" fillId="2" borderId="25" xfId="0" applyFont="1" applyFill="1" applyBorder="1" applyAlignment="1">
      <alignment horizontal="center" vertical="center" wrapText="1" readingOrder="2"/>
    </xf>
    <xf numFmtId="38" fontId="48" fillId="10" borderId="32" xfId="0" applyNumberFormat="1" applyFont="1" applyFill="1" applyBorder="1" applyAlignment="1" applyProtection="1"/>
    <xf numFmtId="0" fontId="48" fillId="2" borderId="4" xfId="0" applyFont="1" applyFill="1" applyBorder="1" applyAlignment="1">
      <alignment horizontal="right" vertical="top" wrapText="1" readingOrder="2"/>
    </xf>
    <xf numFmtId="38" fontId="48" fillId="10" borderId="31" xfId="0" applyNumberFormat="1" applyFont="1" applyFill="1" applyBorder="1" applyAlignment="1" applyProtection="1"/>
    <xf numFmtId="0" fontId="67" fillId="2" borderId="38" xfId="0" applyFont="1" applyFill="1" applyBorder="1" applyAlignment="1">
      <alignment horizontal="center" wrapText="1"/>
    </xf>
    <xf numFmtId="0" fontId="11" fillId="7" borderId="67" xfId="0" applyFont="1" applyFill="1" applyBorder="1"/>
    <xf numFmtId="0" fontId="11" fillId="7" borderId="68" xfId="0" applyFont="1" applyFill="1" applyBorder="1"/>
    <xf numFmtId="0" fontId="11" fillId="7" borderId="55" xfId="0" applyFont="1" applyFill="1" applyBorder="1"/>
    <xf numFmtId="0" fontId="48" fillId="2" borderId="68" xfId="0" applyFont="1" applyFill="1" applyBorder="1" applyAlignment="1">
      <alignment horizontal="right" vertical="top" wrapText="1" readingOrder="2"/>
    </xf>
    <xf numFmtId="49" fontId="48" fillId="2" borderId="38" xfId="0" applyNumberFormat="1" applyFont="1" applyFill="1" applyBorder="1" applyAlignment="1">
      <alignment horizontal="center" wrapText="1" readingOrder="2"/>
    </xf>
    <xf numFmtId="0" fontId="52" fillId="2" borderId="67" xfId="0" applyFont="1" applyFill="1" applyBorder="1" applyAlignment="1">
      <alignment horizontal="right" wrapText="1" readingOrder="1"/>
    </xf>
    <xf numFmtId="0" fontId="52" fillId="2" borderId="55" xfId="0" applyFont="1" applyFill="1" applyBorder="1" applyAlignment="1">
      <alignment horizontal="right" wrapText="1" readingOrder="1"/>
    </xf>
    <xf numFmtId="38" fontId="17" fillId="2" borderId="25" xfId="0" applyNumberFormat="1" applyFont="1" applyFill="1" applyBorder="1" applyAlignment="1">
      <alignment horizontal="right" wrapText="1" readingOrder="2"/>
    </xf>
    <xf numFmtId="0" fontId="17" fillId="2" borderId="32" xfId="0" applyFont="1" applyFill="1" applyBorder="1" applyAlignment="1">
      <alignment wrapText="1" readingOrder="2"/>
    </xf>
    <xf numFmtId="0" fontId="39" fillId="2" borderId="32" xfId="0" applyFont="1" applyFill="1" applyBorder="1" applyAlignment="1">
      <alignment vertical="top" wrapText="1" readingOrder="2"/>
    </xf>
    <xf numFmtId="1" fontId="39" fillId="2" borderId="25" xfId="0" applyNumberFormat="1" applyFont="1" applyFill="1" applyBorder="1" applyAlignment="1">
      <alignment vertical="top" wrapText="1" readingOrder="2"/>
    </xf>
    <xf numFmtId="0" fontId="0" fillId="2" borderId="55" xfId="0" applyFill="1" applyBorder="1"/>
    <xf numFmtId="0" fontId="11" fillId="19" borderId="68" xfId="0" applyFont="1" applyFill="1" applyBorder="1"/>
    <xf numFmtId="0" fontId="0" fillId="0" borderId="67" xfId="0" applyBorder="1"/>
    <xf numFmtId="0" fontId="48" fillId="2" borderId="55" xfId="15" applyFont="1" applyFill="1" applyBorder="1" applyAlignment="1">
      <alignment horizontal="right" vertical="top" wrapText="1" readingOrder="2"/>
    </xf>
    <xf numFmtId="0" fontId="7" fillId="19" borderId="25" xfId="15" applyFill="1" applyBorder="1"/>
    <xf numFmtId="38" fontId="17" fillId="2" borderId="14" xfId="15" applyNumberFormat="1" applyFont="1" applyFill="1" applyBorder="1" applyAlignment="1">
      <alignment horizontal="right" vertical="top" wrapText="1" readingOrder="2"/>
    </xf>
    <xf numFmtId="49" fontId="48" fillId="2" borderId="25" xfId="0" applyNumberFormat="1" applyFont="1" applyFill="1" applyBorder="1" applyAlignment="1">
      <alignment horizontal="center" wrapText="1" readingOrder="2"/>
    </xf>
    <xf numFmtId="38" fontId="17" fillId="2" borderId="34" xfId="15" applyNumberFormat="1" applyFont="1" applyFill="1" applyBorder="1" applyAlignment="1">
      <alignment horizontal="right" vertical="top" wrapText="1" readingOrder="2"/>
    </xf>
    <xf numFmtId="38" fontId="17" fillId="2" borderId="25" xfId="15" applyNumberFormat="1" applyFont="1" applyFill="1" applyBorder="1" applyAlignment="1">
      <alignment horizontal="right" vertical="top" wrapText="1" readingOrder="2"/>
    </xf>
    <xf numFmtId="38" fontId="48" fillId="2" borderId="25" xfId="15" applyNumberFormat="1" applyFont="1" applyFill="1" applyBorder="1" applyAlignment="1">
      <alignment horizontal="right" vertical="top" wrapText="1" indent="1" readingOrder="2"/>
    </xf>
    <xf numFmtId="38" fontId="48" fillId="2" borderId="4" xfId="15" applyNumberFormat="1" applyFont="1" applyFill="1" applyBorder="1" applyAlignment="1">
      <alignment horizontal="right" vertical="top" wrapText="1" indent="1" readingOrder="2"/>
    </xf>
    <xf numFmtId="0" fontId="7" fillId="0" borderId="6" xfId="15" applyBorder="1"/>
    <xf numFmtId="0" fontId="48" fillId="2" borderId="4" xfId="15" applyFont="1" applyFill="1" applyBorder="1" applyAlignment="1">
      <alignment horizontal="center" wrapText="1" readingOrder="2"/>
    </xf>
    <xf numFmtId="0" fontId="7" fillId="0" borderId="23" xfId="15" applyBorder="1"/>
    <xf numFmtId="0" fontId="7" fillId="0" borderId="54" xfId="15" applyBorder="1"/>
    <xf numFmtId="0" fontId="17" fillId="2" borderId="67" xfId="0" applyFont="1" applyFill="1" applyBorder="1" applyAlignment="1">
      <alignment horizontal="center" readingOrder="2"/>
    </xf>
    <xf numFmtId="49" fontId="17" fillId="2" borderId="32" xfId="0" applyNumberFormat="1" applyFont="1" applyFill="1" applyBorder="1" applyAlignment="1">
      <alignment horizontal="center" wrapText="1" readingOrder="2"/>
    </xf>
    <xf numFmtId="49" fontId="17" fillId="2" borderId="38" xfId="0" applyNumberFormat="1" applyFont="1" applyFill="1" applyBorder="1" applyAlignment="1">
      <alignment horizontal="center" wrapText="1" readingOrder="2"/>
    </xf>
    <xf numFmtId="0" fontId="11" fillId="2" borderId="25" xfId="0" applyFont="1" applyFill="1" applyBorder="1" applyAlignment="1">
      <alignment horizontal="right" vertical="top" wrapText="1" indent="2" readingOrder="2"/>
    </xf>
    <xf numFmtId="38" fontId="0" fillId="7" borderId="38" xfId="0" applyNumberFormat="1" applyFill="1" applyBorder="1" applyProtection="1">
      <protection locked="0"/>
    </xf>
    <xf numFmtId="0" fontId="11" fillId="2" borderId="4" xfId="0" applyFont="1" applyFill="1" applyBorder="1" applyAlignment="1">
      <alignment horizontal="right" vertical="top" wrapText="1" indent="2" readingOrder="2"/>
    </xf>
    <xf numFmtId="38" fontId="0" fillId="7" borderId="3" xfId="0" applyNumberFormat="1" applyFill="1" applyBorder="1" applyProtection="1">
      <protection locked="0"/>
    </xf>
    <xf numFmtId="0" fontId="39" fillId="2" borderId="55" xfId="0" applyFont="1" applyFill="1" applyBorder="1" applyAlignment="1">
      <alignment horizontal="center" vertical="center" wrapText="1" readingOrder="2"/>
    </xf>
    <xf numFmtId="49" fontId="21" fillId="2" borderId="36" xfId="0" applyNumberFormat="1" applyFont="1" applyFill="1" applyBorder="1" applyAlignment="1">
      <alignment horizontal="center" wrapText="1" readingOrder="2"/>
    </xf>
    <xf numFmtId="49" fontId="21" fillId="2" borderId="37" xfId="0" applyNumberFormat="1" applyFont="1" applyFill="1" applyBorder="1" applyAlignment="1">
      <alignment horizontal="center" wrapText="1" readingOrder="2"/>
    </xf>
    <xf numFmtId="0" fontId="0" fillId="2" borderId="25" xfId="0" applyFill="1" applyBorder="1" applyAlignment="1">
      <alignment horizontal="right" indent="2"/>
    </xf>
    <xf numFmtId="0" fontId="17" fillId="2" borderId="49" xfId="0" applyFont="1" applyFill="1" applyBorder="1" applyAlignment="1">
      <alignment horizontal="justify" vertical="top" wrapText="1" readingOrder="2"/>
    </xf>
    <xf numFmtId="38" fontId="48" fillId="2" borderId="64" xfId="0" applyNumberFormat="1" applyFont="1" applyFill="1" applyBorder="1" applyAlignment="1" applyProtection="1"/>
    <xf numFmtId="0" fontId="17" fillId="2" borderId="34" xfId="0" applyFont="1" applyFill="1" applyBorder="1" applyAlignment="1">
      <alignment horizontal="justify" vertical="top" wrapText="1" readingOrder="2"/>
    </xf>
    <xf numFmtId="38" fontId="48" fillId="2" borderId="32" xfId="0" applyNumberFormat="1" applyFont="1" applyFill="1" applyBorder="1" applyAlignment="1" applyProtection="1"/>
    <xf numFmtId="0" fontId="11" fillId="19" borderId="4" xfId="0" applyFont="1" applyFill="1" applyBorder="1"/>
    <xf numFmtId="38" fontId="11" fillId="19" borderId="31" xfId="0" applyNumberFormat="1" applyFont="1" applyFill="1" applyBorder="1"/>
    <xf numFmtId="38" fontId="11" fillId="19" borderId="3" xfId="0" applyNumberFormat="1" applyFont="1" applyFill="1" applyBorder="1"/>
    <xf numFmtId="0" fontId="17" fillId="2" borderId="67" xfId="0" applyFont="1" applyFill="1" applyBorder="1" applyAlignment="1">
      <alignment horizontal="justify" readingOrder="2"/>
    </xf>
    <xf numFmtId="0" fontId="17" fillId="2" borderId="1" xfId="0" applyFont="1" applyFill="1" applyBorder="1" applyAlignment="1">
      <alignment horizontal="center" readingOrder="2"/>
    </xf>
    <xf numFmtId="0" fontId="17" fillId="2" borderId="55" xfId="0" applyFont="1" applyFill="1" applyBorder="1" applyAlignment="1">
      <alignment horizontal="center"/>
    </xf>
    <xf numFmtId="2" fontId="17" fillId="2" borderId="32" xfId="0" applyNumberFormat="1" applyFont="1" applyFill="1" applyBorder="1" applyAlignment="1">
      <alignment horizontal="center" wrapText="1"/>
    </xf>
    <xf numFmtId="0" fontId="17" fillId="2" borderId="38" xfId="0" applyFont="1" applyFill="1" applyBorder="1" applyAlignment="1">
      <alignment horizontal="center" readingOrder="2"/>
    </xf>
    <xf numFmtId="0" fontId="17" fillId="2" borderId="25" xfId="0" applyFont="1" applyFill="1" applyBorder="1" applyAlignment="1">
      <alignment horizontal="center"/>
    </xf>
    <xf numFmtId="49" fontId="17" fillId="2" borderId="32" xfId="0" applyNumberFormat="1" applyFont="1" applyFill="1" applyBorder="1" applyAlignment="1">
      <alignment horizontal="center"/>
    </xf>
    <xf numFmtId="49" fontId="17" fillId="2" borderId="38" xfId="0" applyNumberFormat="1" applyFont="1" applyFill="1" applyBorder="1" applyAlignment="1">
      <alignment horizontal="center"/>
    </xf>
    <xf numFmtId="0" fontId="21" fillId="2" borderId="25" xfId="0" applyFont="1" applyFill="1" applyBorder="1" applyAlignment="1">
      <alignment horizontal="justify" vertical="top" wrapText="1" readingOrder="2"/>
    </xf>
    <xf numFmtId="174" fontId="48" fillId="7" borderId="32" xfId="0" applyNumberFormat="1" applyFont="1" applyFill="1" applyBorder="1" applyAlignment="1" applyProtection="1">
      <alignment horizontal="right"/>
      <protection locked="0"/>
    </xf>
    <xf numFmtId="0" fontId="39" fillId="0" borderId="23" xfId="0" applyFont="1" applyBorder="1" applyAlignment="1">
      <alignment wrapText="1" readingOrder="1"/>
    </xf>
    <xf numFmtId="0" fontId="48" fillId="0" borderId="0" xfId="0" applyFont="1" applyAlignment="1">
      <alignment horizontal="center" vertical="center" wrapText="1" readingOrder="2"/>
    </xf>
    <xf numFmtId="0" fontId="48" fillId="0" borderId="0" xfId="0" applyFont="1" applyAlignment="1">
      <alignment horizontal="justify" vertical="center" wrapText="1" readingOrder="2"/>
    </xf>
    <xf numFmtId="0" fontId="48" fillId="0" borderId="0" xfId="0" applyFont="1" applyAlignment="1">
      <alignment vertical="center" wrapText="1" readingOrder="2"/>
    </xf>
    <xf numFmtId="0" fontId="39" fillId="0" borderId="0" xfId="0" applyFont="1" applyBorder="1" applyAlignment="1">
      <alignment readingOrder="1"/>
    </xf>
    <xf numFmtId="0" fontId="48" fillId="0" borderId="30" xfId="0" applyFont="1" applyBorder="1" applyAlignment="1">
      <alignment vertical="center" wrapText="1" readingOrder="2"/>
    </xf>
    <xf numFmtId="0" fontId="52" fillId="0" borderId="0" xfId="0" applyFont="1"/>
    <xf numFmtId="0" fontId="21" fillId="2" borderId="67" xfId="0" applyFont="1" applyFill="1" applyBorder="1" applyAlignment="1">
      <alignment horizontal="justify" vertical="top" wrapText="1" readingOrder="2"/>
    </xf>
    <xf numFmtId="0" fontId="39" fillId="2" borderId="68" xfId="0" applyFont="1" applyFill="1" applyBorder="1" applyAlignment="1">
      <alignment horizontal="center" vertical="top" wrapText="1" readingOrder="2"/>
    </xf>
    <xf numFmtId="0" fontId="84" fillId="2" borderId="32" xfId="0" applyFont="1" applyFill="1" applyBorder="1" applyAlignment="1">
      <alignment horizontal="center" wrapText="1" readingOrder="2"/>
    </xf>
    <xf numFmtId="0" fontId="84" fillId="2" borderId="38" xfId="0" applyFont="1" applyFill="1" applyBorder="1" applyAlignment="1">
      <alignment horizontal="center"/>
    </xf>
    <xf numFmtId="0" fontId="39" fillId="2" borderId="55" xfId="0" applyFont="1" applyFill="1" applyBorder="1" applyAlignment="1">
      <alignment horizontal="center" vertical="top" wrapText="1" readingOrder="2"/>
    </xf>
    <xf numFmtId="0" fontId="39" fillId="2" borderId="25" xfId="0" applyFont="1" applyFill="1" applyBorder="1" applyAlignment="1">
      <alignment horizontal="center" vertical="top" wrapText="1" readingOrder="2"/>
    </xf>
    <xf numFmtId="0" fontId="39" fillId="2" borderId="25" xfId="0" applyFont="1" applyFill="1" applyBorder="1" applyAlignment="1">
      <alignment horizontal="right" vertical="top" wrapText="1" indent="1" readingOrder="2"/>
    </xf>
    <xf numFmtId="0" fontId="39" fillId="2" borderId="4" xfId="0" applyFont="1" applyFill="1" applyBorder="1" applyAlignment="1">
      <alignment horizontal="right" vertical="top" wrapText="1" readingOrder="2"/>
    </xf>
    <xf numFmtId="0" fontId="11" fillId="2" borderId="25" xfId="0" applyFont="1" applyFill="1" applyBorder="1" applyAlignment="1">
      <alignment horizontal="right" vertical="top" wrapText="1" indent="1" readingOrder="2"/>
    </xf>
    <xf numFmtId="0" fontId="48" fillId="2" borderId="1" xfId="0" applyFont="1" applyFill="1" applyBorder="1" applyAlignment="1">
      <alignment wrapText="1" readingOrder="2"/>
    </xf>
    <xf numFmtId="0" fontId="17" fillId="2" borderId="68" xfId="0" applyFont="1" applyFill="1" applyBorder="1" applyAlignment="1">
      <alignment horizontal="justify" readingOrder="2"/>
    </xf>
    <xf numFmtId="0" fontId="17" fillId="2" borderId="32" xfId="0" applyFont="1" applyFill="1" applyBorder="1" applyAlignment="1">
      <alignment horizontal="center"/>
    </xf>
    <xf numFmtId="0" fontId="17" fillId="2" borderId="32" xfId="0" applyFont="1" applyFill="1" applyBorder="1" applyAlignment="1">
      <alignment horizontal="center" readingOrder="2"/>
    </xf>
    <xf numFmtId="0" fontId="17" fillId="2" borderId="38" xfId="0" applyFont="1" applyFill="1" applyBorder="1" applyAlignment="1">
      <alignment horizontal="center"/>
    </xf>
    <xf numFmtId="0" fontId="33" fillId="19" borderId="25" xfId="0" applyFont="1" applyFill="1" applyBorder="1" applyAlignment="1">
      <alignment horizontal="right" vertical="center" wrapText="1" indent="1" readingOrder="2"/>
    </xf>
    <xf numFmtId="0" fontId="39" fillId="19" borderId="4" xfId="0" applyFont="1" applyFill="1" applyBorder="1" applyAlignment="1">
      <alignment horizontal="right" vertical="center" wrapText="1" indent="3" readingOrder="2"/>
    </xf>
    <xf numFmtId="3" fontId="7" fillId="19" borderId="31" xfId="0" applyNumberFormat="1" applyFont="1" applyFill="1" applyBorder="1"/>
    <xf numFmtId="3" fontId="7" fillId="19" borderId="3" xfId="0" applyNumberFormat="1" applyFont="1" applyFill="1" applyBorder="1"/>
    <xf numFmtId="3" fontId="7" fillId="24" borderId="38" xfId="0" applyNumberFormat="1" applyFont="1" applyFill="1" applyBorder="1"/>
    <xf numFmtId="3" fontId="0" fillId="24" borderId="38" xfId="0" applyNumberFormat="1" applyFill="1" applyBorder="1" applyProtection="1">
      <protection locked="0"/>
    </xf>
    <xf numFmtId="174" fontId="0" fillId="19" borderId="32" xfId="0" applyNumberFormat="1" applyFill="1" applyBorder="1" applyProtection="1"/>
    <xf numFmtId="174" fontId="0" fillId="19" borderId="38" xfId="0" applyNumberFormat="1" applyFill="1" applyBorder="1" applyProtection="1"/>
    <xf numFmtId="0" fontId="63" fillId="0" borderId="0" xfId="19" applyFont="1" applyAlignment="1" applyProtection="1">
      <alignment readingOrder="1"/>
    </xf>
    <xf numFmtId="9" fontId="101" fillId="0" borderId="0" xfId="19" applyNumberFormat="1" applyFont="1" applyAlignment="1" applyProtection="1">
      <alignment wrapText="1"/>
    </xf>
    <xf numFmtId="0" fontId="33" fillId="0" borderId="0" xfId="19" applyFont="1" applyFill="1" applyAlignment="1" applyProtection="1">
      <alignment horizontal="right" wrapText="1"/>
    </xf>
    <xf numFmtId="0" fontId="33" fillId="0" borderId="0" xfId="0" applyFont="1"/>
    <xf numFmtId="49" fontId="33" fillId="0" borderId="0" xfId="0" applyNumberFormat="1" applyFont="1" applyAlignment="1">
      <alignment horizontal="right"/>
    </xf>
    <xf numFmtId="0" fontId="39" fillId="11" borderId="0" xfId="19" applyFont="1" applyFill="1" applyBorder="1" applyAlignment="1" applyProtection="1">
      <alignment horizontal="right" readingOrder="2"/>
    </xf>
    <xf numFmtId="0" fontId="86" fillId="0" borderId="0" xfId="9" applyFont="1" applyFill="1" applyAlignment="1" applyProtection="1"/>
    <xf numFmtId="0" fontId="39" fillId="0" borderId="0" xfId="19" applyFont="1" applyAlignment="1" applyProtection="1">
      <alignment horizontal="centerContinuous" wrapText="1"/>
    </xf>
    <xf numFmtId="0" fontId="39" fillId="0" borderId="0" xfId="19" applyFont="1" applyAlignment="1" applyProtection="1">
      <alignment horizontal="center"/>
    </xf>
    <xf numFmtId="0" fontId="33" fillId="0" borderId="0" xfId="0" applyFont="1" applyAlignment="1">
      <alignment horizontal="center"/>
    </xf>
    <xf numFmtId="0" fontId="33" fillId="0" borderId="0" xfId="0" applyFont="1" applyAlignment="1">
      <alignment horizontal="right"/>
    </xf>
    <xf numFmtId="49" fontId="39" fillId="11" borderId="0" xfId="19" applyNumberFormat="1" applyFont="1" applyFill="1" applyBorder="1" applyAlignment="1" applyProtection="1">
      <alignment horizontal="right" readingOrder="2"/>
    </xf>
    <xf numFmtId="0" fontId="33" fillId="0" borderId="0" xfId="19" applyFont="1" applyFill="1" applyProtection="1">
      <alignment wrapText="1"/>
    </xf>
    <xf numFmtId="0" fontId="39" fillId="0" borderId="0" xfId="0" applyFont="1"/>
    <xf numFmtId="0" fontId="39" fillId="8" borderId="0" xfId="19" applyFont="1" applyFill="1" applyAlignment="1" applyProtection="1">
      <alignment horizontal="center" wrapText="1"/>
    </xf>
    <xf numFmtId="49" fontId="33" fillId="0" borderId="0" xfId="0" applyNumberFormat="1" applyFont="1"/>
    <xf numFmtId="0" fontId="86" fillId="8" borderId="0" xfId="9" applyFont="1" applyFill="1" applyAlignment="1" applyProtection="1">
      <alignment horizontal="right"/>
    </xf>
    <xf numFmtId="0" fontId="33" fillId="0" borderId="0" xfId="19" applyFont="1" applyAlignment="1" applyProtection="1">
      <alignment horizontal="right"/>
    </xf>
    <xf numFmtId="0" fontId="62" fillId="0" borderId="0" xfId="0" applyFont="1"/>
    <xf numFmtId="0" fontId="33" fillId="0" borderId="0" xfId="0" applyFont="1" applyFill="1"/>
    <xf numFmtId="0" fontId="33" fillId="8" borderId="0" xfId="19" applyFont="1" applyFill="1" applyProtection="1">
      <alignment wrapText="1"/>
    </xf>
    <xf numFmtId="49" fontId="33" fillId="5" borderId="0" xfId="19" applyNumberFormat="1" applyFont="1" applyFill="1" applyAlignment="1" applyProtection="1">
      <alignment wrapText="1" readingOrder="2"/>
    </xf>
    <xf numFmtId="0" fontId="63" fillId="0" borderId="0" xfId="19" applyFont="1">
      <alignment wrapText="1"/>
    </xf>
    <xf numFmtId="0" fontId="63" fillId="8" borderId="0" xfId="19" applyFont="1" applyFill="1" applyProtection="1">
      <alignment wrapText="1"/>
    </xf>
    <xf numFmtId="0" fontId="33" fillId="0" borderId="0" xfId="19" applyFont="1" applyFill="1" applyAlignment="1" applyProtection="1">
      <alignment wrapText="1"/>
    </xf>
    <xf numFmtId="0" fontId="58" fillId="18" borderId="50" xfId="9" applyFont="1" applyFill="1" applyBorder="1" applyAlignment="1" applyProtection="1">
      <alignment horizontal="center" wrapText="1"/>
    </xf>
    <xf numFmtId="0" fontId="58" fillId="18" borderId="29" xfId="9" applyFont="1" applyFill="1" applyBorder="1" applyAlignment="1" applyProtection="1">
      <alignment horizontal="right" wrapText="1" readingOrder="1"/>
    </xf>
    <xf numFmtId="0" fontId="58" fillId="18" borderId="29" xfId="9" applyFont="1" applyFill="1" applyBorder="1" applyAlignment="1" applyProtection="1">
      <alignment horizontal="right" wrapText="1"/>
    </xf>
    <xf numFmtId="0" fontId="58" fillId="18" borderId="29" xfId="9" applyFont="1" applyFill="1" applyBorder="1" applyAlignment="1" applyProtection="1">
      <alignment horizontal="right" wrapText="1" readingOrder="2"/>
    </xf>
    <xf numFmtId="0" fontId="58" fillId="18" borderId="29" xfId="9" applyFont="1" applyFill="1" applyBorder="1" applyAlignment="1" applyProtection="1">
      <alignment horizontal="right" vertical="center" wrapText="1" readingOrder="2"/>
    </xf>
    <xf numFmtId="2" fontId="58" fillId="18" borderId="29" xfId="9" applyNumberFormat="1" applyFont="1" applyFill="1" applyBorder="1" applyAlignment="1" applyProtection="1">
      <alignment horizontal="right" wrapText="1" readingOrder="1"/>
    </xf>
    <xf numFmtId="0" fontId="58" fillId="18" borderId="50" xfId="9" applyFont="1" applyFill="1" applyBorder="1" applyAlignment="1" applyProtection="1">
      <alignment horizontal="center"/>
    </xf>
    <xf numFmtId="2" fontId="58" fillId="18" borderId="29" xfId="9" applyNumberFormat="1" applyFont="1" applyFill="1" applyBorder="1" applyAlignment="1" applyProtection="1">
      <alignment horizontal="right" wrapText="1"/>
    </xf>
    <xf numFmtId="0" fontId="58" fillId="18" borderId="69" xfId="9" applyFont="1" applyFill="1" applyBorder="1" applyAlignment="1" applyProtection="1">
      <alignment horizontal="center"/>
    </xf>
    <xf numFmtId="0" fontId="58" fillId="18" borderId="35" xfId="9" applyFont="1" applyFill="1" applyBorder="1" applyAlignment="1" applyProtection="1">
      <alignment horizontal="right" wrapText="1" readingOrder="1"/>
    </xf>
    <xf numFmtId="176" fontId="9" fillId="7" borderId="25" xfId="19" applyNumberFormat="1" applyFont="1" applyFill="1" applyBorder="1" applyAlignment="1" applyProtection="1">
      <alignment horizontal="center"/>
    </xf>
    <xf numFmtId="0" fontId="58" fillId="18" borderId="29" xfId="9" applyFont="1" applyFill="1" applyBorder="1" applyAlignment="1" applyProtection="1">
      <alignment wrapText="1"/>
    </xf>
    <xf numFmtId="0" fontId="58" fillId="18" borderId="50" xfId="9" applyFont="1" applyFill="1" applyBorder="1" applyAlignment="1" applyProtection="1">
      <alignment horizontal="center" readingOrder="2"/>
    </xf>
    <xf numFmtId="0" fontId="58" fillId="18" borderId="35" xfId="9" applyFont="1" applyFill="1" applyBorder="1" applyAlignment="1" applyProtection="1">
      <alignment wrapText="1"/>
    </xf>
    <xf numFmtId="0" fontId="65" fillId="11" borderId="70" xfId="19" applyFont="1" applyFill="1" applyBorder="1" applyAlignment="1" applyProtection="1">
      <alignment horizontal="center" vertical="center" wrapText="1"/>
    </xf>
    <xf numFmtId="0" fontId="56" fillId="11" borderId="71" xfId="19" applyFont="1" applyFill="1" applyBorder="1" applyAlignment="1" applyProtection="1">
      <alignment horizontal="right" vertical="center" wrapText="1" readingOrder="2"/>
    </xf>
    <xf numFmtId="0" fontId="58" fillId="25" borderId="50" xfId="9" applyFont="1" applyFill="1" applyBorder="1" applyAlignment="1" applyProtection="1">
      <alignment horizontal="center"/>
    </xf>
    <xf numFmtId="0" fontId="58" fillId="25" borderId="29" xfId="9" applyFont="1" applyFill="1" applyBorder="1" applyAlignment="1" applyProtection="1">
      <alignment horizontal="right" wrapText="1" readingOrder="2"/>
    </xf>
    <xf numFmtId="0" fontId="58" fillId="16" borderId="50" xfId="9" applyFont="1" applyFill="1" applyBorder="1" applyAlignment="1" applyProtection="1">
      <alignment horizontal="center"/>
    </xf>
    <xf numFmtId="0" fontId="58" fillId="16" borderId="29" xfId="9" applyFont="1" applyFill="1" applyBorder="1" applyAlignment="1" applyProtection="1">
      <alignment horizontal="right" wrapText="1" readingOrder="2"/>
    </xf>
    <xf numFmtId="0" fontId="58" fillId="16" borderId="29" xfId="9" applyFont="1" applyFill="1" applyBorder="1" applyAlignment="1" applyProtection="1">
      <alignment horizontal="right" readingOrder="2"/>
    </xf>
    <xf numFmtId="0" fontId="58" fillId="21" borderId="50" xfId="9" applyFont="1" applyFill="1" applyBorder="1" applyAlignment="1" applyProtection="1">
      <alignment horizontal="center"/>
    </xf>
    <xf numFmtId="0" fontId="58" fillId="21" borderId="29" xfId="9" applyFont="1" applyFill="1" applyBorder="1" applyAlignment="1" applyProtection="1"/>
    <xf numFmtId="0" fontId="58" fillId="21" borderId="29" xfId="9" applyFont="1" applyFill="1" applyBorder="1" applyAlignment="1" applyProtection="1">
      <alignment wrapText="1"/>
    </xf>
    <xf numFmtId="0" fontId="104" fillId="18" borderId="0" xfId="19" applyFont="1" applyFill="1" applyBorder="1" applyAlignment="1" applyProtection="1">
      <alignment horizontal="center" readingOrder="2"/>
    </xf>
    <xf numFmtId="0" fontId="101" fillId="21" borderId="0" xfId="9" applyFont="1" applyFill="1" applyAlignment="1" applyProtection="1">
      <alignment horizontal="center" wrapText="1"/>
    </xf>
    <xf numFmtId="49" fontId="20" fillId="5" borderId="0" xfId="19" applyNumberFormat="1" applyFont="1" applyFill="1" applyAlignment="1" applyProtection="1">
      <alignment readingOrder="2"/>
    </xf>
    <xf numFmtId="0" fontId="65" fillId="5" borderId="0" xfId="21" applyFont="1" applyFill="1" applyAlignment="1" applyProtection="1">
      <alignment horizontal="right" readingOrder="2"/>
    </xf>
    <xf numFmtId="0" fontId="30" fillId="5" borderId="0" xfId="19" applyFont="1" applyFill="1" applyAlignment="1" applyProtection="1">
      <alignment readingOrder="2"/>
    </xf>
    <xf numFmtId="0" fontId="85" fillId="8" borderId="0" xfId="19" applyFont="1" applyFill="1" applyAlignment="1" applyProtection="1">
      <alignment vertical="center"/>
    </xf>
    <xf numFmtId="0" fontId="11" fillId="0" borderId="0" xfId="19" applyFont="1">
      <alignment wrapText="1"/>
    </xf>
    <xf numFmtId="1" fontId="7" fillId="0" borderId="0" xfId="19" applyNumberFormat="1" applyAlignment="1">
      <alignment horizontal="right" wrapText="1"/>
    </xf>
    <xf numFmtId="0" fontId="87" fillId="0" borderId="0" xfId="19" applyFont="1" applyBorder="1" applyAlignment="1" applyProtection="1">
      <alignment horizontal="right" readingOrder="2"/>
      <protection locked="0"/>
    </xf>
    <xf numFmtId="0" fontId="89" fillId="12" borderId="0" xfId="19" applyFont="1" applyFill="1" applyAlignment="1" applyProtection="1">
      <alignment horizontal="right" vertical="center"/>
    </xf>
    <xf numFmtId="2" fontId="90" fillId="12" borderId="0" xfId="19" applyNumberFormat="1" applyFont="1" applyFill="1" applyAlignment="1" applyProtection="1">
      <alignment horizontal="left"/>
    </xf>
    <xf numFmtId="49" fontId="90" fillId="12" borderId="0" xfId="19" applyNumberFormat="1" applyFont="1" applyFill="1" applyAlignment="1" applyProtection="1">
      <alignment horizontal="left"/>
    </xf>
    <xf numFmtId="0" fontId="9" fillId="12" borderId="0" xfId="19" applyFont="1" applyFill="1" applyProtection="1">
      <alignment wrapText="1"/>
    </xf>
    <xf numFmtId="0" fontId="20" fillId="12" borderId="0" xfId="19" applyFont="1" applyFill="1" applyProtection="1">
      <alignment wrapText="1"/>
    </xf>
    <xf numFmtId="0" fontId="11" fillId="5" borderId="0" xfId="19" applyFont="1" applyFill="1" applyBorder="1" applyProtection="1">
      <alignment wrapText="1"/>
    </xf>
    <xf numFmtId="1" fontId="19" fillId="5" borderId="0" xfId="19" applyNumberFormat="1" applyFont="1" applyFill="1" applyAlignment="1" applyProtection="1">
      <alignment horizontal="right" vertical="center"/>
    </xf>
    <xf numFmtId="0" fontId="55" fillId="5" borderId="0" xfId="19" applyFont="1" applyFill="1" applyAlignment="1" applyProtection="1">
      <alignment horizontal="centerContinuous"/>
    </xf>
    <xf numFmtId="3" fontId="21" fillId="0" borderId="0" xfId="19" applyNumberFormat="1" applyFont="1" applyAlignment="1">
      <alignment horizontal="left" wrapText="1"/>
    </xf>
    <xf numFmtId="3" fontId="7" fillId="0" borderId="0" xfId="19" applyNumberFormat="1">
      <alignment wrapText="1"/>
    </xf>
    <xf numFmtId="0" fontId="11" fillId="7" borderId="72" xfId="19" applyFont="1" applyFill="1" applyBorder="1" applyProtection="1">
      <alignment wrapText="1"/>
    </xf>
    <xf numFmtId="168" fontId="22" fillId="5" borderId="0" xfId="19" applyNumberFormat="1" applyFont="1" applyFill="1" applyBorder="1" applyAlignment="1" applyProtection="1">
      <alignment horizontal="center" wrapText="1"/>
    </xf>
    <xf numFmtId="167" fontId="22" fillId="7" borderId="32" xfId="19" quotePrefix="1" applyNumberFormat="1" applyFont="1" applyFill="1" applyBorder="1" applyAlignment="1" applyProtection="1">
      <alignment wrapText="1"/>
    </xf>
    <xf numFmtId="3" fontId="48" fillId="7" borderId="32" xfId="19" applyNumberFormat="1" applyFont="1" applyFill="1" applyBorder="1" applyAlignment="1">
      <alignment wrapText="1"/>
    </xf>
    <xf numFmtId="3" fontId="48" fillId="13" borderId="32" xfId="19" applyNumberFormat="1" applyFont="1" applyFill="1" applyBorder="1" applyAlignment="1">
      <alignment wrapText="1"/>
    </xf>
    <xf numFmtId="0" fontId="39" fillId="7" borderId="32" xfId="19" applyFont="1" applyFill="1" applyBorder="1" applyAlignment="1" applyProtection="1">
      <alignment wrapText="1"/>
    </xf>
    <xf numFmtId="0" fontId="11" fillId="7" borderId="16" xfId="19" applyFont="1" applyFill="1" applyBorder="1" applyProtection="1">
      <alignment wrapText="1"/>
    </xf>
    <xf numFmtId="0" fontId="11" fillId="7" borderId="18" xfId="19" applyFont="1" applyFill="1" applyBorder="1" applyProtection="1">
      <alignment wrapText="1"/>
    </xf>
    <xf numFmtId="0" fontId="10" fillId="5" borderId="0" xfId="19" applyFont="1" applyFill="1" applyBorder="1" applyAlignment="1" applyProtection="1">
      <alignment horizontal="right" vertical="center"/>
    </xf>
    <xf numFmtId="0" fontId="11" fillId="5" borderId="0" xfId="19" applyFont="1" applyFill="1" applyBorder="1" applyAlignment="1" applyProtection="1">
      <alignment horizontal="centerContinuous" wrapText="1"/>
    </xf>
    <xf numFmtId="0" fontId="20" fillId="2" borderId="32" xfId="19" applyFont="1" applyFill="1" applyBorder="1" applyAlignment="1" applyProtection="1">
      <alignment horizontal="right" wrapText="1" readingOrder="2"/>
    </xf>
    <xf numFmtId="0" fontId="91" fillId="2" borderId="32" xfId="19" quotePrefix="1" applyFont="1" applyFill="1" applyBorder="1" applyAlignment="1" applyProtection="1">
      <alignment horizontal="center" vertical="center" wrapText="1" readingOrder="2"/>
    </xf>
    <xf numFmtId="3" fontId="48" fillId="7" borderId="29" xfId="19" applyNumberFormat="1" applyFont="1" applyFill="1" applyBorder="1" applyAlignment="1">
      <alignment wrapText="1" readingOrder="2"/>
    </xf>
    <xf numFmtId="3" fontId="48" fillId="13" borderId="50" xfId="19" applyNumberFormat="1" applyFont="1" applyFill="1" applyBorder="1" applyAlignment="1">
      <alignment wrapText="1"/>
    </xf>
    <xf numFmtId="3" fontId="48" fillId="7" borderId="25" xfId="19" applyNumberFormat="1" applyFont="1" applyFill="1" applyBorder="1" applyAlignment="1">
      <alignment wrapText="1"/>
    </xf>
    <xf numFmtId="3" fontId="48" fillId="7" borderId="32" xfId="19" applyNumberFormat="1" applyFont="1" applyFill="1" applyBorder="1" applyAlignment="1">
      <alignment wrapText="1" readingOrder="2"/>
    </xf>
    <xf numFmtId="0" fontId="91" fillId="2" borderId="29" xfId="19" quotePrefix="1" applyFont="1" applyFill="1" applyBorder="1" applyAlignment="1" applyProtection="1">
      <alignment horizontal="center" vertical="center" wrapText="1" readingOrder="2"/>
    </xf>
    <xf numFmtId="0" fontId="91" fillId="2" borderId="34" xfId="19" quotePrefix="1" applyFont="1" applyFill="1" applyBorder="1" applyAlignment="1" applyProtection="1">
      <alignment horizontal="center" vertical="center" wrapText="1" readingOrder="2"/>
    </xf>
    <xf numFmtId="0" fontId="91" fillId="2" borderId="2" xfId="19" quotePrefix="1" applyFont="1" applyFill="1" applyBorder="1" applyAlignment="1" applyProtection="1">
      <alignment horizontal="center" vertical="center" wrapText="1" readingOrder="2"/>
    </xf>
    <xf numFmtId="0" fontId="0" fillId="0" borderId="2" xfId="0" applyBorder="1"/>
    <xf numFmtId="0" fontId="0" fillId="0" borderId="1" xfId="0" applyBorder="1"/>
    <xf numFmtId="3" fontId="48" fillId="13" borderId="25" xfId="19" applyNumberFormat="1" applyFont="1" applyFill="1" applyBorder="1" applyAlignment="1">
      <alignment wrapText="1"/>
    </xf>
    <xf numFmtId="3" fontId="48" fillId="13" borderId="32" xfId="19" applyNumberFormat="1" applyFont="1" applyFill="1" applyBorder="1" applyAlignment="1">
      <alignment wrapText="1" readingOrder="2"/>
    </xf>
    <xf numFmtId="3" fontId="48" fillId="13" borderId="38" xfId="19" applyNumberFormat="1" applyFont="1" applyFill="1" applyBorder="1" applyAlignment="1">
      <alignment wrapText="1"/>
    </xf>
    <xf numFmtId="3" fontId="20" fillId="7" borderId="29" xfId="19" applyNumberFormat="1" applyFont="1" applyFill="1" applyBorder="1" applyAlignment="1" applyProtection="1">
      <alignment horizontal="right" readingOrder="2"/>
    </xf>
    <xf numFmtId="3" fontId="22" fillId="7" borderId="32" xfId="19" applyNumberFormat="1" applyFont="1" applyFill="1" applyBorder="1" applyAlignment="1" applyProtection="1">
      <alignment horizontal="right" indent="1" readingOrder="2"/>
    </xf>
    <xf numFmtId="3" fontId="22" fillId="7" borderId="29" xfId="19" applyNumberFormat="1" applyFont="1" applyFill="1" applyBorder="1" applyAlignment="1" applyProtection="1">
      <alignment horizontal="right" indent="1" readingOrder="2"/>
    </xf>
    <xf numFmtId="3" fontId="22" fillId="7" borderId="32" xfId="19" applyNumberFormat="1" applyFont="1" applyFill="1" applyBorder="1" applyAlignment="1" applyProtection="1">
      <alignment horizontal="right" indent="2" readingOrder="2"/>
    </xf>
    <xf numFmtId="167" fontId="26" fillId="19" borderId="32" xfId="19" quotePrefix="1" applyNumberFormat="1" applyFont="1" applyFill="1" applyBorder="1" applyAlignment="1" applyProtection="1">
      <alignment horizontal="center" wrapText="1"/>
    </xf>
    <xf numFmtId="0" fontId="0" fillId="21" borderId="0" xfId="0" applyFill="1"/>
    <xf numFmtId="3" fontId="20" fillId="7" borderId="73" xfId="19" applyNumberFormat="1" applyFont="1" applyFill="1" applyBorder="1" applyAlignment="1" applyProtection="1">
      <alignment horizontal="right" indent="1" readingOrder="2"/>
    </xf>
    <xf numFmtId="3" fontId="104" fillId="7" borderId="23" xfId="18" applyNumberFormat="1" applyFont="1" applyFill="1" applyBorder="1" applyAlignment="1" applyProtection="1">
      <alignment horizontal="right" readingOrder="2"/>
    </xf>
    <xf numFmtId="49" fontId="101" fillId="7" borderId="23" xfId="18" applyNumberFormat="1" applyFont="1" applyFill="1" applyBorder="1" applyAlignment="1" applyProtection="1">
      <alignment horizontal="right" readingOrder="2"/>
    </xf>
    <xf numFmtId="0" fontId="39" fillId="21" borderId="32" xfId="19" applyFont="1" applyFill="1" applyBorder="1" applyAlignment="1" applyProtection="1">
      <alignment wrapText="1"/>
    </xf>
    <xf numFmtId="167" fontId="22" fillId="7" borderId="32" xfId="19" quotePrefix="1" applyNumberFormat="1" applyFont="1" applyFill="1" applyBorder="1" applyAlignment="1" applyProtection="1">
      <alignment horizontal="right" wrapText="1"/>
    </xf>
    <xf numFmtId="3" fontId="20" fillId="7" borderId="73" xfId="19" applyNumberFormat="1" applyFont="1" applyFill="1" applyBorder="1" applyAlignment="1" applyProtection="1">
      <alignment horizontal="right" indent="3" readingOrder="2"/>
    </xf>
    <xf numFmtId="3" fontId="20" fillId="7" borderId="73" xfId="19" applyNumberFormat="1" applyFont="1" applyFill="1" applyBorder="1" applyAlignment="1" applyProtection="1">
      <alignment horizontal="right" wrapText="1" readingOrder="2"/>
    </xf>
    <xf numFmtId="3" fontId="22" fillId="7" borderId="73" xfId="19" applyNumberFormat="1" applyFont="1" applyFill="1" applyBorder="1" applyAlignment="1" applyProtection="1">
      <alignment horizontal="right" wrapText="1" indent="1" readingOrder="2"/>
    </xf>
    <xf numFmtId="167" fontId="22" fillId="7" borderId="0" xfId="19" quotePrefix="1" applyNumberFormat="1" applyFont="1" applyFill="1" applyBorder="1" applyAlignment="1" applyProtection="1">
      <alignment wrapText="1"/>
    </xf>
    <xf numFmtId="3" fontId="22" fillId="7" borderId="73" xfId="19" applyNumberFormat="1" applyFont="1" applyFill="1" applyBorder="1" applyAlignment="1" applyProtection="1">
      <alignment horizontal="right" wrapText="1" readingOrder="2"/>
    </xf>
    <xf numFmtId="3" fontId="22" fillId="7" borderId="73" xfId="19" applyNumberFormat="1" applyFont="1" applyFill="1" applyBorder="1" applyAlignment="1" applyProtection="1">
      <alignment horizontal="right" wrapText="1" indent="3" readingOrder="2"/>
    </xf>
    <xf numFmtId="3" fontId="22" fillId="7" borderId="0" xfId="19" applyNumberFormat="1" applyFont="1" applyFill="1" applyBorder="1" applyAlignment="1" applyProtection="1">
      <alignment horizontal="right" indent="2" readingOrder="2"/>
    </xf>
    <xf numFmtId="167" fontId="22" fillId="7" borderId="32" xfId="19" quotePrefix="1" applyNumberFormat="1" applyFont="1" applyFill="1" applyBorder="1" applyAlignment="1" applyProtection="1">
      <alignment horizontal="center" wrapText="1"/>
    </xf>
    <xf numFmtId="0" fontId="0" fillId="0" borderId="50" xfId="0" applyBorder="1"/>
    <xf numFmtId="0" fontId="0" fillId="0" borderId="32" xfId="0" applyBorder="1"/>
    <xf numFmtId="0" fontId="0" fillId="0" borderId="29" xfId="0" applyBorder="1"/>
    <xf numFmtId="0" fontId="0" fillId="0" borderId="69" xfId="0" applyBorder="1"/>
    <xf numFmtId="0" fontId="0" fillId="0" borderId="64" xfId="0" applyBorder="1"/>
    <xf numFmtId="0" fontId="0" fillId="0" borderId="35" xfId="0" applyBorder="1"/>
    <xf numFmtId="38" fontId="22" fillId="7" borderId="25" xfId="19" applyNumberFormat="1" applyFont="1" applyFill="1" applyBorder="1" applyAlignment="1" applyProtection="1">
      <alignment horizontal="right" wrapText="1" readingOrder="2"/>
    </xf>
    <xf numFmtId="38" fontId="20" fillId="7" borderId="4" xfId="19" applyNumberFormat="1" applyFont="1" applyFill="1" applyBorder="1" applyAlignment="1" applyProtection="1">
      <alignment horizontal="right" wrapText="1" readingOrder="2"/>
    </xf>
    <xf numFmtId="0" fontId="48" fillId="7" borderId="32" xfId="15" applyNumberFormat="1" applyFont="1" applyFill="1" applyBorder="1" applyAlignment="1" applyProtection="1">
      <alignment horizontal="center"/>
      <protection locked="0"/>
    </xf>
    <xf numFmtId="0" fontId="48" fillId="7" borderId="31" xfId="15" applyNumberFormat="1" applyFont="1" applyFill="1" applyBorder="1" applyAlignment="1" applyProtection="1">
      <alignment horizontal="center"/>
      <protection locked="0"/>
    </xf>
    <xf numFmtId="0" fontId="13" fillId="6" borderId="0" xfId="9" applyFont="1" applyFill="1" applyAlignment="1" applyProtection="1">
      <alignment horizontal="center" vertical="center" wrapText="1"/>
    </xf>
    <xf numFmtId="41" fontId="11" fillId="0" borderId="0" xfId="15" applyNumberFormat="1" applyFont="1"/>
    <xf numFmtId="0" fontId="17" fillId="2" borderId="4" xfId="0" applyFont="1" applyFill="1" applyBorder="1" applyAlignment="1" applyProtection="1">
      <alignment horizontal="right" vertical="top" wrapText="1" readingOrder="2"/>
    </xf>
    <xf numFmtId="0" fontId="39" fillId="2" borderId="32" xfId="0" applyFont="1" applyFill="1" applyBorder="1" applyAlignment="1">
      <alignment horizontal="center" vertical="top" wrapText="1" readingOrder="2"/>
    </xf>
    <xf numFmtId="0" fontId="39" fillId="2" borderId="38" xfId="0" applyFont="1" applyFill="1" applyBorder="1" applyAlignment="1">
      <alignment horizontal="center" vertical="top" wrapText="1" readingOrder="2"/>
    </xf>
    <xf numFmtId="0" fontId="17" fillId="2" borderId="32" xfId="0" applyFont="1" applyFill="1" applyBorder="1" applyAlignment="1">
      <alignment horizontal="center" wrapText="1"/>
    </xf>
    <xf numFmtId="0" fontId="17" fillId="2" borderId="38" xfId="0" applyFont="1" applyFill="1" applyBorder="1" applyAlignment="1">
      <alignment horizontal="center" wrapText="1"/>
    </xf>
    <xf numFmtId="10" fontId="48" fillId="7" borderId="31" xfId="0" applyNumberFormat="1" applyFont="1" applyFill="1" applyBorder="1" applyAlignment="1" applyProtection="1">
      <alignment wrapText="1" readingOrder="2"/>
      <protection locked="0"/>
    </xf>
    <xf numFmtId="0" fontId="48" fillId="2" borderId="4" xfId="0" applyFont="1" applyFill="1" applyBorder="1"/>
    <xf numFmtId="0" fontId="17" fillId="2" borderId="25" xfId="0" applyFont="1" applyFill="1" applyBorder="1"/>
    <xf numFmtId="0" fontId="48" fillId="2" borderId="25" xfId="0" applyFont="1" applyFill="1" applyBorder="1" applyAlignment="1">
      <alignment horizontal="right" indent="2"/>
    </xf>
    <xf numFmtId="0" fontId="17" fillId="2" borderId="25" xfId="0" applyFont="1" applyFill="1" applyBorder="1" applyAlignment="1">
      <alignment horizontal="right"/>
    </xf>
    <xf numFmtId="0" fontId="17" fillId="2" borderId="25" xfId="0" applyFont="1" applyFill="1" applyBorder="1" applyAlignment="1">
      <alignment wrapText="1"/>
    </xf>
    <xf numFmtId="0" fontId="17" fillId="2" borderId="4" xfId="0" applyFont="1" applyFill="1" applyBorder="1" applyAlignment="1">
      <alignment horizontal="right"/>
    </xf>
    <xf numFmtId="0" fontId="48" fillId="2" borderId="4" xfId="0" applyFont="1" applyFill="1" applyBorder="1" applyAlignment="1">
      <alignment horizontal="right" indent="2"/>
    </xf>
    <xf numFmtId="38" fontId="9" fillId="2" borderId="55" xfId="19" applyNumberFormat="1" applyFont="1" applyFill="1" applyBorder="1" applyAlignment="1" applyProtection="1">
      <alignment horizontal="center"/>
    </xf>
    <xf numFmtId="38" fontId="9" fillId="2" borderId="67" xfId="19" applyNumberFormat="1" applyFont="1" applyFill="1" applyBorder="1" applyAlignment="1" applyProtection="1">
      <alignment horizontal="center"/>
    </xf>
    <xf numFmtId="0" fontId="48" fillId="2" borderId="25" xfId="15" applyFont="1" applyFill="1" applyBorder="1" applyAlignment="1">
      <alignment horizontal="right" vertical="top" wrapText="1" readingOrder="2"/>
    </xf>
    <xf numFmtId="0" fontId="17" fillId="2" borderId="27" xfId="15" applyFont="1" applyFill="1" applyBorder="1" applyAlignment="1">
      <alignment horizontal="center" wrapText="1" readingOrder="2"/>
    </xf>
    <xf numFmtId="49" fontId="48" fillId="2" borderId="29" xfId="0" applyNumberFormat="1" applyFont="1" applyFill="1" applyBorder="1" applyAlignment="1">
      <alignment horizontal="center" wrapText="1" readingOrder="2"/>
    </xf>
    <xf numFmtId="38" fontId="48" fillId="7" borderId="29" xfId="15" applyNumberFormat="1" applyFont="1" applyFill="1" applyBorder="1" applyAlignment="1" applyProtection="1">
      <alignment wrapText="1" readingOrder="1"/>
      <protection locked="0"/>
    </xf>
    <xf numFmtId="38" fontId="48" fillId="2" borderId="28" xfId="15" applyNumberFormat="1" applyFont="1" applyFill="1" applyBorder="1"/>
    <xf numFmtId="38" fontId="17" fillId="2" borderId="34" xfId="15" applyNumberFormat="1" applyFont="1" applyFill="1" applyBorder="1" applyAlignment="1">
      <alignment horizontal="center" wrapText="1" readingOrder="2"/>
    </xf>
    <xf numFmtId="38" fontId="48" fillId="7" borderId="25" xfId="15" applyNumberFormat="1" applyFont="1" applyFill="1" applyBorder="1" applyAlignment="1" applyProtection="1">
      <alignment wrapText="1" readingOrder="1"/>
      <protection locked="0"/>
    </xf>
    <xf numFmtId="0" fontId="17" fillId="2" borderId="25" xfId="0" applyFont="1" applyFill="1" applyBorder="1" applyAlignment="1">
      <alignment horizontal="left" vertical="top" wrapText="1" readingOrder="2"/>
    </xf>
    <xf numFmtId="0" fontId="21" fillId="2" borderId="32" xfId="0" applyFont="1" applyFill="1" applyBorder="1" applyAlignment="1">
      <alignment horizontal="center" wrapText="1"/>
    </xf>
    <xf numFmtId="0" fontId="21" fillId="2" borderId="38" xfId="0" applyFont="1" applyFill="1" applyBorder="1" applyAlignment="1">
      <alignment horizontal="center" wrapText="1"/>
    </xf>
    <xf numFmtId="3" fontId="11" fillId="7" borderId="32" xfId="0" applyNumberFormat="1" applyFont="1" applyFill="1" applyBorder="1" applyAlignment="1" applyProtection="1">
      <alignment horizontal="right"/>
      <protection locked="0"/>
    </xf>
    <xf numFmtId="0" fontId="39" fillId="0" borderId="0" xfId="0" applyFont="1" applyAlignment="1">
      <alignment horizontal="center" readingOrder="1"/>
    </xf>
    <xf numFmtId="0" fontId="39" fillId="0" borderId="0" xfId="15" applyFont="1"/>
    <xf numFmtId="0" fontId="11" fillId="19" borderId="16" xfId="0" applyFont="1" applyFill="1" applyBorder="1"/>
    <xf numFmtId="0" fontId="48" fillId="2" borderId="18" xfId="0" applyFont="1" applyFill="1" applyBorder="1" applyAlignment="1">
      <alignment horizontal="right" vertical="top" wrapText="1" readingOrder="2"/>
    </xf>
    <xf numFmtId="0" fontId="17" fillId="2" borderId="18" xfId="0" applyFont="1" applyFill="1" applyBorder="1" applyAlignment="1">
      <alignment horizontal="right" wrapText="1"/>
    </xf>
    <xf numFmtId="0" fontId="17" fillId="2" borderId="22" xfId="0" applyFont="1" applyFill="1" applyBorder="1" applyAlignment="1">
      <alignment horizontal="right" wrapText="1"/>
    </xf>
    <xf numFmtId="49" fontId="21" fillId="2" borderId="50" xfId="0" applyNumberFormat="1" applyFont="1" applyFill="1" applyBorder="1" applyAlignment="1">
      <alignment horizontal="center" wrapText="1" readingOrder="2"/>
    </xf>
    <xf numFmtId="38" fontId="48" fillId="7" borderId="51" xfId="0" applyNumberFormat="1" applyFont="1" applyFill="1" applyBorder="1" applyAlignment="1" applyProtection="1">
      <alignment horizontal="right"/>
    </xf>
    <xf numFmtId="38" fontId="17" fillId="2" borderId="34" xfId="0" applyNumberFormat="1" applyFont="1" applyFill="1" applyBorder="1" applyAlignment="1">
      <alignment horizontal="center" wrapText="1" readingOrder="2"/>
    </xf>
    <xf numFmtId="38" fontId="17" fillId="2" borderId="25" xfId="0" applyNumberFormat="1" applyFont="1" applyFill="1" applyBorder="1" applyAlignment="1">
      <alignment horizontal="center" wrapText="1" readingOrder="2"/>
    </xf>
    <xf numFmtId="49" fontId="21" fillId="2" borderId="25" xfId="0" applyNumberFormat="1" applyFont="1" applyFill="1" applyBorder="1" applyAlignment="1">
      <alignment horizontal="center" wrapText="1" readingOrder="2"/>
    </xf>
    <xf numFmtId="38" fontId="48" fillId="7" borderId="25" xfId="0" applyNumberFormat="1" applyFont="1" applyFill="1" applyBorder="1" applyAlignment="1" applyProtection="1">
      <alignment horizontal="right"/>
      <protection locked="0"/>
    </xf>
    <xf numFmtId="38" fontId="48" fillId="7" borderId="4" xfId="0" applyNumberFormat="1" applyFont="1" applyFill="1" applyBorder="1" applyAlignment="1" applyProtection="1">
      <alignment horizontal="right"/>
    </xf>
    <xf numFmtId="0" fontId="48" fillId="2" borderId="18" xfId="0" applyFont="1" applyFill="1" applyBorder="1" applyAlignment="1">
      <alignment horizontal="right" wrapText="1" indent="2"/>
    </xf>
    <xf numFmtId="0" fontId="17" fillId="2" borderId="18" xfId="0" applyFont="1" applyFill="1" applyBorder="1" applyAlignment="1">
      <alignment horizontal="right" wrapText="1" indent="1"/>
    </xf>
    <xf numFmtId="38" fontId="48" fillId="7" borderId="25" xfId="0" applyNumberFormat="1" applyFont="1" applyFill="1" applyBorder="1" applyAlignment="1" applyProtection="1">
      <alignment horizontal="right"/>
    </xf>
    <xf numFmtId="38" fontId="48" fillId="19" borderId="25" xfId="0" applyNumberFormat="1" applyFont="1" applyFill="1" applyBorder="1" applyAlignment="1" applyProtection="1">
      <alignment horizontal="right"/>
      <protection locked="0"/>
    </xf>
    <xf numFmtId="38" fontId="48" fillId="19" borderId="4" xfId="0" applyNumberFormat="1" applyFont="1" applyFill="1" applyBorder="1" applyAlignment="1" applyProtection="1">
      <alignment horizontal="right"/>
      <protection locked="0"/>
    </xf>
    <xf numFmtId="0" fontId="39" fillId="2" borderId="16" xfId="0" applyFont="1" applyFill="1" applyBorder="1" applyAlignment="1">
      <alignment horizontal="center" vertical="center" wrapText="1" readingOrder="2"/>
    </xf>
    <xf numFmtId="0" fontId="39" fillId="2" borderId="18" xfId="0" applyFont="1" applyFill="1" applyBorder="1" applyAlignment="1">
      <alignment horizontal="center" vertical="center" wrapText="1" readingOrder="2"/>
    </xf>
    <xf numFmtId="0" fontId="11" fillId="2" borderId="18" xfId="0" applyFont="1" applyFill="1" applyBorder="1"/>
    <xf numFmtId="0" fontId="48" fillId="2" borderId="18" xfId="0" applyFont="1" applyFill="1" applyBorder="1" applyAlignment="1">
      <alignment horizontal="justify" vertical="top" wrapText="1" readingOrder="2"/>
    </xf>
    <xf numFmtId="0" fontId="48" fillId="2" borderId="22" xfId="0" applyFont="1" applyFill="1" applyBorder="1" applyAlignment="1">
      <alignment horizontal="justify" vertical="top" wrapText="1" readingOrder="2"/>
    </xf>
    <xf numFmtId="0" fontId="21" fillId="2" borderId="50" xfId="0" applyFont="1" applyFill="1" applyBorder="1" applyAlignment="1">
      <alignment horizontal="center" wrapText="1" readingOrder="2"/>
    </xf>
    <xf numFmtId="38" fontId="48" fillId="10" borderId="51" xfId="0" applyNumberFormat="1" applyFont="1" applyFill="1" applyBorder="1" applyAlignment="1" applyProtection="1"/>
    <xf numFmtId="0" fontId="21" fillId="2" borderId="25" xfId="0" applyFont="1" applyFill="1" applyBorder="1" applyAlignment="1">
      <alignment horizontal="center" wrapText="1" readingOrder="2"/>
    </xf>
    <xf numFmtId="38" fontId="48" fillId="10" borderId="4" xfId="0" applyNumberFormat="1" applyFont="1" applyFill="1" applyBorder="1" applyAlignment="1" applyProtection="1"/>
    <xf numFmtId="0" fontId="17" fillId="2" borderId="50" xfId="0" applyFont="1" applyFill="1" applyBorder="1" applyAlignment="1">
      <alignment horizontal="center" wrapText="1" readingOrder="2"/>
    </xf>
    <xf numFmtId="49" fontId="17" fillId="2" borderId="50" xfId="0" applyNumberFormat="1" applyFont="1" applyFill="1" applyBorder="1" applyAlignment="1">
      <alignment horizontal="center" wrapText="1" readingOrder="2"/>
    </xf>
    <xf numFmtId="38" fontId="11" fillId="7" borderId="50" xfId="0" applyNumberFormat="1" applyFont="1" applyFill="1" applyBorder="1" applyProtection="1">
      <protection locked="0"/>
    </xf>
    <xf numFmtId="38" fontId="11" fillId="7" borderId="51" xfId="0" applyNumberFormat="1" applyFont="1" applyFill="1" applyBorder="1" applyProtection="1">
      <protection locked="0"/>
    </xf>
    <xf numFmtId="38" fontId="11" fillId="19" borderId="60" xfId="0" applyNumberFormat="1" applyFont="1" applyFill="1" applyBorder="1"/>
    <xf numFmtId="0" fontId="12" fillId="0" borderId="0" xfId="9" applyFill="1" applyAlignment="1" applyProtection="1">
      <alignment horizontal="center" readingOrder="2"/>
    </xf>
    <xf numFmtId="9" fontId="48" fillId="19" borderId="38" xfId="0" applyNumberFormat="1" applyFont="1" applyFill="1" applyBorder="1" applyAlignment="1" applyProtection="1">
      <alignment horizontal="right"/>
    </xf>
    <xf numFmtId="9" fontId="48" fillId="19" borderId="3" xfId="0" applyNumberFormat="1" applyFont="1" applyFill="1" applyBorder="1" applyAlignment="1" applyProtection="1">
      <alignment horizontal="right"/>
    </xf>
    <xf numFmtId="0" fontId="21" fillId="2" borderId="4" xfId="0" applyFont="1" applyFill="1" applyBorder="1" applyAlignment="1">
      <alignment horizontal="right" vertical="top" wrapText="1" indent="2" readingOrder="2"/>
    </xf>
    <xf numFmtId="0" fontId="17" fillId="19" borderId="2" xfId="15" applyFont="1" applyFill="1" applyBorder="1" applyAlignment="1">
      <alignment horizontal="center" wrapText="1"/>
    </xf>
    <xf numFmtId="0" fontId="17" fillId="19" borderId="1" xfId="15" applyFont="1" applyFill="1" applyBorder="1" applyAlignment="1">
      <alignment horizontal="center" wrapText="1"/>
    </xf>
    <xf numFmtId="0" fontId="11" fillId="2" borderId="25" xfId="0" applyFont="1" applyFill="1" applyBorder="1" applyAlignment="1">
      <alignment horizontal="right" vertical="top" wrapText="1" readingOrder="2"/>
    </xf>
    <xf numFmtId="0" fontId="17" fillId="2" borderId="39" xfId="0" applyFont="1" applyFill="1" applyBorder="1" applyAlignment="1">
      <alignment horizontal="justify" readingOrder="2"/>
    </xf>
    <xf numFmtId="0" fontId="48" fillId="2" borderId="5" xfId="0" applyFont="1" applyFill="1" applyBorder="1" applyAlignment="1">
      <alignment horizontal="right" vertical="top" wrapText="1" readingOrder="2"/>
    </xf>
    <xf numFmtId="0" fontId="48" fillId="2" borderId="14" xfId="0" applyFont="1" applyFill="1" applyBorder="1" applyAlignment="1">
      <alignment horizontal="right" vertical="top" wrapText="1" readingOrder="2"/>
    </xf>
    <xf numFmtId="0" fontId="11" fillId="2" borderId="18" xfId="0" applyFont="1" applyFill="1" applyBorder="1" applyAlignment="1">
      <alignment horizontal="justify" vertical="top" wrapText="1" readingOrder="2"/>
    </xf>
    <xf numFmtId="0" fontId="11" fillId="2" borderId="22" xfId="0" applyFont="1" applyFill="1" applyBorder="1" applyAlignment="1">
      <alignment horizontal="justify" vertical="top" wrapText="1" readingOrder="2"/>
    </xf>
    <xf numFmtId="0" fontId="17" fillId="2" borderId="25" xfId="0" applyFont="1" applyFill="1" applyBorder="1" applyAlignment="1">
      <alignment horizontal="center" wrapText="1" readingOrder="2"/>
    </xf>
    <xf numFmtId="49" fontId="17" fillId="2" borderId="25" xfId="0" applyNumberFormat="1" applyFont="1" applyFill="1" applyBorder="1" applyAlignment="1">
      <alignment horizontal="center" wrapText="1" readingOrder="2"/>
    </xf>
    <xf numFmtId="9" fontId="48" fillId="7" borderId="32" xfId="0" applyNumberFormat="1" applyFont="1" applyFill="1" applyBorder="1" applyAlignment="1" applyProtection="1">
      <alignment horizontal="right"/>
    </xf>
    <xf numFmtId="9" fontId="48" fillId="7" borderId="31" xfId="0" applyNumberFormat="1" applyFont="1" applyFill="1" applyBorder="1" applyAlignment="1" applyProtection="1">
      <alignment horizontal="right"/>
    </xf>
    <xf numFmtId="0" fontId="17" fillId="19" borderId="2" xfId="0" applyFont="1" applyFill="1" applyBorder="1" applyAlignment="1">
      <alignment horizontal="center"/>
    </xf>
    <xf numFmtId="0" fontId="17" fillId="19" borderId="1" xfId="0" applyFont="1" applyFill="1" applyBorder="1" applyAlignment="1">
      <alignment horizontal="center"/>
    </xf>
    <xf numFmtId="49" fontId="17" fillId="19" borderId="32" xfId="0" applyNumberFormat="1" applyFont="1" applyFill="1" applyBorder="1" applyAlignment="1">
      <alignment horizontal="center"/>
    </xf>
    <xf numFmtId="49" fontId="17" fillId="19" borderId="38" xfId="0" applyNumberFormat="1" applyFont="1" applyFill="1" applyBorder="1" applyAlignment="1">
      <alignment horizontal="center"/>
    </xf>
    <xf numFmtId="0" fontId="17" fillId="19" borderId="2" xfId="0" applyFont="1" applyFill="1" applyBorder="1" applyAlignment="1">
      <alignment horizontal="center" wrapText="1"/>
    </xf>
    <xf numFmtId="0" fontId="17" fillId="19" borderId="27" xfId="0" applyFont="1" applyFill="1" applyBorder="1" applyAlignment="1">
      <alignment horizontal="center" wrapText="1"/>
    </xf>
    <xf numFmtId="0" fontId="17" fillId="19" borderId="1" xfId="0" applyFont="1" applyFill="1" applyBorder="1" applyAlignment="1">
      <alignment horizontal="center" wrapText="1"/>
    </xf>
    <xf numFmtId="0" fontId="48" fillId="19" borderId="25" xfId="0" applyFont="1" applyFill="1" applyBorder="1" applyAlignment="1">
      <alignment horizontal="right" vertical="center" wrapText="1" readingOrder="2"/>
    </xf>
    <xf numFmtId="38" fontId="92" fillId="7" borderId="32" xfId="0" applyNumberFormat="1" applyFont="1" applyFill="1" applyBorder="1" applyAlignment="1" applyProtection="1">
      <alignment horizontal="right"/>
      <protection locked="0"/>
    </xf>
    <xf numFmtId="164" fontId="92" fillId="7" borderId="32" xfId="0" applyNumberFormat="1" applyFont="1" applyFill="1" applyBorder="1" applyAlignment="1" applyProtection="1">
      <alignment horizontal="right"/>
      <protection locked="0"/>
    </xf>
    <xf numFmtId="164" fontId="92" fillId="7" borderId="38" xfId="0" applyNumberFormat="1" applyFont="1" applyFill="1" applyBorder="1" applyAlignment="1" applyProtection="1">
      <alignment horizontal="right"/>
      <protection locked="0"/>
    </xf>
    <xf numFmtId="0" fontId="93" fillId="0" borderId="0" xfId="15" applyFont="1"/>
    <xf numFmtId="0" fontId="60" fillId="0" borderId="0" xfId="0" applyFont="1" applyAlignment="1">
      <alignment horizontal="right" vertical="center" wrapText="1" readingOrder="2"/>
    </xf>
    <xf numFmtId="0" fontId="39" fillId="19" borderId="55" xfId="0" applyFont="1" applyFill="1" applyBorder="1" applyAlignment="1">
      <alignment horizontal="right" vertical="center" wrapText="1" readingOrder="2"/>
    </xf>
    <xf numFmtId="3" fontId="0" fillId="18" borderId="36" xfId="0" applyNumberFormat="1" applyFill="1" applyBorder="1" applyProtection="1">
      <protection locked="0"/>
    </xf>
    <xf numFmtId="3" fontId="0" fillId="18" borderId="71" xfId="0" applyNumberFormat="1" applyFill="1" applyBorder="1" applyProtection="1">
      <protection locked="0"/>
    </xf>
    <xf numFmtId="3" fontId="0" fillId="18" borderId="37" xfId="0" applyNumberFormat="1" applyFill="1" applyBorder="1" applyProtection="1">
      <protection locked="0"/>
    </xf>
    <xf numFmtId="0" fontId="11" fillId="0" borderId="0" xfId="19" applyFont="1" applyAlignment="1" applyProtection="1">
      <alignment horizontal="center" wrapText="1" readingOrder="2"/>
    </xf>
    <xf numFmtId="0" fontId="105" fillId="0" borderId="0" xfId="0" applyFont="1" applyAlignment="1">
      <alignment horizontal="right" wrapText="1"/>
    </xf>
    <xf numFmtId="0" fontId="11" fillId="5" borderId="0" xfId="19" applyFont="1" applyFill="1" applyAlignment="1">
      <alignment horizontal="center" wrapText="1"/>
    </xf>
    <xf numFmtId="0" fontId="12" fillId="5" borderId="0" xfId="9" applyFill="1" applyAlignment="1" applyProtection="1"/>
    <xf numFmtId="0" fontId="94" fillId="6" borderId="0" xfId="9" applyFont="1" applyFill="1" applyAlignment="1" applyProtection="1">
      <alignment horizontal="center" wrapText="1"/>
    </xf>
    <xf numFmtId="0" fontId="39" fillId="0" borderId="0" xfId="0" applyFont="1" applyAlignment="1">
      <alignment horizontal="right"/>
    </xf>
    <xf numFmtId="168" fontId="35" fillId="5" borderId="0" xfId="19" quotePrefix="1" applyNumberFormat="1" applyFont="1" applyFill="1" applyAlignment="1" applyProtection="1">
      <alignment horizontal="right" readingOrder="2"/>
    </xf>
    <xf numFmtId="167" fontId="17" fillId="28" borderId="74" xfId="19" applyNumberFormat="1" applyFont="1" applyFill="1" applyBorder="1" applyAlignment="1" applyProtection="1">
      <alignment readingOrder="2"/>
    </xf>
    <xf numFmtId="168" fontId="48" fillId="21" borderId="0" xfId="19" applyNumberFormat="1" applyFont="1" applyFill="1" applyAlignment="1" applyProtection="1">
      <alignment readingOrder="2"/>
      <protection locked="0"/>
    </xf>
    <xf numFmtId="0" fontId="106" fillId="0" borderId="0" xfId="0" applyFont="1"/>
    <xf numFmtId="49" fontId="39" fillId="5" borderId="0" xfId="18" applyNumberFormat="1" applyFont="1" applyFill="1" applyAlignment="1" applyProtection="1">
      <alignment horizontal="right"/>
    </xf>
    <xf numFmtId="3" fontId="39" fillId="5" borderId="0" xfId="18" applyNumberFormat="1" applyFont="1" applyFill="1" applyAlignment="1" applyProtection="1">
      <alignment horizontal="right" wrapText="1"/>
    </xf>
    <xf numFmtId="0" fontId="39" fillId="0" borderId="0" xfId="0" applyFont="1" applyAlignment="1">
      <alignment horizontal="center"/>
    </xf>
    <xf numFmtId="3" fontId="39" fillId="5" borderId="0" xfId="18" applyNumberFormat="1" applyFont="1" applyFill="1" applyAlignment="1" applyProtection="1">
      <alignment horizontal="center" wrapText="1"/>
    </xf>
    <xf numFmtId="3" fontId="95" fillId="5" borderId="0" xfId="18" applyNumberFormat="1" applyFont="1" applyFill="1" applyAlignment="1" applyProtection="1">
      <alignment horizontal="right" wrapText="1"/>
    </xf>
    <xf numFmtId="0" fontId="39" fillId="14" borderId="13" xfId="0" applyFont="1" applyFill="1" applyBorder="1" applyProtection="1">
      <protection locked="0"/>
    </xf>
    <xf numFmtId="177" fontId="39" fillId="14" borderId="13" xfId="18" applyNumberFormat="1" applyFont="1" applyFill="1" applyBorder="1" applyAlignment="1" applyProtection="1">
      <protection locked="0"/>
    </xf>
    <xf numFmtId="0" fontId="107" fillId="21" borderId="13" xfId="0" applyFont="1" applyFill="1" applyBorder="1" applyAlignment="1" applyProtection="1">
      <alignment horizontal="center"/>
      <protection locked="0"/>
    </xf>
    <xf numFmtId="0" fontId="101" fillId="0" borderId="0" xfId="0" applyFont="1" applyAlignment="1">
      <alignment horizontal="center"/>
    </xf>
    <xf numFmtId="0" fontId="99" fillId="0" borderId="0" xfId="0" applyFont="1" applyAlignment="1">
      <alignment horizontal="right" readingOrder="2"/>
    </xf>
    <xf numFmtId="0" fontId="39" fillId="8" borderId="7" xfId="0" applyFont="1" applyFill="1" applyBorder="1" applyAlignment="1" applyProtection="1"/>
    <xf numFmtId="0" fontId="39" fillId="8" borderId="9" xfId="0" applyFont="1" applyFill="1" applyBorder="1" applyAlignment="1" applyProtection="1"/>
    <xf numFmtId="0" fontId="96" fillId="5" borderId="0" xfId="9" applyFont="1" applyFill="1" applyAlignment="1" applyProtection="1">
      <alignment horizontal="right"/>
    </xf>
    <xf numFmtId="0" fontId="0" fillId="0" borderId="0" xfId="0" applyAlignment="1">
      <alignment horizontal="center"/>
    </xf>
    <xf numFmtId="2" fontId="0" fillId="0" borderId="0" xfId="0" applyNumberFormat="1"/>
    <xf numFmtId="0" fontId="7" fillId="0" borderId="0" xfId="0" quotePrefix="1" applyFont="1"/>
    <xf numFmtId="0" fontId="67" fillId="0" borderId="0" xfId="0" applyFont="1" applyAlignment="1">
      <alignment horizontal="right" readingOrder="2"/>
    </xf>
    <xf numFmtId="0" fontId="7" fillId="21" borderId="0" xfId="15" applyFill="1"/>
    <xf numFmtId="0" fontId="30" fillId="20" borderId="16" xfId="19" applyFont="1" applyFill="1" applyBorder="1" applyAlignment="1"/>
    <xf numFmtId="0" fontId="30" fillId="20" borderId="75" xfId="19" applyFont="1" applyFill="1" applyBorder="1" applyAlignment="1" applyProtection="1">
      <alignment horizontal="right" wrapText="1" readingOrder="2"/>
      <protection locked="0"/>
    </xf>
    <xf numFmtId="0" fontId="0" fillId="0" borderId="0" xfId="0" applyAlignment="1">
      <alignment horizontal="right" readingOrder="2"/>
    </xf>
    <xf numFmtId="38" fontId="48" fillId="19" borderId="58" xfId="0" applyNumberFormat="1" applyFont="1" applyFill="1" applyBorder="1" applyAlignment="1" applyProtection="1">
      <alignment horizontal="right"/>
    </xf>
    <xf numFmtId="38" fontId="48" fillId="7" borderId="64" xfId="0" applyNumberFormat="1" applyFont="1" applyFill="1" applyBorder="1" applyAlignment="1" applyProtection="1">
      <alignment horizontal="right"/>
    </xf>
    <xf numFmtId="3" fontId="48" fillId="21" borderId="25" xfId="19" applyNumberFormat="1" applyFont="1" applyFill="1" applyBorder="1" applyAlignment="1">
      <alignment wrapText="1"/>
    </xf>
    <xf numFmtId="0" fontId="0" fillId="29" borderId="0" xfId="0" applyFill="1"/>
    <xf numFmtId="0" fontId="0" fillId="0" borderId="0" xfId="0" applyAlignment="1">
      <alignment wrapText="1"/>
    </xf>
    <xf numFmtId="0" fontId="0" fillId="22" borderId="0" xfId="0" applyFill="1"/>
    <xf numFmtId="0" fontId="7" fillId="22" borderId="0" xfId="0" applyFont="1" applyFill="1"/>
    <xf numFmtId="0" fontId="108" fillId="0" borderId="0" xfId="19" applyFont="1" applyProtection="1">
      <alignment wrapText="1"/>
    </xf>
    <xf numFmtId="0" fontId="21" fillId="2" borderId="29" xfId="0" applyFont="1" applyFill="1" applyBorder="1" applyAlignment="1">
      <alignment horizontal="center" wrapText="1" readingOrder="2"/>
    </xf>
    <xf numFmtId="49" fontId="21" fillId="2" borderId="29" xfId="0" applyNumberFormat="1" applyFont="1" applyFill="1" applyBorder="1" applyAlignment="1">
      <alignment horizontal="center" wrapText="1" readingOrder="2"/>
    </xf>
    <xf numFmtId="38" fontId="48" fillId="7" borderId="29" xfId="0" applyNumberFormat="1" applyFont="1" applyFill="1" applyBorder="1" applyAlignment="1" applyProtection="1">
      <alignment horizontal="right"/>
      <protection locked="0"/>
    </xf>
    <xf numFmtId="38" fontId="48" fillId="7" borderId="28" xfId="0" applyNumberFormat="1" applyFont="1" applyFill="1" applyBorder="1" applyAlignment="1" applyProtection="1">
      <alignment horizontal="right"/>
    </xf>
    <xf numFmtId="164" fontId="48" fillId="7" borderId="4" xfId="0" applyNumberFormat="1" applyFont="1" applyFill="1" applyBorder="1" applyAlignment="1" applyProtection="1">
      <alignment horizontal="right"/>
      <protection locked="0"/>
    </xf>
    <xf numFmtId="164" fontId="48" fillId="7" borderId="3" xfId="0" applyNumberFormat="1" applyFont="1" applyFill="1" applyBorder="1" applyAlignment="1" applyProtection="1">
      <alignment horizontal="right"/>
      <protection locked="0"/>
    </xf>
    <xf numFmtId="0" fontId="39" fillId="0" borderId="0" xfId="19" applyFont="1" applyAlignment="1">
      <alignment horizontal="center"/>
    </xf>
    <xf numFmtId="0" fontId="65" fillId="0" borderId="0" xfId="19" applyFont="1" applyAlignment="1" applyProtection="1">
      <alignment horizontal="center"/>
    </xf>
    <xf numFmtId="0" fontId="100" fillId="0" borderId="0" xfId="17"/>
    <xf numFmtId="0" fontId="100" fillId="0" borderId="0" xfId="17" applyProtection="1"/>
    <xf numFmtId="0" fontId="109" fillId="0" borderId="0" xfId="17" applyFont="1" applyBorder="1"/>
    <xf numFmtId="0" fontId="110" fillId="0" borderId="0" xfId="17" applyFont="1" applyBorder="1" applyAlignment="1">
      <alignment horizontal="right" vertical="center" readingOrder="2"/>
    </xf>
    <xf numFmtId="0" fontId="100" fillId="28" borderId="0" xfId="17" applyFill="1" applyProtection="1"/>
    <xf numFmtId="0" fontId="100" fillId="20" borderId="15" xfId="17" applyFill="1" applyBorder="1"/>
    <xf numFmtId="0" fontId="101" fillId="20" borderId="45" xfId="17" applyFont="1" applyFill="1" applyBorder="1" applyAlignment="1">
      <alignment horizontal="center"/>
    </xf>
    <xf numFmtId="0" fontId="101" fillId="18" borderId="25" xfId="17" applyFont="1" applyFill="1" applyBorder="1" applyAlignment="1">
      <alignment horizontal="center" vertical="center" wrapText="1" readingOrder="2"/>
    </xf>
    <xf numFmtId="0" fontId="100" fillId="28" borderId="0" xfId="17" applyFill="1" applyBorder="1" applyProtection="1"/>
    <xf numFmtId="0" fontId="100" fillId="20" borderId="20" xfId="17" applyFill="1" applyBorder="1"/>
    <xf numFmtId="0" fontId="101" fillId="20" borderId="45" xfId="17" applyFont="1" applyFill="1" applyBorder="1" applyAlignment="1">
      <alignment horizontal="center" wrapText="1"/>
    </xf>
    <xf numFmtId="0" fontId="101" fillId="18" borderId="4" xfId="17" applyFont="1" applyFill="1" applyBorder="1" applyAlignment="1">
      <alignment horizontal="center" vertical="center" wrapText="1" readingOrder="2"/>
    </xf>
    <xf numFmtId="0" fontId="101" fillId="18" borderId="31" xfId="17" applyFont="1" applyFill="1" applyBorder="1" applyAlignment="1">
      <alignment horizontal="right" vertical="center" wrapText="1" readingOrder="2"/>
    </xf>
    <xf numFmtId="0" fontId="101" fillId="30" borderId="31" xfId="17" applyFont="1" applyFill="1" applyBorder="1" applyAlignment="1" applyProtection="1">
      <alignment vertical="center" wrapText="1" readingOrder="2"/>
    </xf>
    <xf numFmtId="0" fontId="100" fillId="18" borderId="3" xfId="17" applyFill="1" applyBorder="1" applyAlignment="1" applyProtection="1">
      <alignment wrapText="1"/>
      <protection locked="0"/>
    </xf>
    <xf numFmtId="0" fontId="100" fillId="0" borderId="0" xfId="17" applyAlignment="1">
      <alignment horizontal="center" wrapText="1" readingOrder="2"/>
    </xf>
    <xf numFmtId="0" fontId="100" fillId="0" borderId="0" xfId="17" applyAlignment="1">
      <alignment readingOrder="2"/>
    </xf>
    <xf numFmtId="0" fontId="111" fillId="0" borderId="0" xfId="17" applyFont="1" applyAlignment="1">
      <alignment readingOrder="2"/>
    </xf>
    <xf numFmtId="0" fontId="58" fillId="18" borderId="0" xfId="9" applyFont="1" applyFill="1" applyAlignment="1" applyProtection="1"/>
    <xf numFmtId="0" fontId="107" fillId="0" borderId="0" xfId="17" applyFont="1"/>
    <xf numFmtId="3" fontId="11" fillId="7" borderId="32" xfId="19" applyNumberFormat="1" applyFont="1" applyFill="1" applyBorder="1" applyAlignment="1" applyProtection="1">
      <alignment wrapText="1" readingOrder="1"/>
      <protection locked="0"/>
    </xf>
    <xf numFmtId="3" fontId="19" fillId="7" borderId="32" xfId="19" applyNumberFormat="1" applyFont="1" applyFill="1" applyBorder="1" applyAlignment="1" applyProtection="1">
      <alignment vertical="center" wrapText="1" readingOrder="2"/>
      <protection locked="0"/>
    </xf>
    <xf numFmtId="3" fontId="22" fillId="7" borderId="32" xfId="19" applyNumberFormat="1" applyFont="1" applyFill="1" applyBorder="1" applyAlignment="1" applyProtection="1">
      <alignment vertical="center" wrapText="1" readingOrder="2"/>
      <protection locked="0"/>
    </xf>
    <xf numFmtId="0" fontId="11" fillId="31" borderId="0" xfId="19" applyFont="1" applyFill="1" applyAlignment="1" applyProtection="1">
      <alignment wrapText="1" readingOrder="2"/>
    </xf>
    <xf numFmtId="3" fontId="11" fillId="22" borderId="0" xfId="19" quotePrefix="1" applyNumberFormat="1" applyFont="1" applyFill="1" applyAlignment="1" applyProtection="1">
      <alignment readingOrder="2"/>
    </xf>
    <xf numFmtId="10" fontId="11" fillId="5" borderId="0" xfId="19" applyNumberFormat="1" applyFont="1" applyFill="1" applyAlignment="1">
      <alignment horizontal="center" wrapText="1"/>
    </xf>
    <xf numFmtId="3" fontId="11" fillId="0" borderId="0" xfId="19" applyNumberFormat="1" applyFont="1" applyAlignment="1" applyProtection="1">
      <alignment readingOrder="2"/>
    </xf>
    <xf numFmtId="0" fontId="11" fillId="0" borderId="0" xfId="19" applyFont="1" applyAlignment="1" applyProtection="1">
      <alignment readingOrder="2"/>
    </xf>
    <xf numFmtId="3" fontId="11" fillId="0" borderId="0" xfId="19" quotePrefix="1" applyNumberFormat="1" applyFont="1" applyAlignment="1" applyProtection="1">
      <alignment readingOrder="2"/>
    </xf>
    <xf numFmtId="0" fontId="11" fillId="0" borderId="0" xfId="19" quotePrefix="1" applyFont="1" applyAlignment="1" applyProtection="1">
      <alignment readingOrder="2"/>
    </xf>
    <xf numFmtId="14" fontId="0" fillId="0" borderId="0" xfId="0" applyNumberFormat="1"/>
    <xf numFmtId="0" fontId="7" fillId="0" borderId="0" xfId="0" applyFont="1" applyAlignment="1">
      <alignment wrapText="1"/>
    </xf>
    <xf numFmtId="178" fontId="0" fillId="0" borderId="0" xfId="0" applyNumberFormat="1" applyAlignment="1">
      <alignment horizontal="center" wrapText="1"/>
    </xf>
    <xf numFmtId="178" fontId="0" fillId="21" borderId="0" xfId="0" applyNumberFormat="1" applyFill="1" applyAlignment="1">
      <alignment horizontal="center" wrapText="1"/>
    </xf>
    <xf numFmtId="178" fontId="11" fillId="0" borderId="0" xfId="19" applyNumberFormat="1" applyFont="1" applyAlignment="1" applyProtection="1">
      <alignment wrapText="1" readingOrder="2"/>
    </xf>
    <xf numFmtId="178" fontId="35" fillId="5" borderId="0" xfId="19" applyNumberFormat="1" applyFont="1" applyFill="1" applyAlignment="1">
      <alignment horizontal="center" wrapText="1"/>
    </xf>
    <xf numFmtId="178" fontId="35" fillId="0" borderId="0" xfId="19" applyNumberFormat="1" applyFont="1" applyAlignment="1" applyProtection="1">
      <alignment wrapText="1" readingOrder="2"/>
    </xf>
    <xf numFmtId="3" fontId="21" fillId="5" borderId="0" xfId="19" applyNumberFormat="1" applyFont="1" applyFill="1" applyProtection="1">
      <alignment wrapText="1"/>
    </xf>
    <xf numFmtId="0" fontId="100" fillId="0" borderId="0" xfId="17" applyAlignment="1">
      <alignment horizontal="center"/>
    </xf>
    <xf numFmtId="0" fontId="0" fillId="0" borderId="0" xfId="0" applyAlignment="1">
      <alignment horizontal="left"/>
    </xf>
    <xf numFmtId="1" fontId="33" fillId="0" borderId="0" xfId="19" applyNumberFormat="1" applyFont="1" applyProtection="1">
      <alignment wrapText="1"/>
    </xf>
    <xf numFmtId="2" fontId="33" fillId="32" borderId="0" xfId="19" applyNumberFormat="1" applyFont="1" applyFill="1" applyProtection="1">
      <alignment wrapText="1"/>
    </xf>
    <xf numFmtId="0" fontId="33" fillId="0" borderId="0" xfId="0" applyFont="1" applyAlignment="1">
      <alignment horizontal="right" readingOrder="2"/>
    </xf>
    <xf numFmtId="49" fontId="39" fillId="0" borderId="0" xfId="0" applyNumberFormat="1" applyFont="1" applyAlignment="1">
      <alignment horizontal="center"/>
    </xf>
    <xf numFmtId="0" fontId="108" fillId="0" borderId="0" xfId="19" applyFont="1" applyAlignment="1" applyProtection="1">
      <alignment wrapText="1" readingOrder="2"/>
    </xf>
    <xf numFmtId="0" fontId="108" fillId="0" borderId="0" xfId="19" applyFont="1" applyAlignment="1" applyProtection="1">
      <alignment horizontal="right" wrapText="1" readingOrder="2"/>
    </xf>
    <xf numFmtId="0" fontId="108" fillId="0" borderId="0" xfId="0" applyFont="1"/>
    <xf numFmtId="0" fontId="101" fillId="22" borderId="0" xfId="19" applyFont="1" applyFill="1" applyProtection="1">
      <alignment wrapText="1"/>
    </xf>
    <xf numFmtId="0" fontId="112" fillId="0" borderId="0" xfId="0" applyFont="1"/>
    <xf numFmtId="1" fontId="108" fillId="0" borderId="0" xfId="0" applyNumberFormat="1" applyFont="1"/>
    <xf numFmtId="0" fontId="104" fillId="22" borderId="0" xfId="19" applyFont="1" applyFill="1" applyAlignment="1" applyProtection="1">
      <alignment horizontal="center" wrapText="1"/>
      <protection locked="0"/>
    </xf>
    <xf numFmtId="1" fontId="33" fillId="5" borderId="0" xfId="19" applyNumberFormat="1" applyFont="1" applyFill="1" applyAlignment="1" applyProtection="1">
      <alignment wrapText="1" readingOrder="2"/>
    </xf>
    <xf numFmtId="1" fontId="33" fillId="0" borderId="0" xfId="0" applyNumberFormat="1" applyFont="1" applyAlignment="1">
      <alignment horizontal="center"/>
    </xf>
    <xf numFmtId="0" fontId="101" fillId="0" borderId="0" xfId="0" applyFont="1" applyAlignment="1">
      <alignment horizontal="right"/>
    </xf>
    <xf numFmtId="1" fontId="63" fillId="0" borderId="0" xfId="19" applyNumberFormat="1" applyFont="1" applyAlignment="1" applyProtection="1">
      <alignment horizontal="center" wrapText="1"/>
    </xf>
    <xf numFmtId="3" fontId="63" fillId="0" borderId="0" xfId="19" applyNumberFormat="1" applyFont="1" applyAlignment="1" applyProtection="1">
      <alignment horizontal="center" wrapText="1"/>
    </xf>
    <xf numFmtId="1" fontId="33" fillId="0" borderId="0" xfId="0" applyNumberFormat="1" applyFont="1" applyAlignment="1">
      <alignment horizontal="right"/>
    </xf>
    <xf numFmtId="0" fontId="98" fillId="19" borderId="25" xfId="0" applyFont="1" applyFill="1" applyBorder="1"/>
    <xf numFmtId="38" fontId="17" fillId="2" borderId="25" xfId="15" applyNumberFormat="1" applyFont="1" applyFill="1" applyBorder="1" applyAlignment="1">
      <alignment horizontal="center" wrapText="1"/>
    </xf>
    <xf numFmtId="1" fontId="17" fillId="2" borderId="38" xfId="15" applyNumberFormat="1" applyFont="1" applyFill="1" applyBorder="1" applyAlignment="1">
      <alignment horizontal="center" wrapText="1"/>
    </xf>
    <xf numFmtId="0" fontId="11" fillId="0" borderId="0" xfId="15" applyFont="1" applyAlignment="1">
      <alignment wrapText="1"/>
    </xf>
    <xf numFmtId="38" fontId="17" fillId="2" borderId="2" xfId="15" applyNumberFormat="1" applyFont="1" applyFill="1" applyBorder="1" applyAlignment="1">
      <alignment horizontal="center" wrapText="1"/>
    </xf>
    <xf numFmtId="1" fontId="17" fillId="2" borderId="1" xfId="15" applyNumberFormat="1" applyFont="1" applyFill="1" applyBorder="1" applyAlignment="1">
      <alignment horizontal="center" wrapText="1"/>
    </xf>
    <xf numFmtId="0" fontId="7" fillId="19" borderId="34" xfId="15" applyFill="1" applyBorder="1" applyAlignment="1">
      <alignment wrapText="1"/>
    </xf>
    <xf numFmtId="38" fontId="17" fillId="19" borderId="2" xfId="15" applyNumberFormat="1" applyFont="1" applyFill="1" applyBorder="1" applyAlignment="1">
      <alignment horizontal="center" wrapText="1"/>
    </xf>
    <xf numFmtId="1" fontId="17" fillId="19" borderId="1" xfId="15" applyNumberFormat="1" applyFont="1" applyFill="1" applyBorder="1" applyAlignment="1">
      <alignment horizontal="center" wrapText="1"/>
    </xf>
    <xf numFmtId="0" fontId="7" fillId="0" borderId="0" xfId="15" applyAlignment="1">
      <alignment wrapText="1"/>
    </xf>
    <xf numFmtId="0" fontId="97" fillId="19" borderId="67" xfId="0" applyFont="1" applyFill="1" applyBorder="1"/>
    <xf numFmtId="0" fontId="98" fillId="19" borderId="55" xfId="0" applyFont="1" applyFill="1" applyBorder="1"/>
    <xf numFmtId="49" fontId="112" fillId="0" borderId="0" xfId="0" applyNumberFormat="1" applyFont="1"/>
    <xf numFmtId="0" fontId="33" fillId="22" borderId="0" xfId="0" applyFont="1" applyFill="1" applyAlignment="1">
      <alignment horizontal="center"/>
    </xf>
    <xf numFmtId="0" fontId="33" fillId="0" borderId="0" xfId="19" applyFont="1" applyAlignment="1" applyProtection="1">
      <alignment horizontal="right" wrapText="1"/>
    </xf>
    <xf numFmtId="0" fontId="0" fillId="0" borderId="0" xfId="0" applyAlignment="1">
      <alignment vertical="center" wrapText="1"/>
    </xf>
    <xf numFmtId="0" fontId="7" fillId="0" borderId="0" xfId="0" applyFont="1" applyAlignment="1">
      <alignment vertical="center" wrapText="1"/>
    </xf>
    <xf numFmtId="0" fontId="67" fillId="0" borderId="0" xfId="0" applyFont="1" applyAlignment="1">
      <alignment vertical="center" wrapText="1"/>
    </xf>
    <xf numFmtId="0" fontId="39" fillId="0" borderId="0" xfId="19" applyFont="1" applyAlignment="1" applyProtection="1">
      <alignment horizontal="right" wrapText="1" readingOrder="2"/>
    </xf>
    <xf numFmtId="0" fontId="17" fillId="2" borderId="18" xfId="0" applyFont="1" applyFill="1" applyBorder="1" applyAlignment="1">
      <alignment horizontal="right" vertical="top" wrapText="1" readingOrder="2"/>
    </xf>
    <xf numFmtId="0" fontId="17" fillId="2" borderId="18" xfId="0" applyFont="1" applyFill="1" applyBorder="1" applyAlignment="1">
      <alignment horizontal="right" vertical="top" wrapText="1" indent="1" readingOrder="2"/>
    </xf>
    <xf numFmtId="0" fontId="17" fillId="2" borderId="85" xfId="0" applyFont="1" applyFill="1" applyBorder="1" applyAlignment="1">
      <alignment horizontal="center"/>
    </xf>
    <xf numFmtId="0" fontId="17" fillId="2" borderId="86" xfId="0" applyFont="1" applyFill="1" applyBorder="1" applyAlignment="1">
      <alignment horizontal="center"/>
    </xf>
    <xf numFmtId="0" fontId="17" fillId="2" borderId="87" xfId="0" applyFont="1" applyFill="1" applyBorder="1" applyAlignment="1">
      <alignment horizontal="center"/>
    </xf>
    <xf numFmtId="49" fontId="48" fillId="2" borderId="85" xfId="0" applyNumberFormat="1" applyFont="1" applyFill="1" applyBorder="1" applyAlignment="1">
      <alignment horizontal="center" wrapText="1" readingOrder="2"/>
    </xf>
    <xf numFmtId="49" fontId="48" fillId="2" borderId="86" xfId="0" applyNumberFormat="1" applyFont="1" applyFill="1" applyBorder="1" applyAlignment="1">
      <alignment horizontal="center" wrapText="1" readingOrder="2"/>
    </xf>
    <xf numFmtId="38" fontId="48" fillId="7" borderId="85" xfId="0" applyNumberFormat="1" applyFont="1" applyFill="1" applyBorder="1" applyAlignment="1" applyProtection="1">
      <alignment horizontal="right"/>
    </xf>
    <xf numFmtId="38" fontId="48" fillId="7" borderId="86" xfId="0" applyNumberFormat="1" applyFont="1" applyFill="1" applyBorder="1" applyAlignment="1" applyProtection="1">
      <alignment horizontal="right"/>
    </xf>
    <xf numFmtId="38" fontId="48" fillId="7" borderId="87" xfId="0" applyNumberFormat="1" applyFont="1" applyFill="1" applyBorder="1" applyAlignment="1" applyProtection="1">
      <alignment horizontal="right"/>
    </xf>
    <xf numFmtId="38" fontId="48" fillId="7" borderId="85" xfId="0" applyNumberFormat="1" applyFont="1" applyFill="1" applyBorder="1" applyAlignment="1" applyProtection="1">
      <alignment horizontal="right"/>
      <protection locked="0"/>
    </xf>
    <xf numFmtId="38" fontId="48" fillId="7" borderId="86" xfId="0" applyNumberFormat="1" applyFont="1" applyFill="1" applyBorder="1" applyAlignment="1" applyProtection="1">
      <alignment horizontal="right"/>
      <protection locked="0"/>
    </xf>
    <xf numFmtId="38" fontId="48" fillId="7" borderId="87" xfId="0" applyNumberFormat="1" applyFont="1" applyFill="1" applyBorder="1" applyAlignment="1" applyProtection="1">
      <alignment horizontal="right"/>
      <protection locked="0"/>
    </xf>
    <xf numFmtId="38" fontId="48" fillId="19" borderId="85" xfId="0" applyNumberFormat="1" applyFont="1" applyFill="1" applyBorder="1" applyAlignment="1" applyProtection="1">
      <alignment horizontal="right"/>
      <protection locked="0"/>
    </xf>
    <xf numFmtId="38" fontId="48" fillId="19" borderId="86" xfId="0" applyNumberFormat="1" applyFont="1" applyFill="1" applyBorder="1" applyAlignment="1" applyProtection="1">
      <alignment horizontal="right"/>
      <protection locked="0"/>
    </xf>
    <xf numFmtId="38" fontId="48" fillId="19" borderId="87" xfId="0" applyNumberFormat="1" applyFont="1" applyFill="1" applyBorder="1" applyAlignment="1" applyProtection="1">
      <alignment horizontal="right"/>
      <protection locked="0"/>
    </xf>
    <xf numFmtId="0" fontId="48" fillId="2" borderId="18" xfId="0" applyFont="1" applyFill="1" applyBorder="1" applyAlignment="1">
      <alignment horizontal="right" vertical="top" wrapText="1" indent="2" readingOrder="2"/>
    </xf>
    <xf numFmtId="0" fontId="9" fillId="0" borderId="0" xfId="19" applyFont="1" applyFill="1" applyBorder="1" applyAlignment="1" applyProtection="1">
      <alignment horizontal="right" readingOrder="2"/>
    </xf>
    <xf numFmtId="0" fontId="58" fillId="21" borderId="50" xfId="9" applyFont="1" applyFill="1" applyBorder="1" applyAlignment="1" applyProtection="1">
      <alignment horizontal="center" readingOrder="2"/>
    </xf>
    <xf numFmtId="2" fontId="58" fillId="21" borderId="29" xfId="9" applyNumberFormat="1" applyFont="1" applyFill="1" applyBorder="1" applyAlignment="1" applyProtection="1">
      <alignment horizontal="right" wrapText="1" readingOrder="1"/>
    </xf>
    <xf numFmtId="0" fontId="58" fillId="21" borderId="50" xfId="9" applyFont="1" applyFill="1" applyBorder="1" applyAlignment="1" applyProtection="1">
      <alignment horizontal="center" wrapText="1"/>
    </xf>
    <xf numFmtId="0" fontId="58" fillId="21" borderId="29" xfId="9" applyFont="1" applyFill="1" applyBorder="1" applyAlignment="1" applyProtection="1">
      <alignment horizontal="right" wrapText="1" readingOrder="1"/>
    </xf>
    <xf numFmtId="0" fontId="58" fillId="21" borderId="29" xfId="9" applyFont="1" applyFill="1" applyBorder="1" applyAlignment="1" applyProtection="1">
      <alignment horizontal="right" wrapText="1"/>
    </xf>
    <xf numFmtId="0" fontId="39" fillId="0" borderId="0" xfId="11" applyFont="1" applyAlignment="1">
      <alignment horizontal="right" readingOrder="1"/>
    </xf>
    <xf numFmtId="0" fontId="48" fillId="0" borderId="0" xfId="11" applyFont="1" applyAlignment="1">
      <alignment wrapText="1" readingOrder="2"/>
    </xf>
    <xf numFmtId="0" fontId="39" fillId="2" borderId="34" xfId="11" applyFont="1" applyFill="1" applyBorder="1" applyAlignment="1">
      <alignment horizontal="center" vertical="center" wrapText="1" readingOrder="2"/>
    </xf>
    <xf numFmtId="0" fontId="39" fillId="2" borderId="25" xfId="11" applyFont="1" applyFill="1" applyBorder="1" applyAlignment="1">
      <alignment horizontal="center" vertical="center" wrapText="1" readingOrder="2"/>
    </xf>
    <xf numFmtId="0" fontId="21" fillId="2" borderId="80" xfId="11" applyFont="1" applyFill="1" applyBorder="1" applyAlignment="1">
      <alignment horizontal="center" wrapText="1" readingOrder="2"/>
    </xf>
    <xf numFmtId="0" fontId="21" fillId="2" borderId="38" xfId="11" applyFont="1" applyFill="1" applyBorder="1" applyAlignment="1">
      <alignment horizontal="center" wrapText="1" readingOrder="2"/>
    </xf>
    <xf numFmtId="0" fontId="11" fillId="2" borderId="25" xfId="11" applyFont="1" applyFill="1" applyBorder="1"/>
    <xf numFmtId="49" fontId="21" fillId="2" borderId="80" xfId="11" applyNumberFormat="1" applyFont="1" applyFill="1" applyBorder="1" applyAlignment="1">
      <alignment horizontal="center" wrapText="1" readingOrder="2"/>
    </xf>
    <xf numFmtId="49" fontId="21" fillId="2" borderId="38" xfId="11" applyNumberFormat="1" applyFont="1" applyFill="1" applyBorder="1" applyAlignment="1">
      <alignment horizontal="center" wrapText="1" readingOrder="2"/>
    </xf>
    <xf numFmtId="0" fontId="17" fillId="2" borderId="25" xfId="11" applyFont="1" applyFill="1" applyBorder="1" applyAlignment="1">
      <alignment horizontal="justify" vertical="top" wrapText="1" readingOrder="2"/>
    </xf>
    <xf numFmtId="38" fontId="48" fillId="7" borderId="80" xfId="11" applyNumberFormat="1" applyFont="1" applyFill="1" applyBorder="1" applyAlignment="1" applyProtection="1">
      <alignment horizontal="right"/>
    </xf>
    <xf numFmtId="38" fontId="48" fillId="7" borderId="38" xfId="11" applyNumberFormat="1" applyFont="1" applyFill="1" applyBorder="1" applyAlignment="1" applyProtection="1">
      <alignment horizontal="right"/>
    </xf>
    <xf numFmtId="0" fontId="48" fillId="2" borderId="25" xfId="11" applyFont="1" applyFill="1" applyBorder="1" applyAlignment="1">
      <alignment horizontal="right" vertical="top" wrapText="1" indent="1" readingOrder="2"/>
    </xf>
    <xf numFmtId="38" fontId="48" fillId="7" borderId="80" xfId="11" applyNumberFormat="1" applyFont="1" applyFill="1" applyBorder="1" applyAlignment="1" applyProtection="1">
      <alignment horizontal="right"/>
      <protection locked="0"/>
    </xf>
    <xf numFmtId="38" fontId="48" fillId="7" borderId="38" xfId="11" applyNumberFormat="1" applyFont="1" applyFill="1" applyBorder="1" applyAlignment="1" applyProtection="1">
      <alignment horizontal="right"/>
      <protection locked="0"/>
    </xf>
    <xf numFmtId="0" fontId="48" fillId="2" borderId="25" xfId="11" applyFont="1" applyFill="1" applyBorder="1" applyAlignment="1">
      <alignment horizontal="justify" vertical="top" wrapText="1" readingOrder="2"/>
    </xf>
    <xf numFmtId="38" fontId="48" fillId="19" borderId="38" xfId="11" applyNumberFormat="1" applyFont="1" applyFill="1" applyBorder="1" applyAlignment="1" applyProtection="1">
      <alignment horizontal="right"/>
    </xf>
    <xf numFmtId="0" fontId="21" fillId="19" borderId="25" xfId="11" applyFont="1" applyFill="1" applyBorder="1" applyAlignment="1">
      <alignment horizontal="left"/>
    </xf>
    <xf numFmtId="174" fontId="48" fillId="7" borderId="38" xfId="11" applyNumberFormat="1" applyFont="1" applyFill="1" applyBorder="1" applyAlignment="1" applyProtection="1">
      <alignment horizontal="right"/>
      <protection locked="0"/>
    </xf>
    <xf numFmtId="0" fontId="21" fillId="19" borderId="4" xfId="11" applyFont="1" applyFill="1" applyBorder="1" applyAlignment="1">
      <alignment horizontal="left"/>
    </xf>
    <xf numFmtId="38" fontId="48" fillId="7" borderId="31" xfId="11" applyNumberFormat="1" applyFont="1" applyFill="1" applyBorder="1" applyAlignment="1" applyProtection="1">
      <alignment horizontal="right"/>
    </xf>
    <xf numFmtId="174" fontId="48" fillId="7" borderId="3" xfId="11" applyNumberFormat="1" applyFont="1" applyFill="1" applyBorder="1" applyAlignment="1" applyProtection="1">
      <alignment horizontal="right"/>
      <protection locked="0"/>
    </xf>
    <xf numFmtId="0" fontId="11" fillId="0" borderId="0" xfId="11" applyFont="1"/>
    <xf numFmtId="0" fontId="58" fillId="21" borderId="69" xfId="9" applyFont="1" applyFill="1" applyBorder="1" applyAlignment="1" applyProtection="1">
      <alignment horizontal="center"/>
    </xf>
    <xf numFmtId="0" fontId="114" fillId="21" borderId="69" xfId="9" applyFont="1" applyFill="1" applyBorder="1" applyAlignment="1" applyProtection="1">
      <alignment horizontal="center"/>
    </xf>
    <xf numFmtId="0" fontId="114" fillId="21" borderId="35" xfId="9" applyFont="1" applyFill="1" applyBorder="1" applyAlignment="1" applyProtection="1">
      <alignment horizontal="right" wrapText="1" readingOrder="2"/>
    </xf>
    <xf numFmtId="0" fontId="114" fillId="21" borderId="50" xfId="9" applyFont="1" applyFill="1" applyBorder="1" applyAlignment="1" applyProtection="1">
      <alignment horizontal="center"/>
    </xf>
    <xf numFmtId="0" fontId="114" fillId="21" borderId="29" xfId="9" applyFont="1" applyFill="1" applyBorder="1" applyAlignment="1" applyProtection="1"/>
    <xf numFmtId="0" fontId="11" fillId="2" borderId="34" xfId="0" applyFont="1" applyFill="1" applyBorder="1"/>
    <xf numFmtId="0" fontId="33" fillId="2" borderId="2" xfId="0" applyFont="1" applyFill="1" applyBorder="1" applyAlignment="1">
      <alignment horizontal="center" vertical="top" wrapText="1" readingOrder="2"/>
    </xf>
    <xf numFmtId="0" fontId="33" fillId="2" borderId="1" xfId="0" applyFont="1" applyFill="1" applyBorder="1" applyAlignment="1">
      <alignment horizontal="center" vertical="top" wrapText="1" readingOrder="2"/>
    </xf>
    <xf numFmtId="38" fontId="17" fillId="2" borderId="18" xfId="0" applyNumberFormat="1" applyFont="1" applyFill="1" applyBorder="1" applyAlignment="1">
      <alignment horizontal="right" wrapText="1" readingOrder="2"/>
    </xf>
    <xf numFmtId="0" fontId="17" fillId="2" borderId="50" xfId="0" applyFont="1" applyFill="1" applyBorder="1" applyAlignment="1">
      <alignment wrapText="1" readingOrder="2"/>
    </xf>
    <xf numFmtId="3" fontId="11" fillId="7" borderId="80" xfId="0" applyNumberFormat="1" applyFont="1" applyFill="1" applyBorder="1" applyProtection="1">
      <protection locked="0"/>
    </xf>
    <xf numFmtId="0" fontId="33" fillId="2" borderId="80" xfId="0" applyFont="1" applyFill="1" applyBorder="1" applyAlignment="1">
      <alignment horizontal="center" vertical="top" wrapText="1" readingOrder="2"/>
    </xf>
    <xf numFmtId="0" fontId="115" fillId="21" borderId="50" xfId="9" applyFont="1" applyFill="1" applyBorder="1" applyAlignment="1" applyProtection="1">
      <alignment horizontal="center" readingOrder="2"/>
    </xf>
    <xf numFmtId="2" fontId="115" fillId="21" borderId="29" xfId="9" applyNumberFormat="1" applyFont="1" applyFill="1" applyBorder="1" applyAlignment="1" applyProtection="1">
      <alignment horizontal="right" wrapText="1" readingOrder="2"/>
    </xf>
    <xf numFmtId="0" fontId="52" fillId="0" borderId="0" xfId="0" applyFont="1" applyFill="1" applyAlignment="1">
      <alignment horizontal="right" readingOrder="1"/>
    </xf>
    <xf numFmtId="0" fontId="11" fillId="0" borderId="0" xfId="0" applyFont="1" applyFill="1"/>
    <xf numFmtId="0" fontId="12" fillId="0" borderId="0" xfId="9" applyAlignment="1" applyProtection="1">
      <alignment horizontal="justify" readingOrder="2"/>
    </xf>
    <xf numFmtId="0" fontId="18" fillId="0" borderId="0" xfId="11"/>
    <xf numFmtId="164" fontId="116" fillId="0" borderId="0" xfId="11" applyNumberFormat="1" applyFont="1"/>
    <xf numFmtId="0" fontId="48" fillId="2" borderId="34" xfId="11" applyFont="1" applyFill="1" applyBorder="1" applyAlignment="1">
      <alignment horizontal="right" vertical="top" wrapText="1" readingOrder="2"/>
    </xf>
    <xf numFmtId="0" fontId="21" fillId="2" borderId="2" xfId="11" applyFont="1" applyFill="1" applyBorder="1" applyAlignment="1">
      <alignment horizontal="center" wrapText="1" readingOrder="2"/>
    </xf>
    <xf numFmtId="1" fontId="21" fillId="2" borderId="1" xfId="11" applyNumberFormat="1" applyFont="1" applyFill="1" applyBorder="1" applyAlignment="1">
      <alignment horizontal="center" wrapText="1" readingOrder="2"/>
    </xf>
    <xf numFmtId="0" fontId="7" fillId="2" borderId="25" xfId="11" applyFont="1" applyFill="1" applyBorder="1" applyAlignment="1">
      <alignment horizontal="right" indent="2"/>
    </xf>
    <xf numFmtId="3" fontId="18" fillId="7" borderId="80" xfId="11" applyNumberFormat="1" applyFill="1" applyBorder="1" applyProtection="1">
      <protection locked="0"/>
    </xf>
    <xf numFmtId="3" fontId="48" fillId="7" borderId="38" xfId="11" applyNumberFormat="1" applyFont="1" applyFill="1" applyBorder="1" applyAlignment="1" applyProtection="1">
      <alignment wrapText="1" readingOrder="2"/>
      <protection locked="0"/>
    </xf>
    <xf numFmtId="3" fontId="18" fillId="7" borderId="38" xfId="11" applyNumberFormat="1" applyFill="1" applyBorder="1" applyProtection="1">
      <protection locked="0"/>
    </xf>
    <xf numFmtId="0" fontId="7" fillId="2" borderId="4" xfId="11" applyFont="1" applyFill="1" applyBorder="1" applyAlignment="1">
      <alignment horizontal="right" indent="2"/>
    </xf>
    <xf numFmtId="3" fontId="18" fillId="19" borderId="31" xfId="11" applyNumberFormat="1" applyFill="1" applyBorder="1" applyProtection="1"/>
    <xf numFmtId="3" fontId="48" fillId="19" borderId="3" xfId="11" applyNumberFormat="1" applyFont="1" applyFill="1" applyBorder="1" applyAlignment="1" applyProtection="1">
      <alignment wrapText="1" readingOrder="2"/>
    </xf>
    <xf numFmtId="0" fontId="11" fillId="2" borderId="34" xfId="11" applyFont="1" applyFill="1" applyBorder="1"/>
    <xf numFmtId="0" fontId="33" fillId="2" borderId="2" xfId="11" applyFont="1" applyFill="1" applyBorder="1" applyAlignment="1">
      <alignment horizontal="center" vertical="top" wrapText="1" readingOrder="2"/>
    </xf>
    <xf numFmtId="0" fontId="33" fillId="2" borderId="1" xfId="11" applyFont="1" applyFill="1" applyBorder="1" applyAlignment="1">
      <alignment horizontal="center" vertical="top" wrapText="1" readingOrder="2"/>
    </xf>
    <xf numFmtId="0" fontId="39" fillId="2" borderId="18" xfId="11" applyFont="1" applyFill="1" applyBorder="1" applyAlignment="1">
      <alignment vertical="top" wrapText="1" readingOrder="2"/>
    </xf>
    <xf numFmtId="0" fontId="39" fillId="2" borderId="20" xfId="11" applyFont="1" applyFill="1" applyBorder="1" applyAlignment="1">
      <alignment vertical="top" wrapText="1" readingOrder="2"/>
    </xf>
    <xf numFmtId="0" fontId="39" fillId="2" borderId="50" xfId="11" applyFont="1" applyFill="1" applyBorder="1" applyAlignment="1">
      <alignment vertical="top" wrapText="1" readingOrder="2"/>
    </xf>
    <xf numFmtId="0" fontId="33" fillId="2" borderId="38" xfId="11" applyFont="1" applyFill="1" applyBorder="1" applyAlignment="1">
      <alignment horizontal="center" vertical="top" wrapText="1" readingOrder="2"/>
    </xf>
    <xf numFmtId="3" fontId="11" fillId="7" borderId="80" xfId="11" applyNumberFormat="1" applyFont="1" applyFill="1" applyBorder="1" applyProtection="1">
      <protection locked="0"/>
    </xf>
    <xf numFmtId="3" fontId="11" fillId="2" borderId="38" xfId="11" applyNumberFormat="1" applyFont="1" applyFill="1" applyBorder="1"/>
    <xf numFmtId="0" fontId="17" fillId="2" borderId="4" xfId="11" applyFont="1" applyFill="1" applyBorder="1" applyAlignment="1">
      <alignment horizontal="justify" vertical="top" wrapText="1" readingOrder="2"/>
    </xf>
    <xf numFmtId="3" fontId="11" fillId="2" borderId="31" xfId="11" applyNumberFormat="1" applyFont="1" applyFill="1" applyBorder="1"/>
    <xf numFmtId="3" fontId="11" fillId="2" borderId="3" xfId="11" applyNumberFormat="1" applyFont="1" applyFill="1" applyBorder="1"/>
    <xf numFmtId="0" fontId="39" fillId="2" borderId="18" xfId="11" applyFont="1" applyFill="1" applyBorder="1" applyAlignment="1">
      <alignment horizontal="right" vertical="top" wrapText="1" readingOrder="2"/>
    </xf>
    <xf numFmtId="3" fontId="33" fillId="7" borderId="32" xfId="0" applyNumberFormat="1" applyFont="1" applyFill="1" applyBorder="1" applyProtection="1">
      <protection locked="0"/>
    </xf>
    <xf numFmtId="3" fontId="33" fillId="7" borderId="32" xfId="0" applyNumberFormat="1" applyFont="1" applyFill="1" applyBorder="1" applyAlignment="1" applyProtection="1">
      <alignment horizontal="center"/>
      <protection locked="0"/>
    </xf>
    <xf numFmtId="0" fontId="54" fillId="0" borderId="0" xfId="9" applyFont="1" applyAlignment="1" applyProtection="1"/>
    <xf numFmtId="0" fontId="117" fillId="0" borderId="0" xfId="9" applyFont="1" applyAlignment="1" applyProtection="1"/>
    <xf numFmtId="0" fontId="58" fillId="21" borderId="0" xfId="9" applyFont="1" applyFill="1" applyAlignment="1" applyProtection="1"/>
    <xf numFmtId="0" fontId="39" fillId="0" borderId="0" xfId="19" applyFont="1" applyFill="1" applyAlignment="1" applyProtection="1">
      <alignment horizontal="center" wrapText="1"/>
    </xf>
    <xf numFmtId="0" fontId="54" fillId="5" borderId="0" xfId="9" applyFont="1" applyFill="1" applyAlignment="1" applyProtection="1">
      <alignment horizontal="right"/>
    </xf>
    <xf numFmtId="0" fontId="39" fillId="21" borderId="0" xfId="19" applyFont="1" applyFill="1" applyAlignment="1" applyProtection="1"/>
    <xf numFmtId="0" fontId="39" fillId="21" borderId="0" xfId="19" applyFont="1" applyFill="1" applyProtection="1">
      <alignment wrapText="1"/>
    </xf>
    <xf numFmtId="0" fontId="54" fillId="0" borderId="0" xfId="9" applyFont="1" applyAlignment="1" applyProtection="1">
      <alignment horizontal="center"/>
    </xf>
    <xf numFmtId="0" fontId="86" fillId="18" borderId="50" xfId="9" applyFont="1" applyFill="1" applyBorder="1" applyAlignment="1" applyProtection="1">
      <alignment horizontal="center" wrapText="1"/>
    </xf>
    <xf numFmtId="49" fontId="118" fillId="0" borderId="0" xfId="0" applyNumberFormat="1" applyFont="1"/>
    <xf numFmtId="49" fontId="7" fillId="0" borderId="0" xfId="15" applyNumberFormat="1"/>
    <xf numFmtId="0" fontId="48" fillId="2" borderId="18" xfId="0" applyFont="1" applyFill="1" applyBorder="1" applyAlignment="1" applyProtection="1">
      <alignment horizontal="right" vertical="top" wrapText="1" indent="2" readingOrder="2"/>
    </xf>
    <xf numFmtId="0" fontId="17" fillId="2" borderId="18" xfId="0" applyFont="1" applyFill="1" applyBorder="1" applyAlignment="1" applyProtection="1">
      <alignment horizontal="right" vertical="top" wrapText="1" indent="1" readingOrder="2"/>
    </xf>
    <xf numFmtId="0" fontId="17" fillId="2" borderId="18" xfId="0" applyFont="1" applyFill="1" applyBorder="1" applyAlignment="1" applyProtection="1">
      <alignment horizontal="right" vertical="top" wrapText="1" readingOrder="2"/>
    </xf>
    <xf numFmtId="38" fontId="48" fillId="19" borderId="85" xfId="0" applyNumberFormat="1" applyFont="1" applyFill="1" applyBorder="1" applyAlignment="1" applyProtection="1">
      <alignment horizontal="right"/>
    </xf>
    <xf numFmtId="38" fontId="48" fillId="19" borderId="86" xfId="0" applyNumberFormat="1" applyFont="1" applyFill="1" applyBorder="1" applyAlignment="1" applyProtection="1">
      <alignment horizontal="right"/>
    </xf>
    <xf numFmtId="38" fontId="48" fillId="19" borderId="87" xfId="0" applyNumberFormat="1" applyFont="1" applyFill="1" applyBorder="1" applyAlignment="1" applyProtection="1">
      <alignment horizontal="right"/>
    </xf>
    <xf numFmtId="38" fontId="48" fillId="18" borderId="85" xfId="0" applyNumberFormat="1" applyFont="1" applyFill="1" applyBorder="1" applyAlignment="1" applyProtection="1">
      <alignment horizontal="right"/>
    </xf>
    <xf numFmtId="0" fontId="119" fillId="0" borderId="0" xfId="0" applyFont="1"/>
    <xf numFmtId="3" fontId="21" fillId="5" borderId="0" xfId="18" applyNumberFormat="1" applyFont="1" applyFill="1" applyAlignment="1" applyProtection="1">
      <alignment horizontal="right" wrapText="1"/>
    </xf>
    <xf numFmtId="38" fontId="48" fillId="7" borderId="80" xfId="15" applyNumberFormat="1" applyFont="1" applyFill="1" applyBorder="1" applyAlignment="1" applyProtection="1">
      <alignment horizontal="right"/>
    </xf>
    <xf numFmtId="0" fontId="11" fillId="2" borderId="67" xfId="15" applyFont="1" applyFill="1" applyBorder="1"/>
    <xf numFmtId="0" fontId="11" fillId="2" borderId="68" xfId="15" applyFont="1" applyFill="1" applyBorder="1"/>
    <xf numFmtId="0" fontId="33" fillId="2" borderId="81" xfId="15" applyFont="1" applyFill="1" applyBorder="1" applyAlignment="1">
      <alignment horizontal="center" vertical="top" wrapText="1" readingOrder="2"/>
    </xf>
    <xf numFmtId="0" fontId="33" fillId="2" borderId="80" xfId="15" applyFont="1" applyFill="1" applyBorder="1" applyAlignment="1">
      <alignment horizontal="center" vertical="top" wrapText="1" readingOrder="2"/>
    </xf>
    <xf numFmtId="0" fontId="33" fillId="2" borderId="38" xfId="15" applyFont="1" applyFill="1" applyBorder="1" applyAlignment="1">
      <alignment horizontal="center" vertical="top" wrapText="1" readingOrder="2"/>
    </xf>
    <xf numFmtId="38" fontId="17" fillId="2" borderId="18" xfId="15" applyNumberFormat="1" applyFont="1" applyFill="1" applyBorder="1" applyAlignment="1">
      <alignment horizontal="right" wrapText="1" readingOrder="2"/>
    </xf>
    <xf numFmtId="0" fontId="17" fillId="2" borderId="50" xfId="15" applyFont="1" applyFill="1" applyBorder="1" applyAlignment="1">
      <alignment wrapText="1" readingOrder="2"/>
    </xf>
    <xf numFmtId="0" fontId="39" fillId="2" borderId="20" xfId="15" applyFont="1" applyFill="1" applyBorder="1" applyAlignment="1">
      <alignment vertical="top" wrapText="1" readingOrder="2"/>
    </xf>
    <xf numFmtId="0" fontId="39" fillId="2" borderId="50" xfId="15" applyFont="1" applyFill="1" applyBorder="1" applyAlignment="1">
      <alignment vertical="top" wrapText="1" readingOrder="2"/>
    </xf>
    <xf numFmtId="0" fontId="48" fillId="2" borderId="25" xfId="15" applyFont="1" applyFill="1" applyBorder="1" applyAlignment="1" applyProtection="1">
      <alignment horizontal="right" vertical="top" wrapText="1" indent="2" readingOrder="2"/>
      <protection locked="0"/>
    </xf>
    <xf numFmtId="3" fontId="11" fillId="7" borderId="80" xfId="15" applyNumberFormat="1" applyFont="1" applyFill="1" applyBorder="1" applyProtection="1">
      <protection locked="0"/>
    </xf>
    <xf numFmtId="3" fontId="11" fillId="2" borderId="38" xfId="15" applyNumberFormat="1" applyFont="1" applyFill="1" applyBorder="1"/>
    <xf numFmtId="3" fontId="11" fillId="7" borderId="81" xfId="15" applyNumberFormat="1" applyFont="1" applyFill="1" applyBorder="1" applyProtection="1">
      <protection locked="0"/>
    </xf>
    <xf numFmtId="3" fontId="11" fillId="2" borderId="58" xfId="15" applyNumberFormat="1" applyFont="1" applyFill="1" applyBorder="1"/>
    <xf numFmtId="0" fontId="48" fillId="2" borderId="4" xfId="15" applyFont="1" applyFill="1" applyBorder="1" applyAlignment="1">
      <alignment horizontal="justify" vertical="top" wrapText="1" readingOrder="2"/>
    </xf>
    <xf numFmtId="3" fontId="11" fillId="2" borderId="31" xfId="15" applyNumberFormat="1" applyFont="1" applyFill="1" applyBorder="1"/>
    <xf numFmtId="3" fontId="11" fillId="2" borderId="3" xfId="15" applyNumberFormat="1" applyFont="1" applyFill="1" applyBorder="1"/>
    <xf numFmtId="0" fontId="7" fillId="2" borderId="5" xfId="15" applyFill="1" applyBorder="1"/>
    <xf numFmtId="1" fontId="39" fillId="2" borderId="18" xfId="15" applyNumberFormat="1" applyFont="1" applyFill="1" applyBorder="1" applyAlignment="1">
      <alignment vertical="top" wrapText="1" readingOrder="2"/>
    </xf>
    <xf numFmtId="0" fontId="7" fillId="7" borderId="55" xfId="15" applyFill="1" applyBorder="1"/>
    <xf numFmtId="0" fontId="7" fillId="2" borderId="80" xfId="15" applyFill="1" applyBorder="1" applyAlignment="1">
      <alignment horizontal="center" wrapText="1"/>
    </xf>
    <xf numFmtId="0" fontId="7" fillId="2" borderId="38" xfId="15" applyFill="1" applyBorder="1" applyAlignment="1">
      <alignment horizontal="center" wrapText="1"/>
    </xf>
    <xf numFmtId="3" fontId="11" fillId="2" borderId="80" xfId="15" applyNumberFormat="1" applyFont="1" applyFill="1" applyBorder="1"/>
    <xf numFmtId="3" fontId="48" fillId="7" borderId="80" xfId="15" applyNumberFormat="1" applyFont="1" applyFill="1" applyBorder="1" applyAlignment="1" applyProtection="1">
      <alignment horizontal="right"/>
    </xf>
    <xf numFmtId="3" fontId="48" fillId="7" borderId="38" xfId="15" applyNumberFormat="1" applyFont="1" applyFill="1" applyBorder="1" applyAlignment="1" applyProtection="1">
      <alignment horizontal="right"/>
    </xf>
    <xf numFmtId="3" fontId="11" fillId="7" borderId="97" xfId="15" applyNumberFormat="1" applyFont="1" applyFill="1" applyBorder="1" applyProtection="1">
      <protection locked="0"/>
    </xf>
    <xf numFmtId="3" fontId="11" fillId="2" borderId="98" xfId="15" applyNumberFormat="1" applyFont="1" applyFill="1" applyBorder="1"/>
    <xf numFmtId="3" fontId="11" fillId="2" borderId="80" xfId="15" applyNumberFormat="1" applyFont="1" applyFill="1" applyBorder="1" applyProtection="1">
      <protection locked="0"/>
    </xf>
    <xf numFmtId="0" fontId="7" fillId="0" borderId="0" xfId="15" applyAlignment="1">
      <alignment horizontal="center"/>
    </xf>
    <xf numFmtId="0" fontId="137" fillId="0" borderId="0" xfId="13" applyFont="1"/>
    <xf numFmtId="3" fontId="65" fillId="20" borderId="83" xfId="18" applyNumberFormat="1" applyFont="1" applyFill="1" applyBorder="1" applyAlignment="1" applyProtection="1">
      <alignment horizontal="center" vertical="center" wrapText="1"/>
    </xf>
    <xf numFmtId="0" fontId="138" fillId="20" borderId="85" xfId="13" applyFont="1" applyFill="1" applyBorder="1" applyAlignment="1" applyProtection="1">
      <alignment horizontal="center" vertical="center"/>
    </xf>
    <xf numFmtId="3" fontId="91" fillId="20" borderId="86" xfId="18" applyNumberFormat="1" applyFont="1" applyFill="1" applyBorder="1" applyAlignment="1" applyProtection="1">
      <alignment horizontal="centerContinuous" vertical="center" wrapText="1"/>
    </xf>
    <xf numFmtId="0" fontId="138" fillId="20" borderId="99" xfId="13" applyFont="1" applyFill="1" applyBorder="1" applyAlignment="1" applyProtection="1">
      <alignment horizontal="center" vertical="center"/>
    </xf>
    <xf numFmtId="49" fontId="139" fillId="20" borderId="100" xfId="13" applyNumberFormat="1" applyFont="1" applyFill="1" applyBorder="1" applyAlignment="1">
      <alignment horizontal="center" vertical="center"/>
    </xf>
    <xf numFmtId="0" fontId="139" fillId="20" borderId="82" xfId="13" applyFont="1" applyFill="1" applyBorder="1" applyAlignment="1" applyProtection="1">
      <alignment horizontal="right" wrapText="1" readingOrder="2"/>
    </xf>
    <xf numFmtId="38" fontId="137" fillId="20" borderId="83" xfId="13" applyNumberFormat="1" applyFont="1" applyFill="1" applyBorder="1"/>
    <xf numFmtId="0" fontId="139" fillId="20" borderId="85" xfId="13" applyFont="1" applyFill="1" applyBorder="1" applyAlignment="1" applyProtection="1">
      <alignment horizontal="right" wrapText="1" indent="3" readingOrder="2"/>
    </xf>
    <xf numFmtId="38" fontId="137" fillId="20" borderId="86" xfId="13" applyNumberFormat="1" applyFont="1" applyFill="1" applyBorder="1"/>
    <xf numFmtId="38" fontId="137" fillId="18" borderId="86" xfId="13" applyNumberFormat="1" applyFont="1" applyFill="1" applyBorder="1" applyProtection="1">
      <protection locked="0"/>
    </xf>
    <xf numFmtId="0" fontId="139" fillId="20" borderId="85" xfId="13" applyFont="1" applyFill="1" applyBorder="1" applyAlignment="1" applyProtection="1">
      <alignment horizontal="right" wrapText="1" readingOrder="2"/>
    </xf>
    <xf numFmtId="38" fontId="137" fillId="18" borderId="86" xfId="13" applyNumberFormat="1" applyFont="1" applyFill="1" applyBorder="1" applyProtection="1"/>
    <xf numFmtId="0" fontId="137" fillId="20" borderId="86" xfId="13" applyFont="1" applyFill="1" applyBorder="1"/>
    <xf numFmtId="38" fontId="137" fillId="20" borderId="86" xfId="13" applyNumberFormat="1" applyFont="1" applyFill="1" applyBorder="1" applyProtection="1"/>
    <xf numFmtId="10" fontId="137" fillId="18" borderId="86" xfId="13" applyNumberFormat="1" applyFont="1" applyFill="1" applyBorder="1" applyProtection="1"/>
    <xf numFmtId="0" fontId="139" fillId="20" borderId="85" xfId="13" applyFont="1" applyFill="1" applyBorder="1" applyAlignment="1" applyProtection="1">
      <alignment horizontal="right" wrapText="1" indent="2" readingOrder="2"/>
    </xf>
    <xf numFmtId="0" fontId="139" fillId="20" borderId="101" xfId="13" applyFont="1" applyFill="1" applyBorder="1" applyAlignment="1" applyProtection="1">
      <alignment horizontal="right" wrapText="1" readingOrder="2"/>
    </xf>
    <xf numFmtId="38" fontId="137" fillId="18" borderId="102" xfId="13" applyNumberFormat="1" applyFont="1" applyFill="1" applyBorder="1" applyProtection="1">
      <protection locked="0"/>
    </xf>
    <xf numFmtId="0" fontId="109" fillId="0" borderId="0" xfId="17" applyFont="1"/>
    <xf numFmtId="10" fontId="137" fillId="56" borderId="86" xfId="13" applyNumberFormat="1" applyFont="1" applyFill="1" applyBorder="1" applyProtection="1"/>
    <xf numFmtId="38" fontId="137" fillId="18" borderId="100" xfId="13" applyNumberFormat="1" applyFont="1" applyFill="1" applyBorder="1" applyProtection="1">
      <protection locked="0"/>
    </xf>
    <xf numFmtId="0" fontId="139" fillId="20" borderId="99" xfId="13" applyFont="1" applyFill="1" applyBorder="1" applyAlignment="1" applyProtection="1">
      <alignment horizontal="right" wrapText="1" indent="3" readingOrder="2"/>
    </xf>
    <xf numFmtId="0" fontId="9" fillId="21" borderId="0" xfId="19" applyFont="1" applyFill="1" applyAlignment="1" applyProtection="1">
      <alignment horizontal="right" vertical="center"/>
    </xf>
    <xf numFmtId="0" fontId="140" fillId="0" borderId="0" xfId="17" applyFont="1"/>
    <xf numFmtId="0" fontId="55" fillId="0" borderId="0" xfId="19" applyFont="1" applyFill="1" applyBorder="1" applyAlignment="1" applyProtection="1">
      <alignment horizontal="center" wrapText="1" readingOrder="1"/>
    </xf>
    <xf numFmtId="49" fontId="94" fillId="0" borderId="0" xfId="9" applyNumberFormat="1" applyFont="1" applyAlignment="1" applyProtection="1"/>
    <xf numFmtId="0" fontId="94" fillId="0" borderId="0" xfId="9" applyFont="1" applyAlignment="1" applyProtection="1"/>
    <xf numFmtId="3" fontId="48" fillId="7" borderId="25" xfId="0" applyNumberFormat="1" applyFont="1" applyFill="1" applyBorder="1" applyAlignment="1" applyProtection="1">
      <alignment horizontal="right"/>
      <protection locked="0"/>
    </xf>
    <xf numFmtId="3" fontId="48" fillId="7" borderId="38" xfId="0" applyNumberFormat="1" applyFont="1" applyFill="1" applyBorder="1" applyAlignment="1" applyProtection="1">
      <alignment horizontal="right"/>
      <protection locked="0"/>
    </xf>
    <xf numFmtId="3" fontId="33" fillId="21" borderId="3" xfId="19" applyNumberFormat="1" applyFont="1" applyFill="1" applyBorder="1" applyAlignment="1" applyProtection="1">
      <alignment wrapText="1"/>
    </xf>
    <xf numFmtId="0" fontId="143" fillId="26" borderId="85" xfId="15" applyFont="1" applyFill="1" applyBorder="1" applyAlignment="1" applyProtection="1">
      <alignment horizontal="right" vertical="top" wrapText="1" readingOrder="2"/>
      <protection locked="0"/>
    </xf>
    <xf numFmtId="0" fontId="143" fillId="26" borderId="86" xfId="15" applyFont="1" applyFill="1" applyBorder="1" applyAlignment="1" applyProtection="1">
      <alignment horizontal="right" vertical="top" wrapText="1" readingOrder="2"/>
      <protection locked="0"/>
    </xf>
    <xf numFmtId="179" fontId="143" fillId="26" borderId="86" xfId="15" applyNumberFormat="1" applyFont="1" applyFill="1" applyBorder="1" applyAlignment="1" applyProtection="1">
      <alignment horizontal="right" vertical="top" wrapText="1" readingOrder="2"/>
      <protection locked="0"/>
    </xf>
    <xf numFmtId="180" fontId="143" fillId="26" borderId="86" xfId="15" applyNumberFormat="1" applyFont="1" applyFill="1" applyBorder="1" applyAlignment="1" applyProtection="1">
      <alignment horizontal="right" vertical="top" wrapText="1" readingOrder="2"/>
      <protection locked="0"/>
    </xf>
    <xf numFmtId="0" fontId="143" fillId="26" borderId="87" xfId="15" applyFont="1" applyFill="1" applyBorder="1" applyAlignment="1" applyProtection="1">
      <alignment horizontal="right" vertical="top" wrapText="1" readingOrder="2"/>
      <protection locked="0"/>
    </xf>
    <xf numFmtId="49" fontId="69" fillId="26" borderId="97" xfId="0" applyNumberFormat="1" applyFont="1" applyFill="1" applyBorder="1" applyAlignment="1">
      <alignment horizontal="center"/>
    </xf>
    <xf numFmtId="49" fontId="69" fillId="26" borderId="36" xfId="0" applyNumberFormat="1" applyFont="1" applyFill="1" applyBorder="1" applyAlignment="1">
      <alignment horizontal="center"/>
    </xf>
    <xf numFmtId="49" fontId="69" fillId="26" borderId="81" xfId="0" applyNumberFormat="1" applyFont="1" applyFill="1" applyBorder="1" applyAlignment="1">
      <alignment horizontal="center"/>
    </xf>
    <xf numFmtId="0" fontId="104" fillId="58" borderId="0" xfId="19" applyFont="1" applyFill="1" applyBorder="1" applyAlignment="1" applyProtection="1">
      <alignment horizontal="center" readingOrder="2"/>
    </xf>
    <xf numFmtId="0" fontId="101" fillId="20" borderId="75" xfId="17" applyFont="1" applyFill="1" applyBorder="1" applyAlignment="1">
      <alignment horizontal="center"/>
    </xf>
    <xf numFmtId="0" fontId="6" fillId="28" borderId="0" xfId="17" applyFont="1" applyFill="1" applyBorder="1" applyProtection="1"/>
    <xf numFmtId="0" fontId="101" fillId="18" borderId="97" xfId="17" applyFont="1" applyFill="1" applyBorder="1" applyAlignment="1">
      <alignment horizontal="right" vertical="center" wrapText="1" readingOrder="2"/>
    </xf>
    <xf numFmtId="0" fontId="101" fillId="30" borderId="97" xfId="17" applyFont="1" applyFill="1" applyBorder="1" applyAlignment="1" applyProtection="1">
      <alignment vertical="center" wrapText="1" readingOrder="2"/>
    </xf>
    <xf numFmtId="3" fontId="101" fillId="18" borderId="97" xfId="17" applyNumberFormat="1" applyFont="1" applyFill="1" applyBorder="1" applyAlignment="1" applyProtection="1">
      <alignment horizontal="center" vertical="center" wrapText="1" readingOrder="2"/>
      <protection locked="0"/>
    </xf>
    <xf numFmtId="0" fontId="100" fillId="18" borderId="98" xfId="17" applyFill="1" applyBorder="1" applyAlignment="1" applyProtection="1">
      <alignment wrapText="1"/>
      <protection locked="0"/>
    </xf>
    <xf numFmtId="0" fontId="101" fillId="18" borderId="97" xfId="17" applyFont="1" applyFill="1" applyBorder="1" applyAlignment="1" applyProtection="1">
      <alignment vertical="center" wrapText="1" readingOrder="2"/>
      <protection locked="0"/>
    </xf>
    <xf numFmtId="0" fontId="101" fillId="18" borderId="18" xfId="69" applyFont="1" applyFill="1" applyBorder="1" applyAlignment="1">
      <alignment horizontal="center" vertical="center" wrapText="1" readingOrder="2"/>
    </xf>
    <xf numFmtId="0" fontId="101" fillId="18" borderId="97" xfId="69" applyFont="1" applyFill="1" applyBorder="1" applyAlignment="1">
      <alignment horizontal="right" vertical="center" wrapText="1" readingOrder="2"/>
    </xf>
    <xf numFmtId="0" fontId="100" fillId="18" borderId="45" xfId="17" applyFill="1" applyBorder="1" applyAlignment="1" applyProtection="1">
      <alignment wrapText="1"/>
      <protection locked="0"/>
    </xf>
    <xf numFmtId="0" fontId="101" fillId="18" borderId="31" xfId="69" applyFont="1" applyFill="1" applyBorder="1" applyAlignment="1">
      <alignment horizontal="right" vertical="center" wrapText="1" readingOrder="2"/>
    </xf>
    <xf numFmtId="3" fontId="101" fillId="18" borderId="31" xfId="17" applyNumberFormat="1" applyFont="1" applyFill="1" applyBorder="1" applyAlignment="1" applyProtection="1">
      <alignment horizontal="center" vertical="center" wrapText="1" readingOrder="2"/>
      <protection locked="0"/>
    </xf>
    <xf numFmtId="0" fontId="101" fillId="18" borderId="36" xfId="69" applyFont="1" applyFill="1" applyBorder="1" applyAlignment="1">
      <alignment horizontal="right" vertical="center" wrapText="1" readingOrder="2"/>
    </xf>
    <xf numFmtId="167" fontId="11" fillId="3" borderId="0" xfId="19" applyNumberFormat="1" applyFont="1" applyFill="1">
      <alignment wrapText="1"/>
    </xf>
    <xf numFmtId="0" fontId="11" fillId="3" borderId="0" xfId="19" applyFont="1" applyFill="1" applyProtection="1">
      <alignment wrapText="1"/>
    </xf>
    <xf numFmtId="0" fontId="11" fillId="3" borderId="0" xfId="19" applyFont="1" applyFill="1">
      <alignment wrapText="1"/>
    </xf>
    <xf numFmtId="0" fontId="11" fillId="3" borderId="0" xfId="19" applyFont="1" applyFill="1" applyAlignment="1" applyProtection="1">
      <alignment horizontal="left" wrapText="1"/>
    </xf>
    <xf numFmtId="0" fontId="12" fillId="0" borderId="0" xfId="9" applyAlignment="1" applyProtection="1"/>
    <xf numFmtId="0" fontId="11" fillId="59" borderId="107" xfId="19" applyFont="1" applyFill="1" applyBorder="1">
      <alignment wrapText="1"/>
    </xf>
    <xf numFmtId="0" fontId="115" fillId="21" borderId="0" xfId="9" applyFont="1" applyFill="1" applyAlignment="1" applyProtection="1"/>
    <xf numFmtId="0" fontId="146" fillId="0" borderId="0" xfId="17" applyFont="1"/>
    <xf numFmtId="0" fontId="7" fillId="58" borderId="0" xfId="0" applyFont="1" applyFill="1"/>
    <xf numFmtId="0" fontId="0" fillId="58" borderId="0" xfId="0" applyFill="1"/>
    <xf numFmtId="0" fontId="7" fillId="58" borderId="0" xfId="0" applyFont="1" applyFill="1" applyAlignment="1">
      <alignment wrapText="1"/>
    </xf>
    <xf numFmtId="0" fontId="67" fillId="58" borderId="0" xfId="0" applyFont="1" applyFill="1"/>
    <xf numFmtId="0" fontId="7" fillId="21" borderId="0" xfId="0" applyFont="1" applyFill="1"/>
    <xf numFmtId="0" fontId="149" fillId="0" borderId="0" xfId="19" applyFont="1" applyFill="1" applyBorder="1" applyAlignment="1" applyProtection="1">
      <alignment horizontal="center" readingOrder="2"/>
    </xf>
    <xf numFmtId="0" fontId="150" fillId="19" borderId="34" xfId="9" applyFont="1" applyFill="1" applyBorder="1" applyAlignment="1" applyProtection="1">
      <alignment horizontal="center"/>
    </xf>
    <xf numFmtId="0" fontId="150" fillId="19" borderId="34" xfId="9" applyFont="1" applyFill="1" applyBorder="1" applyAlignment="1" applyProtection="1">
      <alignment horizontal="center" vertical="center"/>
    </xf>
    <xf numFmtId="0" fontId="151" fillId="19" borderId="34" xfId="9" applyFont="1" applyFill="1" applyBorder="1" applyAlignment="1" applyProtection="1">
      <alignment horizontal="center" vertical="center"/>
    </xf>
    <xf numFmtId="0" fontId="101" fillId="20" borderId="108" xfId="17" applyFont="1" applyFill="1" applyBorder="1" applyAlignment="1">
      <alignment vertical="center" readingOrder="2"/>
    </xf>
    <xf numFmtId="49" fontId="20" fillId="19" borderId="39" xfId="18" applyNumberFormat="1" applyFont="1" applyFill="1" applyBorder="1" applyAlignment="1" applyProtection="1">
      <alignment horizontal="right" readingOrder="2"/>
    </xf>
    <xf numFmtId="49" fontId="20" fillId="19" borderId="30" xfId="18" applyNumberFormat="1" applyFont="1" applyFill="1" applyBorder="1" applyAlignment="1" applyProtection="1">
      <alignment horizontal="right" readingOrder="2"/>
    </xf>
    <xf numFmtId="49" fontId="20" fillId="19" borderId="40" xfId="18" applyNumberFormat="1" applyFont="1" applyFill="1" applyBorder="1" applyAlignment="1" applyProtection="1">
      <alignment horizontal="left" readingOrder="2"/>
    </xf>
    <xf numFmtId="49" fontId="20" fillId="19" borderId="5" xfId="18" applyNumberFormat="1" applyFont="1" applyFill="1" applyBorder="1" applyAlignment="1" applyProtection="1">
      <alignment horizontal="right" readingOrder="2"/>
    </xf>
    <xf numFmtId="49" fontId="20" fillId="19" borderId="0" xfId="18" applyNumberFormat="1" applyFont="1" applyFill="1" applyBorder="1" applyAlignment="1" applyProtection="1">
      <alignment horizontal="right" readingOrder="2"/>
    </xf>
    <xf numFmtId="49" fontId="20" fillId="19" borderId="6" xfId="18" applyNumberFormat="1" applyFont="1" applyFill="1" applyBorder="1" applyAlignment="1" applyProtection="1">
      <alignment horizontal="left"/>
    </xf>
    <xf numFmtId="3" fontId="20" fillId="19" borderId="8" xfId="18" applyNumberFormat="1" applyFont="1" applyFill="1" applyBorder="1" applyAlignment="1" applyProtection="1">
      <alignment horizontal="center" readingOrder="2"/>
    </xf>
    <xf numFmtId="3" fontId="20" fillId="19" borderId="8" xfId="18" applyNumberFormat="1" applyFont="1" applyFill="1" applyBorder="1" applyAlignment="1" applyProtection="1">
      <alignment horizontal="right" readingOrder="2"/>
    </xf>
    <xf numFmtId="49" fontId="20" fillId="19" borderId="8" xfId="18" applyNumberFormat="1" applyFont="1" applyFill="1" applyBorder="1" applyAlignment="1" applyProtection="1">
      <alignment horizontal="right" readingOrder="2"/>
    </xf>
    <xf numFmtId="3" fontId="20" fillId="19" borderId="9" xfId="18" applyNumberFormat="1" applyFont="1" applyFill="1" applyBorder="1" applyAlignment="1" applyProtection="1">
      <alignment horizontal="right" readingOrder="2"/>
    </xf>
    <xf numFmtId="3" fontId="22" fillId="19" borderId="7" xfId="18" applyNumberFormat="1" applyFont="1" applyFill="1" applyBorder="1" applyAlignment="1" applyProtection="1">
      <alignment horizontal="right" readingOrder="2"/>
    </xf>
    <xf numFmtId="0" fontId="39" fillId="21" borderId="0" xfId="0" applyFont="1" applyFill="1"/>
    <xf numFmtId="0" fontId="152" fillId="21" borderId="0" xfId="9" applyFont="1" applyFill="1" applyAlignment="1" applyProtection="1">
      <alignment horizontal="center" wrapText="1"/>
    </xf>
    <xf numFmtId="0" fontId="33" fillId="18" borderId="15" xfId="0" applyFont="1" applyFill="1" applyBorder="1" applyAlignment="1" applyProtection="1">
      <alignment horizontal="right"/>
      <protection locked="0"/>
    </xf>
    <xf numFmtId="0" fontId="17" fillId="19" borderId="110" xfId="0" applyFont="1" applyFill="1" applyBorder="1" applyAlignment="1">
      <alignment horizontal="center" vertical="center" wrapText="1" readingOrder="2"/>
    </xf>
    <xf numFmtId="0" fontId="154" fillId="0" borderId="0" xfId="0" applyFont="1"/>
    <xf numFmtId="0" fontId="154" fillId="5" borderId="0" xfId="19" applyFont="1" applyFill="1" applyBorder="1" applyAlignment="1" applyProtection="1">
      <alignment wrapText="1"/>
    </xf>
    <xf numFmtId="0" fontId="11" fillId="19" borderId="106" xfId="0" applyFont="1" applyFill="1" applyBorder="1"/>
    <xf numFmtId="0" fontId="11" fillId="19" borderId="119" xfId="0" applyFont="1" applyFill="1" applyBorder="1"/>
    <xf numFmtId="49" fontId="11" fillId="19" borderId="32" xfId="0" applyNumberFormat="1" applyFont="1" applyFill="1" applyBorder="1" applyAlignment="1">
      <alignment horizontal="center"/>
    </xf>
    <xf numFmtId="0" fontId="39" fillId="19" borderId="109" xfId="0" applyFont="1" applyFill="1" applyBorder="1"/>
    <xf numFmtId="3" fontId="11" fillId="19" borderId="110" xfId="0" applyNumberFormat="1" applyFont="1" applyFill="1" applyBorder="1"/>
    <xf numFmtId="3" fontId="11" fillId="19" borderId="111" xfId="0" applyNumberFormat="1" applyFont="1" applyFill="1" applyBorder="1"/>
    <xf numFmtId="0" fontId="11" fillId="19" borderId="109" xfId="0" applyFont="1" applyFill="1" applyBorder="1" applyAlignment="1">
      <alignment horizontal="right" indent="2"/>
    </xf>
    <xf numFmtId="3" fontId="11" fillId="18" borderId="110" xfId="0" applyNumberFormat="1" applyFont="1" applyFill="1" applyBorder="1" applyProtection="1">
      <protection locked="0"/>
    </xf>
    <xf numFmtId="0" fontId="11" fillId="19" borderId="109" xfId="0" applyFont="1" applyFill="1" applyBorder="1"/>
    <xf numFmtId="3" fontId="11" fillId="18" borderId="110" xfId="0" applyNumberFormat="1" applyFont="1" applyFill="1" applyBorder="1"/>
    <xf numFmtId="0" fontId="17" fillId="19" borderId="109" xfId="0" applyFont="1" applyFill="1" applyBorder="1"/>
    <xf numFmtId="0" fontId="11" fillId="18" borderId="110" xfId="0" applyFont="1" applyFill="1" applyBorder="1"/>
    <xf numFmtId="10" fontId="11" fillId="18" borderId="110" xfId="0" applyNumberFormat="1" applyFont="1" applyFill="1" applyBorder="1" applyProtection="1">
      <protection locked="0"/>
    </xf>
    <xf numFmtId="0" fontId="155" fillId="5" borderId="0" xfId="19" applyFont="1" applyFill="1" applyBorder="1" applyAlignment="1" applyProtection="1">
      <alignment horizontal="right" vertical="center" readingOrder="2"/>
    </xf>
    <xf numFmtId="49" fontId="11" fillId="19" borderId="110" xfId="0" applyNumberFormat="1" applyFont="1" applyFill="1" applyBorder="1" applyAlignment="1">
      <alignment horizontal="center"/>
    </xf>
    <xf numFmtId="49" fontId="11" fillId="19" borderId="111" xfId="0" applyNumberFormat="1" applyFont="1" applyFill="1" applyBorder="1" applyAlignment="1">
      <alignment horizontal="center"/>
    </xf>
    <xf numFmtId="0" fontId="21" fillId="19" borderId="109" xfId="0" applyFont="1" applyFill="1" applyBorder="1" applyAlignment="1">
      <alignment vertical="center" wrapText="1"/>
    </xf>
    <xf numFmtId="3" fontId="11" fillId="19" borderId="114" xfId="0" applyNumberFormat="1" applyFont="1" applyFill="1" applyBorder="1"/>
    <xf numFmtId="0" fontId="11" fillId="19" borderId="109" xfId="0" applyFont="1" applyFill="1" applyBorder="1" applyAlignment="1">
      <alignment horizontal="right" vertical="center" wrapText="1" indent="2"/>
    </xf>
    <xf numFmtId="0" fontId="11" fillId="19" borderId="112" xfId="0" applyFont="1" applyFill="1" applyBorder="1" applyAlignment="1">
      <alignment horizontal="right" vertical="center" wrapText="1" indent="2"/>
    </xf>
    <xf numFmtId="3" fontId="11" fillId="18" borderId="110" xfId="0" applyNumberFormat="1" applyFont="1" applyFill="1" applyBorder="1" applyProtection="1"/>
    <xf numFmtId="3" fontId="11" fillId="19" borderId="111" xfId="0" applyNumberFormat="1" applyFont="1" applyFill="1" applyBorder="1" applyProtection="1"/>
    <xf numFmtId="10" fontId="11" fillId="18" borderId="113" xfId="0" applyNumberFormat="1" applyFont="1" applyFill="1" applyBorder="1" applyProtection="1">
      <protection locked="0"/>
    </xf>
    <xf numFmtId="0" fontId="39" fillId="19" borderId="112" xfId="0" applyFont="1" applyFill="1" applyBorder="1"/>
    <xf numFmtId="3" fontId="11" fillId="19" borderId="113" xfId="0" applyNumberFormat="1" applyFont="1" applyFill="1" applyBorder="1"/>
    <xf numFmtId="3" fontId="11" fillId="19" borderId="111" xfId="0" applyNumberFormat="1" applyFont="1" applyFill="1" applyBorder="1" applyProtection="1">
      <protection locked="0"/>
    </xf>
    <xf numFmtId="1" fontId="39" fillId="0" borderId="0" xfId="0" applyNumberFormat="1" applyFont="1" applyAlignment="1">
      <alignment horizontal="right"/>
    </xf>
    <xf numFmtId="49" fontId="11" fillId="19" borderId="121" xfId="0" applyNumberFormat="1" applyFont="1" applyFill="1" applyBorder="1" applyAlignment="1">
      <alignment horizontal="center"/>
    </xf>
    <xf numFmtId="49" fontId="11" fillId="19" borderId="122" xfId="0" applyNumberFormat="1" applyFont="1" applyFill="1" applyBorder="1" applyAlignment="1">
      <alignment horizontal="center"/>
    </xf>
    <xf numFmtId="0" fontId="144" fillId="21" borderId="120" xfId="0" applyFont="1" applyFill="1" applyBorder="1" applyAlignment="1">
      <alignment horizontal="center"/>
    </xf>
    <xf numFmtId="0" fontId="11" fillId="19" borderId="123" xfId="0" applyFont="1" applyFill="1" applyBorder="1"/>
    <xf numFmtId="17" fontId="7" fillId="0" borderId="0" xfId="0" applyNumberFormat="1" applyFont="1"/>
    <xf numFmtId="0" fontId="115" fillId="18" borderId="35" xfId="9" applyFont="1" applyFill="1" applyBorder="1" applyAlignment="1" applyProtection="1">
      <alignment wrapText="1"/>
    </xf>
    <xf numFmtId="0" fontId="33" fillId="19" borderId="109" xfId="0" applyFont="1" applyFill="1" applyBorder="1" applyAlignment="1">
      <alignment horizontal="right" indent="4"/>
    </xf>
    <xf numFmtId="0" fontId="39" fillId="19" borderId="109" xfId="0" applyFont="1" applyFill="1" applyBorder="1" applyAlignment="1">
      <alignment horizontal="right" indent="3"/>
    </xf>
    <xf numFmtId="0" fontId="39" fillId="19" borderId="109" xfId="0" applyFont="1" applyFill="1" applyBorder="1" applyAlignment="1">
      <alignment horizontal="right" indent="1"/>
    </xf>
    <xf numFmtId="0" fontId="11" fillId="21" borderId="0" xfId="0" applyFont="1" applyFill="1"/>
    <xf numFmtId="0" fontId="39" fillId="19" borderId="2" xfId="0" applyFont="1" applyFill="1" applyBorder="1" applyAlignment="1">
      <alignment horizontal="center" vertical="center" wrapText="1" readingOrder="2"/>
    </xf>
    <xf numFmtId="0" fontId="39" fillId="19" borderId="105" xfId="0" applyFont="1" applyFill="1" applyBorder="1" applyAlignment="1">
      <alignment horizontal="center" vertical="center" wrapText="1" readingOrder="2"/>
    </xf>
    <xf numFmtId="49" fontId="33" fillId="19" borderId="110" xfId="0" applyNumberFormat="1" applyFont="1" applyFill="1" applyBorder="1" applyAlignment="1">
      <alignment horizontal="center"/>
    </xf>
    <xf numFmtId="49" fontId="33" fillId="19" borderId="111" xfId="0" applyNumberFormat="1" applyFont="1" applyFill="1" applyBorder="1" applyAlignment="1">
      <alignment horizontal="center"/>
    </xf>
    <xf numFmtId="181" fontId="11" fillId="19" borderId="104" xfId="0" applyNumberFormat="1" applyFont="1" applyFill="1" applyBorder="1"/>
    <xf numFmtId="0" fontId="145" fillId="27" borderId="0" xfId="9" applyFont="1" applyFill="1" applyAlignment="1" applyProtection="1">
      <alignment horizontal="center"/>
    </xf>
    <xf numFmtId="17" fontId="7" fillId="21" borderId="0" xfId="0" applyNumberFormat="1" applyFont="1" applyFill="1" applyAlignment="1">
      <alignment horizontal="center"/>
    </xf>
    <xf numFmtId="0" fontId="58" fillId="21" borderId="35" xfId="9" applyFont="1" applyFill="1" applyBorder="1" applyAlignment="1" applyProtection="1">
      <alignment wrapText="1"/>
    </xf>
    <xf numFmtId="0" fontId="30" fillId="21" borderId="127" xfId="19" applyFont="1" applyFill="1" applyBorder="1" applyAlignment="1" applyProtection="1">
      <alignment horizontal="center" wrapText="1"/>
    </xf>
    <xf numFmtId="0" fontId="7" fillId="0" borderId="0" xfId="0" applyFont="1" applyAlignment="1">
      <alignment horizontal="center"/>
    </xf>
    <xf numFmtId="0" fontId="7" fillId="21" borderId="0" xfId="0" applyFont="1" applyFill="1" applyAlignment="1">
      <alignment horizontal="center"/>
    </xf>
    <xf numFmtId="0" fontId="67" fillId="21" borderId="0" xfId="0" applyFont="1" applyFill="1" applyAlignment="1">
      <alignment horizontal="center"/>
    </xf>
    <xf numFmtId="0" fontId="21" fillId="19" borderId="104" xfId="0" applyFont="1" applyFill="1" applyBorder="1" applyAlignment="1">
      <alignment horizontal="center"/>
    </xf>
    <xf numFmtId="0" fontId="21" fillId="19" borderId="105" xfId="0" applyFont="1" applyFill="1" applyBorder="1" applyAlignment="1">
      <alignment horizontal="center"/>
    </xf>
    <xf numFmtId="0" fontId="11" fillId="26" borderId="123" xfId="0" applyFont="1" applyFill="1" applyBorder="1"/>
    <xf numFmtId="0" fontId="11" fillId="26" borderId="122" xfId="0" applyFont="1" applyFill="1" applyBorder="1"/>
    <xf numFmtId="3" fontId="11" fillId="60" borderId="17" xfId="0" applyNumberFormat="1" applyFont="1" applyFill="1" applyBorder="1"/>
    <xf numFmtId="3" fontId="11" fillId="26" borderId="123" xfId="0" applyNumberFormat="1" applyFont="1" applyFill="1" applyBorder="1"/>
    <xf numFmtId="3" fontId="11" fillId="26" borderId="122" xfId="0" applyNumberFormat="1" applyFont="1" applyFill="1" applyBorder="1"/>
    <xf numFmtId="3" fontId="11" fillId="26" borderId="112" xfId="0" applyNumberFormat="1" applyFont="1" applyFill="1" applyBorder="1"/>
    <xf numFmtId="3" fontId="11" fillId="26" borderId="114" xfId="0" applyNumberFormat="1" applyFont="1" applyFill="1" applyBorder="1"/>
    <xf numFmtId="0" fontId="17" fillId="19" borderId="129" xfId="0" applyFont="1" applyFill="1" applyBorder="1" applyAlignment="1">
      <alignment horizontal="center" wrapText="1"/>
    </xf>
    <xf numFmtId="3" fontId="101" fillId="18" borderId="129" xfId="17" applyNumberFormat="1" applyFont="1" applyFill="1" applyBorder="1" applyAlignment="1" applyProtection="1">
      <alignment vertical="center" wrapText="1" readingOrder="2"/>
      <protection locked="0"/>
    </xf>
    <xf numFmtId="3" fontId="101" fillId="18" borderId="130" xfId="17" applyNumberFormat="1" applyFont="1" applyFill="1" applyBorder="1" applyAlignment="1" applyProtection="1">
      <alignment vertical="center" wrapText="1" readingOrder="2"/>
      <protection locked="0"/>
    </xf>
    <xf numFmtId="0" fontId="100" fillId="0" borderId="104" xfId="17" applyBorder="1"/>
    <xf numFmtId="0" fontId="17" fillId="19" borderId="131" xfId="0" applyFont="1" applyFill="1" applyBorder="1" applyAlignment="1">
      <alignment horizontal="center" wrapText="1"/>
    </xf>
    <xf numFmtId="0" fontId="17" fillId="19" borderId="132" xfId="0" applyFont="1" applyFill="1" applyBorder="1" applyAlignment="1">
      <alignment horizontal="center" wrapText="1"/>
    </xf>
    <xf numFmtId="0" fontId="17" fillId="19" borderId="131" xfId="0" applyFont="1" applyFill="1" applyBorder="1" applyAlignment="1">
      <alignment horizontal="right" wrapText="1"/>
    </xf>
    <xf numFmtId="3" fontId="101" fillId="18" borderId="132" xfId="17" applyNumberFormat="1" applyFont="1" applyFill="1" applyBorder="1" applyAlignment="1" applyProtection="1">
      <alignment vertical="center" wrapText="1" readingOrder="2"/>
      <protection locked="0"/>
    </xf>
    <xf numFmtId="0" fontId="17" fillId="19" borderId="133" xfId="0" applyFont="1" applyFill="1" applyBorder="1" applyAlignment="1">
      <alignment horizontal="right" wrapText="1"/>
    </xf>
    <xf numFmtId="3" fontId="101" fillId="18" borderId="134" xfId="17" applyNumberFormat="1" applyFont="1" applyFill="1" applyBorder="1" applyAlignment="1" applyProtection="1">
      <alignment vertical="center" wrapText="1" readingOrder="2"/>
      <protection locked="0"/>
    </xf>
    <xf numFmtId="0" fontId="158" fillId="27" borderId="0" xfId="17" applyFont="1" applyFill="1"/>
    <xf numFmtId="0" fontId="17" fillId="19" borderId="131" xfId="0" applyFont="1" applyFill="1" applyBorder="1"/>
    <xf numFmtId="0" fontId="160" fillId="0" borderId="136" xfId="0" applyNumberFormat="1" applyFont="1" applyFill="1" applyBorder="1" applyAlignment="1">
      <alignment horizontal="right" vertical="top" wrapText="1" readingOrder="2"/>
    </xf>
    <xf numFmtId="179" fontId="160" fillId="0" borderId="136" xfId="0" applyNumberFormat="1" applyFont="1" applyFill="1" applyBorder="1" applyAlignment="1">
      <alignment horizontal="right" vertical="top" wrapText="1" readingOrder="2"/>
    </xf>
    <xf numFmtId="0" fontId="160" fillId="61" borderId="136" xfId="0" applyNumberFormat="1" applyFont="1" applyFill="1" applyBorder="1" applyAlignment="1">
      <alignment horizontal="right" vertical="top" wrapText="1" readingOrder="2"/>
    </xf>
    <xf numFmtId="179" fontId="160" fillId="61" borderId="136" xfId="0" applyNumberFormat="1" applyFont="1" applyFill="1" applyBorder="1" applyAlignment="1">
      <alignment horizontal="right" vertical="top" wrapText="1" readingOrder="2"/>
    </xf>
    <xf numFmtId="0" fontId="68" fillId="0" borderId="0" xfId="16"/>
    <xf numFmtId="0" fontId="69" fillId="26" borderId="0" xfId="0" applyNumberFormat="1" applyFont="1" applyFill="1" applyBorder="1" applyAlignment="1">
      <alignment horizontal="center"/>
    </xf>
    <xf numFmtId="0" fontId="7" fillId="0" borderId="0" xfId="15" applyNumberFormat="1"/>
    <xf numFmtId="0" fontId="161" fillId="0" borderId="0" xfId="0" applyFont="1"/>
    <xf numFmtId="0" fontId="67" fillId="0" borderId="0" xfId="0" applyFont="1" applyAlignment="1">
      <alignment horizontal="center"/>
    </xf>
    <xf numFmtId="0" fontId="67" fillId="22" borderId="0" xfId="0" applyFont="1" applyFill="1"/>
    <xf numFmtId="0" fontId="164" fillId="0" borderId="0" xfId="0" applyFont="1"/>
    <xf numFmtId="49" fontId="11" fillId="0" borderId="0" xfId="0" applyNumberFormat="1" applyFont="1" applyAlignment="1">
      <alignment horizontal="center"/>
    </xf>
    <xf numFmtId="0" fontId="114" fillId="19" borderId="25" xfId="9" applyFont="1" applyFill="1" applyBorder="1" applyAlignment="1" applyProtection="1">
      <alignment horizontal="right" vertical="center" wrapText="1" readingOrder="2"/>
    </xf>
    <xf numFmtId="0" fontId="114" fillId="19" borderId="25" xfId="9" applyFont="1" applyFill="1" applyBorder="1" applyAlignment="1" applyProtection="1">
      <alignment horizontal="right" vertical="center" wrapText="1" indent="2" readingOrder="2"/>
    </xf>
    <xf numFmtId="0" fontId="115" fillId="19" borderId="25" xfId="9" applyFont="1" applyFill="1" applyBorder="1" applyAlignment="1" applyProtection="1">
      <alignment horizontal="right" vertical="center" wrapText="1" readingOrder="2"/>
    </xf>
    <xf numFmtId="0" fontId="114" fillId="19" borderId="25" xfId="9" applyFont="1" applyFill="1" applyBorder="1" applyAlignment="1" applyProtection="1">
      <alignment horizontal="right" vertical="center" wrapText="1" indent="1" readingOrder="2"/>
    </xf>
    <xf numFmtId="0" fontId="54" fillId="21" borderId="0" xfId="9" applyFont="1" applyFill="1" applyAlignment="1" applyProtection="1"/>
    <xf numFmtId="0" fontId="5" fillId="19" borderId="0" xfId="17" applyFont="1" applyFill="1" applyAlignment="1">
      <alignment horizontal="center" wrapText="1"/>
    </xf>
    <xf numFmtId="0" fontId="100" fillId="19" borderId="0" xfId="17" applyFill="1"/>
    <xf numFmtId="0" fontId="4" fillId="0" borderId="0" xfId="17" applyFont="1"/>
    <xf numFmtId="3" fontId="100" fillId="0" borderId="0" xfId="17" applyNumberFormat="1"/>
    <xf numFmtId="0" fontId="4" fillId="0" borderId="0" xfId="17" quotePrefix="1" applyFont="1"/>
    <xf numFmtId="0" fontId="3" fillId="0" borderId="0" xfId="17" applyFont="1"/>
    <xf numFmtId="3" fontId="3" fillId="0" borderId="0" xfId="17" applyNumberFormat="1" applyFont="1"/>
    <xf numFmtId="0" fontId="100" fillId="28" borderId="0" xfId="17" applyFill="1"/>
    <xf numFmtId="0" fontId="109" fillId="28" borderId="0" xfId="17" applyFont="1" applyFill="1"/>
    <xf numFmtId="3" fontId="109" fillId="28" borderId="0" xfId="17" applyNumberFormat="1" applyFont="1" applyFill="1"/>
    <xf numFmtId="0" fontId="3" fillId="0" borderId="0" xfId="17" applyFont="1" applyAlignment="1">
      <alignment readingOrder="1"/>
    </xf>
    <xf numFmtId="9" fontId="101" fillId="62" borderId="104" xfId="22" applyFont="1" applyFill="1" applyBorder="1" applyAlignment="1" applyProtection="1">
      <alignment vertical="center" wrapText="1" readingOrder="2"/>
    </xf>
    <xf numFmtId="9" fontId="101" fillId="62" borderId="105" xfId="22" applyFont="1" applyFill="1" applyBorder="1" applyAlignment="1" applyProtection="1">
      <alignment vertical="center" wrapText="1" readingOrder="2"/>
    </xf>
    <xf numFmtId="9" fontId="101" fillId="62" borderId="131" xfId="17" applyNumberFormat="1" applyFont="1" applyFill="1" applyBorder="1" applyAlignment="1" applyProtection="1">
      <alignment vertical="center" wrapText="1" readingOrder="2"/>
    </xf>
    <xf numFmtId="9" fontId="101" fillId="62" borderId="132" xfId="17" applyNumberFormat="1" applyFont="1" applyFill="1" applyBorder="1" applyAlignment="1" applyProtection="1">
      <alignment vertical="center" wrapText="1" readingOrder="2"/>
    </xf>
    <xf numFmtId="9" fontId="101" fillId="62" borderId="133" xfId="17" applyNumberFormat="1" applyFont="1" applyFill="1" applyBorder="1" applyAlignment="1" applyProtection="1">
      <alignment vertical="center" wrapText="1" readingOrder="2"/>
    </xf>
    <xf numFmtId="9" fontId="101" fillId="62" borderId="134" xfId="17" applyNumberFormat="1" applyFont="1" applyFill="1" applyBorder="1" applyAlignment="1" applyProtection="1">
      <alignment vertical="center" wrapText="1" readingOrder="2"/>
    </xf>
    <xf numFmtId="0" fontId="141" fillId="63" borderId="34" xfId="9" applyFont="1" applyFill="1" applyBorder="1" applyAlignment="1" applyProtection="1">
      <alignment horizontal="center"/>
    </xf>
    <xf numFmtId="0" fontId="141" fillId="63" borderId="1" xfId="9" applyFont="1" applyFill="1" applyBorder="1" applyAlignment="1" applyProtection="1">
      <alignment horizontal="right" readingOrder="2"/>
    </xf>
    <xf numFmtId="0" fontId="166" fillId="0" borderId="0" xfId="0" applyFont="1"/>
    <xf numFmtId="0" fontId="33" fillId="19" borderId="131" xfId="0" applyFont="1" applyFill="1" applyBorder="1" applyAlignment="1">
      <alignment horizontal="right" vertical="center" wrapText="1" indent="2" readingOrder="2"/>
    </xf>
    <xf numFmtId="3" fontId="0" fillId="18" borderId="129" xfId="0" applyNumberFormat="1" applyFill="1" applyBorder="1" applyProtection="1">
      <protection locked="0"/>
    </xf>
    <xf numFmtId="3" fontId="0" fillId="18" borderId="124" xfId="0" applyNumberFormat="1" applyFill="1" applyBorder="1" applyProtection="1">
      <protection locked="0"/>
    </xf>
    <xf numFmtId="3" fontId="0" fillId="18" borderId="132" xfId="0" applyNumberFormat="1" applyFill="1" applyBorder="1" applyProtection="1">
      <protection locked="0"/>
    </xf>
    <xf numFmtId="0" fontId="17" fillId="2" borderId="49" xfId="0" applyFont="1" applyFill="1" applyBorder="1" applyAlignment="1">
      <alignment horizontal="right" wrapText="1"/>
    </xf>
    <xf numFmtId="38" fontId="48" fillId="7" borderId="81" xfId="0" applyNumberFormat="1" applyFont="1" applyFill="1" applyBorder="1" applyAlignment="1" applyProtection="1">
      <alignment horizontal="right" readingOrder="1"/>
      <protection locked="0"/>
    </xf>
    <xf numFmtId="38" fontId="48" fillId="7" borderId="58" xfId="0" applyNumberFormat="1" applyFont="1" applyFill="1" applyBorder="1" applyAlignment="1" applyProtection="1">
      <alignment horizontal="right" readingOrder="1"/>
      <protection locked="0"/>
    </xf>
    <xf numFmtId="0" fontId="48" fillId="2" borderId="131" xfId="0" applyFont="1" applyFill="1" applyBorder="1" applyAlignment="1">
      <alignment horizontal="right" wrapText="1"/>
    </xf>
    <xf numFmtId="38" fontId="48" fillId="7" borderId="129" xfId="0" applyNumberFormat="1" applyFont="1" applyFill="1" applyBorder="1" applyAlignment="1" applyProtection="1">
      <alignment readingOrder="1"/>
      <protection locked="0"/>
    </xf>
    <xf numFmtId="38" fontId="48" fillId="7" borderId="132" xfId="0" applyNumberFormat="1" applyFont="1" applyFill="1" applyBorder="1" applyAlignment="1" applyProtection="1">
      <alignment readingOrder="1"/>
      <protection locked="0"/>
    </xf>
    <xf numFmtId="0" fontId="33" fillId="0" borderId="0" xfId="0" applyFont="1" applyProtection="1">
      <protection locked="0"/>
    </xf>
    <xf numFmtId="2" fontId="118" fillId="0" borderId="0" xfId="0" applyNumberFormat="1" applyFont="1" applyProtection="1">
      <protection locked="0"/>
    </xf>
    <xf numFmtId="0" fontId="39" fillId="21" borderId="0" xfId="19" applyFont="1" applyFill="1" applyAlignment="1" applyProtection="1">
      <alignment horizontal="right" readingOrder="2"/>
      <protection locked="0"/>
    </xf>
    <xf numFmtId="0" fontId="39" fillId="0" borderId="0" xfId="19" applyFont="1" applyAlignment="1" applyProtection="1">
      <alignment horizontal="right" readingOrder="2"/>
      <protection locked="0"/>
    </xf>
    <xf numFmtId="0" fontId="39" fillId="0" borderId="0" xfId="19" applyFont="1" applyAlignment="1" applyProtection="1">
      <alignment horizontal="right" wrapText="1" readingOrder="2"/>
      <protection locked="0"/>
    </xf>
    <xf numFmtId="0" fontId="33" fillId="21" borderId="0" xfId="0" applyFont="1" applyFill="1" applyProtection="1">
      <protection locked="0"/>
    </xf>
    <xf numFmtId="49" fontId="33" fillId="0" borderId="0" xfId="0" applyNumberFormat="1" applyFont="1" applyProtection="1">
      <protection locked="0"/>
    </xf>
    <xf numFmtId="0" fontId="33" fillId="22" borderId="0" xfId="0" applyFont="1" applyFill="1" applyProtection="1">
      <protection locked="0"/>
    </xf>
    <xf numFmtId="0" fontId="39" fillId="0" borderId="0" xfId="19" quotePrefix="1" applyFont="1" applyAlignment="1" applyProtection="1">
      <alignment horizontal="right" readingOrder="2"/>
      <protection locked="0"/>
    </xf>
    <xf numFmtId="0" fontId="65" fillId="0" borderId="0" xfId="19" quotePrefix="1" applyFont="1" applyAlignment="1" applyProtection="1">
      <alignment horizontal="right" readingOrder="2"/>
      <protection locked="0"/>
    </xf>
    <xf numFmtId="0" fontId="33" fillId="57" borderId="0" xfId="0" applyFont="1" applyFill="1" applyProtection="1">
      <protection locked="0"/>
    </xf>
    <xf numFmtId="49" fontId="69" fillId="26" borderId="97" xfId="0" applyNumberFormat="1" applyFont="1" applyFill="1" applyBorder="1" applyProtection="1">
      <protection locked="0"/>
    </xf>
    <xf numFmtId="49" fontId="69" fillId="26" borderId="36" xfId="0" applyNumberFormat="1" applyFont="1" applyFill="1" applyBorder="1" applyProtection="1">
      <protection locked="0"/>
    </xf>
    <xf numFmtId="49" fontId="69" fillId="26" borderId="81" xfId="0" applyNumberFormat="1" applyFont="1" applyFill="1" applyBorder="1" applyProtection="1">
      <protection locked="0"/>
    </xf>
    <xf numFmtId="49" fontId="118" fillId="0" borderId="0" xfId="0" applyNumberFormat="1" applyFont="1" applyProtection="1">
      <protection locked="0"/>
    </xf>
    <xf numFmtId="38" fontId="170" fillId="18" borderId="86" xfId="13" applyNumberFormat="1" applyFont="1" applyFill="1" applyBorder="1" applyProtection="1">
      <protection locked="0"/>
    </xf>
    <xf numFmtId="0" fontId="17" fillId="19" borderId="110" xfId="0" applyFont="1" applyFill="1" applyBorder="1" applyAlignment="1">
      <alignment horizontal="center" vertical="center" wrapText="1" readingOrder="2"/>
    </xf>
    <xf numFmtId="0" fontId="11" fillId="0" borderId="0" xfId="0" applyFont="1" applyAlignment="1">
      <alignment wrapText="1" readingOrder="2"/>
    </xf>
    <xf numFmtId="3" fontId="173" fillId="18" borderId="110" xfId="0" applyNumberFormat="1" applyFont="1" applyFill="1" applyBorder="1" applyProtection="1">
      <protection locked="0"/>
    </xf>
    <xf numFmtId="0" fontId="11" fillId="65" borderId="0" xfId="0" applyFont="1" applyFill="1"/>
    <xf numFmtId="0" fontId="11" fillId="19" borderId="138" xfId="0" applyFont="1" applyFill="1" applyBorder="1" applyAlignment="1">
      <alignment horizontal="right" indent="2"/>
    </xf>
    <xf numFmtId="0" fontId="173" fillId="19" borderId="138" xfId="0" applyFont="1" applyFill="1" applyBorder="1" applyAlignment="1">
      <alignment horizontal="right"/>
    </xf>
    <xf numFmtId="0" fontId="17" fillId="19" borderId="109" xfId="0" applyFont="1" applyFill="1" applyBorder="1" applyAlignment="1">
      <alignment horizontal="right" indent="1"/>
    </xf>
    <xf numFmtId="0" fontId="39" fillId="19" borderId="109" xfId="0" applyFont="1" applyFill="1" applyBorder="1" applyAlignment="1">
      <alignment horizontal="right" indent="2"/>
    </xf>
    <xf numFmtId="3" fontId="11" fillId="26" borderId="139" xfId="0" applyNumberFormat="1" applyFont="1" applyFill="1" applyBorder="1"/>
    <xf numFmtId="3" fontId="11" fillId="26" borderId="140" xfId="0" applyNumberFormat="1" applyFont="1" applyFill="1" applyBorder="1"/>
    <xf numFmtId="2" fontId="33" fillId="5" borderId="0" xfId="19" applyNumberFormat="1" applyFont="1" applyFill="1" applyAlignment="1" applyProtection="1">
      <alignment wrapText="1" readingOrder="2"/>
    </xf>
    <xf numFmtId="2" fontId="33" fillId="21" borderId="0" xfId="19" applyNumberFormat="1" applyFont="1" applyFill="1" applyAlignment="1" applyProtection="1">
      <alignment wrapText="1" readingOrder="2"/>
    </xf>
    <xf numFmtId="0" fontId="173" fillId="22" borderId="0" xfId="0" applyFont="1" applyFill="1" applyAlignment="1">
      <alignment horizontal="center"/>
    </xf>
    <xf numFmtId="3" fontId="7" fillId="19" borderId="132" xfId="0" applyNumberFormat="1" applyFont="1" applyFill="1" applyBorder="1"/>
    <xf numFmtId="0" fontId="67" fillId="21" borderId="0" xfId="0" applyFont="1" applyFill="1"/>
    <xf numFmtId="0" fontId="167" fillId="0" borderId="0" xfId="0" applyFont="1"/>
    <xf numFmtId="0" fontId="39" fillId="21" borderId="32" xfId="19" applyFont="1" applyFill="1" applyBorder="1" applyAlignment="1" applyProtection="1">
      <alignment horizontal="right" wrapText="1"/>
    </xf>
    <xf numFmtId="0" fontId="176" fillId="5" borderId="0" xfId="19" applyFont="1" applyFill="1" applyAlignment="1" applyProtection="1">
      <alignment horizontal="left" wrapText="1"/>
    </xf>
    <xf numFmtId="0" fontId="172" fillId="0" borderId="0" xfId="0" applyFont="1"/>
    <xf numFmtId="0" fontId="119" fillId="21" borderId="0" xfId="0" applyFont="1" applyFill="1" applyAlignment="1">
      <alignment horizontal="center"/>
    </xf>
    <xf numFmtId="10" fontId="137" fillId="56" borderId="86" xfId="13" quotePrefix="1" applyNumberFormat="1" applyFont="1" applyFill="1" applyBorder="1" applyProtection="1"/>
    <xf numFmtId="0" fontId="173" fillId="21" borderId="0" xfId="19" applyFont="1" applyFill="1" applyProtection="1">
      <alignment wrapText="1"/>
      <protection locked="0"/>
    </xf>
    <xf numFmtId="3" fontId="21" fillId="19" borderId="128" xfId="0" applyNumberFormat="1" applyFont="1" applyFill="1" applyBorder="1" applyAlignment="1">
      <alignment horizontal="center" wrapText="1"/>
    </xf>
    <xf numFmtId="3" fontId="168" fillId="7" borderId="147" xfId="18" applyNumberFormat="1" applyFont="1" applyFill="1" applyBorder="1" applyAlignment="1" applyProtection="1">
      <alignment horizontal="right" readingOrder="2"/>
    </xf>
    <xf numFmtId="49" fontId="177" fillId="7" borderId="147" xfId="18" applyNumberFormat="1" applyFont="1" applyFill="1" applyBorder="1" applyAlignment="1" applyProtection="1">
      <alignment horizontal="right" readingOrder="2"/>
    </xf>
    <xf numFmtId="3" fontId="178" fillId="7" borderId="147" xfId="18" applyNumberFormat="1" applyFont="1" applyFill="1" applyBorder="1" applyAlignment="1" applyProtection="1">
      <alignment horizontal="right"/>
    </xf>
    <xf numFmtId="3" fontId="22" fillId="7" borderId="147" xfId="18" applyNumberFormat="1" applyFont="1" applyFill="1" applyBorder="1" applyAlignment="1" applyProtection="1">
      <alignment horizontal="right" readingOrder="2"/>
    </xf>
    <xf numFmtId="3" fontId="99" fillId="7" borderId="147" xfId="18" applyNumberFormat="1" applyFont="1" applyFill="1" applyBorder="1" applyAlignment="1" applyProtection="1">
      <alignment horizontal="right" readingOrder="2"/>
    </xf>
    <xf numFmtId="49" fontId="168" fillId="7" borderId="147" xfId="18" applyNumberFormat="1" applyFont="1" applyFill="1" applyBorder="1" applyAlignment="1" applyProtection="1">
      <alignment horizontal="right" readingOrder="2"/>
    </xf>
    <xf numFmtId="3" fontId="177" fillId="7" borderId="147" xfId="18" applyNumberFormat="1" applyFont="1" applyFill="1" applyBorder="1" applyAlignment="1" applyProtection="1">
      <alignment horizontal="right" readingOrder="2"/>
    </xf>
    <xf numFmtId="49" fontId="99" fillId="7" borderId="147" xfId="18" applyNumberFormat="1" applyFont="1" applyFill="1" applyBorder="1" applyAlignment="1" applyProtection="1">
      <alignment horizontal="right" readingOrder="2"/>
    </xf>
    <xf numFmtId="3" fontId="139" fillId="7" borderId="147" xfId="18" applyNumberFormat="1" applyFont="1" applyFill="1" applyBorder="1" applyAlignment="1" applyProtection="1">
      <alignment horizontal="right" readingOrder="2"/>
    </xf>
    <xf numFmtId="49" fontId="137" fillId="7" borderId="147" xfId="18" applyNumberFormat="1" applyFont="1" applyFill="1" applyBorder="1" applyAlignment="1" applyProtection="1">
      <alignment horizontal="right" readingOrder="2"/>
    </xf>
    <xf numFmtId="0" fontId="2" fillId="0" borderId="0" xfId="72"/>
    <xf numFmtId="0" fontId="180" fillId="67" borderId="148" xfId="72" applyFont="1" applyFill="1" applyBorder="1" applyAlignment="1"/>
    <xf numFmtId="0" fontId="180" fillId="67" borderId="151" xfId="72" applyFont="1" applyFill="1" applyBorder="1" applyAlignment="1"/>
    <xf numFmtId="0" fontId="179" fillId="66" borderId="154" xfId="72" applyFont="1" applyFill="1" applyBorder="1" applyAlignment="1">
      <alignment horizontal="right" vertical="center"/>
    </xf>
    <xf numFmtId="0" fontId="182" fillId="67" borderId="149" xfId="72" applyFont="1" applyFill="1" applyBorder="1" applyAlignment="1">
      <alignment horizontal="right" vertical="center" wrapText="1" readingOrder="2"/>
    </xf>
    <xf numFmtId="0" fontId="181" fillId="67" borderId="149" xfId="72" applyFont="1" applyFill="1" applyBorder="1" applyAlignment="1">
      <alignment horizontal="right"/>
    </xf>
    <xf numFmtId="0" fontId="181" fillId="67" borderId="150" xfId="72" applyFont="1" applyFill="1" applyBorder="1" applyAlignment="1">
      <alignment horizontal="right"/>
    </xf>
    <xf numFmtId="0" fontId="181" fillId="67" borderId="127" xfId="72" applyFont="1" applyFill="1" applyBorder="1" applyAlignment="1">
      <alignment horizontal="right"/>
    </xf>
    <xf numFmtId="0" fontId="181" fillId="67" borderId="148" xfId="72" applyFont="1" applyFill="1" applyBorder="1" applyAlignment="1">
      <alignment horizontal="right"/>
    </xf>
    <xf numFmtId="182" fontId="96" fillId="0" borderId="0" xfId="9" applyNumberFormat="1" applyFont="1" applyAlignment="1" applyProtection="1">
      <alignment horizontal="right"/>
    </xf>
    <xf numFmtId="3" fontId="2" fillId="0" borderId="0" xfId="72" applyNumberFormat="1"/>
    <xf numFmtId="0" fontId="33" fillId="16" borderId="0" xfId="19" applyFont="1" applyFill="1" applyAlignment="1" applyProtection="1">
      <alignment horizontal="center" wrapText="1"/>
    </xf>
    <xf numFmtId="0" fontId="19" fillId="21" borderId="0" xfId="19" applyFont="1" applyFill="1" applyAlignment="1" applyProtection="1">
      <alignment horizontal="right" vertical="center"/>
    </xf>
    <xf numFmtId="0" fontId="167" fillId="0" borderId="0" xfId="72" applyFont="1"/>
    <xf numFmtId="0" fontId="139" fillId="20" borderId="85" xfId="13" applyFont="1" applyFill="1" applyBorder="1" applyAlignment="1" applyProtection="1">
      <alignment horizontal="right" vertical="center"/>
    </xf>
    <xf numFmtId="0" fontId="139" fillId="20" borderId="99" xfId="13" applyFont="1" applyFill="1" applyBorder="1" applyAlignment="1" applyProtection="1">
      <alignment horizontal="right" vertical="center"/>
    </xf>
    <xf numFmtId="3" fontId="167" fillId="0" borderId="0" xfId="72" applyNumberFormat="1" applyFont="1"/>
    <xf numFmtId="3" fontId="169" fillId="0" borderId="0" xfId="72" applyNumberFormat="1" applyFont="1" applyAlignment="1">
      <alignment horizontal="justify" vertical="center" readingOrder="1"/>
    </xf>
    <xf numFmtId="3" fontId="183" fillId="64" borderId="81" xfId="72" applyNumberFormat="1" applyFont="1" applyFill="1" applyBorder="1" applyAlignment="1">
      <alignment horizontal="center" vertical="center" wrapText="1" readingOrder="2"/>
    </xf>
    <xf numFmtId="0" fontId="2" fillId="21" borderId="0" xfId="72" applyFill="1"/>
    <xf numFmtId="0" fontId="139" fillId="21" borderId="82" xfId="13" applyFont="1" applyFill="1" applyBorder="1" applyAlignment="1" applyProtection="1">
      <alignment horizontal="right" wrapText="1" readingOrder="2"/>
      <protection locked="0"/>
    </xf>
    <xf numFmtId="38" fontId="170" fillId="18" borderId="83" xfId="13" applyNumberFormat="1" applyFont="1" applyFill="1" applyBorder="1" applyProtection="1"/>
    <xf numFmtId="0" fontId="171" fillId="20" borderId="83" xfId="72" applyFont="1" applyFill="1" applyBorder="1"/>
    <xf numFmtId="3" fontId="171" fillId="20" borderId="86" xfId="72" applyNumberFormat="1" applyFont="1" applyFill="1" applyBorder="1"/>
    <xf numFmtId="3" fontId="171" fillId="20" borderId="83" xfId="72" applyNumberFormat="1" applyFont="1" applyFill="1" applyBorder="1"/>
    <xf numFmtId="10" fontId="171" fillId="20" borderId="83" xfId="73" applyNumberFormat="1" applyFont="1" applyFill="1" applyBorder="1"/>
    <xf numFmtId="3" fontId="171" fillId="20" borderId="84" xfId="72" applyNumberFormat="1" applyFont="1" applyFill="1" applyBorder="1"/>
    <xf numFmtId="0" fontId="7" fillId="0" borderId="0" xfId="72" applyFont="1"/>
    <xf numFmtId="49" fontId="171" fillId="18" borderId="86" xfId="72" applyNumberFormat="1" applyFont="1" applyFill="1" applyBorder="1" applyProtection="1">
      <protection locked="0"/>
    </xf>
    <xf numFmtId="3" fontId="171" fillId="18" borderId="86" xfId="72" applyNumberFormat="1" applyFont="1" applyFill="1" applyBorder="1" applyProtection="1">
      <protection locked="0"/>
    </xf>
    <xf numFmtId="10" fontId="171" fillId="20" borderId="86" xfId="73" applyNumberFormat="1" applyFont="1" applyFill="1" applyBorder="1"/>
    <xf numFmtId="3" fontId="171" fillId="18" borderId="87" xfId="72" applyNumberFormat="1" applyFont="1" applyFill="1" applyBorder="1" applyProtection="1">
      <protection locked="0"/>
    </xf>
    <xf numFmtId="3" fontId="171" fillId="18" borderId="86" xfId="72" applyNumberFormat="1" applyFont="1" applyFill="1" applyBorder="1" applyAlignment="1" applyProtection="1">
      <alignment horizontal="right" vertical="center" readingOrder="1"/>
      <protection locked="0"/>
    </xf>
    <xf numFmtId="0" fontId="139" fillId="20" borderId="101" xfId="13" applyFont="1" applyFill="1" applyBorder="1" applyAlignment="1" applyProtection="1">
      <alignment horizontal="right" wrapText="1" indent="3" readingOrder="2"/>
    </xf>
    <xf numFmtId="38" fontId="170" fillId="18" borderId="102" xfId="13" applyNumberFormat="1" applyFont="1" applyFill="1" applyBorder="1" applyProtection="1">
      <protection locked="0"/>
    </xf>
    <xf numFmtId="49" fontId="171" fillId="18" borderId="102" xfId="72" applyNumberFormat="1" applyFont="1" applyFill="1" applyBorder="1" applyProtection="1">
      <protection locked="0"/>
    </xf>
    <xf numFmtId="3" fontId="171" fillId="20" borderId="102" xfId="72" applyNumberFormat="1" applyFont="1" applyFill="1" applyBorder="1"/>
    <xf numFmtId="3" fontId="171" fillId="18" borderId="102" xfId="72" applyNumberFormat="1" applyFont="1" applyFill="1" applyBorder="1" applyAlignment="1" applyProtection="1">
      <alignment horizontal="right" vertical="center" readingOrder="1"/>
      <protection locked="0"/>
    </xf>
    <xf numFmtId="3" fontId="171" fillId="18" borderId="102" xfId="72" applyNumberFormat="1" applyFont="1" applyFill="1" applyBorder="1" applyProtection="1">
      <protection locked="0"/>
    </xf>
    <xf numFmtId="10" fontId="171" fillId="20" borderId="102" xfId="73" applyNumberFormat="1" applyFont="1" applyFill="1" applyBorder="1"/>
    <xf numFmtId="3" fontId="171" fillId="18" borderId="137" xfId="72" applyNumberFormat="1" applyFont="1" applyFill="1" applyBorder="1" applyProtection="1">
      <protection locked="0"/>
    </xf>
    <xf numFmtId="0" fontId="0" fillId="31" borderId="0" xfId="74" applyFont="1" applyFill="1" applyAlignment="1">
      <alignment horizontal="center"/>
    </xf>
    <xf numFmtId="0" fontId="184" fillId="18" borderId="146" xfId="74" applyFill="1" applyBorder="1"/>
    <xf numFmtId="0" fontId="184" fillId="68" borderId="146" xfId="74" applyFill="1" applyBorder="1" applyProtection="1">
      <protection locked="0"/>
    </xf>
    <xf numFmtId="0" fontId="185" fillId="69" borderId="0" xfId="15" applyFont="1" applyFill="1" applyAlignment="1">
      <alignment horizontal="right"/>
    </xf>
    <xf numFmtId="0" fontId="179" fillId="69" borderId="0" xfId="15" applyFont="1" applyFill="1" applyAlignment="1">
      <alignment horizontal="right" wrapText="1"/>
    </xf>
    <xf numFmtId="0" fontId="180" fillId="0" borderId="48" xfId="15" applyFont="1" applyBorder="1" applyAlignment="1">
      <alignment horizontal="right"/>
    </xf>
    <xf numFmtId="0" fontId="180" fillId="0" borderId="23" xfId="15" applyFont="1" applyBorder="1" applyAlignment="1">
      <alignment horizontal="right"/>
    </xf>
    <xf numFmtId="0" fontId="186" fillId="0" borderId="23" xfId="15" applyFont="1" applyBorder="1" applyAlignment="1">
      <alignment horizontal="right" wrapText="1"/>
    </xf>
    <xf numFmtId="0" fontId="179" fillId="66" borderId="0" xfId="15" applyFont="1" applyFill="1" applyBorder="1" applyAlignment="1">
      <alignment horizontal="right" vertical="center" wrapText="1"/>
    </xf>
    <xf numFmtId="0" fontId="187" fillId="0" borderId="0" xfId="15" applyFont="1"/>
    <xf numFmtId="0" fontId="180" fillId="28" borderId="148" xfId="15" applyFont="1" applyFill="1" applyBorder="1"/>
    <xf numFmtId="0" fontId="171" fillId="0" borderId="127" xfId="15" applyFont="1" applyBorder="1" applyAlignment="1">
      <alignment horizontal="right" wrapText="1"/>
    </xf>
    <xf numFmtId="2" fontId="188" fillId="0" borderId="150" xfId="15" applyNumberFormat="1" applyFont="1" applyBorder="1" applyAlignment="1">
      <alignment horizontal="center"/>
    </xf>
    <xf numFmtId="0" fontId="180" fillId="0" borderId="148" xfId="15" applyFont="1" applyBorder="1"/>
    <xf numFmtId="0" fontId="170" fillId="0" borderId="127" xfId="15" applyFont="1" applyBorder="1" applyAlignment="1">
      <alignment horizontal="right" wrapText="1"/>
    </xf>
    <xf numFmtId="0" fontId="188" fillId="0" borderId="0" xfId="15" applyFont="1" applyBorder="1" applyAlignment="1">
      <alignment horizontal="center"/>
    </xf>
    <xf numFmtId="0" fontId="180" fillId="0" borderId="0" xfId="15" applyFont="1" applyBorder="1"/>
    <xf numFmtId="0" fontId="170" fillId="0" borderId="0" xfId="15" applyFont="1" applyBorder="1" applyAlignment="1">
      <alignment horizontal="right" wrapText="1"/>
    </xf>
    <xf numFmtId="0" fontId="189" fillId="0" borderId="0" xfId="15" applyFont="1" applyAlignment="1">
      <alignment horizontal="justify" vertical="center" readingOrder="2"/>
    </xf>
    <xf numFmtId="0" fontId="170" fillId="0" borderId="0" xfId="15" applyFont="1" applyAlignment="1">
      <alignment horizontal="right" wrapText="1"/>
    </xf>
    <xf numFmtId="0" fontId="190" fillId="0" borderId="0" xfId="15" applyFont="1" applyAlignment="1">
      <alignment horizontal="right" vertical="center" readingOrder="2"/>
    </xf>
    <xf numFmtId="0" fontId="190" fillId="0" borderId="0" xfId="15" applyFont="1" applyAlignment="1">
      <alignment horizontal="left" vertical="center" indent="10" readingOrder="1"/>
    </xf>
    <xf numFmtId="0" fontId="11" fillId="0" borderId="0" xfId="72" applyFont="1"/>
    <xf numFmtId="168" fontId="11" fillId="3" borderId="0" xfId="75" applyNumberFormat="1" applyFont="1" applyFill="1" applyAlignment="1" applyProtection="1">
      <alignment horizontal="right"/>
    </xf>
    <xf numFmtId="3" fontId="144" fillId="21" borderId="105" xfId="72" applyNumberFormat="1" applyFont="1" applyFill="1" applyBorder="1" applyAlignment="1" applyProtection="1">
      <alignment horizontal="right"/>
      <protection locked="0"/>
    </xf>
    <xf numFmtId="0" fontId="17" fillId="19" borderId="68" xfId="72" applyFont="1" applyFill="1" applyBorder="1" applyAlignment="1"/>
    <xf numFmtId="0" fontId="17" fillId="19" borderId="73" xfId="72" applyFont="1" applyFill="1" applyBorder="1" applyAlignment="1"/>
    <xf numFmtId="3" fontId="144" fillId="21" borderId="105" xfId="72" applyNumberFormat="1" applyFont="1" applyFill="1" applyBorder="1" applyAlignment="1" applyProtection="1">
      <alignment horizontal="right"/>
    </xf>
    <xf numFmtId="0" fontId="173" fillId="19" borderId="146" xfId="72" applyFont="1" applyFill="1" applyBorder="1" applyAlignment="1">
      <alignment horizontal="center"/>
    </xf>
    <xf numFmtId="0" fontId="11" fillId="0" borderId="0" xfId="72" applyFont="1" applyAlignment="1">
      <alignment horizontal="center" vertical="center"/>
    </xf>
    <xf numFmtId="0" fontId="11" fillId="59" borderId="35" xfId="19" applyFont="1" applyFill="1" applyBorder="1" applyAlignment="1">
      <alignment horizontal="center" vertical="center" textRotation="180" wrapText="1"/>
    </xf>
    <xf numFmtId="0" fontId="139" fillId="19" borderId="129" xfId="72" applyFont="1" applyFill="1" applyBorder="1" applyAlignment="1">
      <alignment horizontal="center" vertical="center" wrapText="1"/>
    </xf>
    <xf numFmtId="0" fontId="192" fillId="19" borderId="129" xfId="72" applyFont="1" applyFill="1" applyBorder="1" applyAlignment="1">
      <alignment horizontal="center" vertical="center" wrapText="1"/>
    </xf>
    <xf numFmtId="0" fontId="168" fillId="19" borderId="129" xfId="72" applyFont="1" applyFill="1" applyBorder="1" applyAlignment="1">
      <alignment horizontal="center" vertical="center" wrapText="1"/>
    </xf>
    <xf numFmtId="49" fontId="139" fillId="19" borderId="138" xfId="72" applyNumberFormat="1" applyFont="1" applyFill="1" applyBorder="1" applyAlignment="1">
      <alignment horizontal="center" wrapText="1"/>
    </xf>
    <xf numFmtId="49" fontId="139" fillId="19" borderId="129" xfId="72" applyNumberFormat="1" applyFont="1" applyFill="1" applyBorder="1" applyAlignment="1">
      <alignment horizontal="center" wrapText="1"/>
    </xf>
    <xf numFmtId="0" fontId="11" fillId="0" borderId="0" xfId="72" applyFont="1" applyAlignment="1">
      <alignment horizontal="center"/>
    </xf>
    <xf numFmtId="3" fontId="193" fillId="19" borderId="129" xfId="72" applyNumberFormat="1" applyFont="1" applyFill="1" applyBorder="1" applyAlignment="1">
      <alignment horizontal="center" wrapText="1"/>
    </xf>
    <xf numFmtId="3" fontId="139" fillId="19" borderId="129" xfId="72" applyNumberFormat="1" applyFont="1" applyFill="1" applyBorder="1" applyAlignment="1">
      <alignment wrapText="1"/>
    </xf>
    <xf numFmtId="0" fontId="11" fillId="0" borderId="0" xfId="72" applyFont="1" applyAlignment="1">
      <alignment horizontal="right"/>
    </xf>
    <xf numFmtId="0" fontId="11" fillId="18" borderId="129" xfId="72" applyFont="1" applyFill="1" applyBorder="1" applyProtection="1">
      <protection locked="0"/>
    </xf>
    <xf numFmtId="49" fontId="11" fillId="18" borderId="138" xfId="72" applyNumberFormat="1" applyFont="1" applyFill="1" applyBorder="1" applyAlignment="1" applyProtection="1">
      <alignment horizontal="center"/>
      <protection locked="0"/>
    </xf>
    <xf numFmtId="14" fontId="11" fillId="18" borderId="129" xfId="72" applyNumberFormat="1" applyFont="1" applyFill="1" applyBorder="1" applyProtection="1">
      <protection locked="0"/>
    </xf>
    <xf numFmtId="0" fontId="11" fillId="18" borderId="129" xfId="72" applyFont="1" applyFill="1" applyBorder="1" applyAlignment="1" applyProtection="1">
      <alignment wrapText="1"/>
      <protection locked="0"/>
    </xf>
    <xf numFmtId="10" fontId="11" fillId="18" borderId="129" xfId="72" applyNumberFormat="1" applyFont="1" applyFill="1" applyBorder="1" applyProtection="1">
      <protection locked="0"/>
    </xf>
    <xf numFmtId="4" fontId="11" fillId="18" borderId="129" xfId="72" applyNumberFormat="1" applyFont="1" applyFill="1" applyBorder="1" applyProtection="1">
      <protection locked="0"/>
    </xf>
    <xf numFmtId="3" fontId="11" fillId="18" borderId="129" xfId="72" applyNumberFormat="1" applyFont="1" applyFill="1" applyBorder="1" applyProtection="1">
      <protection locked="0"/>
    </xf>
    <xf numFmtId="0" fontId="11" fillId="0" borderId="0" xfId="72" applyFont="1" applyAlignment="1">
      <alignment horizontal="left"/>
    </xf>
    <xf numFmtId="0" fontId="11" fillId="18" borderId="138" xfId="72" applyFont="1" applyFill="1" applyBorder="1" applyProtection="1">
      <protection locked="0"/>
    </xf>
    <xf numFmtId="0" fontId="194" fillId="0" borderId="0" xfId="9" applyFont="1" applyAlignment="1" applyProtection="1"/>
    <xf numFmtId="0" fontId="11" fillId="0" borderId="0" xfId="72" applyFont="1" applyAlignment="1">
      <alignment wrapText="1"/>
    </xf>
    <xf numFmtId="0" fontId="114" fillId="21" borderId="0" xfId="9" applyFont="1" applyFill="1" applyAlignment="1" applyProtection="1">
      <alignment horizontal="center"/>
    </xf>
    <xf numFmtId="0" fontId="114" fillId="21" borderId="0" xfId="9" applyFont="1" applyFill="1" applyAlignment="1" applyProtection="1"/>
    <xf numFmtId="3" fontId="167" fillId="21" borderId="0" xfId="72" applyNumberFormat="1" applyFont="1" applyFill="1"/>
    <xf numFmtId="0" fontId="183" fillId="64" borderId="106" xfId="72" applyFont="1" applyFill="1" applyBorder="1" applyAlignment="1">
      <alignment vertical="center" wrapText="1" readingOrder="2"/>
    </xf>
    <xf numFmtId="0" fontId="183" fillId="64" borderId="157" xfId="72" applyFont="1" applyFill="1" applyBorder="1" applyAlignment="1">
      <alignment vertical="center" wrapText="1" readingOrder="2"/>
    </xf>
    <xf numFmtId="0" fontId="2" fillId="0" borderId="6" xfId="72" applyBorder="1" applyAlignment="1"/>
    <xf numFmtId="0" fontId="11" fillId="21" borderId="0" xfId="72" applyFont="1" applyFill="1"/>
    <xf numFmtId="0" fontId="1" fillId="0" borderId="0" xfId="72" quotePrefix="1" applyFont="1"/>
    <xf numFmtId="0" fontId="1" fillId="0" borderId="0" xfId="72" applyFont="1"/>
    <xf numFmtId="0" fontId="2" fillId="0" borderId="0" xfId="72" applyAlignment="1">
      <alignment readingOrder="2"/>
    </xf>
    <xf numFmtId="0" fontId="184" fillId="18" borderId="0" xfId="74" applyFill="1" applyBorder="1"/>
    <xf numFmtId="0" fontId="159" fillId="71" borderId="136" xfId="0" applyNumberFormat="1" applyFont="1" applyFill="1" applyBorder="1" applyAlignment="1">
      <alignment horizontal="center" vertical="top" wrapText="1" readingOrder="2"/>
    </xf>
    <xf numFmtId="0" fontId="197" fillId="0" borderId="136" xfId="0" applyNumberFormat="1" applyFont="1" applyFill="1" applyBorder="1" applyAlignment="1">
      <alignment horizontal="right" vertical="top" wrapText="1" readingOrder="2"/>
    </xf>
    <xf numFmtId="183" fontId="197" fillId="0" borderId="136" xfId="0" applyNumberFormat="1" applyFont="1" applyFill="1" applyBorder="1" applyAlignment="1">
      <alignment horizontal="right" vertical="top" wrapText="1" readingOrder="2"/>
    </xf>
    <xf numFmtId="0" fontId="197" fillId="61" borderId="136" xfId="0" applyNumberFormat="1" applyFont="1" applyFill="1" applyBorder="1" applyAlignment="1">
      <alignment horizontal="right" vertical="top" wrapText="1" readingOrder="2"/>
    </xf>
    <xf numFmtId="183" fontId="197" fillId="61" borderId="136" xfId="0" applyNumberFormat="1" applyFont="1" applyFill="1" applyBorder="1" applyAlignment="1">
      <alignment horizontal="right" vertical="top" wrapText="1" readingOrder="2"/>
    </xf>
    <xf numFmtId="0" fontId="196" fillId="0" borderId="0" xfId="0" applyFont="1" applyFill="1" applyBorder="1"/>
    <xf numFmtId="0" fontId="196" fillId="0" borderId="158" xfId="0" applyNumberFormat="1" applyFont="1" applyFill="1" applyBorder="1" applyAlignment="1">
      <alignment vertical="top" wrapText="1"/>
    </xf>
    <xf numFmtId="0" fontId="142" fillId="17" borderId="82" xfId="15" applyFont="1" applyFill="1" applyBorder="1" applyAlignment="1" applyProtection="1">
      <alignment horizontal="center" vertical="top" wrapText="1" readingOrder="2"/>
    </xf>
    <xf numFmtId="0" fontId="142" fillId="17" borderId="83" xfId="15" applyFont="1" applyFill="1" applyBorder="1" applyAlignment="1" applyProtection="1">
      <alignment horizontal="center" vertical="top" wrapText="1" readingOrder="2"/>
    </xf>
    <xf numFmtId="179" fontId="142" fillId="27" borderId="83" xfId="15" applyNumberFormat="1" applyFont="1" applyFill="1" applyBorder="1" applyAlignment="1" applyProtection="1">
      <alignment horizontal="center" vertical="top" wrapText="1" readingOrder="2"/>
    </xf>
    <xf numFmtId="0" fontId="142" fillId="27" borderId="83" xfId="15" applyFont="1" applyFill="1" applyBorder="1" applyAlignment="1" applyProtection="1">
      <alignment horizontal="center" vertical="top" wrapText="1" readingOrder="2"/>
    </xf>
    <xf numFmtId="0" fontId="142" fillId="17" borderId="84" xfId="15" applyFont="1" applyFill="1" applyBorder="1" applyAlignment="1" applyProtection="1">
      <alignment horizontal="center" vertical="top" wrapText="1" readingOrder="2"/>
    </xf>
    <xf numFmtId="49" fontId="69" fillId="26" borderId="97" xfId="0" applyNumberFormat="1" applyFont="1" applyFill="1" applyBorder="1" applyProtection="1"/>
    <xf numFmtId="0" fontId="69" fillId="26" borderId="97" xfId="0" applyNumberFormat="1" applyFont="1" applyFill="1" applyBorder="1" applyProtection="1"/>
    <xf numFmtId="179" fontId="142" fillId="27" borderId="103" xfId="15" applyNumberFormat="1" applyFont="1" applyFill="1" applyBorder="1" applyAlignment="1" applyProtection="1">
      <alignment horizontal="center" vertical="top" wrapText="1" readingOrder="2"/>
    </xf>
    <xf numFmtId="0" fontId="142" fillId="27" borderId="103" xfId="15" applyFont="1" applyFill="1" applyBorder="1" applyAlignment="1" applyProtection="1">
      <alignment horizontal="center" vertical="top" wrapText="1" readingOrder="2"/>
    </xf>
    <xf numFmtId="49" fontId="69" fillId="26" borderId="97" xfId="0" applyNumberFormat="1" applyFont="1" applyFill="1" applyBorder="1" applyAlignment="1" applyProtection="1">
      <alignment horizontal="center"/>
    </xf>
    <xf numFmtId="49" fontId="69" fillId="26" borderId="36" xfId="0" applyNumberFormat="1" applyFont="1" applyFill="1" applyBorder="1" applyProtection="1"/>
    <xf numFmtId="0" fontId="69" fillId="26" borderId="36" xfId="0" applyNumberFormat="1" applyFont="1" applyFill="1" applyBorder="1" applyProtection="1"/>
    <xf numFmtId="49" fontId="69" fillId="26" borderId="36" xfId="0" applyNumberFormat="1" applyFont="1" applyFill="1" applyBorder="1" applyAlignment="1" applyProtection="1">
      <alignment horizontal="center"/>
    </xf>
    <xf numFmtId="49" fontId="69" fillId="26" borderId="81" xfId="0" applyNumberFormat="1" applyFont="1" applyFill="1" applyBorder="1" applyProtection="1"/>
    <xf numFmtId="0" fontId="69" fillId="26" borderId="81" xfId="0" applyNumberFormat="1" applyFont="1" applyFill="1" applyBorder="1" applyProtection="1"/>
    <xf numFmtId="49" fontId="69" fillId="26" borderId="81" xfId="0" applyNumberFormat="1" applyFont="1" applyFill="1" applyBorder="1" applyAlignment="1" applyProtection="1">
      <alignment horizontal="center"/>
    </xf>
    <xf numFmtId="0" fontId="69" fillId="26" borderId="0" xfId="0" applyNumberFormat="1" applyFont="1" applyFill="1" applyBorder="1" applyProtection="1"/>
    <xf numFmtId="0" fontId="142" fillId="27" borderId="103" xfId="15" applyNumberFormat="1" applyFont="1" applyFill="1" applyBorder="1" applyAlignment="1" applyProtection="1">
      <alignment horizontal="center" vertical="top" wrapText="1" readingOrder="2"/>
    </xf>
    <xf numFmtId="0" fontId="69" fillId="26" borderId="0" xfId="0" applyNumberFormat="1" applyFont="1" applyFill="1" applyBorder="1" applyAlignment="1" applyProtection="1">
      <alignment horizontal="center"/>
    </xf>
    <xf numFmtId="49" fontId="69" fillId="26" borderId="0" xfId="0" applyNumberFormat="1" applyFont="1" applyFill="1" applyBorder="1" applyProtection="1"/>
    <xf numFmtId="0" fontId="143" fillId="26" borderId="85" xfId="15" applyFont="1" applyFill="1" applyBorder="1" applyAlignment="1" applyProtection="1">
      <alignment horizontal="right" vertical="top" wrapText="1" readingOrder="2"/>
    </xf>
    <xf numFmtId="0" fontId="143" fillId="26" borderId="86" xfId="15" applyFont="1" applyFill="1" applyBorder="1" applyAlignment="1" applyProtection="1">
      <alignment horizontal="right" vertical="top" wrapText="1" readingOrder="2"/>
    </xf>
    <xf numFmtId="179" fontId="143" fillId="26" borderId="86" xfId="15" applyNumberFormat="1" applyFont="1" applyFill="1" applyBorder="1" applyAlignment="1" applyProtection="1">
      <alignment horizontal="right" vertical="top" wrapText="1" readingOrder="2"/>
    </xf>
    <xf numFmtId="180" fontId="143" fillId="26" borderId="86" xfId="15" applyNumberFormat="1" applyFont="1" applyFill="1" applyBorder="1" applyAlignment="1" applyProtection="1">
      <alignment horizontal="right" vertical="top" wrapText="1" readingOrder="2"/>
    </xf>
    <xf numFmtId="0" fontId="143" fillId="26" borderId="87" xfId="15" applyFont="1" applyFill="1" applyBorder="1" applyAlignment="1" applyProtection="1">
      <alignment horizontal="right" vertical="top" wrapText="1" readingOrder="2"/>
    </xf>
    <xf numFmtId="0" fontId="7" fillId="0" borderId="0" xfId="15" applyProtection="1">
      <protection locked="0"/>
    </xf>
    <xf numFmtId="0" fontId="7" fillId="0" borderId="0" xfId="0" applyFont="1" applyAlignment="1">
      <alignment horizontal="right" wrapText="1"/>
    </xf>
    <xf numFmtId="3" fontId="48" fillId="2" borderId="31" xfId="0" applyNumberFormat="1" applyFont="1" applyFill="1" applyBorder="1" applyProtection="1"/>
    <xf numFmtId="3" fontId="48" fillId="2" borderId="3" xfId="0" applyNumberFormat="1" applyFont="1" applyFill="1" applyBorder="1" applyProtection="1"/>
    <xf numFmtId="167" fontId="22" fillId="7" borderId="129" xfId="19" quotePrefix="1" applyNumberFormat="1" applyFont="1" applyFill="1" applyBorder="1" applyAlignment="1" applyProtection="1">
      <alignment wrapText="1"/>
    </xf>
    <xf numFmtId="0" fontId="159" fillId="71" borderId="136" xfId="0" applyNumberFormat="1" applyFont="1" applyFill="1" applyBorder="1" applyAlignment="1">
      <alignment horizontal="center" vertical="top" wrapText="1" readingOrder="2"/>
    </xf>
    <xf numFmtId="0" fontId="196" fillId="0" borderId="158" xfId="0" applyNumberFormat="1" applyFont="1" applyFill="1" applyBorder="1" applyAlignment="1">
      <alignment vertical="top" wrapText="1"/>
    </xf>
    <xf numFmtId="0" fontId="113" fillId="19" borderId="2" xfId="17" applyFont="1" applyFill="1" applyBorder="1" applyAlignment="1">
      <alignment horizontal="center"/>
    </xf>
    <xf numFmtId="0" fontId="113" fillId="19" borderId="105" xfId="17" applyFont="1" applyFill="1" applyBorder="1" applyAlignment="1">
      <alignment horizontal="center"/>
    </xf>
    <xf numFmtId="0" fontId="100" fillId="19" borderId="5" xfId="17" applyFill="1" applyBorder="1" applyAlignment="1">
      <alignment horizontal="center"/>
    </xf>
    <xf numFmtId="0" fontId="100" fillId="19" borderId="0" xfId="17" applyFill="1" applyAlignment="1">
      <alignment horizontal="center"/>
    </xf>
    <xf numFmtId="0" fontId="11" fillId="0" borderId="0" xfId="19" applyFont="1" applyAlignment="1" applyProtection="1">
      <alignment horizontal="center" wrapText="1" readingOrder="2"/>
    </xf>
    <xf numFmtId="0" fontId="17" fillId="5" borderId="0" xfId="19" applyFont="1" applyFill="1" applyAlignment="1" applyProtection="1">
      <alignment horizontal="center" readingOrder="2"/>
    </xf>
    <xf numFmtId="10" fontId="21" fillId="20" borderId="25" xfId="22" applyNumberFormat="1" applyFont="1" applyFill="1" applyBorder="1" applyAlignment="1">
      <alignment horizontal="center" wrapText="1"/>
    </xf>
    <xf numFmtId="10" fontId="21" fillId="20" borderId="38" xfId="22" applyNumberFormat="1" applyFont="1" applyFill="1" applyBorder="1" applyAlignment="1">
      <alignment horizontal="center" wrapText="1"/>
    </xf>
    <xf numFmtId="0" fontId="21" fillId="19" borderId="56" xfId="19" applyFont="1" applyFill="1" applyBorder="1" applyAlignment="1">
      <alignment horizontal="center"/>
    </xf>
    <xf numFmtId="0" fontId="21" fillId="19" borderId="33" xfId="19" applyFont="1" applyFill="1" applyBorder="1" applyAlignment="1">
      <alignment horizontal="center"/>
    </xf>
    <xf numFmtId="0" fontId="17" fillId="0" borderId="6" xfId="19" applyFont="1" applyBorder="1" applyAlignment="1" applyProtection="1">
      <alignment horizontal="center" wrapText="1" readingOrder="2"/>
    </xf>
    <xf numFmtId="0" fontId="17" fillId="0" borderId="54" xfId="19" applyFont="1" applyBorder="1" applyAlignment="1" applyProtection="1">
      <alignment horizontal="center" wrapText="1" readingOrder="2"/>
    </xf>
    <xf numFmtId="0" fontId="72" fillId="0" borderId="0" xfId="15" applyFont="1" applyAlignment="1">
      <alignment horizontal="right" vertical="center" wrapText="1" readingOrder="2"/>
    </xf>
    <xf numFmtId="167" fontId="106" fillId="7" borderId="52" xfId="19" applyNumberFormat="1" applyFont="1" applyFill="1" applyBorder="1" applyAlignment="1" applyProtection="1">
      <alignment horizontal="center" wrapText="1"/>
    </xf>
    <xf numFmtId="167" fontId="106" fillId="7" borderId="76" xfId="19" applyNumberFormat="1" applyFont="1" applyFill="1" applyBorder="1" applyAlignment="1" applyProtection="1">
      <alignment horizontal="center" wrapText="1"/>
    </xf>
    <xf numFmtId="0" fontId="72" fillId="0" borderId="0" xfId="15" applyFont="1" applyAlignment="1">
      <alignment horizontal="justify" vertical="center" wrapText="1" readingOrder="2"/>
    </xf>
    <xf numFmtId="49" fontId="20" fillId="19" borderId="48" xfId="18" applyNumberFormat="1" applyFont="1" applyFill="1" applyBorder="1" applyAlignment="1" applyProtection="1">
      <alignment horizontal="center" vertical="center" readingOrder="2"/>
    </xf>
    <xf numFmtId="49" fontId="20" fillId="19" borderId="23" xfId="18" applyNumberFormat="1" applyFont="1" applyFill="1" applyBorder="1" applyAlignment="1" applyProtection="1">
      <alignment horizontal="center" vertical="center" readingOrder="2"/>
    </xf>
    <xf numFmtId="49" fontId="20" fillId="19" borderId="54" xfId="18" applyNumberFormat="1" applyFont="1" applyFill="1" applyBorder="1" applyAlignment="1" applyProtection="1">
      <alignment horizontal="center" vertical="center" readingOrder="2"/>
    </xf>
    <xf numFmtId="49" fontId="11" fillId="14" borderId="7" xfId="18" applyNumberFormat="1" applyFont="1" applyFill="1" applyBorder="1" applyAlignment="1" applyProtection="1">
      <alignment horizontal="center"/>
      <protection locked="0"/>
    </xf>
    <xf numFmtId="49" fontId="11" fillId="14" borderId="8" xfId="18" applyNumberFormat="1" applyFont="1" applyFill="1" applyBorder="1" applyAlignment="1" applyProtection="1">
      <alignment horizontal="center"/>
      <protection locked="0"/>
    </xf>
    <xf numFmtId="49" fontId="11" fillId="14" borderId="9" xfId="18" applyNumberFormat="1" applyFont="1" applyFill="1" applyBorder="1" applyAlignment="1" applyProtection="1">
      <alignment horizontal="center"/>
      <protection locked="0"/>
    </xf>
    <xf numFmtId="0" fontId="181" fillId="67" borderId="150" xfId="72" applyFont="1" applyFill="1" applyBorder="1" applyAlignment="1">
      <alignment horizontal="right"/>
    </xf>
    <xf numFmtId="0" fontId="181" fillId="67" borderId="127" xfId="72" applyFont="1" applyFill="1" applyBorder="1" applyAlignment="1">
      <alignment horizontal="right"/>
    </xf>
    <xf numFmtId="0" fontId="181" fillId="67" borderId="148" xfId="72" applyFont="1" applyFill="1" applyBorder="1" applyAlignment="1">
      <alignment horizontal="right"/>
    </xf>
    <xf numFmtId="0" fontId="179" fillId="66" borderId="48" xfId="72" applyFont="1" applyFill="1" applyBorder="1" applyAlignment="1">
      <alignment horizontal="center" vertical="center"/>
    </xf>
    <xf numFmtId="0" fontId="179" fillId="66" borderId="23" xfId="72" applyFont="1" applyFill="1" applyBorder="1" applyAlignment="1">
      <alignment horizontal="center" vertical="center"/>
    </xf>
    <xf numFmtId="0" fontId="181" fillId="67" borderId="149" xfId="72" applyFont="1" applyFill="1" applyBorder="1" applyAlignment="1">
      <alignment horizontal="right"/>
    </xf>
    <xf numFmtId="0" fontId="181" fillId="67" borderId="152" xfId="72" applyFont="1" applyFill="1" applyBorder="1" applyAlignment="1">
      <alignment horizontal="right"/>
    </xf>
    <xf numFmtId="0" fontId="181" fillId="67" borderId="153" xfId="72" applyFont="1" applyFill="1" applyBorder="1" applyAlignment="1">
      <alignment horizontal="right"/>
    </xf>
    <xf numFmtId="0" fontId="179" fillId="66" borderId="48" xfId="72" applyFont="1" applyFill="1" applyBorder="1" applyAlignment="1">
      <alignment horizontal="right" vertical="center"/>
    </xf>
    <xf numFmtId="0" fontId="179" fillId="66" borderId="23" xfId="72" applyFont="1" applyFill="1" applyBorder="1" applyAlignment="1">
      <alignment horizontal="right" vertical="center"/>
    </xf>
    <xf numFmtId="0" fontId="183" fillId="64" borderId="2" xfId="72" applyFont="1" applyFill="1" applyBorder="1" applyAlignment="1">
      <alignment horizontal="center" vertical="center" wrapText="1" readingOrder="2"/>
    </xf>
    <xf numFmtId="0" fontId="183" fillId="64" borderId="81" xfId="72" applyFont="1" applyFill="1" applyBorder="1" applyAlignment="1">
      <alignment horizontal="center" vertical="center" wrapText="1" readingOrder="2"/>
    </xf>
    <xf numFmtId="3" fontId="183" fillId="64" borderId="105" xfId="72" applyNumberFormat="1" applyFont="1" applyFill="1" applyBorder="1" applyAlignment="1">
      <alignment horizontal="center" vertical="center" wrapText="1" readingOrder="2"/>
    </xf>
    <xf numFmtId="3" fontId="183" fillId="64" borderId="140" xfId="72" applyNumberFormat="1" applyFont="1" applyFill="1" applyBorder="1" applyAlignment="1">
      <alignment horizontal="center" vertical="center" wrapText="1" readingOrder="2"/>
    </xf>
    <xf numFmtId="3" fontId="183" fillId="64" borderId="2" xfId="72" applyNumberFormat="1" applyFont="1" applyFill="1" applyBorder="1" applyAlignment="1">
      <alignment horizontal="center" vertical="center" wrapText="1" readingOrder="2"/>
    </xf>
    <xf numFmtId="3" fontId="183" fillId="64" borderId="81" xfId="72" applyNumberFormat="1" applyFont="1" applyFill="1" applyBorder="1" applyAlignment="1">
      <alignment horizontal="center" vertical="center" wrapText="1" readingOrder="2"/>
    </xf>
    <xf numFmtId="0" fontId="185" fillId="66" borderId="155" xfId="15" applyFont="1" applyFill="1" applyBorder="1" applyAlignment="1">
      <alignment horizontal="center" vertical="center"/>
    </xf>
    <xf numFmtId="0" fontId="185" fillId="66" borderId="156" xfId="15" applyFont="1" applyFill="1" applyBorder="1" applyAlignment="1">
      <alignment horizontal="center" vertical="center"/>
    </xf>
    <xf numFmtId="0" fontId="17" fillId="19" borderId="139" xfId="72" applyFont="1" applyFill="1" applyBorder="1" applyAlignment="1"/>
    <xf numFmtId="0" fontId="17" fillId="19" borderId="81" xfId="72" applyFont="1" applyFill="1" applyBorder="1" applyAlignment="1"/>
    <xf numFmtId="0" fontId="173" fillId="19" borderId="146" xfId="72" applyFont="1" applyFill="1" applyBorder="1" applyAlignment="1">
      <alignment horizontal="center"/>
    </xf>
    <xf numFmtId="0" fontId="9" fillId="70" borderId="23" xfId="19" applyFont="1" applyFill="1" applyBorder="1" applyAlignment="1" applyProtection="1">
      <alignment horizontal="right" vertical="center"/>
    </xf>
    <xf numFmtId="0" fontId="9" fillId="21" borderId="0" xfId="19" applyFont="1" applyFill="1" applyAlignment="1" applyProtection="1">
      <alignment horizontal="center" vertical="center"/>
    </xf>
    <xf numFmtId="0" fontId="19" fillId="70" borderId="23" xfId="19" applyFont="1" applyFill="1" applyBorder="1" applyAlignment="1" applyProtection="1">
      <alignment horizontal="right" vertical="center"/>
    </xf>
    <xf numFmtId="0" fontId="17" fillId="19" borderId="104" xfId="72" applyFont="1" applyFill="1" applyBorder="1" applyAlignment="1"/>
    <xf numFmtId="0" fontId="17" fillId="19" borderId="2" xfId="72" applyFont="1" applyFill="1" applyBorder="1" applyAlignment="1"/>
    <xf numFmtId="0" fontId="101" fillId="20" borderId="56" xfId="17" applyFont="1" applyFill="1" applyBorder="1" applyAlignment="1">
      <alignment horizontal="center"/>
    </xf>
    <xf numFmtId="0" fontId="101" fillId="20" borderId="75" xfId="17" applyFont="1" applyFill="1" applyBorder="1" applyAlignment="1">
      <alignment horizontal="center"/>
    </xf>
    <xf numFmtId="0" fontId="101" fillId="20" borderId="18" xfId="69" applyFont="1" applyFill="1" applyBorder="1" applyAlignment="1">
      <alignment horizontal="right" vertical="center" readingOrder="2"/>
    </xf>
    <xf numFmtId="0" fontId="101" fillId="20" borderId="20" xfId="69" applyFont="1" applyFill="1" applyBorder="1" applyAlignment="1">
      <alignment horizontal="right" vertical="center" readingOrder="2"/>
    </xf>
    <xf numFmtId="0" fontId="101" fillId="20" borderId="18" xfId="17" applyFont="1" applyFill="1" applyBorder="1" applyAlignment="1">
      <alignment horizontal="right" vertical="center" readingOrder="2"/>
    </xf>
    <xf numFmtId="0" fontId="101" fillId="20" borderId="20" xfId="17" applyFont="1" applyFill="1" applyBorder="1" applyAlignment="1">
      <alignment horizontal="right" vertical="center" readingOrder="2"/>
    </xf>
    <xf numFmtId="0" fontId="11" fillId="0" borderId="0" xfId="0" applyFont="1" applyAlignment="1">
      <alignment horizontal="right" wrapText="1" readingOrder="2"/>
    </xf>
    <xf numFmtId="2" fontId="17" fillId="21" borderId="124" xfId="0" applyNumberFormat="1" applyFont="1" applyFill="1" applyBorder="1" applyAlignment="1">
      <alignment horizontal="center"/>
    </xf>
    <xf numFmtId="2" fontId="17" fillId="21" borderId="125" xfId="0" applyNumberFormat="1" applyFont="1" applyFill="1" applyBorder="1" applyAlignment="1">
      <alignment horizontal="center"/>
    </xf>
    <xf numFmtId="2" fontId="17" fillId="21" borderId="126" xfId="0" applyNumberFormat="1" applyFont="1" applyFill="1" applyBorder="1" applyAlignment="1">
      <alignment horizontal="center"/>
    </xf>
    <xf numFmtId="0" fontId="21" fillId="19" borderId="2" xfId="0" applyFont="1" applyFill="1" applyBorder="1" applyAlignment="1">
      <alignment horizontal="center" vertical="center" wrapText="1"/>
    </xf>
    <xf numFmtId="0" fontId="21" fillId="19" borderId="110" xfId="0" applyFont="1" applyFill="1" applyBorder="1" applyAlignment="1">
      <alignment horizontal="center" vertical="center" wrapText="1"/>
    </xf>
    <xf numFmtId="0" fontId="21" fillId="19" borderId="105" xfId="0" applyFont="1" applyFill="1" applyBorder="1" applyAlignment="1">
      <alignment horizontal="center" vertical="center" wrapText="1"/>
    </xf>
    <xf numFmtId="0" fontId="21" fillId="19" borderId="111" xfId="0" applyFont="1" applyFill="1" applyBorder="1" applyAlignment="1">
      <alignment horizontal="center" vertical="center" wrapText="1"/>
    </xf>
    <xf numFmtId="0" fontId="17" fillId="19" borderId="2" xfId="0" applyFont="1" applyFill="1" applyBorder="1" applyAlignment="1">
      <alignment horizontal="center" vertical="center" wrapText="1" readingOrder="2"/>
    </xf>
    <xf numFmtId="0" fontId="21" fillId="19" borderId="115" xfId="0" applyFont="1" applyFill="1" applyBorder="1" applyAlignment="1">
      <alignment horizontal="center" vertical="center" wrapText="1"/>
    </xf>
    <xf numFmtId="0" fontId="21" fillId="19" borderId="116" xfId="0" applyFont="1" applyFill="1" applyBorder="1" applyAlignment="1">
      <alignment horizontal="center" vertical="center" wrapText="1"/>
    </xf>
    <xf numFmtId="0" fontId="17" fillId="19" borderId="110" xfId="0" applyFont="1" applyFill="1" applyBorder="1" applyAlignment="1">
      <alignment horizontal="center" vertical="center" wrapText="1" readingOrder="2"/>
    </xf>
    <xf numFmtId="0" fontId="39" fillId="27" borderId="0" xfId="0" applyFont="1" applyFill="1" applyAlignment="1">
      <alignment horizontal="center"/>
    </xf>
    <xf numFmtId="0" fontId="30" fillId="21" borderId="23" xfId="19" applyFont="1" applyFill="1" applyBorder="1" applyAlignment="1" applyProtection="1">
      <alignment horizontal="center" wrapText="1"/>
    </xf>
    <xf numFmtId="0" fontId="17" fillId="19" borderId="117" xfId="0" applyFont="1" applyFill="1" applyBorder="1" applyAlignment="1">
      <alignment horizontal="center" vertical="center" wrapText="1" readingOrder="2"/>
    </xf>
    <xf numFmtId="0" fontId="17" fillId="19" borderId="118" xfId="0" applyFont="1" applyFill="1" applyBorder="1" applyAlignment="1">
      <alignment horizontal="center" vertical="center" wrapText="1" readingOrder="2"/>
    </xf>
    <xf numFmtId="0" fontId="21" fillId="19" borderId="2" xfId="0" applyFont="1" applyFill="1" applyBorder="1" applyAlignment="1">
      <alignment horizontal="center" vertical="center" wrapText="1" readingOrder="2"/>
    </xf>
    <xf numFmtId="0" fontId="21" fillId="19" borderId="110" xfId="0" applyFont="1" applyFill="1" applyBorder="1" applyAlignment="1">
      <alignment horizontal="center" vertical="center" wrapText="1" readingOrder="2"/>
    </xf>
    <xf numFmtId="0" fontId="21" fillId="19" borderId="135" xfId="0" applyFont="1" applyFill="1" applyBorder="1" applyAlignment="1">
      <alignment horizontal="center" vertical="center" wrapText="1"/>
    </xf>
    <xf numFmtId="0" fontId="21" fillId="19" borderId="144" xfId="0" applyFont="1" applyFill="1" applyBorder="1" applyAlignment="1">
      <alignment horizontal="center" vertical="center" wrapText="1"/>
    </xf>
    <xf numFmtId="0" fontId="21" fillId="19" borderId="145" xfId="0" applyFont="1" applyFill="1" applyBorder="1" applyAlignment="1">
      <alignment horizontal="center" vertical="center" wrapText="1"/>
    </xf>
    <xf numFmtId="0" fontId="17" fillId="19" borderId="115" xfId="0" applyFont="1" applyFill="1" applyBorder="1" applyAlignment="1">
      <alignment horizontal="center" vertical="center" wrapText="1" readingOrder="2"/>
    </xf>
    <xf numFmtId="0" fontId="17" fillId="19" borderId="141" xfId="0" applyFont="1" applyFill="1" applyBorder="1" applyAlignment="1">
      <alignment horizontal="center" vertical="center" wrapText="1" readingOrder="2"/>
    </xf>
    <xf numFmtId="0" fontId="17" fillId="19" borderId="142" xfId="0" applyFont="1" applyFill="1" applyBorder="1" applyAlignment="1">
      <alignment horizontal="center" vertical="center" wrapText="1" readingOrder="2"/>
    </xf>
    <xf numFmtId="0" fontId="17" fillId="19" borderId="143" xfId="0" applyFont="1" applyFill="1" applyBorder="1" applyAlignment="1">
      <alignment horizontal="center" vertical="center" wrapText="1" readingOrder="2"/>
    </xf>
    <xf numFmtId="0" fontId="21" fillId="19" borderId="115" xfId="0" applyFont="1" applyFill="1" applyBorder="1" applyAlignment="1">
      <alignment horizontal="center" vertical="center" wrapText="1" readingOrder="2"/>
    </xf>
    <xf numFmtId="0" fontId="21" fillId="19" borderId="141" xfId="0" applyFont="1" applyFill="1" applyBorder="1" applyAlignment="1">
      <alignment horizontal="center" vertical="center" wrapText="1" readingOrder="2"/>
    </xf>
    <xf numFmtId="0" fontId="21" fillId="19" borderId="141" xfId="0" applyFont="1" applyFill="1" applyBorder="1" applyAlignment="1">
      <alignment horizontal="center" vertical="center" wrapText="1"/>
    </xf>
    <xf numFmtId="0" fontId="163" fillId="0" borderId="0" xfId="0" applyFont="1" applyAlignment="1">
      <alignment horizontal="right" wrapText="1"/>
    </xf>
    <xf numFmtId="0" fontId="175" fillId="0" borderId="0" xfId="0" applyFont="1" applyAlignment="1">
      <alignment horizontal="right" wrapText="1" readingOrder="2"/>
    </xf>
    <xf numFmtId="0" fontId="12" fillId="14" borderId="0" xfId="9" applyFill="1" applyAlignment="1" applyProtection="1">
      <alignment horizontal="center" readingOrder="2"/>
    </xf>
    <xf numFmtId="0" fontId="21" fillId="2" borderId="2" xfId="11" applyFont="1" applyFill="1" applyBorder="1" applyAlignment="1">
      <alignment horizontal="center" wrapText="1" readingOrder="2"/>
    </xf>
    <xf numFmtId="0" fontId="21" fillId="2" borderId="1" xfId="11" applyFont="1" applyFill="1" applyBorder="1" applyAlignment="1">
      <alignment horizontal="center" wrapText="1" readingOrder="2"/>
    </xf>
    <xf numFmtId="0" fontId="17" fillId="2" borderId="2" xfId="0" applyFont="1" applyFill="1" applyBorder="1" applyAlignment="1">
      <alignment horizontal="center"/>
    </xf>
    <xf numFmtId="0" fontId="39" fillId="0" borderId="23" xfId="0" applyFont="1" applyBorder="1" applyAlignment="1">
      <alignment horizontal="right" wrapText="1" readingOrder="1"/>
    </xf>
    <xf numFmtId="175" fontId="17" fillId="2" borderId="2" xfId="0" applyNumberFormat="1" applyFont="1" applyFill="1" applyBorder="1" applyAlignment="1">
      <alignment horizontal="center" wrapText="1" readingOrder="2"/>
    </xf>
    <xf numFmtId="175" fontId="17" fillId="2" borderId="1" xfId="0" applyNumberFormat="1" applyFont="1" applyFill="1" applyBorder="1" applyAlignment="1">
      <alignment horizontal="center" wrapText="1" readingOrder="2"/>
    </xf>
    <xf numFmtId="0" fontId="17" fillId="2" borderId="16" xfId="0" applyFont="1" applyFill="1" applyBorder="1" applyAlignment="1">
      <alignment horizontal="center"/>
    </xf>
    <xf numFmtId="0" fontId="17" fillId="2" borderId="56" xfId="0" applyFont="1" applyFill="1" applyBorder="1" applyAlignment="1">
      <alignment horizontal="center"/>
    </xf>
    <xf numFmtId="0" fontId="17" fillId="2" borderId="75" xfId="0" applyFont="1" applyFill="1" applyBorder="1" applyAlignment="1">
      <alignment horizontal="center"/>
    </xf>
    <xf numFmtId="0" fontId="17" fillId="2" borderId="27" xfId="0" applyFont="1" applyFill="1" applyBorder="1" applyAlignment="1">
      <alignment horizontal="center"/>
    </xf>
    <xf numFmtId="0" fontId="17" fillId="2" borderId="33" xfId="0" applyFont="1" applyFill="1" applyBorder="1" applyAlignment="1">
      <alignment horizontal="center"/>
    </xf>
    <xf numFmtId="0" fontId="12" fillId="0" borderId="0" xfId="9" applyFill="1" applyAlignment="1" applyProtection="1">
      <alignment horizontal="center" readingOrder="2"/>
    </xf>
    <xf numFmtId="0" fontId="17" fillId="2" borderId="27" xfId="0" applyFont="1" applyFill="1" applyBorder="1" applyAlignment="1">
      <alignment horizontal="center" wrapText="1"/>
    </xf>
    <xf numFmtId="0" fontId="17" fillId="2" borderId="33" xfId="0" applyFont="1" applyFill="1" applyBorder="1" applyAlignment="1">
      <alignment horizontal="center" wrapText="1"/>
    </xf>
    <xf numFmtId="0" fontId="17" fillId="2" borderId="56" xfId="0" applyFont="1" applyFill="1" applyBorder="1" applyAlignment="1">
      <alignment horizontal="center" wrapText="1"/>
    </xf>
    <xf numFmtId="0" fontId="17" fillId="2" borderId="75" xfId="0" applyFont="1" applyFill="1" applyBorder="1" applyAlignment="1">
      <alignment horizontal="center" wrapText="1"/>
    </xf>
    <xf numFmtId="0" fontId="21" fillId="2" borderId="34" xfId="0" applyFont="1" applyFill="1" applyBorder="1" applyAlignment="1">
      <alignment horizontal="center" wrapText="1" readingOrder="2"/>
    </xf>
    <xf numFmtId="0" fontId="21" fillId="2" borderId="1" xfId="0" applyFont="1" applyFill="1" applyBorder="1" applyAlignment="1">
      <alignment horizontal="center" wrapText="1" readingOrder="2"/>
    </xf>
    <xf numFmtId="0" fontId="21" fillId="2" borderId="33" xfId="0" applyFont="1" applyFill="1" applyBorder="1" applyAlignment="1">
      <alignment horizontal="center" wrapText="1" readingOrder="2"/>
    </xf>
    <xf numFmtId="0" fontId="21" fillId="2" borderId="27" xfId="0" applyFont="1" applyFill="1" applyBorder="1" applyAlignment="1">
      <alignment horizontal="center" wrapText="1" readingOrder="2"/>
    </xf>
    <xf numFmtId="176" fontId="17" fillId="2" borderId="34" xfId="0" applyNumberFormat="1" applyFont="1" applyFill="1" applyBorder="1" applyAlignment="1">
      <alignment horizontal="center" wrapText="1" readingOrder="2"/>
    </xf>
    <xf numFmtId="176" fontId="17" fillId="2" borderId="2" xfId="0" applyNumberFormat="1" applyFont="1" applyFill="1" applyBorder="1" applyAlignment="1">
      <alignment horizontal="center" wrapText="1" readingOrder="2"/>
    </xf>
    <xf numFmtId="176" fontId="17" fillId="2" borderId="1" xfId="0" applyNumberFormat="1" applyFont="1" applyFill="1" applyBorder="1" applyAlignment="1">
      <alignment horizontal="center" wrapText="1" readingOrder="2"/>
    </xf>
    <xf numFmtId="38" fontId="17" fillId="2" borderId="32" xfId="0" applyNumberFormat="1" applyFont="1" applyFill="1" applyBorder="1" applyAlignment="1">
      <alignment horizontal="center" wrapText="1" readingOrder="2"/>
    </xf>
    <xf numFmtId="38" fontId="17" fillId="2" borderId="38" xfId="0" applyNumberFormat="1" applyFont="1" applyFill="1" applyBorder="1" applyAlignment="1">
      <alignment horizontal="center" wrapText="1" readingOrder="2"/>
    </xf>
    <xf numFmtId="0" fontId="17" fillId="2" borderId="2" xfId="0" applyFont="1" applyFill="1" applyBorder="1" applyAlignment="1">
      <alignment horizontal="center" wrapText="1" readingOrder="2"/>
    </xf>
    <xf numFmtId="0" fontId="17" fillId="2" borderId="1" xfId="0" applyFont="1" applyFill="1" applyBorder="1" applyAlignment="1">
      <alignment horizontal="center" wrapText="1" readingOrder="2"/>
    </xf>
    <xf numFmtId="0" fontId="17" fillId="2" borderId="1" xfId="0" applyFont="1" applyFill="1" applyBorder="1" applyAlignment="1">
      <alignment horizontal="center"/>
    </xf>
    <xf numFmtId="0" fontId="39" fillId="2" borderId="27" xfId="0" applyFont="1" applyFill="1" applyBorder="1" applyAlignment="1">
      <alignment horizontal="center"/>
    </xf>
    <xf numFmtId="0" fontId="39" fillId="2" borderId="56" xfId="0" applyFont="1" applyFill="1" applyBorder="1" applyAlignment="1">
      <alignment horizontal="center"/>
    </xf>
    <xf numFmtId="0" fontId="39" fillId="2" borderId="75" xfId="0" applyFont="1" applyFill="1" applyBorder="1" applyAlignment="1">
      <alignment horizontal="center"/>
    </xf>
    <xf numFmtId="0" fontId="21" fillId="2" borderId="2" xfId="0" applyFont="1" applyFill="1" applyBorder="1" applyAlignment="1">
      <alignment horizontal="center" wrapText="1"/>
    </xf>
    <xf numFmtId="0" fontId="21" fillId="2" borderId="1" xfId="0" applyFont="1" applyFill="1" applyBorder="1" applyAlignment="1">
      <alignment horizontal="center" wrapText="1"/>
    </xf>
    <xf numFmtId="0" fontId="21" fillId="2" borderId="2" xfId="0" applyFont="1" applyFill="1" applyBorder="1" applyAlignment="1">
      <alignment horizontal="center" wrapText="1" readingOrder="2"/>
    </xf>
    <xf numFmtId="0" fontId="17" fillId="2" borderId="82" xfId="0" applyFont="1" applyFill="1" applyBorder="1" applyAlignment="1">
      <alignment horizontal="center" wrapText="1" readingOrder="2"/>
    </xf>
    <xf numFmtId="0" fontId="17" fillId="2" borderId="83" xfId="0" applyFont="1" applyFill="1" applyBorder="1" applyAlignment="1">
      <alignment horizontal="center" wrapText="1" readingOrder="2"/>
    </xf>
    <xf numFmtId="0" fontId="17" fillId="2" borderId="84" xfId="0" applyFont="1" applyFill="1" applyBorder="1" applyAlignment="1">
      <alignment horizontal="center" wrapText="1" readingOrder="2"/>
    </xf>
    <xf numFmtId="0" fontId="39" fillId="2" borderId="2" xfId="0" applyFont="1" applyFill="1" applyBorder="1" applyAlignment="1">
      <alignment horizontal="center"/>
    </xf>
    <xf numFmtId="0" fontId="39" fillId="2" borderId="1" xfId="0" applyFont="1" applyFill="1" applyBorder="1" applyAlignment="1">
      <alignment horizontal="center"/>
    </xf>
    <xf numFmtId="0" fontId="17" fillId="2" borderId="2" xfId="0" applyFont="1" applyFill="1" applyBorder="1" applyAlignment="1">
      <alignment horizontal="center" wrapText="1"/>
    </xf>
    <xf numFmtId="0" fontId="17" fillId="2" borderId="1" xfId="0" applyFont="1" applyFill="1" applyBorder="1" applyAlignment="1">
      <alignment horizontal="center" wrapText="1"/>
    </xf>
    <xf numFmtId="0" fontId="17" fillId="2" borderId="32" xfId="0" applyFont="1" applyFill="1" applyBorder="1" applyAlignment="1">
      <alignment horizontal="center" wrapText="1" readingOrder="2"/>
    </xf>
    <xf numFmtId="0" fontId="17" fillId="2" borderId="38" xfId="0" applyFont="1" applyFill="1" applyBorder="1" applyAlignment="1">
      <alignment horizontal="center" wrapText="1" readingOrder="2"/>
    </xf>
    <xf numFmtId="0" fontId="39" fillId="2" borderId="27" xfId="15" applyFont="1" applyFill="1" applyBorder="1" applyAlignment="1">
      <alignment horizontal="center"/>
    </xf>
    <xf numFmtId="0" fontId="39" fillId="2" borderId="56" xfId="15" applyFont="1" applyFill="1" applyBorder="1" applyAlignment="1">
      <alignment horizontal="center"/>
    </xf>
    <xf numFmtId="0" fontId="39" fillId="2" borderId="75" xfId="15" applyFont="1" applyFill="1" applyBorder="1" applyAlignment="1">
      <alignment horizontal="center"/>
    </xf>
    <xf numFmtId="0" fontId="52" fillId="0" borderId="0" xfId="15" applyFont="1" applyAlignment="1">
      <alignment horizontal="right" wrapText="1" readingOrder="2"/>
    </xf>
    <xf numFmtId="38" fontId="39" fillId="19" borderId="34" xfId="15" applyNumberFormat="1" applyFont="1" applyFill="1" applyBorder="1" applyAlignment="1">
      <alignment horizontal="center"/>
    </xf>
    <xf numFmtId="38" fontId="39" fillId="19" borderId="2" xfId="15" applyNumberFormat="1" applyFont="1" applyFill="1" applyBorder="1" applyAlignment="1">
      <alignment horizontal="center"/>
    </xf>
    <xf numFmtId="38" fontId="39" fillId="19" borderId="1" xfId="15" applyNumberFormat="1" applyFont="1" applyFill="1" applyBorder="1" applyAlignment="1">
      <alignment horizontal="center"/>
    </xf>
    <xf numFmtId="38" fontId="39" fillId="33" borderId="77" xfId="15" applyNumberFormat="1" applyFont="1" applyFill="1" applyBorder="1" applyAlignment="1">
      <alignment horizontal="center"/>
    </xf>
    <xf numFmtId="38" fontId="39" fillId="33" borderId="78" xfId="15" applyNumberFormat="1" applyFont="1" applyFill="1" applyBorder="1" applyAlignment="1">
      <alignment horizontal="center"/>
    </xf>
    <xf numFmtId="38" fontId="39" fillId="33" borderId="77" xfId="15" applyNumberFormat="1" applyFont="1" applyFill="1" applyBorder="1" applyAlignment="1">
      <alignment horizontal="center" wrapText="1" readingOrder="2"/>
    </xf>
    <xf numFmtId="38" fontId="39" fillId="33" borderId="79" xfId="15" applyNumberFormat="1" applyFont="1" applyFill="1" applyBorder="1" applyAlignment="1">
      <alignment horizontal="center" wrapText="1" readingOrder="2"/>
    </xf>
    <xf numFmtId="0" fontId="17" fillId="2" borderId="32" xfId="15" applyFont="1" applyFill="1" applyBorder="1" applyAlignment="1">
      <alignment horizontal="center" wrapText="1" readingOrder="2"/>
    </xf>
    <xf numFmtId="0" fontId="17" fillId="2" borderId="38" xfId="15" applyFont="1" applyFill="1" applyBorder="1" applyAlignment="1">
      <alignment horizontal="center" wrapText="1" readingOrder="2"/>
    </xf>
    <xf numFmtId="3" fontId="39" fillId="14" borderId="7" xfId="18" applyNumberFormat="1" applyFont="1" applyFill="1" applyBorder="1" applyAlignment="1" applyProtection="1">
      <alignment horizontal="right"/>
      <protection locked="0"/>
    </xf>
    <xf numFmtId="3" fontId="39" fillId="14" borderId="9" xfId="18" applyNumberFormat="1" applyFont="1" applyFill="1" applyBorder="1" applyAlignment="1" applyProtection="1">
      <alignment horizontal="right"/>
      <protection locked="0"/>
    </xf>
    <xf numFmtId="0" fontId="88" fillId="8" borderId="0" xfId="19" applyFont="1" applyFill="1" applyAlignment="1" applyProtection="1">
      <alignment horizontal="center" wrapText="1"/>
    </xf>
    <xf numFmtId="0" fontId="67" fillId="21" borderId="0" xfId="0" applyFont="1" applyFill="1" applyAlignment="1">
      <alignment horizontal="right" wrapText="1"/>
    </xf>
    <xf numFmtId="0" fontId="7" fillId="0" borderId="0" xfId="0" applyFont="1" applyAlignment="1">
      <alignment horizontal="left" vertical="center"/>
    </xf>
    <xf numFmtId="0" fontId="0" fillId="0" borderId="0" xfId="0" applyAlignment="1">
      <alignment horizontal="right" vertical="center"/>
    </xf>
    <xf numFmtId="0" fontId="33" fillId="18" borderId="15" xfId="0" applyFont="1" applyFill="1" applyBorder="1" applyAlignment="1" applyProtection="1">
      <alignment horizontal="right"/>
      <protection locked="0"/>
    </xf>
    <xf numFmtId="0" fontId="54" fillId="15" borderId="0" xfId="9" applyFont="1" applyFill="1" applyBorder="1" applyAlignment="1" applyProtection="1">
      <alignment horizontal="center"/>
    </xf>
    <xf numFmtId="0" fontId="39" fillId="0" borderId="0" xfId="19" applyFont="1" applyAlignment="1" applyProtection="1">
      <alignment horizontal="right" wrapText="1" readingOrder="2"/>
    </xf>
    <xf numFmtId="0" fontId="33" fillId="0" borderId="0" xfId="19" applyFont="1" applyFill="1" applyAlignment="1" applyProtection="1">
      <alignment horizontal="center" wrapText="1"/>
    </xf>
    <xf numFmtId="0" fontId="148" fillId="0" borderId="0" xfId="19" applyFont="1" applyFill="1" applyBorder="1" applyAlignment="1" applyProtection="1">
      <alignment horizontal="center" vertical="center" textRotation="255" readingOrder="2"/>
    </xf>
  </cellXfs>
  <cellStyles count="78">
    <cellStyle name="20% - הדגשה1" xfId="28"/>
    <cellStyle name="20% - הדגשה2" xfId="29"/>
    <cellStyle name="20% - הדגשה3" xfId="30"/>
    <cellStyle name="20% - הדגשה4" xfId="31"/>
    <cellStyle name="20% - הדגשה5" xfId="32"/>
    <cellStyle name="20% - הדגשה6" xfId="33"/>
    <cellStyle name="40% - הדגשה1" xfId="34"/>
    <cellStyle name="40% - הדגשה2" xfId="35"/>
    <cellStyle name="40% - הדגשה3" xfId="36"/>
    <cellStyle name="40% - הדגשה4" xfId="37"/>
    <cellStyle name="40% - הדגשה5" xfId="38"/>
    <cellStyle name="40% - הדגשה6" xfId="39"/>
    <cellStyle name="60% - הדגשה1" xfId="40"/>
    <cellStyle name="60% - הדגשה2" xfId="41"/>
    <cellStyle name="60% - הדגשה3" xfId="42"/>
    <cellStyle name="60% - הדגשה4" xfId="43"/>
    <cellStyle name="60% - הדגשה5" xfId="44"/>
    <cellStyle name="60% - הדגשה6" xfId="45"/>
    <cellStyle name="Comma" xfId="1" builtinId="3"/>
    <cellStyle name="Comma 2" xfId="2"/>
    <cellStyle name="Comma 3" xfId="3"/>
    <cellStyle name="Comma 4" xfId="70"/>
    <cellStyle name="Comma 6" xfId="75"/>
    <cellStyle name="Comma0" xfId="4"/>
    <cellStyle name="Currency [0] _1" xfId="5"/>
    <cellStyle name="Currency0" xfId="6"/>
    <cellStyle name="Date" xfId="7"/>
    <cellStyle name="Fixed" xfId="8"/>
    <cellStyle name="Hyperlink 2" xfId="10"/>
    <cellStyle name="Hyperlink 3" xfId="77"/>
    <cellStyle name="Normal" xfId="0" builtinId="0"/>
    <cellStyle name="Normal 2" xfId="11"/>
    <cellStyle name="Normal 2 2 2" xfId="12"/>
    <cellStyle name="Normal 3" xfId="13"/>
    <cellStyle name="Normal 4" xfId="14"/>
    <cellStyle name="Normal 5" xfId="15"/>
    <cellStyle name="Normal 5 2" xfId="71"/>
    <cellStyle name="Normal 5 2 2" xfId="74"/>
    <cellStyle name="Normal 6" xfId="16"/>
    <cellStyle name="Normal 7" xfId="17"/>
    <cellStyle name="Normal 7 2" xfId="69"/>
    <cellStyle name="Normal 8" xfId="76"/>
    <cellStyle name="Normal 9" xfId="72"/>
    <cellStyle name="Normal_11" xfId="18"/>
    <cellStyle name="Normal_Aform4v2" xfId="19"/>
    <cellStyle name="Normal_Aform4v2 2" xfId="20"/>
    <cellStyle name="Normal_Aform4v2 3" xfId="21"/>
    <cellStyle name="Percent" xfId="22" builtinId="5"/>
    <cellStyle name="Percent 2" xfId="23"/>
    <cellStyle name="Percent 3" xfId="24"/>
    <cellStyle name="Percent 4" xfId="25"/>
    <cellStyle name="Percent 5" xfId="73"/>
    <cellStyle name="Percent0" xfId="26"/>
    <cellStyle name="Percent1" xfId="27"/>
    <cellStyle name="הדגשה1" xfId="46"/>
    <cellStyle name="הדגשה2" xfId="47"/>
    <cellStyle name="הדגשה3" xfId="48"/>
    <cellStyle name="הדגשה4" xfId="49"/>
    <cellStyle name="הדגשה5" xfId="50"/>
    <cellStyle name="הדגשה6" xfId="51"/>
    <cellStyle name="היפר-קישור" xfId="9" builtinId="8"/>
    <cellStyle name="הערה" xfId="52"/>
    <cellStyle name="חישוב" xfId="53"/>
    <cellStyle name="טוב" xfId="54"/>
    <cellStyle name="טקסט אזהרה" xfId="55"/>
    <cellStyle name="טקסט הסברי" xfId="56"/>
    <cellStyle name="כותרת" xfId="57"/>
    <cellStyle name="כותרת 1" xfId="58"/>
    <cellStyle name="כותרת 2" xfId="59"/>
    <cellStyle name="כותרת 3" xfId="60"/>
    <cellStyle name="כותרת 4" xfId="61"/>
    <cellStyle name="ניטראלי" xfId="62"/>
    <cellStyle name="סה&quot;כ" xfId="63"/>
    <cellStyle name="פלט" xfId="64"/>
    <cellStyle name="קלט" xfId="65"/>
    <cellStyle name="רע" xfId="66"/>
    <cellStyle name="תא מסומן" xfId="67"/>
    <cellStyle name="תא מקושר" xfId="68"/>
  </cellStyles>
  <dxfs count="715">
    <dxf>
      <fill>
        <patternFill>
          <bgColor rgb="FFFF0000"/>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ill>
        <patternFill patternType="solid">
          <bgColor indexed="41"/>
        </patternFill>
      </fill>
    </dxf>
    <dxf>
      <font>
        <b/>
        <i val="0"/>
        <color theme="1"/>
      </font>
      <fill>
        <patternFill>
          <bgColor rgb="FFFFFF00"/>
        </patternFill>
      </fill>
    </dxf>
    <dxf>
      <font>
        <b/>
        <i val="0"/>
        <color theme="1"/>
      </font>
      <fill>
        <patternFill>
          <bgColor rgb="FFFFFF00"/>
        </patternFill>
      </fill>
    </dxf>
    <dxf>
      <font>
        <b/>
        <i val="0"/>
        <color theme="1"/>
      </font>
      <fill>
        <patternFill>
          <bgColor rgb="FFFFFF00"/>
        </patternFill>
      </fill>
    </dxf>
    <dxf>
      <font>
        <b/>
        <i val="0"/>
        <color theme="1"/>
      </font>
      <fill>
        <patternFill>
          <bgColor rgb="FFFFFF00"/>
        </patternFill>
      </fill>
    </dxf>
    <dxf>
      <font>
        <b/>
        <i val="0"/>
        <color theme="1"/>
      </font>
      <fill>
        <patternFill>
          <bgColor rgb="FFFFFF00"/>
        </patternFill>
      </fill>
    </dxf>
    <dxf>
      <font>
        <b/>
        <i val="0"/>
        <color theme="1"/>
      </font>
      <fill>
        <patternFill>
          <bgColor rgb="FFFFFF00"/>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10"/>
        </patternFill>
      </fill>
    </dxf>
    <dxf>
      <fill>
        <patternFill>
          <bgColor indexed="10"/>
        </patternFill>
      </fill>
    </dxf>
    <dxf>
      <fill>
        <patternFill>
          <bgColor indexed="1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ont>
        <b/>
        <i val="0"/>
        <color theme="1"/>
      </font>
      <fill>
        <patternFill>
          <bgColor rgb="FFFFFF00"/>
        </patternFill>
      </fill>
    </dxf>
    <dxf>
      <fill>
        <patternFill>
          <bgColor indexed="27"/>
        </patternFill>
      </fill>
    </dxf>
    <dxf>
      <fill>
        <patternFill>
          <bgColor indexed="22"/>
        </patternFill>
      </fill>
    </dxf>
    <dxf>
      <fill>
        <patternFill>
          <bgColor indexed="27"/>
        </patternFill>
      </fill>
    </dxf>
    <dxf>
      <fill>
        <patternFill>
          <bgColor indexed="22"/>
        </patternFill>
      </fill>
    </dxf>
    <dxf>
      <font>
        <b/>
        <i val="0"/>
        <color theme="1"/>
      </font>
      <fill>
        <patternFill>
          <bgColor rgb="FFFFFF00"/>
        </patternFill>
      </fill>
    </dxf>
    <dxf>
      <font>
        <b/>
        <i val="0"/>
        <color theme="1"/>
      </font>
      <fill>
        <patternFill>
          <bgColor rgb="FFFFFF00"/>
        </patternFill>
      </fill>
    </dxf>
    <dxf>
      <font>
        <b/>
        <i val="0"/>
        <color theme="1"/>
      </font>
      <fill>
        <patternFill>
          <bgColor rgb="FFFFFF00"/>
        </patternFill>
      </fill>
    </dxf>
    <dxf>
      <fill>
        <patternFill>
          <bgColor rgb="FFFFFF00"/>
        </patternFill>
      </fill>
    </dxf>
    <dxf>
      <fill>
        <patternFill>
          <bgColor rgb="FFFFFF00"/>
        </patternFill>
      </fill>
    </dxf>
    <dxf>
      <font>
        <b/>
        <i val="0"/>
        <color theme="1"/>
      </font>
      <fill>
        <patternFill>
          <bgColor rgb="FFFFFF00"/>
        </patternFill>
      </fill>
    </dxf>
    <dxf>
      <fill>
        <patternFill>
          <bgColor theme="9" tint="0.39994506668294322"/>
        </patternFill>
      </fill>
    </dxf>
    <dxf>
      <fill>
        <patternFill>
          <bgColor indexed="29"/>
        </patternFill>
      </fill>
    </dxf>
  </dxfs>
  <tableStyles count="0" defaultTableStyle="TableStyleMedium2" defaultPivotStyle="PivotStyleLight16"/>
  <colors>
    <mruColors>
      <color rgb="FFFFFF99"/>
      <color rgb="FFEEFAA6"/>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trlProps/ctrlProp1.xml><?xml version="1.0" encoding="utf-8"?>
<formControlPr xmlns="http://schemas.microsoft.com/office/spreadsheetml/2009/9/main" objectType="List" dx="20" fmlaLink="$J$27" fmlaRange="list_managers" sel="1" val="0"/>
</file>

<file path=xl/drawings/drawing1.xml><?xml version="1.0" encoding="utf-8"?>
<xdr:wsDr xmlns:xdr="http://schemas.openxmlformats.org/drawingml/2006/spreadsheetDrawing" xmlns:a="http://schemas.openxmlformats.org/drawingml/2006/main">
  <xdr:twoCellAnchor>
    <xdr:from>
      <xdr:col>6</xdr:col>
      <xdr:colOff>131445</xdr:colOff>
      <xdr:row>4</xdr:row>
      <xdr:rowOff>321943</xdr:rowOff>
    </xdr:from>
    <xdr:to>
      <xdr:col>9</xdr:col>
      <xdr:colOff>756285</xdr:colOff>
      <xdr:row>10</xdr:row>
      <xdr:rowOff>180998</xdr:rowOff>
    </xdr:to>
    <xdr:sp macro="" textlink="">
      <xdr:nvSpPr>
        <xdr:cNvPr id="2" name="Round Diagonal Corner Rectangle 1"/>
        <xdr:cNvSpPr/>
      </xdr:nvSpPr>
      <xdr:spPr>
        <a:xfrm>
          <a:off x="146808825" y="1276348"/>
          <a:ext cx="2647950" cy="1200151"/>
        </a:xfrm>
        <a:prstGeom prst="round2Diag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lnSpc>
              <a:spcPts val="1100"/>
            </a:lnSpc>
          </a:pPr>
          <a:r>
            <a:rPr lang="he-IL" sz="1100"/>
            <a:t>1. יש למלא את התאים המסומנים בצהוב בלבד.</a:t>
          </a:r>
        </a:p>
        <a:p>
          <a:pPr algn="r" rtl="1">
            <a:lnSpc>
              <a:spcPts val="1100"/>
            </a:lnSpc>
          </a:pPr>
          <a:endParaRPr lang="he-IL" sz="1100"/>
        </a:p>
        <a:p>
          <a:pPr algn="r" rtl="1">
            <a:lnSpc>
              <a:spcPts val="1100"/>
            </a:lnSpc>
          </a:pPr>
          <a:r>
            <a:rPr lang="he-IL" sz="1100"/>
            <a:t>2. יש לבחור</a:t>
          </a:r>
          <a:r>
            <a:rPr lang="he-IL" sz="1100" baseline="0"/>
            <a:t> את החלופה המתאימה בתאים המסומנים בצבע ירוק</a:t>
          </a:r>
          <a:r>
            <a:rPr lang="en-US" sz="1100" baseline="0"/>
            <a:t> </a:t>
          </a:r>
          <a:r>
            <a:rPr lang="he-IL" sz="1100" baseline="0"/>
            <a:t>, בהתאם לבחירה  הסכום המתאים ימולא באופן אוטומטי.</a:t>
          </a:r>
          <a:endParaRPr lang="he-IL" sz="1100"/>
        </a:p>
        <a:p>
          <a:pPr algn="r" rtl="1">
            <a:lnSpc>
              <a:spcPts val="1000"/>
            </a:lnSpc>
          </a:pPr>
          <a:endParaRPr lang="he-IL" sz="1100"/>
        </a:p>
      </xdr:txBody>
    </xdr:sp>
    <xdr:clientData/>
  </xdr:twoCellAnchor>
  <xdr:twoCellAnchor>
    <xdr:from>
      <xdr:col>5</xdr:col>
      <xdr:colOff>9525</xdr:colOff>
      <xdr:row>16</xdr:row>
      <xdr:rowOff>167640</xdr:rowOff>
    </xdr:from>
    <xdr:to>
      <xdr:col>9</xdr:col>
      <xdr:colOff>468617</xdr:colOff>
      <xdr:row>33</xdr:row>
      <xdr:rowOff>144780</xdr:rowOff>
    </xdr:to>
    <xdr:sp macro="" textlink="">
      <xdr:nvSpPr>
        <xdr:cNvPr id="4" name="Round Diagonal Corner Rectangle 3"/>
        <xdr:cNvSpPr/>
      </xdr:nvSpPr>
      <xdr:spPr>
        <a:xfrm>
          <a:off x="9983461123" y="3543300"/>
          <a:ext cx="3286112" cy="3192780"/>
        </a:xfrm>
        <a:prstGeom prst="round2Diag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rtl="1">
            <a:lnSpc>
              <a:spcPts val="1200"/>
            </a:lnSpc>
          </a:pPr>
          <a:r>
            <a:rPr lang="he-IL"/>
            <a:t>1. יש להקליד את מספרי המסלולים</a:t>
          </a:r>
          <a:r>
            <a:rPr lang="he-IL" baseline="0"/>
            <a:t> של קופות הגמל וקרנות הפנסיה </a:t>
          </a:r>
          <a:r>
            <a:rPr lang="he-IL"/>
            <a:t>בתאים הצהובים</a:t>
          </a:r>
          <a:r>
            <a:rPr lang="he-IL" baseline="0"/>
            <a:t> ובהתאם לכך שמות המסלולים יוזנו בטבלה. רשימה של מספרי המסלולים נמצאת בעמודה </a:t>
          </a:r>
          <a:r>
            <a:rPr lang="en-US" baseline="0"/>
            <a:t>B</a:t>
          </a:r>
          <a:r>
            <a:rPr lang="he-IL" baseline="0"/>
            <a:t> בגיליון "</a:t>
          </a:r>
          <a:r>
            <a:rPr lang="en-US" baseline="0"/>
            <a:t>Kupot</a:t>
          </a:r>
          <a:r>
            <a:rPr lang="he-IL" baseline="0"/>
            <a:t>".</a:t>
          </a:r>
        </a:p>
        <a:p>
          <a:pPr rtl="1">
            <a:lnSpc>
              <a:spcPts val="1200"/>
            </a:lnSpc>
          </a:pPr>
          <a:endParaRPr lang="he-IL" baseline="0"/>
        </a:p>
        <a:p>
          <a:pPr rtl="1"/>
          <a:r>
            <a:rPr lang="he-IL" sz="1100" baseline="0">
              <a:solidFill>
                <a:schemeClr val="lt1"/>
              </a:solidFill>
              <a:effectLst/>
              <a:latin typeface="+mn-lt"/>
              <a:ea typeface="+mn-ea"/>
              <a:cs typeface="+mn-cs"/>
            </a:rPr>
            <a:t>2. אם חסר קרנות פנסיה קופות גמל אפשאר להוסיף בגיליון </a:t>
          </a:r>
          <a:r>
            <a:rPr lang="en-US" sz="1100" baseline="0">
              <a:solidFill>
                <a:schemeClr val="lt1"/>
              </a:solidFill>
              <a:effectLst/>
              <a:latin typeface="+mn-lt"/>
              <a:ea typeface="+mn-ea"/>
              <a:cs typeface="+mn-cs"/>
            </a:rPr>
            <a:t>Kupot</a:t>
          </a:r>
          <a:r>
            <a:rPr lang="he-IL" sz="1100" baseline="0">
              <a:solidFill>
                <a:schemeClr val="lt1"/>
              </a:solidFill>
              <a:effectLst/>
              <a:latin typeface="+mn-lt"/>
              <a:ea typeface="+mn-ea"/>
              <a:cs typeface="+mn-cs"/>
            </a:rPr>
            <a:t> משורה 1584. לכל קרן\קופה יש לרשום את מספר הקופה\הקרן בטור </a:t>
          </a:r>
          <a:r>
            <a:rPr lang="en-US" sz="1100" baseline="0">
              <a:solidFill>
                <a:schemeClr val="lt1"/>
              </a:solidFill>
              <a:effectLst/>
              <a:latin typeface="+mn-lt"/>
              <a:ea typeface="+mn-ea"/>
              <a:cs typeface="+mn-cs"/>
            </a:rPr>
            <a:t>B</a:t>
          </a:r>
          <a:r>
            <a:rPr lang="he-IL" sz="1100" baseline="0">
              <a:solidFill>
                <a:schemeClr val="lt1"/>
              </a:solidFill>
              <a:effectLst/>
              <a:latin typeface="+mn-lt"/>
              <a:ea typeface="+mn-ea"/>
              <a:cs typeface="+mn-cs"/>
            </a:rPr>
            <a:t> ושם בטור </a:t>
          </a:r>
          <a:r>
            <a:rPr lang="en-US" sz="1100" baseline="0">
              <a:solidFill>
                <a:schemeClr val="lt1"/>
              </a:solidFill>
              <a:effectLst/>
              <a:latin typeface="+mn-lt"/>
              <a:ea typeface="+mn-ea"/>
              <a:cs typeface="+mn-cs"/>
            </a:rPr>
            <a:t>C</a:t>
          </a:r>
          <a:endParaRPr lang="he-IL">
            <a:effectLst/>
          </a:endParaRPr>
        </a:p>
        <a:p>
          <a:pPr rtl="1">
            <a:lnSpc>
              <a:spcPts val="1200"/>
            </a:lnSpc>
          </a:pPr>
          <a:endParaRPr lang="he-IL" baseline="0"/>
        </a:p>
        <a:p>
          <a:pPr rtl="1">
            <a:lnSpc>
              <a:spcPts val="1200"/>
            </a:lnSpc>
          </a:pPr>
          <a:endParaRPr lang="he-IL" baseline="0"/>
        </a:p>
        <a:p>
          <a:pPr rtl="1">
            <a:lnSpc>
              <a:spcPts val="1200"/>
            </a:lnSpc>
          </a:pPr>
          <a:r>
            <a:rPr lang="he-IL" baseline="0"/>
            <a:t>3.  לאחר מכן</a:t>
          </a:r>
          <a:r>
            <a:rPr lang="he-IL"/>
            <a:t> יש למלא את סכום</a:t>
          </a:r>
          <a:r>
            <a:rPr lang="he-IL" baseline="0"/>
            <a:t> הנכסים המנוהלים בכל מסלול לתאריך הדוח.</a:t>
          </a:r>
        </a:p>
        <a:p>
          <a:pPr rtl="1">
            <a:lnSpc>
              <a:spcPts val="1100"/>
            </a:lnSpc>
          </a:pPr>
          <a:endParaRPr lang="he-IL" baseline="0"/>
        </a:p>
        <a:p>
          <a:pPr rtl="1">
            <a:lnSpc>
              <a:spcPts val="1100"/>
            </a:lnSpc>
          </a:pPr>
          <a:r>
            <a:rPr lang="he-IL" baseline="0"/>
            <a:t>4. על חברות המנהלות קרנות פנסיה ותיקות ו/או קופות גמל מבטיחות תשואה להקליד את מספרי המסלולים גם בטבלאות המופיעות בנספחים 5 ו-6, לצורך חישוב ההקלה בדרישת ההון.</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586740</xdr:colOff>
      <xdr:row>1</xdr:row>
      <xdr:rowOff>144781</xdr:rowOff>
    </xdr:from>
    <xdr:to>
      <xdr:col>19</xdr:col>
      <xdr:colOff>274320</xdr:colOff>
      <xdr:row>5</xdr:row>
      <xdr:rowOff>169818</xdr:rowOff>
    </xdr:to>
    <xdr:sp macro="" textlink="">
      <xdr:nvSpPr>
        <xdr:cNvPr id="2" name="Round Diagonal Corner Rectangle 1"/>
        <xdr:cNvSpPr/>
      </xdr:nvSpPr>
      <xdr:spPr>
        <a:xfrm>
          <a:off x="139693650" y="466726"/>
          <a:ext cx="2647950" cy="666750"/>
        </a:xfrm>
        <a:prstGeom prst="round2Diag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lnSpc>
              <a:spcPts val="900"/>
            </a:lnSpc>
          </a:pPr>
          <a:r>
            <a:rPr lang="he-IL" sz="1100"/>
            <a:t>סך</a:t>
          </a:r>
          <a:r>
            <a:rPr lang="he-IL" sz="1100" baseline="0"/>
            <a:t> הנכסים בטור </a:t>
          </a:r>
          <a:r>
            <a:rPr lang="en-US" sz="1100" baseline="0"/>
            <a:t>K</a:t>
          </a:r>
          <a:r>
            <a:rPr lang="he-IL" sz="1100" baseline="0"/>
            <a:t> (הון עצמי מזערי) יתאים לסך דרישת ההון המחושבת בגיליון </a:t>
          </a:r>
          <a:r>
            <a:rPr lang="en-US" sz="1100" baseline="0"/>
            <a:t>T101</a:t>
          </a:r>
          <a:r>
            <a:rPr lang="he-IL" sz="1100" baseline="0"/>
            <a:t> (תא </a:t>
          </a:r>
          <a:r>
            <a:rPr lang="en-US" sz="1100" baseline="0"/>
            <a:t>M39</a:t>
          </a:r>
          <a:r>
            <a:rPr lang="he-IL" sz="1100" baseline="0"/>
            <a:t>)</a:t>
          </a:r>
          <a:endParaRPr lang="he-I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523875</xdr:colOff>
      <xdr:row>0</xdr:row>
      <xdr:rowOff>38100</xdr:rowOff>
    </xdr:from>
    <xdr:to>
      <xdr:col>12</xdr:col>
      <xdr:colOff>371475</xdr:colOff>
      <xdr:row>3</xdr:row>
      <xdr:rowOff>19050</xdr:rowOff>
    </xdr:to>
    <xdr:sp macro="" textlink="">
      <xdr:nvSpPr>
        <xdr:cNvPr id="2" name="Rounded Rectangle 1"/>
        <xdr:cNvSpPr/>
      </xdr:nvSpPr>
      <xdr:spPr>
        <a:xfrm>
          <a:off x="10230194805" y="38100"/>
          <a:ext cx="4008120" cy="65151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r>
            <a:rPr lang="he-IL" sz="1100"/>
            <a:t>אם צריכים להוסיף שמות שאינם</a:t>
          </a:r>
          <a:r>
            <a:rPr lang="he-IL" sz="1100" baseline="0"/>
            <a:t> בר</a:t>
          </a:r>
          <a:r>
            <a:rPr lang="he-IL" sz="1100"/>
            <a:t>שימה של קבוצה\</a:t>
          </a:r>
          <a:r>
            <a:rPr lang="he-IL" sz="1100" baseline="0"/>
            <a:t>תאגיד בתור </a:t>
          </a:r>
          <a:r>
            <a:rPr lang="en-US" sz="1100" baseline="0"/>
            <a:t>Q</a:t>
          </a:r>
          <a:r>
            <a:rPr lang="he-IL" sz="1100" baseline="0"/>
            <a:t> ניתן להוסיף מתא 157</a:t>
          </a:r>
          <a:r>
            <a:rPr lang="en-US" sz="1100" baseline="0"/>
            <a:t>Q</a:t>
          </a:r>
          <a:r>
            <a:rPr lang="he-IL" sz="1100" baseline="0"/>
            <a:t> בגיליון  18</a:t>
          </a:r>
          <a:r>
            <a:rPr lang="en-US" sz="1100" baseline="0"/>
            <a:t>T</a:t>
          </a:r>
          <a:endParaRPr lang="he-IL" sz="1100" baseline="0"/>
        </a:p>
        <a:p>
          <a:pPr algn="r" rtl="1"/>
          <a:endParaRPr lang="he-IL" sz="1100" baseline="0"/>
        </a:p>
        <a:p>
          <a:pPr algn="r" rtl="1"/>
          <a:endParaRPr lang="he-I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5</xdr:row>
      <xdr:rowOff>0</xdr:rowOff>
    </xdr:from>
    <xdr:to>
      <xdr:col>17</xdr:col>
      <xdr:colOff>638175</xdr:colOff>
      <xdr:row>7</xdr:row>
      <xdr:rowOff>180975</xdr:rowOff>
    </xdr:to>
    <xdr:sp macro="" textlink="">
      <xdr:nvSpPr>
        <xdr:cNvPr id="2" name="Rounded Rectangle 1"/>
        <xdr:cNvSpPr/>
      </xdr:nvSpPr>
      <xdr:spPr>
        <a:xfrm>
          <a:off x="9985105125" y="1135380"/>
          <a:ext cx="3983355" cy="6381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r>
            <a:rPr lang="he-IL" sz="1100"/>
            <a:t>אם צריכים להוסיף שמות שרישימה של קובצה\</a:t>
          </a:r>
          <a:r>
            <a:rPr lang="he-IL" sz="1100" baseline="0"/>
            <a:t> תאגיד אפשר מתא 40</a:t>
          </a:r>
          <a:r>
            <a:rPr lang="en-US" sz="1100" baseline="0"/>
            <a:t>Q</a:t>
          </a:r>
          <a:r>
            <a:rPr lang="he-IL" sz="1100" baseline="0"/>
            <a:t> בגיליון  18</a:t>
          </a:r>
          <a:r>
            <a:rPr lang="en-US" sz="1100" baseline="0"/>
            <a:t>T</a:t>
          </a:r>
          <a:endParaRPr lang="he-IL" sz="1100" baseline="0"/>
        </a:p>
        <a:p>
          <a:pPr algn="r" rtl="1"/>
          <a:endParaRPr lang="he-IL" sz="1100" baseline="0"/>
        </a:p>
        <a:p>
          <a:pPr algn="r" rtl="1"/>
          <a:endParaRPr lang="he-IL"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3095625</xdr:colOff>
      <xdr:row>6</xdr:row>
      <xdr:rowOff>180976</xdr:rowOff>
    </xdr:from>
    <xdr:ext cx="4505325" cy="1344663"/>
    <xdr:sp macro="" textlink="">
      <xdr:nvSpPr>
        <xdr:cNvPr id="2" name="Rectangle 1"/>
        <xdr:cNvSpPr/>
      </xdr:nvSpPr>
      <xdr:spPr>
        <a:xfrm>
          <a:off x="9677847675" y="1209676"/>
          <a:ext cx="4505325" cy="1344663"/>
        </a:xfrm>
        <a:prstGeom prst="rect">
          <a:avLst/>
        </a:prstGeom>
        <a:noFill/>
      </xdr:spPr>
      <xdr:txBody>
        <a:bodyPr wrap="square" lIns="91440" tIns="45720" rIns="91440" bIns="45720">
          <a:spAutoFit/>
        </a:bodyPr>
        <a:lstStyle/>
        <a:p>
          <a:pPr algn="ctr"/>
          <a:r>
            <a:rPr lang="he-IL" sz="8000" b="1" cap="none" spc="0">
              <a:ln w="17780" cmpd="sng">
                <a:solidFill>
                  <a:srgbClr val="FFFFFF"/>
                </a:solidFill>
                <a:prstDash val="solid"/>
                <a:miter lim="800000"/>
              </a:ln>
              <a:solidFill>
                <a:srgbClr val="FF0000"/>
              </a:solidFill>
              <a:effectLst>
                <a:outerShdw blurRad="50800" algn="tl" rotWithShape="0">
                  <a:srgbClr val="000000"/>
                </a:outerShdw>
              </a:effectLst>
            </a:rPr>
            <a:t>בוטל</a:t>
          </a:r>
          <a:endParaRPr lang="en-US" sz="8000" b="1" cap="none" spc="0">
            <a:ln w="17780" cmpd="sng">
              <a:solidFill>
                <a:srgbClr val="FFFFFF"/>
              </a:solidFill>
              <a:prstDash val="solid"/>
              <a:miter lim="800000"/>
            </a:ln>
            <a:solidFill>
              <a:srgbClr val="FF0000"/>
            </a:solidFill>
            <a:effectLst>
              <a:outerShdw blurRad="50800" algn="tl" rotWithShape="0">
                <a:srgbClr val="000000"/>
              </a:outerShdw>
            </a:effectLst>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4</xdr:col>
      <xdr:colOff>15240</xdr:colOff>
      <xdr:row>0</xdr:row>
      <xdr:rowOff>15240</xdr:rowOff>
    </xdr:from>
    <xdr:to>
      <xdr:col>8</xdr:col>
      <xdr:colOff>266700</xdr:colOff>
      <xdr:row>4</xdr:row>
      <xdr:rowOff>38100</xdr:rowOff>
    </xdr:to>
    <xdr:sp macro="" textlink="">
      <xdr:nvSpPr>
        <xdr:cNvPr id="2" name="Rounded Rectangle 1"/>
        <xdr:cNvSpPr/>
      </xdr:nvSpPr>
      <xdr:spPr>
        <a:xfrm>
          <a:off x="9984066900" y="15240"/>
          <a:ext cx="3848100" cy="6781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r>
            <a:rPr lang="he-IL" sz="1100"/>
            <a:t>בדוחות</a:t>
          </a:r>
          <a:r>
            <a:rPr lang="he-IL" sz="1100" baseline="0"/>
            <a:t> הרבעונים (1,2 ו-3 ) יש למלא את באור בשורות 33-46</a:t>
          </a:r>
        </a:p>
        <a:p>
          <a:pPr algn="r" rtl="1"/>
          <a:r>
            <a:rPr lang="he-IL" sz="1100" baseline="0"/>
            <a:t>בדיווח השנתי הנתונים נשלפים מבאורים אחרים</a:t>
          </a:r>
          <a:endParaRPr lang="he-IL"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374650</xdr:colOff>
          <xdr:row>2</xdr:row>
          <xdr:rowOff>0</xdr:rowOff>
        </xdr:from>
        <xdr:to>
          <xdr:col>10</xdr:col>
          <xdr:colOff>222250</xdr:colOff>
          <xdr:row>7</xdr:row>
          <xdr:rowOff>152400</xdr:rowOff>
        </xdr:to>
        <xdr:sp macro="" textlink="">
          <xdr:nvSpPr>
            <xdr:cNvPr id="2049" name="List Box 1" hidden="1">
              <a:extLst>
                <a:ext uri="{63B3BB69-23CF-44E3-9099-C40C66FF867C}">
                  <a14:compatExt spid="_x0000_s2049"/>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xdr:twoCellAnchor>
    </mc:Choice>
    <mc:Fallback/>
  </mc:AlternateContent>
  <xdr:twoCellAnchor>
    <xdr:from>
      <xdr:col>7</xdr:col>
      <xdr:colOff>847725</xdr:colOff>
      <xdr:row>18</xdr:row>
      <xdr:rowOff>104775</xdr:rowOff>
    </xdr:from>
    <xdr:to>
      <xdr:col>9</xdr:col>
      <xdr:colOff>2733675</xdr:colOff>
      <xdr:row>20</xdr:row>
      <xdr:rowOff>371475</xdr:rowOff>
    </xdr:to>
    <xdr:sp macro="" textlink="">
      <xdr:nvSpPr>
        <xdr:cNvPr id="2" name="Rounded Rectangle 1"/>
        <xdr:cNvSpPr/>
      </xdr:nvSpPr>
      <xdr:spPr>
        <a:xfrm>
          <a:off x="9676104600" y="4362450"/>
          <a:ext cx="3971925" cy="866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r>
            <a:rPr lang="en-US" sz="1100"/>
            <a:t>Need</a:t>
          </a:r>
          <a:r>
            <a:rPr lang="en-US" sz="1100" baseline="0"/>
            <a:t> to Update for Tofes 18 in May Saved under version 5</a:t>
          </a:r>
        </a:p>
        <a:p>
          <a:pPr algn="r" rtl="1"/>
          <a:r>
            <a:rPr lang="en-US" sz="1100"/>
            <a:t>The</a:t>
          </a:r>
          <a:r>
            <a:rPr lang="en-US" sz="1100" baseline="0"/>
            <a:t> file has been updated for 6/18 need to wait at least a few weeks second week in June to update the files</a:t>
          </a:r>
        </a:p>
        <a:p>
          <a:pPr algn="r" rtl="1"/>
          <a:endParaRPr lang="he-I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Sh_Insurance\Financial%20%20-%20Israel\2020\3-20\Aform120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B3.1D"/>
      <sheetName val="SB3.1C"/>
      <sheetName val="SB3.1B"/>
      <sheetName val="SB3.1A"/>
      <sheetName val="S6.1"/>
      <sheetName val="S3.1"/>
      <sheetName val="S2.1"/>
      <sheetName val="S1.1"/>
      <sheetName val="Gen_Int"/>
      <sheetName val="הנחיות למילוי הקובץ T18"/>
      <sheetName val="T18N"/>
      <sheetName val="T18"/>
      <sheetName val="T16 הנחיות"/>
      <sheetName val="T16N"/>
      <sheetName val="T16"/>
      <sheetName val="15D1 (2)"/>
      <sheetName val="15D9"/>
      <sheetName val="15D8"/>
      <sheetName val="15D7"/>
      <sheetName val="15D6"/>
      <sheetName val="15D5"/>
      <sheetName val="15D4"/>
      <sheetName val="15D3"/>
      <sheetName val="15D2"/>
      <sheetName val="15D1"/>
      <sheetName val="15C"/>
      <sheetName val="15B"/>
      <sheetName val="15A"/>
      <sheetName val="T14_4"/>
      <sheetName val="T14_3OLD"/>
      <sheetName val="T14_3"/>
      <sheetName val="T14_2"/>
      <sheetName val="T14_1"/>
      <sheetName val="14A"/>
      <sheetName val="56"/>
      <sheetName val="55"/>
      <sheetName val="54"/>
      <sheetName val="53B"/>
      <sheetName val="53A"/>
      <sheetName val="52"/>
      <sheetName val="51"/>
      <sheetName val="50"/>
      <sheetName val="49"/>
      <sheetName val="48"/>
      <sheetName val="47"/>
      <sheetName val="46"/>
      <sheetName val="45"/>
      <sheetName val="44"/>
      <sheetName val="43A"/>
      <sheetName val="43"/>
      <sheetName val="42"/>
      <sheetName val="41"/>
      <sheetName val="40"/>
      <sheetName val="39"/>
      <sheetName val="38"/>
      <sheetName val="65"/>
      <sheetName val="37"/>
      <sheetName val="37B"/>
      <sheetName val="37A"/>
      <sheetName val="B41"/>
      <sheetName val="B25"/>
      <sheetName val="B20"/>
      <sheetName val="B19C"/>
      <sheetName val="B19B"/>
      <sheetName val="B19A"/>
      <sheetName val="B15C"/>
      <sheetName val="B15B"/>
      <sheetName val="B15A"/>
      <sheetName val="B13E"/>
      <sheetName val="B13D"/>
      <sheetName val="B13C"/>
      <sheetName val="B13B"/>
      <sheetName val="B13A"/>
      <sheetName val="B13"/>
      <sheetName val="B12"/>
      <sheetName val="B3.1D"/>
      <sheetName val="B3.1C"/>
      <sheetName val="B3.1B"/>
      <sheetName val="B3.1A"/>
      <sheetName val="Dir1"/>
      <sheetName val="Sol1"/>
      <sheetName val="23"/>
      <sheetName val="22"/>
      <sheetName val="21"/>
      <sheetName val="20"/>
      <sheetName val="19C"/>
      <sheetName val="19B2"/>
      <sheetName val="19B1"/>
      <sheetName val="19B"/>
      <sheetName val="19A"/>
      <sheetName val="19"/>
      <sheetName val="16.1"/>
      <sheetName val="15"/>
      <sheetName val="14"/>
      <sheetName val="13"/>
      <sheetName val="12"/>
      <sheetName val="11"/>
      <sheetName val="10"/>
      <sheetName val="9"/>
      <sheetName val="8"/>
      <sheetName val="7"/>
      <sheetName val="6.1"/>
      <sheetName val="5"/>
      <sheetName val="4"/>
      <sheetName val="3.1"/>
      <sheetName val="2.1"/>
      <sheetName val="2"/>
      <sheetName val="1.1"/>
      <sheetName val="1"/>
      <sheetName val="Updates"/>
      <sheetName val="Correction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9">
          <cell r="AD9" t="str">
            <v>ניתוחים מהשקל הראשון</v>
          </cell>
        </row>
        <row r="10">
          <cell r="AD10" t="str">
            <v>ניתוחים משלים שב"ן</v>
          </cell>
        </row>
        <row r="11">
          <cell r="AD11" t="str">
            <v>ניתוחים בחול</v>
          </cell>
        </row>
        <row r="12">
          <cell r="AD12" t="str">
            <v>השתלות וטיפולים מיוחדים בחו"ל</v>
          </cell>
        </row>
        <row r="13">
          <cell r="AD13" t="str">
            <v>תרופות</v>
          </cell>
        </row>
        <row r="14">
          <cell r="AD14" t="str">
            <v>הרחבה לתרופות</v>
          </cell>
        </row>
        <row r="15">
          <cell r="AD15" t="str">
            <v>אמבלוטורי</v>
          </cell>
        </row>
        <row r="16">
          <cell r="AD16" t="str">
            <v>כתבי שירות</v>
          </cell>
        </row>
        <row r="17">
          <cell r="AD17" t="str">
            <v>סיכום</v>
          </cell>
        </row>
      </sheetData>
      <sheetData sheetId="25">
        <row r="4">
          <cell r="AN4" t="str">
            <v>בריאות חיים</v>
          </cell>
        </row>
        <row r="5">
          <cell r="AN5" t="str">
            <v>בריאות בריאות</v>
          </cell>
        </row>
        <row r="6">
          <cell r="AN6" t="str">
            <v>בריאות כללי</v>
          </cell>
        </row>
      </sheetData>
      <sheetData sheetId="26" refreshError="1"/>
      <sheetData sheetId="27">
        <row r="2">
          <cell r="Z2" t="str">
            <v>בריאות</v>
          </cell>
        </row>
        <row r="3">
          <cell r="Z3" t="str">
            <v>כללי</v>
          </cell>
        </row>
        <row r="4">
          <cell r="Z4" t="str">
            <v>חיים</v>
          </cell>
        </row>
      </sheetData>
      <sheetData sheetId="28" refreshError="1"/>
      <sheetData sheetId="29" refreshError="1"/>
      <sheetData sheetId="30" refreshError="1"/>
      <sheetData sheetId="31" refreshError="1"/>
      <sheetData sheetId="32" refreshError="1"/>
      <sheetData sheetId="33">
        <row r="119">
          <cell r="C119">
            <v>4</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4">
          <cell r="AG4" t="str">
            <v>אובדן רכוש+מקיף בתי עסק</v>
          </cell>
        </row>
        <row r="5">
          <cell r="AG5" t="str">
            <v>מקיף דירות</v>
          </cell>
        </row>
        <row r="6">
          <cell r="AG6" t="str">
            <v>בנקים למשכנתאות</v>
          </cell>
        </row>
        <row r="7">
          <cell r="AG7" t="str">
            <v>רכב חובה</v>
          </cell>
        </row>
        <row r="8">
          <cell r="AG8" t="str">
            <v>רכב רכוש</v>
          </cell>
        </row>
        <row r="9">
          <cell r="AG9" t="str">
            <v>אחריות מעבידים</v>
          </cell>
        </row>
        <row r="10">
          <cell r="AG10" t="str">
            <v>צד ג'</v>
          </cell>
        </row>
        <row r="11">
          <cell r="AG11" t="str">
            <v>אחריות מקצועית</v>
          </cell>
        </row>
        <row r="12">
          <cell r="AG12" t="str">
            <v>אחריות המוצר</v>
          </cell>
        </row>
        <row r="13">
          <cell r="AG13" t="str">
            <v>ענפי עודף אחרים</v>
          </cell>
        </row>
        <row r="14">
          <cell r="AG14" t="str">
            <v>תאונות אישיות</v>
          </cell>
        </row>
        <row r="15">
          <cell r="AG15" t="str">
            <v>מחלות ואשפוז</v>
          </cell>
        </row>
        <row r="16">
          <cell r="AG16" t="str">
            <v xml:space="preserve"> כלי טיס וכלי שיט</v>
          </cell>
        </row>
        <row r="17">
          <cell r="AG17" t="str">
            <v>מטענים בהובלה</v>
          </cell>
        </row>
        <row r="18">
          <cell r="AG18" t="str">
            <v xml:space="preserve">  ביטוח הנדסי</v>
          </cell>
        </row>
        <row r="19">
          <cell r="AG19" t="str">
            <v>ביטוח אשראי</v>
          </cell>
        </row>
        <row r="20">
          <cell r="AG20" t="str">
            <v>סיכונים אחרים</v>
          </cell>
        </row>
        <row r="21">
          <cell r="AG21" t="str">
            <v>סה"כ עסקים בארץ</v>
          </cell>
        </row>
        <row r="22">
          <cell r="AG22" t="str">
            <v>עסקים שמקורם בחו"ל</v>
          </cell>
        </row>
        <row r="23">
          <cell r="AG23" t="str">
            <v>סה"כ עסקים</v>
          </cell>
        </row>
        <row r="24">
          <cell r="AG24" t="str">
            <v>סיכום 38</v>
          </cell>
        </row>
        <row r="25">
          <cell r="AG25" t="str">
            <v>סיכום 39</v>
          </cell>
        </row>
        <row r="26">
          <cell r="AG26" t="str">
            <v>סיכום 40</v>
          </cell>
        </row>
        <row r="27">
          <cell r="AG27" t="str">
            <v>סיכום 41</v>
          </cell>
        </row>
        <row r="28">
          <cell r="AG28" t="str">
            <v>סיכום 42</v>
          </cell>
        </row>
        <row r="29">
          <cell r="AG29" t="str">
            <v>סיכום 43</v>
          </cell>
        </row>
        <row r="32">
          <cell r="AG32" t="str">
            <v>סיכום 44</v>
          </cell>
        </row>
        <row r="33">
          <cell r="AG33" t="str">
            <v>סיכום 45</v>
          </cell>
        </row>
        <row r="34">
          <cell r="AG34" t="str">
            <v>סיכום 46</v>
          </cell>
        </row>
        <row r="35">
          <cell r="AG35" t="str">
            <v>ענף _____</v>
          </cell>
        </row>
        <row r="36">
          <cell r="AG36" t="str">
            <v>ביטוח בריאות בביטוח כללי (מטופס 15C)</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ow r="47">
          <cell r="I47" t="str">
            <v>חסר התאמה לחישוב ההון הנדרש לפי התקנות הישנות (שורה 10 לעומת 33)</v>
          </cell>
        </row>
      </sheetData>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50">
          <cell r="AD50">
            <v>15044.435772786002</v>
          </cell>
        </row>
        <row r="51">
          <cell r="AD51">
            <v>75222.178863930007</v>
          </cell>
        </row>
        <row r="55">
          <cell r="AD55">
            <v>451333.07318358007</v>
          </cell>
        </row>
      </sheetData>
      <sheetData sheetId="85" refreshError="1"/>
      <sheetData sheetId="86" refreshError="1"/>
      <sheetData sheetId="87">
        <row r="8">
          <cell r="P8" t="str">
            <v>לא</v>
          </cell>
        </row>
        <row r="9">
          <cell r="P9" t="str">
            <v>כן   50%</v>
          </cell>
        </row>
        <row r="10">
          <cell r="P10" t="str">
            <v>מאושר 100%</v>
          </cell>
        </row>
      </sheetData>
      <sheetData sheetId="88" refreshError="1"/>
      <sheetData sheetId="89" refreshError="1"/>
      <sheetData sheetId="90" refreshError="1"/>
      <sheetData sheetId="91">
        <row r="5">
          <cell r="AA5" t="str">
            <v>חסר הסבר של אחר</v>
          </cell>
        </row>
      </sheetData>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ow r="2">
          <cell r="J2">
            <v>2018</v>
          </cell>
        </row>
        <row r="3">
          <cell r="J3">
            <v>2019</v>
          </cell>
        </row>
        <row r="4">
          <cell r="J4" t="str">
            <v>2020</v>
          </cell>
        </row>
        <row r="23">
          <cell r="J23" t="e">
            <v>#N/A</v>
          </cell>
        </row>
        <row r="25">
          <cell r="J25" t="e">
            <v>#N/A</v>
          </cell>
        </row>
      </sheetData>
      <sheetData sheetId="108" refreshError="1"/>
      <sheetData sheetId="109" refreshError="1"/>
      <sheetData sheetId="110" refreshError="1"/>
      <sheetData sheetId="111">
        <row r="4">
          <cell r="J4">
            <v>4</v>
          </cell>
        </row>
        <row r="5">
          <cell r="J5">
            <v>2</v>
          </cell>
        </row>
        <row r="6">
          <cell r="J6" t="str">
            <v>לא רלבנטי</v>
          </cell>
        </row>
        <row r="7">
          <cell r="J7" t="str">
            <v>הערה</v>
          </cell>
        </row>
        <row r="124">
          <cell r="Q124" t="str">
            <v>כן</v>
          </cell>
        </row>
        <row r="125">
          <cell r="Q125" t="str">
            <v>לא</v>
          </cell>
        </row>
      </sheetData>
      <sheetData sheetId="112">
        <row r="6">
          <cell r="R6" t="str">
            <v>31.03.2019</v>
          </cell>
        </row>
        <row r="7">
          <cell r="R7" t="str">
            <v>30.06.2019</v>
          </cell>
        </row>
        <row r="8">
          <cell r="R8" t="str">
            <v>30.09.2019</v>
          </cell>
        </row>
        <row r="9">
          <cell r="R9" t="str">
            <v>31.12.2019</v>
          </cell>
        </row>
        <row r="10">
          <cell r="R10" t="str">
            <v>31.03.2020</v>
          </cell>
        </row>
        <row r="11">
          <cell r="R11" t="str">
            <v>30.06.2020</v>
          </cell>
        </row>
        <row r="12">
          <cell r="R12" t="str">
            <v>30.09.2020</v>
          </cell>
        </row>
        <row r="13">
          <cell r="R13" t="str">
            <v>31.12.2020</v>
          </cell>
        </row>
        <row r="14">
          <cell r="R14" t="str">
            <v>31.03.2021</v>
          </cell>
        </row>
        <row r="15">
          <cell r="R15" t="str">
            <v>30.06.2021</v>
          </cell>
        </row>
        <row r="16">
          <cell r="R16" t="str">
            <v>30.09.2021</v>
          </cell>
        </row>
        <row r="17">
          <cell r="R17" t="str">
            <v>31.12.2021</v>
          </cell>
        </row>
        <row r="18">
          <cell r="R18" t="str">
            <v>31.03.2022</v>
          </cell>
        </row>
        <row r="19">
          <cell r="R19" t="str">
            <v>30.06.2022</v>
          </cell>
        </row>
        <row r="20">
          <cell r="R20" t="str">
            <v>30.09.2022</v>
          </cell>
        </row>
        <row r="21">
          <cell r="R21" t="str">
            <v>31.12.2022</v>
          </cell>
        </row>
        <row r="29">
          <cell r="J29" t="str">
            <v>_____חברה לביטוח בע"מ</v>
          </cell>
        </row>
        <row r="30">
          <cell r="J30" t="str">
            <v>אי.די.אי - חברה לביטוח בע"מ</v>
          </cell>
        </row>
        <row r="31">
          <cell r="J31" t="str">
            <v>איי. אי. גי (AIG)</v>
          </cell>
        </row>
        <row r="32">
          <cell r="J32" t="str">
            <v>איילון חב' לבטוח בע"מ</v>
          </cell>
        </row>
        <row r="33">
          <cell r="J33" t="str">
            <v>אשרא-החברה הישראלית לביטוח יצוא בע"מ (סחר חוץ)</v>
          </cell>
        </row>
        <row r="34">
          <cell r="J34" t="str">
            <v>ב.ס.ס.ח. - החברה הישראלית לביטוח אשראי בע"מ</v>
          </cell>
        </row>
        <row r="35">
          <cell r="J35" t="str">
            <v>ביטוח חקלאי אגודה מרכזית בע"מ</v>
          </cell>
        </row>
        <row r="36">
          <cell r="J36" t="str">
            <v>דקלה חב' לבטוח בע"מ</v>
          </cell>
        </row>
        <row r="37">
          <cell r="J37" t="str">
            <v>הכשרה חב' לבטוח בע"מ</v>
          </cell>
        </row>
        <row r="38">
          <cell r="J38" t="str">
            <v>הפול הישראלי</v>
          </cell>
        </row>
        <row r="39">
          <cell r="J39" t="str">
            <v>הפניקס חב' לבטוח בע"מ</v>
          </cell>
        </row>
        <row r="40">
          <cell r="J40" t="str">
            <v>הראל חב' לבטוח בע"מ</v>
          </cell>
        </row>
        <row r="41">
          <cell r="J41" t="str">
            <v>ווישור חברה לביטוח</v>
          </cell>
        </row>
        <row r="42">
          <cell r="J42" t="str">
            <v xml:space="preserve">כלל בריאות  </v>
          </cell>
        </row>
        <row r="43">
          <cell r="J43" t="str">
            <v>כלל חב' לבטוח בע"מ</v>
          </cell>
        </row>
        <row r="44">
          <cell r="J44" t="str">
            <v>כלל חברה לביטוח אשראי</v>
          </cell>
        </row>
        <row r="45">
          <cell r="J45" t="str">
            <v>ליברה חברה לביטוח</v>
          </cell>
        </row>
        <row r="46">
          <cell r="J46" t="str">
            <v>מגדל חב' לבטוח בע"מ</v>
          </cell>
        </row>
        <row r="47">
          <cell r="J47" t="str">
            <v>מנורה חב' לבטוח בע"מ</v>
          </cell>
        </row>
        <row r="48">
          <cell r="J48" t="str">
            <v>עזר - EMI</v>
          </cell>
        </row>
        <row r="49">
          <cell r="J49" t="str">
            <v>ענבל חב' לבטוח בע'מ</v>
          </cell>
        </row>
        <row r="50">
          <cell r="J50" t="str">
            <v>פסגות חברה לביטוח</v>
          </cell>
        </row>
        <row r="51">
          <cell r="J51" t="str">
            <v>קרן לביטוח נזקי טבע בחקלאות</v>
          </cell>
        </row>
        <row r="52">
          <cell r="J52" t="str">
            <v>קרנית-קרן לפיצוי נפגעי תאונות דרכים</v>
          </cell>
        </row>
        <row r="53">
          <cell r="J53" t="str">
            <v>ש. שלמה חברה לביטוח בע''מ</v>
          </cell>
        </row>
        <row r="54">
          <cell r="J54" t="str">
            <v>שומרה חב' לבטוח בע"מ</v>
          </cell>
        </row>
        <row r="55">
          <cell r="J55" t="str">
            <v>שירביט חברה לביטוח בע"מ</v>
          </cell>
        </row>
        <row r="56">
          <cell r="J56" t="str">
            <v>דלווג</v>
          </cell>
        </row>
        <row r="57">
          <cell r="J57" t="str">
            <v>ציירך</v>
          </cell>
        </row>
        <row r="58">
          <cell r="J58" t="str">
            <v>קופאס</v>
          </cell>
        </row>
      </sheetData>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mof.gov.il/hon/documents/%D7%94%D7%A1%D7%93%D7%A8%D7%94-%D7%95%D7%97%D7%A7%D7%99%D7%A7%D7%94/gemel/memos/h_2016-2-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www.cbs.gov.il/reader/?MIval=%2Fprices_db%2FPriceInd_M_OneSeries_OneBase_E.html&amp;BasePeriods=28%2F01%2F1994&amp;MyCode=11120010&amp;Years_1=1993&amp;Years_2=2012&amp;Months_1=1&amp;Months_2=7&amp;Radio1=1_3&amp;Subjects=37"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mof.gov.il/hon/documents/&#1492;&#1505;&#1491;&#1512;&#1492;-&#1493;&#1495;&#1511;&#1497;&#1511;&#1492;/mosdiym/memos/h_2015-9-3.pdf" TargetMode="External"/><Relationship Id="rId1" Type="http://schemas.openxmlformats.org/officeDocument/2006/relationships/hyperlink" Target="http://www.mof.gov.il/hon/documents/&#1492;&#1505;&#1491;&#1512;&#1492;-&#1493;&#1495;&#1511;&#1497;&#1511;&#1492;/mosdiym/memos/h_2015-9-3.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https://mof.gov.il/hon/documents/&#1492;&#1505;&#1491;&#1512;&#1492;-&#1493;&#1495;&#1511;&#1497;&#1511;&#1492;/mosdiym/memos/h_2015-9-19.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hyperlink" Target="https://mof.gov.il/hon/Documents/%d7%94%d7%a1%d7%93%d7%a8%d7%94-%d7%95%d7%97%d7%a7%d7%99%d7%a7%d7%94/Codex/Gate5_Part4_Chapter3_appendix-version9.pdf"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mof.gov.il/xslx/h_2015-9-25_appendixa.xlsx" TargetMode="External"/><Relationship Id="rId1" Type="http://schemas.openxmlformats.org/officeDocument/2006/relationships/hyperlink" Target="http://mof.gov.il/hon/documents/&#1492;&#1505;&#1491;&#1512;&#1492;-&#1493;&#1495;&#1511;&#1497;&#1511;&#1492;/mosdiym/memos/h_2015-9-25.pdf" TargetMode="External"/><Relationship Id="rId4"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mof.gov.il/hon/documents/%D7%94%D7%A1%D7%93%D7%A8%D7%94-%D7%95%D7%97%D7%A7%D7%99%D7%A7%D7%94/mosdiym/memos/h_2015-9-32.pdf" TargetMode="External"/><Relationship Id="rId1" Type="http://schemas.openxmlformats.org/officeDocument/2006/relationships/hyperlink" Target="http://mof.gov.il/hon/documents/%D7%94%D7%A1%D7%93%D7%A8%D7%94-%D7%95%D7%97%D7%A7%D7%99%D7%A7%D7%94/mosdiym/memos/h_2015-9-32_appendix_b.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3" Type="http://schemas.openxmlformats.org/officeDocument/2006/relationships/hyperlink" Target="http://mof.gov.il/hon/documents/%D7%94%D7%A1%D7%93%D7%A8%D7%94-%D7%95%D7%97%D7%A7%D7%99%D7%A7%D7%94/gemel/memos/h_2016-2-1.pdf" TargetMode="External"/><Relationship Id="rId7" Type="http://schemas.openxmlformats.org/officeDocument/2006/relationships/ctrlProp" Target="../ctrlProps/ctrlProp1.xml"/><Relationship Id="rId2" Type="http://schemas.openxmlformats.org/officeDocument/2006/relationships/hyperlink" Target="http://ozar.mof.gov.il/hon/2001/mosdiym/memos/2012-9-11.pdf" TargetMode="External"/><Relationship Id="rId1" Type="http://schemas.openxmlformats.org/officeDocument/2006/relationships/hyperlink" Target="http://ozar.mof.gov.il/hon/2001/mosdiym/memos/2012-9-11a.pdf" TargetMode="External"/><Relationship Id="rId6" Type="http://schemas.openxmlformats.org/officeDocument/2006/relationships/vmlDrawing" Target="../drawings/vmlDrawing1.vml"/><Relationship Id="rId5" Type="http://schemas.openxmlformats.org/officeDocument/2006/relationships/drawing" Target="../drawings/drawing7.xml"/><Relationship Id="rId4"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filterMode="1"/>
  <dimension ref="A2:AV2489"/>
  <sheetViews>
    <sheetView topLeftCell="H1" workbookViewId="0">
      <pane ySplit="2" topLeftCell="A2312" activePane="bottomLeft" state="frozen"/>
      <selection pane="bottomLeft" activeCell="W2102" sqref="A2:AV2489"/>
    </sheetView>
  </sheetViews>
  <sheetFormatPr defaultRowHeight="12.5"/>
  <cols>
    <col min="1" max="1" width="13.453125" style="529" customWidth="1"/>
    <col min="2" max="2" width="8.453125" style="529" customWidth="1"/>
    <col min="3" max="3" width="10.54296875" style="529" hidden="1" customWidth="1"/>
    <col min="4" max="4" width="55.453125" style="529" customWidth="1"/>
    <col min="5" max="5" width="37.453125" style="529" hidden="1" customWidth="1"/>
    <col min="6" max="6" width="19.54296875" style="529" hidden="1" customWidth="1"/>
    <col min="7" max="7" width="13.453125" style="529" hidden="1" customWidth="1"/>
    <col min="8" max="8" width="12.54296875" style="529" customWidth="1"/>
    <col min="9" max="9" width="13.453125" style="529" customWidth="1"/>
    <col min="10" max="10" width="12.453125" style="529" customWidth="1"/>
    <col min="11" max="17" width="13.453125" style="529" hidden="1" customWidth="1"/>
    <col min="18" max="18" width="11.81640625" style="529" customWidth="1"/>
    <col min="19" max="19" width="8.54296875" style="529" customWidth="1"/>
    <col min="20" max="20" width="24.54296875" style="529" customWidth="1"/>
    <col min="21" max="21" width="36.453125" style="529" customWidth="1"/>
    <col min="22" max="22" width="13.453125" style="529" customWidth="1"/>
    <col min="23" max="23" width="41.453125" style="529" customWidth="1"/>
    <col min="24" max="25" width="0" style="529" hidden="1" customWidth="1"/>
    <col min="26" max="30" width="9.1796875" style="529"/>
    <col min="31" max="31" width="10.54296875" style="529" bestFit="1" customWidth="1"/>
    <col min="32" max="32" width="19.54296875" style="529" customWidth="1"/>
    <col min="33" max="33" width="19.81640625" style="529" customWidth="1"/>
    <col min="34" max="34" width="17.453125" style="529" customWidth="1"/>
    <col min="35" max="36" width="35.453125" style="529" customWidth="1"/>
    <col min="37" max="37" width="9.54296875" style="529" customWidth="1"/>
    <col min="38" max="38" width="23.453125" style="529" customWidth="1"/>
    <col min="39" max="39" width="9.1796875" style="529"/>
    <col min="40" max="41" width="15.453125" style="529" customWidth="1"/>
    <col min="42" max="42" width="17.81640625" style="529" customWidth="1"/>
    <col min="43" max="43" width="11.81640625" style="529" customWidth="1"/>
    <col min="44" max="44" width="19" style="529" customWidth="1"/>
    <col min="45" max="45" width="14.453125" style="529" customWidth="1"/>
    <col min="46" max="46" width="8.453125" style="529" customWidth="1"/>
    <col min="47" max="253" width="9.1796875" style="529"/>
    <col min="254" max="254" width="6.81640625" style="529" customWidth="1"/>
    <col min="255" max="255" width="8.453125" style="529" customWidth="1"/>
    <col min="256" max="256" width="10.54296875" style="529" customWidth="1"/>
    <col min="257" max="257" width="46.1796875" style="529" customWidth="1"/>
    <col min="258" max="260" width="0" style="529" hidden="1" customWidth="1"/>
    <col min="261" max="261" width="12.54296875" style="529" customWidth="1"/>
    <col min="262" max="262" width="13.453125" style="529" customWidth="1"/>
    <col min="263" max="263" width="12.453125" style="529" customWidth="1"/>
    <col min="264" max="270" width="0" style="529" hidden="1" customWidth="1"/>
    <col min="271" max="271" width="11.81640625" style="529" customWidth="1"/>
    <col min="272" max="272" width="8.54296875" style="529" customWidth="1"/>
    <col min="273" max="273" width="10" style="529" customWidth="1"/>
    <col min="274" max="274" width="41.81640625" style="529" customWidth="1"/>
    <col min="275" max="275" width="13.453125" style="529" customWidth="1"/>
    <col min="276" max="276" width="41.453125" style="529" customWidth="1"/>
    <col min="277" max="278" width="0" style="529" hidden="1" customWidth="1"/>
    <col min="279" max="509" width="9.1796875" style="529"/>
    <col min="510" max="510" width="6.81640625" style="529" customWidth="1"/>
    <col min="511" max="511" width="8.453125" style="529" customWidth="1"/>
    <col min="512" max="512" width="10.54296875" style="529" customWidth="1"/>
    <col min="513" max="513" width="46.1796875" style="529" customWidth="1"/>
    <col min="514" max="516" width="0" style="529" hidden="1" customWidth="1"/>
    <col min="517" max="517" width="12.54296875" style="529" customWidth="1"/>
    <col min="518" max="518" width="13.453125" style="529" customWidth="1"/>
    <col min="519" max="519" width="12.453125" style="529" customWidth="1"/>
    <col min="520" max="526" width="0" style="529" hidden="1" customWidth="1"/>
    <col min="527" max="527" width="11.81640625" style="529" customWidth="1"/>
    <col min="528" max="528" width="8.54296875" style="529" customWidth="1"/>
    <col min="529" max="529" width="10" style="529" customWidth="1"/>
    <col min="530" max="530" width="41.81640625" style="529" customWidth="1"/>
    <col min="531" max="531" width="13.453125" style="529" customWidth="1"/>
    <col min="532" max="532" width="41.453125" style="529" customWidth="1"/>
    <col min="533" max="534" width="0" style="529" hidden="1" customWidth="1"/>
    <col min="535" max="765" width="9.1796875" style="529"/>
    <col min="766" max="766" width="6.81640625" style="529" customWidth="1"/>
    <col min="767" max="767" width="8.453125" style="529" customWidth="1"/>
    <col min="768" max="768" width="10.54296875" style="529" customWidth="1"/>
    <col min="769" max="769" width="46.1796875" style="529" customWidth="1"/>
    <col min="770" max="772" width="0" style="529" hidden="1" customWidth="1"/>
    <col min="773" max="773" width="12.54296875" style="529" customWidth="1"/>
    <col min="774" max="774" width="13.453125" style="529" customWidth="1"/>
    <col min="775" max="775" width="12.453125" style="529" customWidth="1"/>
    <col min="776" max="782" width="0" style="529" hidden="1" customWidth="1"/>
    <col min="783" max="783" width="11.81640625" style="529" customWidth="1"/>
    <col min="784" max="784" width="8.54296875" style="529" customWidth="1"/>
    <col min="785" max="785" width="10" style="529" customWidth="1"/>
    <col min="786" max="786" width="41.81640625" style="529" customWidth="1"/>
    <col min="787" max="787" width="13.453125" style="529" customWidth="1"/>
    <col min="788" max="788" width="41.453125" style="529" customWidth="1"/>
    <col min="789" max="790" width="0" style="529" hidden="1" customWidth="1"/>
    <col min="791" max="1021" width="9.1796875" style="529"/>
    <col min="1022" max="1022" width="6.81640625" style="529" customWidth="1"/>
    <col min="1023" max="1023" width="8.453125" style="529" customWidth="1"/>
    <col min="1024" max="1024" width="10.54296875" style="529" customWidth="1"/>
    <col min="1025" max="1025" width="46.1796875" style="529" customWidth="1"/>
    <col min="1026" max="1028" width="0" style="529" hidden="1" customWidth="1"/>
    <col min="1029" max="1029" width="12.54296875" style="529" customWidth="1"/>
    <col min="1030" max="1030" width="13.453125" style="529" customWidth="1"/>
    <col min="1031" max="1031" width="12.453125" style="529" customWidth="1"/>
    <col min="1032" max="1038" width="0" style="529" hidden="1" customWidth="1"/>
    <col min="1039" max="1039" width="11.81640625" style="529" customWidth="1"/>
    <col min="1040" max="1040" width="8.54296875" style="529" customWidth="1"/>
    <col min="1041" max="1041" width="10" style="529" customWidth="1"/>
    <col min="1042" max="1042" width="41.81640625" style="529" customWidth="1"/>
    <col min="1043" max="1043" width="13.453125" style="529" customWidth="1"/>
    <col min="1044" max="1044" width="41.453125" style="529" customWidth="1"/>
    <col min="1045" max="1046" width="0" style="529" hidden="1" customWidth="1"/>
    <col min="1047" max="1277" width="9.1796875" style="529"/>
    <col min="1278" max="1278" width="6.81640625" style="529" customWidth="1"/>
    <col min="1279" max="1279" width="8.453125" style="529" customWidth="1"/>
    <col min="1280" max="1280" width="10.54296875" style="529" customWidth="1"/>
    <col min="1281" max="1281" width="46.1796875" style="529" customWidth="1"/>
    <col min="1282" max="1284" width="0" style="529" hidden="1" customWidth="1"/>
    <col min="1285" max="1285" width="12.54296875" style="529" customWidth="1"/>
    <col min="1286" max="1286" width="13.453125" style="529" customWidth="1"/>
    <col min="1287" max="1287" width="12.453125" style="529" customWidth="1"/>
    <col min="1288" max="1294" width="0" style="529" hidden="1" customWidth="1"/>
    <col min="1295" max="1295" width="11.81640625" style="529" customWidth="1"/>
    <col min="1296" max="1296" width="8.54296875" style="529" customWidth="1"/>
    <col min="1297" max="1297" width="10" style="529" customWidth="1"/>
    <col min="1298" max="1298" width="41.81640625" style="529" customWidth="1"/>
    <col min="1299" max="1299" width="13.453125" style="529" customWidth="1"/>
    <col min="1300" max="1300" width="41.453125" style="529" customWidth="1"/>
    <col min="1301" max="1302" width="0" style="529" hidden="1" customWidth="1"/>
    <col min="1303" max="1533" width="9.1796875" style="529"/>
    <col min="1534" max="1534" width="6.81640625" style="529" customWidth="1"/>
    <col min="1535" max="1535" width="8.453125" style="529" customWidth="1"/>
    <col min="1536" max="1536" width="10.54296875" style="529" customWidth="1"/>
    <col min="1537" max="1537" width="46.1796875" style="529" customWidth="1"/>
    <col min="1538" max="1540" width="0" style="529" hidden="1" customWidth="1"/>
    <col min="1541" max="1541" width="12.54296875" style="529" customWidth="1"/>
    <col min="1542" max="1542" width="13.453125" style="529" customWidth="1"/>
    <col min="1543" max="1543" width="12.453125" style="529" customWidth="1"/>
    <col min="1544" max="1550" width="0" style="529" hidden="1" customWidth="1"/>
    <col min="1551" max="1551" width="11.81640625" style="529" customWidth="1"/>
    <col min="1552" max="1552" width="8.54296875" style="529" customWidth="1"/>
    <col min="1553" max="1553" width="10" style="529" customWidth="1"/>
    <col min="1554" max="1554" width="41.81640625" style="529" customWidth="1"/>
    <col min="1555" max="1555" width="13.453125" style="529" customWidth="1"/>
    <col min="1556" max="1556" width="41.453125" style="529" customWidth="1"/>
    <col min="1557" max="1558" width="0" style="529" hidden="1" customWidth="1"/>
    <col min="1559" max="1789" width="9.1796875" style="529"/>
    <col min="1790" max="1790" width="6.81640625" style="529" customWidth="1"/>
    <col min="1791" max="1791" width="8.453125" style="529" customWidth="1"/>
    <col min="1792" max="1792" width="10.54296875" style="529" customWidth="1"/>
    <col min="1793" max="1793" width="46.1796875" style="529" customWidth="1"/>
    <col min="1794" max="1796" width="0" style="529" hidden="1" customWidth="1"/>
    <col min="1797" max="1797" width="12.54296875" style="529" customWidth="1"/>
    <col min="1798" max="1798" width="13.453125" style="529" customWidth="1"/>
    <col min="1799" max="1799" width="12.453125" style="529" customWidth="1"/>
    <col min="1800" max="1806" width="0" style="529" hidden="1" customWidth="1"/>
    <col min="1807" max="1807" width="11.81640625" style="529" customWidth="1"/>
    <col min="1808" max="1808" width="8.54296875" style="529" customWidth="1"/>
    <col min="1809" max="1809" width="10" style="529" customWidth="1"/>
    <col min="1810" max="1810" width="41.81640625" style="529" customWidth="1"/>
    <col min="1811" max="1811" width="13.453125" style="529" customWidth="1"/>
    <col min="1812" max="1812" width="41.453125" style="529" customWidth="1"/>
    <col min="1813" max="1814" width="0" style="529" hidden="1" customWidth="1"/>
    <col min="1815" max="2045" width="9.1796875" style="529"/>
    <col min="2046" max="2046" width="6.81640625" style="529" customWidth="1"/>
    <col min="2047" max="2047" width="8.453125" style="529" customWidth="1"/>
    <col min="2048" max="2048" width="10.54296875" style="529" customWidth="1"/>
    <col min="2049" max="2049" width="46.1796875" style="529" customWidth="1"/>
    <col min="2050" max="2052" width="0" style="529" hidden="1" customWidth="1"/>
    <col min="2053" max="2053" width="12.54296875" style="529" customWidth="1"/>
    <col min="2054" max="2054" width="13.453125" style="529" customWidth="1"/>
    <col min="2055" max="2055" width="12.453125" style="529" customWidth="1"/>
    <col min="2056" max="2062" width="0" style="529" hidden="1" customWidth="1"/>
    <col min="2063" max="2063" width="11.81640625" style="529" customWidth="1"/>
    <col min="2064" max="2064" width="8.54296875" style="529" customWidth="1"/>
    <col min="2065" max="2065" width="10" style="529" customWidth="1"/>
    <col min="2066" max="2066" width="41.81640625" style="529" customWidth="1"/>
    <col min="2067" max="2067" width="13.453125" style="529" customWidth="1"/>
    <col min="2068" max="2068" width="41.453125" style="529" customWidth="1"/>
    <col min="2069" max="2070" width="0" style="529" hidden="1" customWidth="1"/>
    <col min="2071" max="2301" width="9.1796875" style="529"/>
    <col min="2302" max="2302" width="6.81640625" style="529" customWidth="1"/>
    <col min="2303" max="2303" width="8.453125" style="529" customWidth="1"/>
    <col min="2304" max="2304" width="10.54296875" style="529" customWidth="1"/>
    <col min="2305" max="2305" width="46.1796875" style="529" customWidth="1"/>
    <col min="2306" max="2308" width="0" style="529" hidden="1" customWidth="1"/>
    <col min="2309" max="2309" width="12.54296875" style="529" customWidth="1"/>
    <col min="2310" max="2310" width="13.453125" style="529" customWidth="1"/>
    <col min="2311" max="2311" width="12.453125" style="529" customWidth="1"/>
    <col min="2312" max="2318" width="0" style="529" hidden="1" customWidth="1"/>
    <col min="2319" max="2319" width="11.81640625" style="529" customWidth="1"/>
    <col min="2320" max="2320" width="8.54296875" style="529" customWidth="1"/>
    <col min="2321" max="2321" width="10" style="529" customWidth="1"/>
    <col min="2322" max="2322" width="41.81640625" style="529" customWidth="1"/>
    <col min="2323" max="2323" width="13.453125" style="529" customWidth="1"/>
    <col min="2324" max="2324" width="41.453125" style="529" customWidth="1"/>
    <col min="2325" max="2326" width="0" style="529" hidden="1" customWidth="1"/>
    <col min="2327" max="2557" width="9.1796875" style="529"/>
    <col min="2558" max="2558" width="6.81640625" style="529" customWidth="1"/>
    <col min="2559" max="2559" width="8.453125" style="529" customWidth="1"/>
    <col min="2560" max="2560" width="10.54296875" style="529" customWidth="1"/>
    <col min="2561" max="2561" width="46.1796875" style="529" customWidth="1"/>
    <col min="2562" max="2564" width="0" style="529" hidden="1" customWidth="1"/>
    <col min="2565" max="2565" width="12.54296875" style="529" customWidth="1"/>
    <col min="2566" max="2566" width="13.453125" style="529" customWidth="1"/>
    <col min="2567" max="2567" width="12.453125" style="529" customWidth="1"/>
    <col min="2568" max="2574" width="0" style="529" hidden="1" customWidth="1"/>
    <col min="2575" max="2575" width="11.81640625" style="529" customWidth="1"/>
    <col min="2576" max="2576" width="8.54296875" style="529" customWidth="1"/>
    <col min="2577" max="2577" width="10" style="529" customWidth="1"/>
    <col min="2578" max="2578" width="41.81640625" style="529" customWidth="1"/>
    <col min="2579" max="2579" width="13.453125" style="529" customWidth="1"/>
    <col min="2580" max="2580" width="41.453125" style="529" customWidth="1"/>
    <col min="2581" max="2582" width="0" style="529" hidden="1" customWidth="1"/>
    <col min="2583" max="2813" width="9.1796875" style="529"/>
    <col min="2814" max="2814" width="6.81640625" style="529" customWidth="1"/>
    <col min="2815" max="2815" width="8.453125" style="529" customWidth="1"/>
    <col min="2816" max="2816" width="10.54296875" style="529" customWidth="1"/>
    <col min="2817" max="2817" width="46.1796875" style="529" customWidth="1"/>
    <col min="2818" max="2820" width="0" style="529" hidden="1" customWidth="1"/>
    <col min="2821" max="2821" width="12.54296875" style="529" customWidth="1"/>
    <col min="2822" max="2822" width="13.453125" style="529" customWidth="1"/>
    <col min="2823" max="2823" width="12.453125" style="529" customWidth="1"/>
    <col min="2824" max="2830" width="0" style="529" hidden="1" customWidth="1"/>
    <col min="2831" max="2831" width="11.81640625" style="529" customWidth="1"/>
    <col min="2832" max="2832" width="8.54296875" style="529" customWidth="1"/>
    <col min="2833" max="2833" width="10" style="529" customWidth="1"/>
    <col min="2834" max="2834" width="41.81640625" style="529" customWidth="1"/>
    <col min="2835" max="2835" width="13.453125" style="529" customWidth="1"/>
    <col min="2836" max="2836" width="41.453125" style="529" customWidth="1"/>
    <col min="2837" max="2838" width="0" style="529" hidden="1" customWidth="1"/>
    <col min="2839" max="3069" width="9.1796875" style="529"/>
    <col min="3070" max="3070" width="6.81640625" style="529" customWidth="1"/>
    <col min="3071" max="3071" width="8.453125" style="529" customWidth="1"/>
    <col min="3072" max="3072" width="10.54296875" style="529" customWidth="1"/>
    <col min="3073" max="3073" width="46.1796875" style="529" customWidth="1"/>
    <col min="3074" max="3076" width="0" style="529" hidden="1" customWidth="1"/>
    <col min="3077" max="3077" width="12.54296875" style="529" customWidth="1"/>
    <col min="3078" max="3078" width="13.453125" style="529" customWidth="1"/>
    <col min="3079" max="3079" width="12.453125" style="529" customWidth="1"/>
    <col min="3080" max="3086" width="0" style="529" hidden="1" customWidth="1"/>
    <col min="3087" max="3087" width="11.81640625" style="529" customWidth="1"/>
    <col min="3088" max="3088" width="8.54296875" style="529" customWidth="1"/>
    <col min="3089" max="3089" width="10" style="529" customWidth="1"/>
    <col min="3090" max="3090" width="41.81640625" style="529" customWidth="1"/>
    <col min="3091" max="3091" width="13.453125" style="529" customWidth="1"/>
    <col min="3092" max="3092" width="41.453125" style="529" customWidth="1"/>
    <col min="3093" max="3094" width="0" style="529" hidden="1" customWidth="1"/>
    <col min="3095" max="3325" width="9.1796875" style="529"/>
    <col min="3326" max="3326" width="6.81640625" style="529" customWidth="1"/>
    <col min="3327" max="3327" width="8.453125" style="529" customWidth="1"/>
    <col min="3328" max="3328" width="10.54296875" style="529" customWidth="1"/>
    <col min="3329" max="3329" width="46.1796875" style="529" customWidth="1"/>
    <col min="3330" max="3332" width="0" style="529" hidden="1" customWidth="1"/>
    <col min="3333" max="3333" width="12.54296875" style="529" customWidth="1"/>
    <col min="3334" max="3334" width="13.453125" style="529" customWidth="1"/>
    <col min="3335" max="3335" width="12.453125" style="529" customWidth="1"/>
    <col min="3336" max="3342" width="0" style="529" hidden="1" customWidth="1"/>
    <col min="3343" max="3343" width="11.81640625" style="529" customWidth="1"/>
    <col min="3344" max="3344" width="8.54296875" style="529" customWidth="1"/>
    <col min="3345" max="3345" width="10" style="529" customWidth="1"/>
    <col min="3346" max="3346" width="41.81640625" style="529" customWidth="1"/>
    <col min="3347" max="3347" width="13.453125" style="529" customWidth="1"/>
    <col min="3348" max="3348" width="41.453125" style="529" customWidth="1"/>
    <col min="3349" max="3350" width="0" style="529" hidden="1" customWidth="1"/>
    <col min="3351" max="3581" width="9.1796875" style="529"/>
    <col min="3582" max="3582" width="6.81640625" style="529" customWidth="1"/>
    <col min="3583" max="3583" width="8.453125" style="529" customWidth="1"/>
    <col min="3584" max="3584" width="10.54296875" style="529" customWidth="1"/>
    <col min="3585" max="3585" width="46.1796875" style="529" customWidth="1"/>
    <col min="3586" max="3588" width="0" style="529" hidden="1" customWidth="1"/>
    <col min="3589" max="3589" width="12.54296875" style="529" customWidth="1"/>
    <col min="3590" max="3590" width="13.453125" style="529" customWidth="1"/>
    <col min="3591" max="3591" width="12.453125" style="529" customWidth="1"/>
    <col min="3592" max="3598" width="0" style="529" hidden="1" customWidth="1"/>
    <col min="3599" max="3599" width="11.81640625" style="529" customWidth="1"/>
    <col min="3600" max="3600" width="8.54296875" style="529" customWidth="1"/>
    <col min="3601" max="3601" width="10" style="529" customWidth="1"/>
    <col min="3602" max="3602" width="41.81640625" style="529" customWidth="1"/>
    <col min="3603" max="3603" width="13.453125" style="529" customWidth="1"/>
    <col min="3604" max="3604" width="41.453125" style="529" customWidth="1"/>
    <col min="3605" max="3606" width="0" style="529" hidden="1" customWidth="1"/>
    <col min="3607" max="3837" width="9.1796875" style="529"/>
    <col min="3838" max="3838" width="6.81640625" style="529" customWidth="1"/>
    <col min="3839" max="3839" width="8.453125" style="529" customWidth="1"/>
    <col min="3840" max="3840" width="10.54296875" style="529" customWidth="1"/>
    <col min="3841" max="3841" width="46.1796875" style="529" customWidth="1"/>
    <col min="3842" max="3844" width="0" style="529" hidden="1" customWidth="1"/>
    <col min="3845" max="3845" width="12.54296875" style="529" customWidth="1"/>
    <col min="3846" max="3846" width="13.453125" style="529" customWidth="1"/>
    <col min="3847" max="3847" width="12.453125" style="529" customWidth="1"/>
    <col min="3848" max="3854" width="0" style="529" hidden="1" customWidth="1"/>
    <col min="3855" max="3855" width="11.81640625" style="529" customWidth="1"/>
    <col min="3856" max="3856" width="8.54296875" style="529" customWidth="1"/>
    <col min="3857" max="3857" width="10" style="529" customWidth="1"/>
    <col min="3858" max="3858" width="41.81640625" style="529" customWidth="1"/>
    <col min="3859" max="3859" width="13.453125" style="529" customWidth="1"/>
    <col min="3860" max="3860" width="41.453125" style="529" customWidth="1"/>
    <col min="3861" max="3862" width="0" style="529" hidden="1" customWidth="1"/>
    <col min="3863" max="4093" width="9.1796875" style="529"/>
    <col min="4094" max="4094" width="6.81640625" style="529" customWidth="1"/>
    <col min="4095" max="4095" width="8.453125" style="529" customWidth="1"/>
    <col min="4096" max="4096" width="10.54296875" style="529" customWidth="1"/>
    <col min="4097" max="4097" width="46.1796875" style="529" customWidth="1"/>
    <col min="4098" max="4100" width="0" style="529" hidden="1" customWidth="1"/>
    <col min="4101" max="4101" width="12.54296875" style="529" customWidth="1"/>
    <col min="4102" max="4102" width="13.453125" style="529" customWidth="1"/>
    <col min="4103" max="4103" width="12.453125" style="529" customWidth="1"/>
    <col min="4104" max="4110" width="0" style="529" hidden="1" customWidth="1"/>
    <col min="4111" max="4111" width="11.81640625" style="529" customWidth="1"/>
    <col min="4112" max="4112" width="8.54296875" style="529" customWidth="1"/>
    <col min="4113" max="4113" width="10" style="529" customWidth="1"/>
    <col min="4114" max="4114" width="41.81640625" style="529" customWidth="1"/>
    <col min="4115" max="4115" width="13.453125" style="529" customWidth="1"/>
    <col min="4116" max="4116" width="41.453125" style="529" customWidth="1"/>
    <col min="4117" max="4118" width="0" style="529" hidden="1" customWidth="1"/>
    <col min="4119" max="4349" width="9.1796875" style="529"/>
    <col min="4350" max="4350" width="6.81640625" style="529" customWidth="1"/>
    <col min="4351" max="4351" width="8.453125" style="529" customWidth="1"/>
    <col min="4352" max="4352" width="10.54296875" style="529" customWidth="1"/>
    <col min="4353" max="4353" width="46.1796875" style="529" customWidth="1"/>
    <col min="4354" max="4356" width="0" style="529" hidden="1" customWidth="1"/>
    <col min="4357" max="4357" width="12.54296875" style="529" customWidth="1"/>
    <col min="4358" max="4358" width="13.453125" style="529" customWidth="1"/>
    <col min="4359" max="4359" width="12.453125" style="529" customWidth="1"/>
    <col min="4360" max="4366" width="0" style="529" hidden="1" customWidth="1"/>
    <col min="4367" max="4367" width="11.81640625" style="529" customWidth="1"/>
    <col min="4368" max="4368" width="8.54296875" style="529" customWidth="1"/>
    <col min="4369" max="4369" width="10" style="529" customWidth="1"/>
    <col min="4370" max="4370" width="41.81640625" style="529" customWidth="1"/>
    <col min="4371" max="4371" width="13.453125" style="529" customWidth="1"/>
    <col min="4372" max="4372" width="41.453125" style="529" customWidth="1"/>
    <col min="4373" max="4374" width="0" style="529" hidden="1" customWidth="1"/>
    <col min="4375" max="4605" width="9.1796875" style="529"/>
    <col min="4606" max="4606" width="6.81640625" style="529" customWidth="1"/>
    <col min="4607" max="4607" width="8.453125" style="529" customWidth="1"/>
    <col min="4608" max="4608" width="10.54296875" style="529" customWidth="1"/>
    <col min="4609" max="4609" width="46.1796875" style="529" customWidth="1"/>
    <col min="4610" max="4612" width="0" style="529" hidden="1" customWidth="1"/>
    <col min="4613" max="4613" width="12.54296875" style="529" customWidth="1"/>
    <col min="4614" max="4614" width="13.453125" style="529" customWidth="1"/>
    <col min="4615" max="4615" width="12.453125" style="529" customWidth="1"/>
    <col min="4616" max="4622" width="0" style="529" hidden="1" customWidth="1"/>
    <col min="4623" max="4623" width="11.81640625" style="529" customWidth="1"/>
    <col min="4624" max="4624" width="8.54296875" style="529" customWidth="1"/>
    <col min="4625" max="4625" width="10" style="529" customWidth="1"/>
    <col min="4626" max="4626" width="41.81640625" style="529" customWidth="1"/>
    <col min="4627" max="4627" width="13.453125" style="529" customWidth="1"/>
    <col min="4628" max="4628" width="41.453125" style="529" customWidth="1"/>
    <col min="4629" max="4630" width="0" style="529" hidden="1" customWidth="1"/>
    <col min="4631" max="4861" width="9.1796875" style="529"/>
    <col min="4862" max="4862" width="6.81640625" style="529" customWidth="1"/>
    <col min="4863" max="4863" width="8.453125" style="529" customWidth="1"/>
    <col min="4864" max="4864" width="10.54296875" style="529" customWidth="1"/>
    <col min="4865" max="4865" width="46.1796875" style="529" customWidth="1"/>
    <col min="4866" max="4868" width="0" style="529" hidden="1" customWidth="1"/>
    <col min="4869" max="4869" width="12.54296875" style="529" customWidth="1"/>
    <col min="4870" max="4870" width="13.453125" style="529" customWidth="1"/>
    <col min="4871" max="4871" width="12.453125" style="529" customWidth="1"/>
    <col min="4872" max="4878" width="0" style="529" hidden="1" customWidth="1"/>
    <col min="4879" max="4879" width="11.81640625" style="529" customWidth="1"/>
    <col min="4880" max="4880" width="8.54296875" style="529" customWidth="1"/>
    <col min="4881" max="4881" width="10" style="529" customWidth="1"/>
    <col min="4882" max="4882" width="41.81640625" style="529" customWidth="1"/>
    <col min="4883" max="4883" width="13.453125" style="529" customWidth="1"/>
    <col min="4884" max="4884" width="41.453125" style="529" customWidth="1"/>
    <col min="4885" max="4886" width="0" style="529" hidden="1" customWidth="1"/>
    <col min="4887" max="5117" width="9.1796875" style="529"/>
    <col min="5118" max="5118" width="6.81640625" style="529" customWidth="1"/>
    <col min="5119" max="5119" width="8.453125" style="529" customWidth="1"/>
    <col min="5120" max="5120" width="10.54296875" style="529" customWidth="1"/>
    <col min="5121" max="5121" width="46.1796875" style="529" customWidth="1"/>
    <col min="5122" max="5124" width="0" style="529" hidden="1" customWidth="1"/>
    <col min="5125" max="5125" width="12.54296875" style="529" customWidth="1"/>
    <col min="5126" max="5126" width="13.453125" style="529" customWidth="1"/>
    <col min="5127" max="5127" width="12.453125" style="529" customWidth="1"/>
    <col min="5128" max="5134" width="0" style="529" hidden="1" customWidth="1"/>
    <col min="5135" max="5135" width="11.81640625" style="529" customWidth="1"/>
    <col min="5136" max="5136" width="8.54296875" style="529" customWidth="1"/>
    <col min="5137" max="5137" width="10" style="529" customWidth="1"/>
    <col min="5138" max="5138" width="41.81640625" style="529" customWidth="1"/>
    <col min="5139" max="5139" width="13.453125" style="529" customWidth="1"/>
    <col min="5140" max="5140" width="41.453125" style="529" customWidth="1"/>
    <col min="5141" max="5142" width="0" style="529" hidden="1" customWidth="1"/>
    <col min="5143" max="5373" width="9.1796875" style="529"/>
    <col min="5374" max="5374" width="6.81640625" style="529" customWidth="1"/>
    <col min="5375" max="5375" width="8.453125" style="529" customWidth="1"/>
    <col min="5376" max="5376" width="10.54296875" style="529" customWidth="1"/>
    <col min="5377" max="5377" width="46.1796875" style="529" customWidth="1"/>
    <col min="5378" max="5380" width="0" style="529" hidden="1" customWidth="1"/>
    <col min="5381" max="5381" width="12.54296875" style="529" customWidth="1"/>
    <col min="5382" max="5382" width="13.453125" style="529" customWidth="1"/>
    <col min="5383" max="5383" width="12.453125" style="529" customWidth="1"/>
    <col min="5384" max="5390" width="0" style="529" hidden="1" customWidth="1"/>
    <col min="5391" max="5391" width="11.81640625" style="529" customWidth="1"/>
    <col min="5392" max="5392" width="8.54296875" style="529" customWidth="1"/>
    <col min="5393" max="5393" width="10" style="529" customWidth="1"/>
    <col min="5394" max="5394" width="41.81640625" style="529" customWidth="1"/>
    <col min="5395" max="5395" width="13.453125" style="529" customWidth="1"/>
    <col min="5396" max="5396" width="41.453125" style="529" customWidth="1"/>
    <col min="5397" max="5398" width="0" style="529" hidden="1" customWidth="1"/>
    <col min="5399" max="5629" width="9.1796875" style="529"/>
    <col min="5630" max="5630" width="6.81640625" style="529" customWidth="1"/>
    <col min="5631" max="5631" width="8.453125" style="529" customWidth="1"/>
    <col min="5632" max="5632" width="10.54296875" style="529" customWidth="1"/>
    <col min="5633" max="5633" width="46.1796875" style="529" customWidth="1"/>
    <col min="5634" max="5636" width="0" style="529" hidden="1" customWidth="1"/>
    <col min="5637" max="5637" width="12.54296875" style="529" customWidth="1"/>
    <col min="5638" max="5638" width="13.453125" style="529" customWidth="1"/>
    <col min="5639" max="5639" width="12.453125" style="529" customWidth="1"/>
    <col min="5640" max="5646" width="0" style="529" hidden="1" customWidth="1"/>
    <col min="5647" max="5647" width="11.81640625" style="529" customWidth="1"/>
    <col min="5648" max="5648" width="8.54296875" style="529" customWidth="1"/>
    <col min="5649" max="5649" width="10" style="529" customWidth="1"/>
    <col min="5650" max="5650" width="41.81640625" style="529" customWidth="1"/>
    <col min="5651" max="5651" width="13.453125" style="529" customWidth="1"/>
    <col min="5652" max="5652" width="41.453125" style="529" customWidth="1"/>
    <col min="5653" max="5654" width="0" style="529" hidden="1" customWidth="1"/>
    <col min="5655" max="5885" width="9.1796875" style="529"/>
    <col min="5886" max="5886" width="6.81640625" style="529" customWidth="1"/>
    <col min="5887" max="5887" width="8.453125" style="529" customWidth="1"/>
    <col min="5888" max="5888" width="10.54296875" style="529" customWidth="1"/>
    <col min="5889" max="5889" width="46.1796875" style="529" customWidth="1"/>
    <col min="5890" max="5892" width="0" style="529" hidden="1" customWidth="1"/>
    <col min="5893" max="5893" width="12.54296875" style="529" customWidth="1"/>
    <col min="5894" max="5894" width="13.453125" style="529" customWidth="1"/>
    <col min="5895" max="5895" width="12.453125" style="529" customWidth="1"/>
    <col min="5896" max="5902" width="0" style="529" hidden="1" customWidth="1"/>
    <col min="5903" max="5903" width="11.81640625" style="529" customWidth="1"/>
    <col min="5904" max="5904" width="8.54296875" style="529" customWidth="1"/>
    <col min="5905" max="5905" width="10" style="529" customWidth="1"/>
    <col min="5906" max="5906" width="41.81640625" style="529" customWidth="1"/>
    <col min="5907" max="5907" width="13.453125" style="529" customWidth="1"/>
    <col min="5908" max="5908" width="41.453125" style="529" customWidth="1"/>
    <col min="5909" max="5910" width="0" style="529" hidden="1" customWidth="1"/>
    <col min="5911" max="6141" width="9.1796875" style="529"/>
    <col min="6142" max="6142" width="6.81640625" style="529" customWidth="1"/>
    <col min="6143" max="6143" width="8.453125" style="529" customWidth="1"/>
    <col min="6144" max="6144" width="10.54296875" style="529" customWidth="1"/>
    <col min="6145" max="6145" width="46.1796875" style="529" customWidth="1"/>
    <col min="6146" max="6148" width="0" style="529" hidden="1" customWidth="1"/>
    <col min="6149" max="6149" width="12.54296875" style="529" customWidth="1"/>
    <col min="6150" max="6150" width="13.453125" style="529" customWidth="1"/>
    <col min="6151" max="6151" width="12.453125" style="529" customWidth="1"/>
    <col min="6152" max="6158" width="0" style="529" hidden="1" customWidth="1"/>
    <col min="6159" max="6159" width="11.81640625" style="529" customWidth="1"/>
    <col min="6160" max="6160" width="8.54296875" style="529" customWidth="1"/>
    <col min="6161" max="6161" width="10" style="529" customWidth="1"/>
    <col min="6162" max="6162" width="41.81640625" style="529" customWidth="1"/>
    <col min="6163" max="6163" width="13.453125" style="529" customWidth="1"/>
    <col min="6164" max="6164" width="41.453125" style="529" customWidth="1"/>
    <col min="6165" max="6166" width="0" style="529" hidden="1" customWidth="1"/>
    <col min="6167" max="6397" width="9.1796875" style="529"/>
    <col min="6398" max="6398" width="6.81640625" style="529" customWidth="1"/>
    <col min="6399" max="6399" width="8.453125" style="529" customWidth="1"/>
    <col min="6400" max="6400" width="10.54296875" style="529" customWidth="1"/>
    <col min="6401" max="6401" width="46.1796875" style="529" customWidth="1"/>
    <col min="6402" max="6404" width="0" style="529" hidden="1" customWidth="1"/>
    <col min="6405" max="6405" width="12.54296875" style="529" customWidth="1"/>
    <col min="6406" max="6406" width="13.453125" style="529" customWidth="1"/>
    <col min="6407" max="6407" width="12.453125" style="529" customWidth="1"/>
    <col min="6408" max="6414" width="0" style="529" hidden="1" customWidth="1"/>
    <col min="6415" max="6415" width="11.81640625" style="529" customWidth="1"/>
    <col min="6416" max="6416" width="8.54296875" style="529" customWidth="1"/>
    <col min="6417" max="6417" width="10" style="529" customWidth="1"/>
    <col min="6418" max="6418" width="41.81640625" style="529" customWidth="1"/>
    <col min="6419" max="6419" width="13.453125" style="529" customWidth="1"/>
    <col min="6420" max="6420" width="41.453125" style="529" customWidth="1"/>
    <col min="6421" max="6422" width="0" style="529" hidden="1" customWidth="1"/>
    <col min="6423" max="6653" width="9.1796875" style="529"/>
    <col min="6654" max="6654" width="6.81640625" style="529" customWidth="1"/>
    <col min="6655" max="6655" width="8.453125" style="529" customWidth="1"/>
    <col min="6656" max="6656" width="10.54296875" style="529" customWidth="1"/>
    <col min="6657" max="6657" width="46.1796875" style="529" customWidth="1"/>
    <col min="6658" max="6660" width="0" style="529" hidden="1" customWidth="1"/>
    <col min="6661" max="6661" width="12.54296875" style="529" customWidth="1"/>
    <col min="6662" max="6662" width="13.453125" style="529" customWidth="1"/>
    <col min="6663" max="6663" width="12.453125" style="529" customWidth="1"/>
    <col min="6664" max="6670" width="0" style="529" hidden="1" customWidth="1"/>
    <col min="6671" max="6671" width="11.81640625" style="529" customWidth="1"/>
    <col min="6672" max="6672" width="8.54296875" style="529" customWidth="1"/>
    <col min="6673" max="6673" width="10" style="529" customWidth="1"/>
    <col min="6674" max="6674" width="41.81640625" style="529" customWidth="1"/>
    <col min="6675" max="6675" width="13.453125" style="529" customWidth="1"/>
    <col min="6676" max="6676" width="41.453125" style="529" customWidth="1"/>
    <col min="6677" max="6678" width="0" style="529" hidden="1" customWidth="1"/>
    <col min="6679" max="6909" width="9.1796875" style="529"/>
    <col min="6910" max="6910" width="6.81640625" style="529" customWidth="1"/>
    <col min="6911" max="6911" width="8.453125" style="529" customWidth="1"/>
    <col min="6912" max="6912" width="10.54296875" style="529" customWidth="1"/>
    <col min="6913" max="6913" width="46.1796875" style="529" customWidth="1"/>
    <col min="6914" max="6916" width="0" style="529" hidden="1" customWidth="1"/>
    <col min="6917" max="6917" width="12.54296875" style="529" customWidth="1"/>
    <col min="6918" max="6918" width="13.453125" style="529" customWidth="1"/>
    <col min="6919" max="6919" width="12.453125" style="529" customWidth="1"/>
    <col min="6920" max="6926" width="0" style="529" hidden="1" customWidth="1"/>
    <col min="6927" max="6927" width="11.81640625" style="529" customWidth="1"/>
    <col min="6928" max="6928" width="8.54296875" style="529" customWidth="1"/>
    <col min="6929" max="6929" width="10" style="529" customWidth="1"/>
    <col min="6930" max="6930" width="41.81640625" style="529" customWidth="1"/>
    <col min="6931" max="6931" width="13.453125" style="529" customWidth="1"/>
    <col min="6932" max="6932" width="41.453125" style="529" customWidth="1"/>
    <col min="6933" max="6934" width="0" style="529" hidden="1" customWidth="1"/>
    <col min="6935" max="7165" width="9.1796875" style="529"/>
    <col min="7166" max="7166" width="6.81640625" style="529" customWidth="1"/>
    <col min="7167" max="7167" width="8.453125" style="529" customWidth="1"/>
    <col min="7168" max="7168" width="10.54296875" style="529" customWidth="1"/>
    <col min="7169" max="7169" width="46.1796875" style="529" customWidth="1"/>
    <col min="7170" max="7172" width="0" style="529" hidden="1" customWidth="1"/>
    <col min="7173" max="7173" width="12.54296875" style="529" customWidth="1"/>
    <col min="7174" max="7174" width="13.453125" style="529" customWidth="1"/>
    <col min="7175" max="7175" width="12.453125" style="529" customWidth="1"/>
    <col min="7176" max="7182" width="0" style="529" hidden="1" customWidth="1"/>
    <col min="7183" max="7183" width="11.81640625" style="529" customWidth="1"/>
    <col min="7184" max="7184" width="8.54296875" style="529" customWidth="1"/>
    <col min="7185" max="7185" width="10" style="529" customWidth="1"/>
    <col min="7186" max="7186" width="41.81640625" style="529" customWidth="1"/>
    <col min="7187" max="7187" width="13.453125" style="529" customWidth="1"/>
    <col min="7188" max="7188" width="41.453125" style="529" customWidth="1"/>
    <col min="7189" max="7190" width="0" style="529" hidden="1" customWidth="1"/>
    <col min="7191" max="7421" width="9.1796875" style="529"/>
    <col min="7422" max="7422" width="6.81640625" style="529" customWidth="1"/>
    <col min="7423" max="7423" width="8.453125" style="529" customWidth="1"/>
    <col min="7424" max="7424" width="10.54296875" style="529" customWidth="1"/>
    <col min="7425" max="7425" width="46.1796875" style="529" customWidth="1"/>
    <col min="7426" max="7428" width="0" style="529" hidden="1" customWidth="1"/>
    <col min="7429" max="7429" width="12.54296875" style="529" customWidth="1"/>
    <col min="7430" max="7430" width="13.453125" style="529" customWidth="1"/>
    <col min="7431" max="7431" width="12.453125" style="529" customWidth="1"/>
    <col min="7432" max="7438" width="0" style="529" hidden="1" customWidth="1"/>
    <col min="7439" max="7439" width="11.81640625" style="529" customWidth="1"/>
    <col min="7440" max="7440" width="8.54296875" style="529" customWidth="1"/>
    <col min="7441" max="7441" width="10" style="529" customWidth="1"/>
    <col min="7442" max="7442" width="41.81640625" style="529" customWidth="1"/>
    <col min="7443" max="7443" width="13.453125" style="529" customWidth="1"/>
    <col min="7444" max="7444" width="41.453125" style="529" customWidth="1"/>
    <col min="7445" max="7446" width="0" style="529" hidden="1" customWidth="1"/>
    <col min="7447" max="7677" width="9.1796875" style="529"/>
    <col min="7678" max="7678" width="6.81640625" style="529" customWidth="1"/>
    <col min="7679" max="7679" width="8.453125" style="529" customWidth="1"/>
    <col min="7680" max="7680" width="10.54296875" style="529" customWidth="1"/>
    <col min="7681" max="7681" width="46.1796875" style="529" customWidth="1"/>
    <col min="7682" max="7684" width="0" style="529" hidden="1" customWidth="1"/>
    <col min="7685" max="7685" width="12.54296875" style="529" customWidth="1"/>
    <col min="7686" max="7686" width="13.453125" style="529" customWidth="1"/>
    <col min="7687" max="7687" width="12.453125" style="529" customWidth="1"/>
    <col min="7688" max="7694" width="0" style="529" hidden="1" customWidth="1"/>
    <col min="7695" max="7695" width="11.81640625" style="529" customWidth="1"/>
    <col min="7696" max="7696" width="8.54296875" style="529" customWidth="1"/>
    <col min="7697" max="7697" width="10" style="529" customWidth="1"/>
    <col min="7698" max="7698" width="41.81640625" style="529" customWidth="1"/>
    <col min="7699" max="7699" width="13.453125" style="529" customWidth="1"/>
    <col min="7700" max="7700" width="41.453125" style="529" customWidth="1"/>
    <col min="7701" max="7702" width="0" style="529" hidden="1" customWidth="1"/>
    <col min="7703" max="7933" width="9.1796875" style="529"/>
    <col min="7934" max="7934" width="6.81640625" style="529" customWidth="1"/>
    <col min="7935" max="7935" width="8.453125" style="529" customWidth="1"/>
    <col min="7936" max="7936" width="10.54296875" style="529" customWidth="1"/>
    <col min="7937" max="7937" width="46.1796875" style="529" customWidth="1"/>
    <col min="7938" max="7940" width="0" style="529" hidden="1" customWidth="1"/>
    <col min="7941" max="7941" width="12.54296875" style="529" customWidth="1"/>
    <col min="7942" max="7942" width="13.453125" style="529" customWidth="1"/>
    <col min="7943" max="7943" width="12.453125" style="529" customWidth="1"/>
    <col min="7944" max="7950" width="0" style="529" hidden="1" customWidth="1"/>
    <col min="7951" max="7951" width="11.81640625" style="529" customWidth="1"/>
    <col min="7952" max="7952" width="8.54296875" style="529" customWidth="1"/>
    <col min="7953" max="7953" width="10" style="529" customWidth="1"/>
    <col min="7954" max="7954" width="41.81640625" style="529" customWidth="1"/>
    <col min="7955" max="7955" width="13.453125" style="529" customWidth="1"/>
    <col min="7956" max="7956" width="41.453125" style="529" customWidth="1"/>
    <col min="7957" max="7958" width="0" style="529" hidden="1" customWidth="1"/>
    <col min="7959" max="8189" width="9.1796875" style="529"/>
    <col min="8190" max="8190" width="6.81640625" style="529" customWidth="1"/>
    <col min="8191" max="8191" width="8.453125" style="529" customWidth="1"/>
    <col min="8192" max="8192" width="10.54296875" style="529" customWidth="1"/>
    <col min="8193" max="8193" width="46.1796875" style="529" customWidth="1"/>
    <col min="8194" max="8196" width="0" style="529" hidden="1" customWidth="1"/>
    <col min="8197" max="8197" width="12.54296875" style="529" customWidth="1"/>
    <col min="8198" max="8198" width="13.453125" style="529" customWidth="1"/>
    <col min="8199" max="8199" width="12.453125" style="529" customWidth="1"/>
    <col min="8200" max="8206" width="0" style="529" hidden="1" customWidth="1"/>
    <col min="8207" max="8207" width="11.81640625" style="529" customWidth="1"/>
    <col min="8208" max="8208" width="8.54296875" style="529" customWidth="1"/>
    <col min="8209" max="8209" width="10" style="529" customWidth="1"/>
    <col min="8210" max="8210" width="41.81640625" style="529" customWidth="1"/>
    <col min="8211" max="8211" width="13.453125" style="529" customWidth="1"/>
    <col min="8212" max="8212" width="41.453125" style="529" customWidth="1"/>
    <col min="8213" max="8214" width="0" style="529" hidden="1" customWidth="1"/>
    <col min="8215" max="8445" width="9.1796875" style="529"/>
    <col min="8446" max="8446" width="6.81640625" style="529" customWidth="1"/>
    <col min="8447" max="8447" width="8.453125" style="529" customWidth="1"/>
    <col min="8448" max="8448" width="10.54296875" style="529" customWidth="1"/>
    <col min="8449" max="8449" width="46.1796875" style="529" customWidth="1"/>
    <col min="8450" max="8452" width="0" style="529" hidden="1" customWidth="1"/>
    <col min="8453" max="8453" width="12.54296875" style="529" customWidth="1"/>
    <col min="8454" max="8454" width="13.453125" style="529" customWidth="1"/>
    <col min="8455" max="8455" width="12.453125" style="529" customWidth="1"/>
    <col min="8456" max="8462" width="0" style="529" hidden="1" customWidth="1"/>
    <col min="8463" max="8463" width="11.81640625" style="529" customWidth="1"/>
    <col min="8464" max="8464" width="8.54296875" style="529" customWidth="1"/>
    <col min="8465" max="8465" width="10" style="529" customWidth="1"/>
    <col min="8466" max="8466" width="41.81640625" style="529" customWidth="1"/>
    <col min="8467" max="8467" width="13.453125" style="529" customWidth="1"/>
    <col min="8468" max="8468" width="41.453125" style="529" customWidth="1"/>
    <col min="8469" max="8470" width="0" style="529" hidden="1" customWidth="1"/>
    <col min="8471" max="8701" width="9.1796875" style="529"/>
    <col min="8702" max="8702" width="6.81640625" style="529" customWidth="1"/>
    <col min="8703" max="8703" width="8.453125" style="529" customWidth="1"/>
    <col min="8704" max="8704" width="10.54296875" style="529" customWidth="1"/>
    <col min="8705" max="8705" width="46.1796875" style="529" customWidth="1"/>
    <col min="8706" max="8708" width="0" style="529" hidden="1" customWidth="1"/>
    <col min="8709" max="8709" width="12.54296875" style="529" customWidth="1"/>
    <col min="8710" max="8710" width="13.453125" style="529" customWidth="1"/>
    <col min="8711" max="8711" width="12.453125" style="529" customWidth="1"/>
    <col min="8712" max="8718" width="0" style="529" hidden="1" customWidth="1"/>
    <col min="8719" max="8719" width="11.81640625" style="529" customWidth="1"/>
    <col min="8720" max="8720" width="8.54296875" style="529" customWidth="1"/>
    <col min="8721" max="8721" width="10" style="529" customWidth="1"/>
    <col min="8722" max="8722" width="41.81640625" style="529" customWidth="1"/>
    <col min="8723" max="8723" width="13.453125" style="529" customWidth="1"/>
    <col min="8724" max="8724" width="41.453125" style="529" customWidth="1"/>
    <col min="8725" max="8726" width="0" style="529" hidden="1" customWidth="1"/>
    <col min="8727" max="8957" width="9.1796875" style="529"/>
    <col min="8958" max="8958" width="6.81640625" style="529" customWidth="1"/>
    <col min="8959" max="8959" width="8.453125" style="529" customWidth="1"/>
    <col min="8960" max="8960" width="10.54296875" style="529" customWidth="1"/>
    <col min="8961" max="8961" width="46.1796875" style="529" customWidth="1"/>
    <col min="8962" max="8964" width="0" style="529" hidden="1" customWidth="1"/>
    <col min="8965" max="8965" width="12.54296875" style="529" customWidth="1"/>
    <col min="8966" max="8966" width="13.453125" style="529" customWidth="1"/>
    <col min="8967" max="8967" width="12.453125" style="529" customWidth="1"/>
    <col min="8968" max="8974" width="0" style="529" hidden="1" customWidth="1"/>
    <col min="8975" max="8975" width="11.81640625" style="529" customWidth="1"/>
    <col min="8976" max="8976" width="8.54296875" style="529" customWidth="1"/>
    <col min="8977" max="8977" width="10" style="529" customWidth="1"/>
    <col min="8978" max="8978" width="41.81640625" style="529" customWidth="1"/>
    <col min="8979" max="8979" width="13.453125" style="529" customWidth="1"/>
    <col min="8980" max="8980" width="41.453125" style="529" customWidth="1"/>
    <col min="8981" max="8982" width="0" style="529" hidden="1" customWidth="1"/>
    <col min="8983" max="9213" width="9.1796875" style="529"/>
    <col min="9214" max="9214" width="6.81640625" style="529" customWidth="1"/>
    <col min="9215" max="9215" width="8.453125" style="529" customWidth="1"/>
    <col min="9216" max="9216" width="10.54296875" style="529" customWidth="1"/>
    <col min="9217" max="9217" width="46.1796875" style="529" customWidth="1"/>
    <col min="9218" max="9220" width="0" style="529" hidden="1" customWidth="1"/>
    <col min="9221" max="9221" width="12.54296875" style="529" customWidth="1"/>
    <col min="9222" max="9222" width="13.453125" style="529" customWidth="1"/>
    <col min="9223" max="9223" width="12.453125" style="529" customWidth="1"/>
    <col min="9224" max="9230" width="0" style="529" hidden="1" customWidth="1"/>
    <col min="9231" max="9231" width="11.81640625" style="529" customWidth="1"/>
    <col min="9232" max="9232" width="8.54296875" style="529" customWidth="1"/>
    <col min="9233" max="9233" width="10" style="529" customWidth="1"/>
    <col min="9234" max="9234" width="41.81640625" style="529" customWidth="1"/>
    <col min="9235" max="9235" width="13.453125" style="529" customWidth="1"/>
    <col min="9236" max="9236" width="41.453125" style="529" customWidth="1"/>
    <col min="9237" max="9238" width="0" style="529" hidden="1" customWidth="1"/>
    <col min="9239" max="9469" width="9.1796875" style="529"/>
    <col min="9470" max="9470" width="6.81640625" style="529" customWidth="1"/>
    <col min="9471" max="9471" width="8.453125" style="529" customWidth="1"/>
    <col min="9472" max="9472" width="10.54296875" style="529" customWidth="1"/>
    <col min="9473" max="9473" width="46.1796875" style="529" customWidth="1"/>
    <col min="9474" max="9476" width="0" style="529" hidden="1" customWidth="1"/>
    <col min="9477" max="9477" width="12.54296875" style="529" customWidth="1"/>
    <col min="9478" max="9478" width="13.453125" style="529" customWidth="1"/>
    <col min="9479" max="9479" width="12.453125" style="529" customWidth="1"/>
    <col min="9480" max="9486" width="0" style="529" hidden="1" customWidth="1"/>
    <col min="9487" max="9487" width="11.81640625" style="529" customWidth="1"/>
    <col min="9488" max="9488" width="8.54296875" style="529" customWidth="1"/>
    <col min="9489" max="9489" width="10" style="529" customWidth="1"/>
    <col min="9490" max="9490" width="41.81640625" style="529" customWidth="1"/>
    <col min="9491" max="9491" width="13.453125" style="529" customWidth="1"/>
    <col min="9492" max="9492" width="41.453125" style="529" customWidth="1"/>
    <col min="9493" max="9494" width="0" style="529" hidden="1" customWidth="1"/>
    <col min="9495" max="9725" width="9.1796875" style="529"/>
    <col min="9726" max="9726" width="6.81640625" style="529" customWidth="1"/>
    <col min="9727" max="9727" width="8.453125" style="529" customWidth="1"/>
    <col min="9728" max="9728" width="10.54296875" style="529" customWidth="1"/>
    <col min="9729" max="9729" width="46.1796875" style="529" customWidth="1"/>
    <col min="9730" max="9732" width="0" style="529" hidden="1" customWidth="1"/>
    <col min="9733" max="9733" width="12.54296875" style="529" customWidth="1"/>
    <col min="9734" max="9734" width="13.453125" style="529" customWidth="1"/>
    <col min="9735" max="9735" width="12.453125" style="529" customWidth="1"/>
    <col min="9736" max="9742" width="0" style="529" hidden="1" customWidth="1"/>
    <col min="9743" max="9743" width="11.81640625" style="529" customWidth="1"/>
    <col min="9744" max="9744" width="8.54296875" style="529" customWidth="1"/>
    <col min="9745" max="9745" width="10" style="529" customWidth="1"/>
    <col min="9746" max="9746" width="41.81640625" style="529" customWidth="1"/>
    <col min="9747" max="9747" width="13.453125" style="529" customWidth="1"/>
    <col min="9748" max="9748" width="41.453125" style="529" customWidth="1"/>
    <col min="9749" max="9750" width="0" style="529" hidden="1" customWidth="1"/>
    <col min="9751" max="9981" width="9.1796875" style="529"/>
    <col min="9982" max="9982" width="6.81640625" style="529" customWidth="1"/>
    <col min="9983" max="9983" width="8.453125" style="529" customWidth="1"/>
    <col min="9984" max="9984" width="10.54296875" style="529" customWidth="1"/>
    <col min="9985" max="9985" width="46.1796875" style="529" customWidth="1"/>
    <col min="9986" max="9988" width="0" style="529" hidden="1" customWidth="1"/>
    <col min="9989" max="9989" width="12.54296875" style="529" customWidth="1"/>
    <col min="9990" max="9990" width="13.453125" style="529" customWidth="1"/>
    <col min="9991" max="9991" width="12.453125" style="529" customWidth="1"/>
    <col min="9992" max="9998" width="0" style="529" hidden="1" customWidth="1"/>
    <col min="9999" max="9999" width="11.81640625" style="529" customWidth="1"/>
    <col min="10000" max="10000" width="8.54296875" style="529" customWidth="1"/>
    <col min="10001" max="10001" width="10" style="529" customWidth="1"/>
    <col min="10002" max="10002" width="41.81640625" style="529" customWidth="1"/>
    <col min="10003" max="10003" width="13.453125" style="529" customWidth="1"/>
    <col min="10004" max="10004" width="41.453125" style="529" customWidth="1"/>
    <col min="10005" max="10006" width="0" style="529" hidden="1" customWidth="1"/>
    <col min="10007" max="10237" width="9.1796875" style="529"/>
    <col min="10238" max="10238" width="6.81640625" style="529" customWidth="1"/>
    <col min="10239" max="10239" width="8.453125" style="529" customWidth="1"/>
    <col min="10240" max="10240" width="10.54296875" style="529" customWidth="1"/>
    <col min="10241" max="10241" width="46.1796875" style="529" customWidth="1"/>
    <col min="10242" max="10244" width="0" style="529" hidden="1" customWidth="1"/>
    <col min="10245" max="10245" width="12.54296875" style="529" customWidth="1"/>
    <col min="10246" max="10246" width="13.453125" style="529" customWidth="1"/>
    <col min="10247" max="10247" width="12.453125" style="529" customWidth="1"/>
    <col min="10248" max="10254" width="0" style="529" hidden="1" customWidth="1"/>
    <col min="10255" max="10255" width="11.81640625" style="529" customWidth="1"/>
    <col min="10256" max="10256" width="8.54296875" style="529" customWidth="1"/>
    <col min="10257" max="10257" width="10" style="529" customWidth="1"/>
    <col min="10258" max="10258" width="41.81640625" style="529" customWidth="1"/>
    <col min="10259" max="10259" width="13.453125" style="529" customWidth="1"/>
    <col min="10260" max="10260" width="41.453125" style="529" customWidth="1"/>
    <col min="10261" max="10262" width="0" style="529" hidden="1" customWidth="1"/>
    <col min="10263" max="10493" width="9.1796875" style="529"/>
    <col min="10494" max="10494" width="6.81640625" style="529" customWidth="1"/>
    <col min="10495" max="10495" width="8.453125" style="529" customWidth="1"/>
    <col min="10496" max="10496" width="10.54296875" style="529" customWidth="1"/>
    <col min="10497" max="10497" width="46.1796875" style="529" customWidth="1"/>
    <col min="10498" max="10500" width="0" style="529" hidden="1" customWidth="1"/>
    <col min="10501" max="10501" width="12.54296875" style="529" customWidth="1"/>
    <col min="10502" max="10502" width="13.453125" style="529" customWidth="1"/>
    <col min="10503" max="10503" width="12.453125" style="529" customWidth="1"/>
    <col min="10504" max="10510" width="0" style="529" hidden="1" customWidth="1"/>
    <col min="10511" max="10511" width="11.81640625" style="529" customWidth="1"/>
    <col min="10512" max="10512" width="8.54296875" style="529" customWidth="1"/>
    <col min="10513" max="10513" width="10" style="529" customWidth="1"/>
    <col min="10514" max="10514" width="41.81640625" style="529" customWidth="1"/>
    <col min="10515" max="10515" width="13.453125" style="529" customWidth="1"/>
    <col min="10516" max="10516" width="41.453125" style="529" customWidth="1"/>
    <col min="10517" max="10518" width="0" style="529" hidden="1" customWidth="1"/>
    <col min="10519" max="10749" width="9.1796875" style="529"/>
    <col min="10750" max="10750" width="6.81640625" style="529" customWidth="1"/>
    <col min="10751" max="10751" width="8.453125" style="529" customWidth="1"/>
    <col min="10752" max="10752" width="10.54296875" style="529" customWidth="1"/>
    <col min="10753" max="10753" width="46.1796875" style="529" customWidth="1"/>
    <col min="10754" max="10756" width="0" style="529" hidden="1" customWidth="1"/>
    <col min="10757" max="10757" width="12.54296875" style="529" customWidth="1"/>
    <col min="10758" max="10758" width="13.453125" style="529" customWidth="1"/>
    <col min="10759" max="10759" width="12.453125" style="529" customWidth="1"/>
    <col min="10760" max="10766" width="0" style="529" hidden="1" customWidth="1"/>
    <col min="10767" max="10767" width="11.81640625" style="529" customWidth="1"/>
    <col min="10768" max="10768" width="8.54296875" style="529" customWidth="1"/>
    <col min="10769" max="10769" width="10" style="529" customWidth="1"/>
    <col min="10770" max="10770" width="41.81640625" style="529" customWidth="1"/>
    <col min="10771" max="10771" width="13.453125" style="529" customWidth="1"/>
    <col min="10772" max="10772" width="41.453125" style="529" customWidth="1"/>
    <col min="10773" max="10774" width="0" style="529" hidden="1" customWidth="1"/>
    <col min="10775" max="11005" width="9.1796875" style="529"/>
    <col min="11006" max="11006" width="6.81640625" style="529" customWidth="1"/>
    <col min="11007" max="11007" width="8.453125" style="529" customWidth="1"/>
    <col min="11008" max="11008" width="10.54296875" style="529" customWidth="1"/>
    <col min="11009" max="11009" width="46.1796875" style="529" customWidth="1"/>
    <col min="11010" max="11012" width="0" style="529" hidden="1" customWidth="1"/>
    <col min="11013" max="11013" width="12.54296875" style="529" customWidth="1"/>
    <col min="11014" max="11014" width="13.453125" style="529" customWidth="1"/>
    <col min="11015" max="11015" width="12.453125" style="529" customWidth="1"/>
    <col min="11016" max="11022" width="0" style="529" hidden="1" customWidth="1"/>
    <col min="11023" max="11023" width="11.81640625" style="529" customWidth="1"/>
    <col min="11024" max="11024" width="8.54296875" style="529" customWidth="1"/>
    <col min="11025" max="11025" width="10" style="529" customWidth="1"/>
    <col min="11026" max="11026" width="41.81640625" style="529" customWidth="1"/>
    <col min="11027" max="11027" width="13.453125" style="529" customWidth="1"/>
    <col min="11028" max="11028" width="41.453125" style="529" customWidth="1"/>
    <col min="11029" max="11030" width="0" style="529" hidden="1" customWidth="1"/>
    <col min="11031" max="11261" width="9.1796875" style="529"/>
    <col min="11262" max="11262" width="6.81640625" style="529" customWidth="1"/>
    <col min="11263" max="11263" width="8.453125" style="529" customWidth="1"/>
    <col min="11264" max="11264" width="10.54296875" style="529" customWidth="1"/>
    <col min="11265" max="11265" width="46.1796875" style="529" customWidth="1"/>
    <col min="11266" max="11268" width="0" style="529" hidden="1" customWidth="1"/>
    <col min="11269" max="11269" width="12.54296875" style="529" customWidth="1"/>
    <col min="11270" max="11270" width="13.453125" style="529" customWidth="1"/>
    <col min="11271" max="11271" width="12.453125" style="529" customWidth="1"/>
    <col min="11272" max="11278" width="0" style="529" hidden="1" customWidth="1"/>
    <col min="11279" max="11279" width="11.81640625" style="529" customWidth="1"/>
    <col min="11280" max="11280" width="8.54296875" style="529" customWidth="1"/>
    <col min="11281" max="11281" width="10" style="529" customWidth="1"/>
    <col min="11282" max="11282" width="41.81640625" style="529" customWidth="1"/>
    <col min="11283" max="11283" width="13.453125" style="529" customWidth="1"/>
    <col min="11284" max="11284" width="41.453125" style="529" customWidth="1"/>
    <col min="11285" max="11286" width="0" style="529" hidden="1" customWidth="1"/>
    <col min="11287" max="11517" width="9.1796875" style="529"/>
    <col min="11518" max="11518" width="6.81640625" style="529" customWidth="1"/>
    <col min="11519" max="11519" width="8.453125" style="529" customWidth="1"/>
    <col min="11520" max="11520" width="10.54296875" style="529" customWidth="1"/>
    <col min="11521" max="11521" width="46.1796875" style="529" customWidth="1"/>
    <col min="11522" max="11524" width="0" style="529" hidden="1" customWidth="1"/>
    <col min="11525" max="11525" width="12.54296875" style="529" customWidth="1"/>
    <col min="11526" max="11526" width="13.453125" style="529" customWidth="1"/>
    <col min="11527" max="11527" width="12.453125" style="529" customWidth="1"/>
    <col min="11528" max="11534" width="0" style="529" hidden="1" customWidth="1"/>
    <col min="11535" max="11535" width="11.81640625" style="529" customWidth="1"/>
    <col min="11536" max="11536" width="8.54296875" style="529" customWidth="1"/>
    <col min="11537" max="11537" width="10" style="529" customWidth="1"/>
    <col min="11538" max="11538" width="41.81640625" style="529" customWidth="1"/>
    <col min="11539" max="11539" width="13.453125" style="529" customWidth="1"/>
    <col min="11540" max="11540" width="41.453125" style="529" customWidth="1"/>
    <col min="11541" max="11542" width="0" style="529" hidden="1" customWidth="1"/>
    <col min="11543" max="11773" width="9.1796875" style="529"/>
    <col min="11774" max="11774" width="6.81640625" style="529" customWidth="1"/>
    <col min="11775" max="11775" width="8.453125" style="529" customWidth="1"/>
    <col min="11776" max="11776" width="10.54296875" style="529" customWidth="1"/>
    <col min="11777" max="11777" width="46.1796875" style="529" customWidth="1"/>
    <col min="11778" max="11780" width="0" style="529" hidden="1" customWidth="1"/>
    <col min="11781" max="11781" width="12.54296875" style="529" customWidth="1"/>
    <col min="11782" max="11782" width="13.453125" style="529" customWidth="1"/>
    <col min="11783" max="11783" width="12.453125" style="529" customWidth="1"/>
    <col min="11784" max="11790" width="0" style="529" hidden="1" customWidth="1"/>
    <col min="11791" max="11791" width="11.81640625" style="529" customWidth="1"/>
    <col min="11792" max="11792" width="8.54296875" style="529" customWidth="1"/>
    <col min="11793" max="11793" width="10" style="529" customWidth="1"/>
    <col min="11794" max="11794" width="41.81640625" style="529" customWidth="1"/>
    <col min="11795" max="11795" width="13.453125" style="529" customWidth="1"/>
    <col min="11796" max="11796" width="41.453125" style="529" customWidth="1"/>
    <col min="11797" max="11798" width="0" style="529" hidden="1" customWidth="1"/>
    <col min="11799" max="12029" width="9.1796875" style="529"/>
    <col min="12030" max="12030" width="6.81640625" style="529" customWidth="1"/>
    <col min="12031" max="12031" width="8.453125" style="529" customWidth="1"/>
    <col min="12032" max="12032" width="10.54296875" style="529" customWidth="1"/>
    <col min="12033" max="12033" width="46.1796875" style="529" customWidth="1"/>
    <col min="12034" max="12036" width="0" style="529" hidden="1" customWidth="1"/>
    <col min="12037" max="12037" width="12.54296875" style="529" customWidth="1"/>
    <col min="12038" max="12038" width="13.453125" style="529" customWidth="1"/>
    <col min="12039" max="12039" width="12.453125" style="529" customWidth="1"/>
    <col min="12040" max="12046" width="0" style="529" hidden="1" customWidth="1"/>
    <col min="12047" max="12047" width="11.81640625" style="529" customWidth="1"/>
    <col min="12048" max="12048" width="8.54296875" style="529" customWidth="1"/>
    <col min="12049" max="12049" width="10" style="529" customWidth="1"/>
    <col min="12050" max="12050" width="41.81640625" style="529" customWidth="1"/>
    <col min="12051" max="12051" width="13.453125" style="529" customWidth="1"/>
    <col min="12052" max="12052" width="41.453125" style="529" customWidth="1"/>
    <col min="12053" max="12054" width="0" style="529" hidden="1" customWidth="1"/>
    <col min="12055" max="12285" width="9.1796875" style="529"/>
    <col min="12286" max="12286" width="6.81640625" style="529" customWidth="1"/>
    <col min="12287" max="12287" width="8.453125" style="529" customWidth="1"/>
    <col min="12288" max="12288" width="10.54296875" style="529" customWidth="1"/>
    <col min="12289" max="12289" width="46.1796875" style="529" customWidth="1"/>
    <col min="12290" max="12292" width="0" style="529" hidden="1" customWidth="1"/>
    <col min="12293" max="12293" width="12.54296875" style="529" customWidth="1"/>
    <col min="12294" max="12294" width="13.453125" style="529" customWidth="1"/>
    <col min="12295" max="12295" width="12.453125" style="529" customWidth="1"/>
    <col min="12296" max="12302" width="0" style="529" hidden="1" customWidth="1"/>
    <col min="12303" max="12303" width="11.81640625" style="529" customWidth="1"/>
    <col min="12304" max="12304" width="8.54296875" style="529" customWidth="1"/>
    <col min="12305" max="12305" width="10" style="529" customWidth="1"/>
    <col min="12306" max="12306" width="41.81640625" style="529" customWidth="1"/>
    <col min="12307" max="12307" width="13.453125" style="529" customWidth="1"/>
    <col min="12308" max="12308" width="41.453125" style="529" customWidth="1"/>
    <col min="12309" max="12310" width="0" style="529" hidden="1" customWidth="1"/>
    <col min="12311" max="12541" width="9.1796875" style="529"/>
    <col min="12542" max="12542" width="6.81640625" style="529" customWidth="1"/>
    <col min="12543" max="12543" width="8.453125" style="529" customWidth="1"/>
    <col min="12544" max="12544" width="10.54296875" style="529" customWidth="1"/>
    <col min="12545" max="12545" width="46.1796875" style="529" customWidth="1"/>
    <col min="12546" max="12548" width="0" style="529" hidden="1" customWidth="1"/>
    <col min="12549" max="12549" width="12.54296875" style="529" customWidth="1"/>
    <col min="12550" max="12550" width="13.453125" style="529" customWidth="1"/>
    <col min="12551" max="12551" width="12.453125" style="529" customWidth="1"/>
    <col min="12552" max="12558" width="0" style="529" hidden="1" customWidth="1"/>
    <col min="12559" max="12559" width="11.81640625" style="529" customWidth="1"/>
    <col min="12560" max="12560" width="8.54296875" style="529" customWidth="1"/>
    <col min="12561" max="12561" width="10" style="529" customWidth="1"/>
    <col min="12562" max="12562" width="41.81640625" style="529" customWidth="1"/>
    <col min="12563" max="12563" width="13.453125" style="529" customWidth="1"/>
    <col min="12564" max="12564" width="41.453125" style="529" customWidth="1"/>
    <col min="12565" max="12566" width="0" style="529" hidden="1" customWidth="1"/>
    <col min="12567" max="12797" width="9.1796875" style="529"/>
    <col min="12798" max="12798" width="6.81640625" style="529" customWidth="1"/>
    <col min="12799" max="12799" width="8.453125" style="529" customWidth="1"/>
    <col min="12800" max="12800" width="10.54296875" style="529" customWidth="1"/>
    <col min="12801" max="12801" width="46.1796875" style="529" customWidth="1"/>
    <col min="12802" max="12804" width="0" style="529" hidden="1" customWidth="1"/>
    <col min="12805" max="12805" width="12.54296875" style="529" customWidth="1"/>
    <col min="12806" max="12806" width="13.453125" style="529" customWidth="1"/>
    <col min="12807" max="12807" width="12.453125" style="529" customWidth="1"/>
    <col min="12808" max="12814" width="0" style="529" hidden="1" customWidth="1"/>
    <col min="12815" max="12815" width="11.81640625" style="529" customWidth="1"/>
    <col min="12816" max="12816" width="8.54296875" style="529" customWidth="1"/>
    <col min="12817" max="12817" width="10" style="529" customWidth="1"/>
    <col min="12818" max="12818" width="41.81640625" style="529" customWidth="1"/>
    <col min="12819" max="12819" width="13.453125" style="529" customWidth="1"/>
    <col min="12820" max="12820" width="41.453125" style="529" customWidth="1"/>
    <col min="12821" max="12822" width="0" style="529" hidden="1" customWidth="1"/>
    <col min="12823" max="13053" width="9.1796875" style="529"/>
    <col min="13054" max="13054" width="6.81640625" style="529" customWidth="1"/>
    <col min="13055" max="13055" width="8.453125" style="529" customWidth="1"/>
    <col min="13056" max="13056" width="10.54296875" style="529" customWidth="1"/>
    <col min="13057" max="13057" width="46.1796875" style="529" customWidth="1"/>
    <col min="13058" max="13060" width="0" style="529" hidden="1" customWidth="1"/>
    <col min="13061" max="13061" width="12.54296875" style="529" customWidth="1"/>
    <col min="13062" max="13062" width="13.453125" style="529" customWidth="1"/>
    <col min="13063" max="13063" width="12.453125" style="529" customWidth="1"/>
    <col min="13064" max="13070" width="0" style="529" hidden="1" customWidth="1"/>
    <col min="13071" max="13071" width="11.81640625" style="529" customWidth="1"/>
    <col min="13072" max="13072" width="8.54296875" style="529" customWidth="1"/>
    <col min="13073" max="13073" width="10" style="529" customWidth="1"/>
    <col min="13074" max="13074" width="41.81640625" style="529" customWidth="1"/>
    <col min="13075" max="13075" width="13.453125" style="529" customWidth="1"/>
    <col min="13076" max="13076" width="41.453125" style="529" customWidth="1"/>
    <col min="13077" max="13078" width="0" style="529" hidden="1" customWidth="1"/>
    <col min="13079" max="13309" width="9.1796875" style="529"/>
    <col min="13310" max="13310" width="6.81640625" style="529" customWidth="1"/>
    <col min="13311" max="13311" width="8.453125" style="529" customWidth="1"/>
    <col min="13312" max="13312" width="10.54296875" style="529" customWidth="1"/>
    <col min="13313" max="13313" width="46.1796875" style="529" customWidth="1"/>
    <col min="13314" max="13316" width="0" style="529" hidden="1" customWidth="1"/>
    <col min="13317" max="13317" width="12.54296875" style="529" customWidth="1"/>
    <col min="13318" max="13318" width="13.453125" style="529" customWidth="1"/>
    <col min="13319" max="13319" width="12.453125" style="529" customWidth="1"/>
    <col min="13320" max="13326" width="0" style="529" hidden="1" customWidth="1"/>
    <col min="13327" max="13327" width="11.81640625" style="529" customWidth="1"/>
    <col min="13328" max="13328" width="8.54296875" style="529" customWidth="1"/>
    <col min="13329" max="13329" width="10" style="529" customWidth="1"/>
    <col min="13330" max="13330" width="41.81640625" style="529" customWidth="1"/>
    <col min="13331" max="13331" width="13.453125" style="529" customWidth="1"/>
    <col min="13332" max="13332" width="41.453125" style="529" customWidth="1"/>
    <col min="13333" max="13334" width="0" style="529" hidden="1" customWidth="1"/>
    <col min="13335" max="13565" width="9.1796875" style="529"/>
    <col min="13566" max="13566" width="6.81640625" style="529" customWidth="1"/>
    <col min="13567" max="13567" width="8.453125" style="529" customWidth="1"/>
    <col min="13568" max="13568" width="10.54296875" style="529" customWidth="1"/>
    <col min="13569" max="13569" width="46.1796875" style="529" customWidth="1"/>
    <col min="13570" max="13572" width="0" style="529" hidden="1" customWidth="1"/>
    <col min="13573" max="13573" width="12.54296875" style="529" customWidth="1"/>
    <col min="13574" max="13574" width="13.453125" style="529" customWidth="1"/>
    <col min="13575" max="13575" width="12.453125" style="529" customWidth="1"/>
    <col min="13576" max="13582" width="0" style="529" hidden="1" customWidth="1"/>
    <col min="13583" max="13583" width="11.81640625" style="529" customWidth="1"/>
    <col min="13584" max="13584" width="8.54296875" style="529" customWidth="1"/>
    <col min="13585" max="13585" width="10" style="529" customWidth="1"/>
    <col min="13586" max="13586" width="41.81640625" style="529" customWidth="1"/>
    <col min="13587" max="13587" width="13.453125" style="529" customWidth="1"/>
    <col min="13588" max="13588" width="41.453125" style="529" customWidth="1"/>
    <col min="13589" max="13590" width="0" style="529" hidden="1" customWidth="1"/>
    <col min="13591" max="13821" width="9.1796875" style="529"/>
    <col min="13822" max="13822" width="6.81640625" style="529" customWidth="1"/>
    <col min="13823" max="13823" width="8.453125" style="529" customWidth="1"/>
    <col min="13824" max="13824" width="10.54296875" style="529" customWidth="1"/>
    <col min="13825" max="13825" width="46.1796875" style="529" customWidth="1"/>
    <col min="13826" max="13828" width="0" style="529" hidden="1" customWidth="1"/>
    <col min="13829" max="13829" width="12.54296875" style="529" customWidth="1"/>
    <col min="13830" max="13830" width="13.453125" style="529" customWidth="1"/>
    <col min="13831" max="13831" width="12.453125" style="529" customWidth="1"/>
    <col min="13832" max="13838" width="0" style="529" hidden="1" customWidth="1"/>
    <col min="13839" max="13839" width="11.81640625" style="529" customWidth="1"/>
    <col min="13840" max="13840" width="8.54296875" style="529" customWidth="1"/>
    <col min="13841" max="13841" width="10" style="529" customWidth="1"/>
    <col min="13842" max="13842" width="41.81640625" style="529" customWidth="1"/>
    <col min="13843" max="13843" width="13.453125" style="529" customWidth="1"/>
    <col min="13844" max="13844" width="41.453125" style="529" customWidth="1"/>
    <col min="13845" max="13846" width="0" style="529" hidden="1" customWidth="1"/>
    <col min="13847" max="14077" width="9.1796875" style="529"/>
    <col min="14078" max="14078" width="6.81640625" style="529" customWidth="1"/>
    <col min="14079" max="14079" width="8.453125" style="529" customWidth="1"/>
    <col min="14080" max="14080" width="10.54296875" style="529" customWidth="1"/>
    <col min="14081" max="14081" width="46.1796875" style="529" customWidth="1"/>
    <col min="14082" max="14084" width="0" style="529" hidden="1" customWidth="1"/>
    <col min="14085" max="14085" width="12.54296875" style="529" customWidth="1"/>
    <col min="14086" max="14086" width="13.453125" style="529" customWidth="1"/>
    <col min="14087" max="14087" width="12.453125" style="529" customWidth="1"/>
    <col min="14088" max="14094" width="0" style="529" hidden="1" customWidth="1"/>
    <col min="14095" max="14095" width="11.81640625" style="529" customWidth="1"/>
    <col min="14096" max="14096" width="8.54296875" style="529" customWidth="1"/>
    <col min="14097" max="14097" width="10" style="529" customWidth="1"/>
    <col min="14098" max="14098" width="41.81640625" style="529" customWidth="1"/>
    <col min="14099" max="14099" width="13.453125" style="529" customWidth="1"/>
    <col min="14100" max="14100" width="41.453125" style="529" customWidth="1"/>
    <col min="14101" max="14102" width="0" style="529" hidden="1" customWidth="1"/>
    <col min="14103" max="14333" width="9.1796875" style="529"/>
    <col min="14334" max="14334" width="6.81640625" style="529" customWidth="1"/>
    <col min="14335" max="14335" width="8.453125" style="529" customWidth="1"/>
    <col min="14336" max="14336" width="10.54296875" style="529" customWidth="1"/>
    <col min="14337" max="14337" width="46.1796875" style="529" customWidth="1"/>
    <col min="14338" max="14340" width="0" style="529" hidden="1" customWidth="1"/>
    <col min="14341" max="14341" width="12.54296875" style="529" customWidth="1"/>
    <col min="14342" max="14342" width="13.453125" style="529" customWidth="1"/>
    <col min="14343" max="14343" width="12.453125" style="529" customWidth="1"/>
    <col min="14344" max="14350" width="0" style="529" hidden="1" customWidth="1"/>
    <col min="14351" max="14351" width="11.81640625" style="529" customWidth="1"/>
    <col min="14352" max="14352" width="8.54296875" style="529" customWidth="1"/>
    <col min="14353" max="14353" width="10" style="529" customWidth="1"/>
    <col min="14354" max="14354" width="41.81640625" style="529" customWidth="1"/>
    <col min="14355" max="14355" width="13.453125" style="529" customWidth="1"/>
    <col min="14356" max="14356" width="41.453125" style="529" customWidth="1"/>
    <col min="14357" max="14358" width="0" style="529" hidden="1" customWidth="1"/>
    <col min="14359" max="14589" width="9.1796875" style="529"/>
    <col min="14590" max="14590" width="6.81640625" style="529" customWidth="1"/>
    <col min="14591" max="14591" width="8.453125" style="529" customWidth="1"/>
    <col min="14592" max="14592" width="10.54296875" style="529" customWidth="1"/>
    <col min="14593" max="14593" width="46.1796875" style="529" customWidth="1"/>
    <col min="14594" max="14596" width="0" style="529" hidden="1" customWidth="1"/>
    <col min="14597" max="14597" width="12.54296875" style="529" customWidth="1"/>
    <col min="14598" max="14598" width="13.453125" style="529" customWidth="1"/>
    <col min="14599" max="14599" width="12.453125" style="529" customWidth="1"/>
    <col min="14600" max="14606" width="0" style="529" hidden="1" customWidth="1"/>
    <col min="14607" max="14607" width="11.81640625" style="529" customWidth="1"/>
    <col min="14608" max="14608" width="8.54296875" style="529" customWidth="1"/>
    <col min="14609" max="14609" width="10" style="529" customWidth="1"/>
    <col min="14610" max="14610" width="41.81640625" style="529" customWidth="1"/>
    <col min="14611" max="14611" width="13.453125" style="529" customWidth="1"/>
    <col min="14612" max="14612" width="41.453125" style="529" customWidth="1"/>
    <col min="14613" max="14614" width="0" style="529" hidden="1" customWidth="1"/>
    <col min="14615" max="14845" width="9.1796875" style="529"/>
    <col min="14846" max="14846" width="6.81640625" style="529" customWidth="1"/>
    <col min="14847" max="14847" width="8.453125" style="529" customWidth="1"/>
    <col min="14848" max="14848" width="10.54296875" style="529" customWidth="1"/>
    <col min="14849" max="14849" width="46.1796875" style="529" customWidth="1"/>
    <col min="14850" max="14852" width="0" style="529" hidden="1" customWidth="1"/>
    <col min="14853" max="14853" width="12.54296875" style="529" customWidth="1"/>
    <col min="14854" max="14854" width="13.453125" style="529" customWidth="1"/>
    <col min="14855" max="14855" width="12.453125" style="529" customWidth="1"/>
    <col min="14856" max="14862" width="0" style="529" hidden="1" customWidth="1"/>
    <col min="14863" max="14863" width="11.81640625" style="529" customWidth="1"/>
    <col min="14864" max="14864" width="8.54296875" style="529" customWidth="1"/>
    <col min="14865" max="14865" width="10" style="529" customWidth="1"/>
    <col min="14866" max="14866" width="41.81640625" style="529" customWidth="1"/>
    <col min="14867" max="14867" width="13.453125" style="529" customWidth="1"/>
    <col min="14868" max="14868" width="41.453125" style="529" customWidth="1"/>
    <col min="14869" max="14870" width="0" style="529" hidden="1" customWidth="1"/>
    <col min="14871" max="15101" width="9.1796875" style="529"/>
    <col min="15102" max="15102" width="6.81640625" style="529" customWidth="1"/>
    <col min="15103" max="15103" width="8.453125" style="529" customWidth="1"/>
    <col min="15104" max="15104" width="10.54296875" style="529" customWidth="1"/>
    <col min="15105" max="15105" width="46.1796875" style="529" customWidth="1"/>
    <col min="15106" max="15108" width="0" style="529" hidden="1" customWidth="1"/>
    <col min="15109" max="15109" width="12.54296875" style="529" customWidth="1"/>
    <col min="15110" max="15110" width="13.453125" style="529" customWidth="1"/>
    <col min="15111" max="15111" width="12.453125" style="529" customWidth="1"/>
    <col min="15112" max="15118" width="0" style="529" hidden="1" customWidth="1"/>
    <col min="15119" max="15119" width="11.81640625" style="529" customWidth="1"/>
    <col min="15120" max="15120" width="8.54296875" style="529" customWidth="1"/>
    <col min="15121" max="15121" width="10" style="529" customWidth="1"/>
    <col min="15122" max="15122" width="41.81640625" style="529" customWidth="1"/>
    <col min="15123" max="15123" width="13.453125" style="529" customWidth="1"/>
    <col min="15124" max="15124" width="41.453125" style="529" customWidth="1"/>
    <col min="15125" max="15126" width="0" style="529" hidden="1" customWidth="1"/>
    <col min="15127" max="15357" width="9.1796875" style="529"/>
    <col min="15358" max="15358" width="6.81640625" style="529" customWidth="1"/>
    <col min="15359" max="15359" width="8.453125" style="529" customWidth="1"/>
    <col min="15360" max="15360" width="10.54296875" style="529" customWidth="1"/>
    <col min="15361" max="15361" width="46.1796875" style="529" customWidth="1"/>
    <col min="15362" max="15364" width="0" style="529" hidden="1" customWidth="1"/>
    <col min="15365" max="15365" width="12.54296875" style="529" customWidth="1"/>
    <col min="15366" max="15366" width="13.453125" style="529" customWidth="1"/>
    <col min="15367" max="15367" width="12.453125" style="529" customWidth="1"/>
    <col min="15368" max="15374" width="0" style="529" hidden="1" customWidth="1"/>
    <col min="15375" max="15375" width="11.81640625" style="529" customWidth="1"/>
    <col min="15376" max="15376" width="8.54296875" style="529" customWidth="1"/>
    <col min="15377" max="15377" width="10" style="529" customWidth="1"/>
    <col min="15378" max="15378" width="41.81640625" style="529" customWidth="1"/>
    <col min="15379" max="15379" width="13.453125" style="529" customWidth="1"/>
    <col min="15380" max="15380" width="41.453125" style="529" customWidth="1"/>
    <col min="15381" max="15382" width="0" style="529" hidden="1" customWidth="1"/>
    <col min="15383" max="15613" width="9.1796875" style="529"/>
    <col min="15614" max="15614" width="6.81640625" style="529" customWidth="1"/>
    <col min="15615" max="15615" width="8.453125" style="529" customWidth="1"/>
    <col min="15616" max="15616" width="10.54296875" style="529" customWidth="1"/>
    <col min="15617" max="15617" width="46.1796875" style="529" customWidth="1"/>
    <col min="15618" max="15620" width="0" style="529" hidden="1" customWidth="1"/>
    <col min="15621" max="15621" width="12.54296875" style="529" customWidth="1"/>
    <col min="15622" max="15622" width="13.453125" style="529" customWidth="1"/>
    <col min="15623" max="15623" width="12.453125" style="529" customWidth="1"/>
    <col min="15624" max="15630" width="0" style="529" hidden="1" customWidth="1"/>
    <col min="15631" max="15631" width="11.81640625" style="529" customWidth="1"/>
    <col min="15632" max="15632" width="8.54296875" style="529" customWidth="1"/>
    <col min="15633" max="15633" width="10" style="529" customWidth="1"/>
    <col min="15634" max="15634" width="41.81640625" style="529" customWidth="1"/>
    <col min="15635" max="15635" width="13.453125" style="529" customWidth="1"/>
    <col min="15636" max="15636" width="41.453125" style="529" customWidth="1"/>
    <col min="15637" max="15638" width="0" style="529" hidden="1" customWidth="1"/>
    <col min="15639" max="15869" width="9.1796875" style="529"/>
    <col min="15870" max="15870" width="6.81640625" style="529" customWidth="1"/>
    <col min="15871" max="15871" width="8.453125" style="529" customWidth="1"/>
    <col min="15872" max="15872" width="10.54296875" style="529" customWidth="1"/>
    <col min="15873" max="15873" width="46.1796875" style="529" customWidth="1"/>
    <col min="15874" max="15876" width="0" style="529" hidden="1" customWidth="1"/>
    <col min="15877" max="15877" width="12.54296875" style="529" customWidth="1"/>
    <col min="15878" max="15878" width="13.453125" style="529" customWidth="1"/>
    <col min="15879" max="15879" width="12.453125" style="529" customWidth="1"/>
    <col min="15880" max="15886" width="0" style="529" hidden="1" customWidth="1"/>
    <col min="15887" max="15887" width="11.81640625" style="529" customWidth="1"/>
    <col min="15888" max="15888" width="8.54296875" style="529" customWidth="1"/>
    <col min="15889" max="15889" width="10" style="529" customWidth="1"/>
    <col min="15890" max="15890" width="41.81640625" style="529" customWidth="1"/>
    <col min="15891" max="15891" width="13.453125" style="529" customWidth="1"/>
    <col min="15892" max="15892" width="41.453125" style="529" customWidth="1"/>
    <col min="15893" max="15894" width="0" style="529" hidden="1" customWidth="1"/>
    <col min="15895" max="16125" width="9.1796875" style="529"/>
    <col min="16126" max="16126" width="6.81640625" style="529" customWidth="1"/>
    <col min="16127" max="16127" width="8.453125" style="529" customWidth="1"/>
    <col min="16128" max="16128" width="10.54296875" style="529" customWidth="1"/>
    <col min="16129" max="16129" width="46.1796875" style="529" customWidth="1"/>
    <col min="16130" max="16132" width="0" style="529" hidden="1" customWidth="1"/>
    <col min="16133" max="16133" width="12.54296875" style="529" customWidth="1"/>
    <col min="16134" max="16134" width="13.453125" style="529" customWidth="1"/>
    <col min="16135" max="16135" width="12.453125" style="529" customWidth="1"/>
    <col min="16136" max="16142" width="0" style="529" hidden="1" customWidth="1"/>
    <col min="16143" max="16143" width="11.81640625" style="529" customWidth="1"/>
    <col min="16144" max="16144" width="8.54296875" style="529" customWidth="1"/>
    <col min="16145" max="16145" width="10" style="529" customWidth="1"/>
    <col min="16146" max="16146" width="41.81640625" style="529" customWidth="1"/>
    <col min="16147" max="16147" width="13.453125" style="529" customWidth="1"/>
    <col min="16148" max="16148" width="41.453125" style="529" customWidth="1"/>
    <col min="16149" max="16150" width="0" style="529" hidden="1" customWidth="1"/>
    <col min="16151" max="16381" width="9.1796875" style="529"/>
    <col min="16382" max="16384" width="9.1796875" style="529" customWidth="1"/>
  </cols>
  <sheetData>
    <row r="2" spans="1:26" ht="26">
      <c r="A2" s="1765" t="s">
        <v>2937</v>
      </c>
      <c r="B2" s="1766" t="s">
        <v>2938</v>
      </c>
      <c r="C2" s="1767" t="s">
        <v>2939</v>
      </c>
      <c r="D2" s="1766" t="s">
        <v>2940</v>
      </c>
      <c r="E2" s="1768" t="s">
        <v>2941</v>
      </c>
      <c r="F2" s="1768" t="s">
        <v>2685</v>
      </c>
      <c r="G2" s="1768" t="s">
        <v>2942</v>
      </c>
      <c r="H2" s="1768" t="s">
        <v>2943</v>
      </c>
      <c r="I2" s="1767" t="s">
        <v>2944</v>
      </c>
      <c r="J2" s="1768" t="s">
        <v>2945</v>
      </c>
      <c r="K2" s="1768" t="s">
        <v>2946</v>
      </c>
      <c r="L2" s="1768" t="s">
        <v>2947</v>
      </c>
      <c r="M2" s="1768" t="s">
        <v>2948</v>
      </c>
      <c r="N2" s="1768" t="s">
        <v>2949</v>
      </c>
      <c r="O2" s="1768" t="s">
        <v>2950</v>
      </c>
      <c r="P2" s="1768" t="s">
        <v>2951</v>
      </c>
      <c r="Q2" s="1768" t="s">
        <v>2952</v>
      </c>
      <c r="R2" s="1767" t="s">
        <v>2953</v>
      </c>
      <c r="S2" s="1766" t="s">
        <v>2954</v>
      </c>
      <c r="T2" s="1768" t="s">
        <v>5331</v>
      </c>
      <c r="U2" s="1766" t="s">
        <v>2955</v>
      </c>
      <c r="V2" s="1766" t="s">
        <v>2956</v>
      </c>
      <c r="W2" s="1769" t="s">
        <v>2957</v>
      </c>
    </row>
    <row r="3" spans="1:26" ht="13" hidden="1">
      <c r="A3" s="1770" t="s">
        <v>3767</v>
      </c>
      <c r="B3" s="1771">
        <v>212</v>
      </c>
      <c r="C3" s="1772"/>
      <c r="D3" s="1770" t="s">
        <v>3769</v>
      </c>
      <c r="E3" s="1773"/>
      <c r="F3" s="1773"/>
      <c r="G3" s="1773"/>
      <c r="H3" s="1773"/>
      <c r="I3" s="1772"/>
      <c r="J3" s="1773"/>
      <c r="K3" s="1773"/>
      <c r="L3" s="1773"/>
      <c r="M3" s="1773"/>
      <c r="N3" s="1773"/>
      <c r="O3" s="1773"/>
      <c r="P3" s="1773"/>
      <c r="Q3" s="1773"/>
      <c r="R3" s="1772"/>
      <c r="S3" s="1771">
        <v>212</v>
      </c>
      <c r="T3" s="1770" t="s">
        <v>3767</v>
      </c>
      <c r="U3" s="1770" t="s">
        <v>3769</v>
      </c>
      <c r="V3" s="1774" t="s">
        <v>3766</v>
      </c>
      <c r="W3" s="1770" t="s">
        <v>3765</v>
      </c>
      <c r="Z3" s="1437" t="s">
        <v>3766</v>
      </c>
    </row>
    <row r="4" spans="1:26" ht="13" hidden="1">
      <c r="A4" s="1770" t="s">
        <v>3768</v>
      </c>
      <c r="B4" s="1771">
        <v>267</v>
      </c>
      <c r="C4" s="1772"/>
      <c r="D4" s="1770" t="s">
        <v>3770</v>
      </c>
      <c r="E4" s="1773"/>
      <c r="F4" s="1773"/>
      <c r="G4" s="1773"/>
      <c r="H4" s="1773"/>
      <c r="I4" s="1772"/>
      <c r="J4" s="1773"/>
      <c r="K4" s="1773"/>
      <c r="L4" s="1773"/>
      <c r="M4" s="1773"/>
      <c r="N4" s="1773"/>
      <c r="O4" s="1773"/>
      <c r="P4" s="1773"/>
      <c r="Q4" s="1773"/>
      <c r="R4" s="1772"/>
      <c r="S4" s="1771">
        <v>267</v>
      </c>
      <c r="T4" s="1770" t="s">
        <v>3768</v>
      </c>
      <c r="U4" s="1770" t="s">
        <v>3770</v>
      </c>
      <c r="V4" s="1774" t="s">
        <v>3764</v>
      </c>
      <c r="W4" s="1770" t="s">
        <v>3763</v>
      </c>
      <c r="Z4" s="1437" t="s">
        <v>3764</v>
      </c>
    </row>
    <row r="5" spans="1:26" ht="13" hidden="1">
      <c r="A5" s="1770" t="s">
        <v>3768</v>
      </c>
      <c r="B5" s="1771">
        <v>269</v>
      </c>
      <c r="C5" s="1772"/>
      <c r="D5" s="1770" t="s">
        <v>3771</v>
      </c>
      <c r="E5" s="1773"/>
      <c r="F5" s="1773"/>
      <c r="G5" s="1773"/>
      <c r="H5" s="1773"/>
      <c r="I5" s="1772"/>
      <c r="J5" s="1773"/>
      <c r="K5" s="1773"/>
      <c r="L5" s="1773"/>
      <c r="M5" s="1773"/>
      <c r="N5" s="1773"/>
      <c r="O5" s="1773"/>
      <c r="P5" s="1773"/>
      <c r="Q5" s="1773"/>
      <c r="R5" s="1772"/>
      <c r="S5" s="1771">
        <v>269</v>
      </c>
      <c r="T5" s="1770" t="s">
        <v>3768</v>
      </c>
      <c r="U5" s="1770" t="s">
        <v>3771</v>
      </c>
      <c r="V5" s="1774" t="s">
        <v>3782</v>
      </c>
      <c r="W5" s="1770" t="s">
        <v>3783</v>
      </c>
      <c r="Z5" s="1437" t="s">
        <v>3782</v>
      </c>
    </row>
    <row r="6" spans="1:26" ht="13" hidden="1">
      <c r="A6" s="1770" t="s">
        <v>3767</v>
      </c>
      <c r="B6" s="1771">
        <v>274</v>
      </c>
      <c r="C6" s="1772"/>
      <c r="D6" s="1770" t="s">
        <v>3772</v>
      </c>
      <c r="E6" s="1773"/>
      <c r="F6" s="1773"/>
      <c r="G6" s="1773"/>
      <c r="H6" s="1773"/>
      <c r="I6" s="1772"/>
      <c r="J6" s="1773"/>
      <c r="K6" s="1773"/>
      <c r="L6" s="1773"/>
      <c r="M6" s="1773"/>
      <c r="N6" s="1773"/>
      <c r="O6" s="1773"/>
      <c r="P6" s="1773"/>
      <c r="Q6" s="1773"/>
      <c r="R6" s="1772"/>
      <c r="S6" s="1771">
        <v>274</v>
      </c>
      <c r="T6" s="1770" t="s">
        <v>3767</v>
      </c>
      <c r="U6" s="1770" t="s">
        <v>3772</v>
      </c>
      <c r="V6" s="1774" t="s">
        <v>3784</v>
      </c>
      <c r="W6" s="1770" t="s">
        <v>3785</v>
      </c>
      <c r="Z6" s="1437" t="s">
        <v>3784</v>
      </c>
    </row>
    <row r="7" spans="1:26" ht="13" hidden="1">
      <c r="A7" s="1770" t="s">
        <v>3768</v>
      </c>
      <c r="B7" s="1771">
        <v>278</v>
      </c>
      <c r="C7" s="1772"/>
      <c r="D7" s="1770" t="s">
        <v>437</v>
      </c>
      <c r="E7" s="1773"/>
      <c r="F7" s="1773"/>
      <c r="G7" s="1773"/>
      <c r="H7" s="1773"/>
      <c r="I7" s="1772"/>
      <c r="J7" s="1773"/>
      <c r="K7" s="1773"/>
      <c r="L7" s="1773"/>
      <c r="M7" s="1773"/>
      <c r="N7" s="1773"/>
      <c r="O7" s="1773"/>
      <c r="P7" s="1773"/>
      <c r="Q7" s="1773"/>
      <c r="R7" s="1772"/>
      <c r="S7" s="1771">
        <v>278</v>
      </c>
      <c r="T7" s="1770" t="s">
        <v>3768</v>
      </c>
      <c r="U7" s="1770" t="s">
        <v>437</v>
      </c>
      <c r="V7" s="1774" t="s">
        <v>3786</v>
      </c>
      <c r="W7" s="1770" t="s">
        <v>437</v>
      </c>
      <c r="Z7" s="1437" t="s">
        <v>3786</v>
      </c>
    </row>
    <row r="8" spans="1:26" ht="13" hidden="1">
      <c r="A8" s="1770" t="s">
        <v>3767</v>
      </c>
      <c r="B8" s="1771">
        <v>279</v>
      </c>
      <c r="C8" s="1772"/>
      <c r="D8" s="1770" t="s">
        <v>3773</v>
      </c>
      <c r="E8" s="1773"/>
      <c r="F8" s="1773"/>
      <c r="G8" s="1773"/>
      <c r="H8" s="1773"/>
      <c r="I8" s="1772"/>
      <c r="J8" s="1773"/>
      <c r="K8" s="1773"/>
      <c r="L8" s="1773"/>
      <c r="M8" s="1773"/>
      <c r="N8" s="1773"/>
      <c r="O8" s="1773"/>
      <c r="P8" s="1773"/>
      <c r="Q8" s="1773"/>
      <c r="R8" s="1772"/>
      <c r="S8" s="1771">
        <v>279</v>
      </c>
      <c r="T8" s="1770" t="s">
        <v>3767</v>
      </c>
      <c r="U8" s="1770" t="s">
        <v>3773</v>
      </c>
      <c r="V8" s="1774" t="s">
        <v>3787</v>
      </c>
      <c r="W8" s="1770" t="s">
        <v>3773</v>
      </c>
      <c r="Z8" s="1437" t="s">
        <v>3787</v>
      </c>
    </row>
    <row r="9" spans="1:26" ht="13" hidden="1">
      <c r="A9" s="1775" t="s">
        <v>3768</v>
      </c>
      <c r="B9" s="1776">
        <v>283</v>
      </c>
      <c r="C9" s="1772"/>
      <c r="D9" s="1775" t="s">
        <v>3774</v>
      </c>
      <c r="E9" s="1773"/>
      <c r="F9" s="1773"/>
      <c r="G9" s="1773"/>
      <c r="H9" s="1773"/>
      <c r="I9" s="1772"/>
      <c r="J9" s="1773"/>
      <c r="K9" s="1773"/>
      <c r="L9" s="1773"/>
      <c r="M9" s="1773"/>
      <c r="N9" s="1773"/>
      <c r="O9" s="1773"/>
      <c r="P9" s="1773"/>
      <c r="Q9" s="1773"/>
      <c r="R9" s="1772"/>
      <c r="S9" s="1776">
        <v>283</v>
      </c>
      <c r="T9" s="1775" t="s">
        <v>3768</v>
      </c>
      <c r="U9" s="1775" t="s">
        <v>3774</v>
      </c>
      <c r="V9" s="1777" t="s">
        <v>3788</v>
      </c>
      <c r="W9" s="1775" t="s">
        <v>3789</v>
      </c>
      <c r="Z9" s="1438" t="s">
        <v>3788</v>
      </c>
    </row>
    <row r="10" spans="1:26" ht="13" hidden="1">
      <c r="A10" s="1770" t="s">
        <v>3768</v>
      </c>
      <c r="B10" s="1771">
        <v>300</v>
      </c>
      <c r="C10" s="1772"/>
      <c r="D10" s="1770" t="s">
        <v>3775</v>
      </c>
      <c r="E10" s="1773"/>
      <c r="F10" s="1773"/>
      <c r="G10" s="1773"/>
      <c r="H10" s="1773"/>
      <c r="I10" s="1772"/>
      <c r="J10" s="1773"/>
      <c r="K10" s="1773"/>
      <c r="L10" s="1773"/>
      <c r="M10" s="1773"/>
      <c r="N10" s="1773"/>
      <c r="O10" s="1773"/>
      <c r="P10" s="1773"/>
      <c r="Q10" s="1773"/>
      <c r="R10" s="1772"/>
      <c r="S10" s="1771">
        <v>300</v>
      </c>
      <c r="T10" s="1770" t="s">
        <v>3768</v>
      </c>
      <c r="U10" s="1770" t="s">
        <v>3775</v>
      </c>
      <c r="V10" s="1774" t="s">
        <v>3790</v>
      </c>
      <c r="W10" s="1770" t="s">
        <v>3791</v>
      </c>
      <c r="Z10" s="1437" t="s">
        <v>3790</v>
      </c>
    </row>
    <row r="11" spans="1:26" ht="13" hidden="1">
      <c r="A11" s="1770" t="s">
        <v>3767</v>
      </c>
      <c r="B11" s="1771">
        <v>307</v>
      </c>
      <c r="C11" s="1772"/>
      <c r="D11" s="1770" t="s">
        <v>3776</v>
      </c>
      <c r="E11" s="1773"/>
      <c r="F11" s="1773"/>
      <c r="G11" s="1773"/>
      <c r="H11" s="1773"/>
      <c r="I11" s="1772"/>
      <c r="J11" s="1773"/>
      <c r="K11" s="1773"/>
      <c r="L11" s="1773"/>
      <c r="M11" s="1773"/>
      <c r="N11" s="1773"/>
      <c r="O11" s="1773"/>
      <c r="P11" s="1773"/>
      <c r="Q11" s="1773"/>
      <c r="R11" s="1772"/>
      <c r="S11" s="1771">
        <v>307</v>
      </c>
      <c r="T11" s="1770" t="s">
        <v>3767</v>
      </c>
      <c r="U11" s="1770" t="s">
        <v>3776</v>
      </c>
      <c r="V11" s="1774" t="s">
        <v>477</v>
      </c>
      <c r="W11" s="1770" t="s">
        <v>1738</v>
      </c>
      <c r="Z11" s="1437" t="s">
        <v>477</v>
      </c>
    </row>
    <row r="12" spans="1:26" ht="13" hidden="1">
      <c r="A12" s="1770" t="s">
        <v>3767</v>
      </c>
      <c r="B12" s="1771">
        <v>313</v>
      </c>
      <c r="C12" s="1772"/>
      <c r="D12" s="1770" t="s">
        <v>480</v>
      </c>
      <c r="E12" s="1773"/>
      <c r="F12" s="1773"/>
      <c r="G12" s="1773"/>
      <c r="H12" s="1773"/>
      <c r="I12" s="1772"/>
      <c r="J12" s="1773"/>
      <c r="K12" s="1773"/>
      <c r="L12" s="1773"/>
      <c r="M12" s="1773"/>
      <c r="N12" s="1773"/>
      <c r="O12" s="1773"/>
      <c r="P12" s="1773"/>
      <c r="Q12" s="1773"/>
      <c r="R12" s="1772"/>
      <c r="S12" s="1771">
        <v>313</v>
      </c>
      <c r="T12" s="1770" t="s">
        <v>3767</v>
      </c>
      <c r="U12" s="1770" t="s">
        <v>480</v>
      </c>
      <c r="V12" s="1774" t="s">
        <v>481</v>
      </c>
      <c r="W12" s="1770" t="s">
        <v>480</v>
      </c>
      <c r="Z12" s="1437" t="s">
        <v>481</v>
      </c>
    </row>
    <row r="13" spans="1:26" ht="13" hidden="1">
      <c r="A13" s="1770" t="s">
        <v>3767</v>
      </c>
      <c r="B13" s="1771">
        <v>316</v>
      </c>
      <c r="C13" s="1772"/>
      <c r="D13" s="1770" t="s">
        <v>482</v>
      </c>
      <c r="E13" s="1773"/>
      <c r="F13" s="1773"/>
      <c r="G13" s="1773"/>
      <c r="H13" s="1773"/>
      <c r="I13" s="1772"/>
      <c r="J13" s="1773"/>
      <c r="K13" s="1773"/>
      <c r="L13" s="1773"/>
      <c r="M13" s="1773"/>
      <c r="N13" s="1773"/>
      <c r="O13" s="1773"/>
      <c r="P13" s="1773"/>
      <c r="Q13" s="1773"/>
      <c r="R13" s="1772"/>
      <c r="S13" s="1771">
        <v>316</v>
      </c>
      <c r="T13" s="1770" t="s">
        <v>3767</v>
      </c>
      <c r="U13" s="1770" t="s">
        <v>482</v>
      </c>
      <c r="V13" s="1774" t="s">
        <v>483</v>
      </c>
      <c r="W13" s="1770" t="s">
        <v>482</v>
      </c>
      <c r="Z13" s="1437" t="s">
        <v>483</v>
      </c>
    </row>
    <row r="14" spans="1:26" ht="13" hidden="1">
      <c r="A14" s="1770" t="s">
        <v>3768</v>
      </c>
      <c r="B14" s="1771">
        <v>325</v>
      </c>
      <c r="C14" s="1772"/>
      <c r="D14" s="1770" t="s">
        <v>3777</v>
      </c>
      <c r="E14" s="1773"/>
      <c r="F14" s="1773"/>
      <c r="G14" s="1773"/>
      <c r="H14" s="1773"/>
      <c r="I14" s="1772"/>
      <c r="J14" s="1773"/>
      <c r="K14" s="1773"/>
      <c r="L14" s="1773"/>
      <c r="M14" s="1773"/>
      <c r="N14" s="1773"/>
      <c r="O14" s="1773"/>
      <c r="P14" s="1773"/>
      <c r="Q14" s="1773"/>
      <c r="R14" s="1772"/>
      <c r="S14" s="1771">
        <v>325</v>
      </c>
      <c r="T14" s="1770" t="s">
        <v>3768</v>
      </c>
      <c r="U14" s="1770" t="s">
        <v>3777</v>
      </c>
      <c r="V14" s="1774" t="s">
        <v>485</v>
      </c>
      <c r="W14" s="1770" t="s">
        <v>3792</v>
      </c>
      <c r="Z14" s="1437" t="s">
        <v>485</v>
      </c>
    </row>
    <row r="15" spans="1:26" ht="13" hidden="1">
      <c r="A15" s="1770" t="s">
        <v>3767</v>
      </c>
      <c r="B15" s="1771">
        <v>332</v>
      </c>
      <c r="C15" s="1772"/>
      <c r="D15" s="1770" t="s">
        <v>3778</v>
      </c>
      <c r="E15" s="1773"/>
      <c r="F15" s="1773"/>
      <c r="G15" s="1773"/>
      <c r="H15" s="1773"/>
      <c r="I15" s="1772"/>
      <c r="J15" s="1773"/>
      <c r="K15" s="1773"/>
      <c r="L15" s="1773"/>
      <c r="M15" s="1773"/>
      <c r="N15" s="1773"/>
      <c r="O15" s="1773"/>
      <c r="P15" s="1773"/>
      <c r="Q15" s="1773"/>
      <c r="R15" s="1772"/>
      <c r="S15" s="1771">
        <v>332</v>
      </c>
      <c r="T15" s="1770" t="s">
        <v>3767</v>
      </c>
      <c r="U15" s="1770" t="s">
        <v>3778</v>
      </c>
      <c r="V15" s="1774" t="s">
        <v>3793</v>
      </c>
      <c r="W15" s="1770" t="s">
        <v>3794</v>
      </c>
      <c r="Z15" s="1437" t="s">
        <v>3793</v>
      </c>
    </row>
    <row r="16" spans="1:26" ht="13" hidden="1">
      <c r="A16" s="1770" t="s">
        <v>3768</v>
      </c>
      <c r="B16" s="1771">
        <v>347</v>
      </c>
      <c r="C16" s="1772"/>
      <c r="D16" s="1770" t="s">
        <v>3779</v>
      </c>
      <c r="E16" s="1773"/>
      <c r="F16" s="1773"/>
      <c r="G16" s="1773"/>
      <c r="H16" s="1773"/>
      <c r="I16" s="1772"/>
      <c r="J16" s="1773"/>
      <c r="K16" s="1773"/>
      <c r="L16" s="1773"/>
      <c r="M16" s="1773"/>
      <c r="N16" s="1773"/>
      <c r="O16" s="1773"/>
      <c r="P16" s="1773"/>
      <c r="Q16" s="1773"/>
      <c r="R16" s="1772"/>
      <c r="S16" s="1771">
        <v>347</v>
      </c>
      <c r="T16" s="1770" t="s">
        <v>3768</v>
      </c>
      <c r="U16" s="1770" t="s">
        <v>3779</v>
      </c>
      <c r="V16" s="1774" t="s">
        <v>496</v>
      </c>
      <c r="W16" s="1770" t="s">
        <v>495</v>
      </c>
      <c r="Z16" s="1437" t="s">
        <v>496</v>
      </c>
    </row>
    <row r="17" spans="1:48" ht="13" hidden="1">
      <c r="A17" s="1770" t="s">
        <v>3767</v>
      </c>
      <c r="B17" s="1771">
        <v>360</v>
      </c>
      <c r="C17" s="1772"/>
      <c r="D17" s="1770" t="s">
        <v>3780</v>
      </c>
      <c r="E17" s="1773"/>
      <c r="F17" s="1773"/>
      <c r="G17" s="1773"/>
      <c r="H17" s="1773"/>
      <c r="I17" s="1772"/>
      <c r="J17" s="1773"/>
      <c r="K17" s="1773"/>
      <c r="L17" s="1773"/>
      <c r="M17" s="1773"/>
      <c r="N17" s="1773"/>
      <c r="O17" s="1773"/>
      <c r="P17" s="1773"/>
      <c r="Q17" s="1773"/>
      <c r="R17" s="1772"/>
      <c r="S17" s="1771">
        <v>360</v>
      </c>
      <c r="T17" s="1770" t="s">
        <v>3767</v>
      </c>
      <c r="U17" s="1770" t="s">
        <v>3780</v>
      </c>
      <c r="V17" s="1774" t="s">
        <v>499</v>
      </c>
      <c r="W17" s="1770" t="s">
        <v>498</v>
      </c>
      <c r="Z17" s="1437" t="s">
        <v>499</v>
      </c>
    </row>
    <row r="18" spans="1:48" ht="13" hidden="1">
      <c r="A18" s="1770" t="s">
        <v>3768</v>
      </c>
      <c r="B18" s="1771">
        <v>389</v>
      </c>
      <c r="C18" s="1772"/>
      <c r="D18" s="1770" t="s">
        <v>2584</v>
      </c>
      <c r="E18" s="1773"/>
      <c r="F18" s="1773"/>
      <c r="G18" s="1773"/>
      <c r="H18" s="1773"/>
      <c r="I18" s="1772"/>
      <c r="J18" s="1773"/>
      <c r="K18" s="1773"/>
      <c r="L18" s="1773"/>
      <c r="M18" s="1773"/>
      <c r="N18" s="1773"/>
      <c r="O18" s="1773"/>
      <c r="P18" s="1773"/>
      <c r="Q18" s="1773"/>
      <c r="R18" s="1772"/>
      <c r="S18" s="1771">
        <v>389</v>
      </c>
      <c r="T18" s="1770" t="s">
        <v>3768</v>
      </c>
      <c r="U18" s="1770" t="s">
        <v>2584</v>
      </c>
      <c r="V18" s="1774" t="s">
        <v>2585</v>
      </c>
      <c r="W18" s="1770" t="s">
        <v>2584</v>
      </c>
      <c r="Z18" s="1437" t="s">
        <v>2585</v>
      </c>
    </row>
    <row r="19" spans="1:48" ht="13" hidden="1">
      <c r="A19" s="1770" t="s">
        <v>3768</v>
      </c>
      <c r="B19" s="1771">
        <v>414</v>
      </c>
      <c r="C19" s="1772"/>
      <c r="D19" s="1770" t="s">
        <v>3781</v>
      </c>
      <c r="E19" s="1773"/>
      <c r="F19" s="1773"/>
      <c r="G19" s="1773"/>
      <c r="H19" s="1773"/>
      <c r="I19" s="1772"/>
      <c r="J19" s="1773"/>
      <c r="K19" s="1773"/>
      <c r="L19" s="1773"/>
      <c r="M19" s="1773"/>
      <c r="N19" s="1773"/>
      <c r="O19" s="1773"/>
      <c r="P19" s="1773"/>
      <c r="Q19" s="1773"/>
      <c r="R19" s="1772"/>
      <c r="S19" s="1771">
        <v>414</v>
      </c>
      <c r="T19" s="1770" t="s">
        <v>3768</v>
      </c>
      <c r="U19" s="1770" t="s">
        <v>3781</v>
      </c>
      <c r="V19" s="1774" t="s">
        <v>3795</v>
      </c>
      <c r="W19" s="1770" t="s">
        <v>3796</v>
      </c>
      <c r="Z19" s="1437" t="s">
        <v>3795</v>
      </c>
    </row>
    <row r="20" spans="1:48" ht="14" hidden="1">
      <c r="A20" s="1778" t="s">
        <v>3768</v>
      </c>
      <c r="B20" s="1779">
        <v>447</v>
      </c>
      <c r="C20" s="1772"/>
      <c r="D20" s="1778" t="s">
        <v>2586</v>
      </c>
      <c r="E20" s="1773"/>
      <c r="F20" s="1773"/>
      <c r="G20" s="1773"/>
      <c r="H20" s="1773"/>
      <c r="I20" s="1772"/>
      <c r="J20" s="1773"/>
      <c r="K20" s="1773"/>
      <c r="L20" s="1773"/>
      <c r="M20" s="1773"/>
      <c r="N20" s="1773"/>
      <c r="O20" s="1773"/>
      <c r="P20" s="1773"/>
      <c r="Q20" s="1773"/>
      <c r="R20" s="1772"/>
      <c r="S20" s="1779">
        <v>447</v>
      </c>
      <c r="T20" s="1778" t="s">
        <v>3768</v>
      </c>
      <c r="U20" s="1778" t="s">
        <v>2586</v>
      </c>
      <c r="V20" s="1780" t="s">
        <v>2587</v>
      </c>
      <c r="W20" s="1778" t="s">
        <v>2588</v>
      </c>
      <c r="Z20" s="1439" t="s">
        <v>2587</v>
      </c>
      <c r="AU20" s="1763"/>
      <c r="AV20" s="1763"/>
    </row>
    <row r="21" spans="1:48" s="1565" customFormat="1" ht="42" hidden="1">
      <c r="A21" s="1781" t="s">
        <v>4855</v>
      </c>
      <c r="B21" s="1779">
        <v>1097</v>
      </c>
      <c r="C21" s="1779" t="s">
        <v>2589</v>
      </c>
      <c r="D21" s="1781" t="s">
        <v>2589</v>
      </c>
      <c r="E21" s="1782"/>
      <c r="F21" s="1782"/>
      <c r="G21" s="1782"/>
      <c r="H21" s="1782" t="s">
        <v>346</v>
      </c>
      <c r="I21" s="1782"/>
      <c r="J21" s="1782"/>
      <c r="K21" s="1782"/>
      <c r="L21" s="1782"/>
      <c r="M21" s="1782"/>
      <c r="N21" s="1782"/>
      <c r="O21" s="1782"/>
      <c r="P21" s="1782"/>
      <c r="Q21" s="1782"/>
      <c r="R21" s="1782"/>
      <c r="S21" s="1781">
        <v>1097</v>
      </c>
      <c r="T21" s="1781" t="s">
        <v>4855</v>
      </c>
      <c r="U21" s="1778" t="s">
        <v>2589</v>
      </c>
      <c r="V21" s="1783" t="s">
        <v>657</v>
      </c>
      <c r="W21" s="1784" t="s">
        <v>656</v>
      </c>
      <c r="Z21" s="1564"/>
      <c r="AC21" s="1758" t="s">
        <v>5323</v>
      </c>
      <c r="AD21" s="1758" t="s">
        <v>5324</v>
      </c>
      <c r="AE21" s="1758" t="s">
        <v>5325</v>
      </c>
      <c r="AF21" s="1758" t="s">
        <v>5326</v>
      </c>
      <c r="AG21" s="1758" t="s">
        <v>5327</v>
      </c>
      <c r="AH21" s="1758" t="s">
        <v>5328</v>
      </c>
      <c r="AI21" s="1758" t="s">
        <v>2941</v>
      </c>
      <c r="AJ21" s="1758" t="s">
        <v>5329</v>
      </c>
      <c r="AK21" s="1758" t="s">
        <v>5330</v>
      </c>
      <c r="AL21" s="1758" t="s">
        <v>2955</v>
      </c>
      <c r="AM21" s="1758" t="s">
        <v>2954</v>
      </c>
      <c r="AN21" s="1795" t="s">
        <v>5331</v>
      </c>
      <c r="AO21" s="1796"/>
      <c r="AP21" s="1758" t="s">
        <v>5332</v>
      </c>
      <c r="AQ21" s="1758" t="s">
        <v>5333</v>
      </c>
      <c r="AR21" s="1758" t="s">
        <v>300</v>
      </c>
      <c r="AS21" s="1758" t="s">
        <v>5334</v>
      </c>
      <c r="AT21" s="1758" t="s">
        <v>5335</v>
      </c>
      <c r="AU21" s="1763"/>
      <c r="AV21" s="1763"/>
    </row>
    <row r="22" spans="1:48" ht="14" hidden="1">
      <c r="A22" s="1785" t="str">
        <f>AT22</f>
        <v>גמל</v>
      </c>
      <c r="B22" s="1786">
        <f>AK22</f>
        <v>11979</v>
      </c>
      <c r="C22" s="1787">
        <v>28946</v>
      </c>
      <c r="D22" s="1786" t="str">
        <f>AJ22</f>
        <v>קל גמל קופת גמל לחסכון מדרגות עד 50</v>
      </c>
      <c r="E22" s="1786" t="s">
        <v>3929</v>
      </c>
      <c r="F22" s="1786" t="s">
        <v>2958</v>
      </c>
      <c r="G22" s="1786" t="s">
        <v>2959</v>
      </c>
      <c r="H22" s="1786" t="str">
        <f>AC22</f>
        <v>פעיל</v>
      </c>
      <c r="I22" s="1788">
        <f>IF(AE22="","",AE22)</f>
        <v>42848.532523148097</v>
      </c>
      <c r="J22" s="1788" t="str">
        <f>IF(AD22="","",AD22)</f>
        <v/>
      </c>
      <c r="K22" s="1786">
        <v>0</v>
      </c>
      <c r="L22" s="1786" t="s">
        <v>1594</v>
      </c>
      <c r="M22" s="1786" t="s">
        <v>1653</v>
      </c>
      <c r="N22" s="1786" t="s">
        <v>1653</v>
      </c>
      <c r="O22" s="1786">
        <v>0</v>
      </c>
      <c r="P22" s="1786"/>
      <c r="Q22" s="1786">
        <v>0</v>
      </c>
      <c r="R22" s="1788"/>
      <c r="S22" s="1786">
        <f>AM22</f>
        <v>11939</v>
      </c>
      <c r="T22" s="1786" t="str">
        <f>AN22</f>
        <v>אפ.אמ.אר תפעול</v>
      </c>
      <c r="U22" s="1786" t="str">
        <f>AL22</f>
        <v>קל גמל קופת גמל לחסכון</v>
      </c>
      <c r="V22" s="1786" t="str">
        <f>AQ22</f>
        <v>514741552</v>
      </c>
      <c r="W22" s="1789" t="str">
        <f>AR22</f>
        <v xml:space="preserve">סלייס גמל בע"מ </v>
      </c>
      <c r="AC22" s="1759" t="s">
        <v>346</v>
      </c>
      <c r="AD22" s="1759"/>
      <c r="AE22" s="1760">
        <v>42848.532523148097</v>
      </c>
      <c r="AF22" s="1759" t="s">
        <v>4151</v>
      </c>
      <c r="AG22" s="1759" t="s">
        <v>3931</v>
      </c>
      <c r="AH22" s="1759" t="s">
        <v>3658</v>
      </c>
      <c r="AI22" s="1759" t="s">
        <v>5336</v>
      </c>
      <c r="AJ22" s="1759" t="s">
        <v>5336</v>
      </c>
      <c r="AK22" s="1759">
        <v>11979</v>
      </c>
      <c r="AL22" s="1759" t="s">
        <v>5337</v>
      </c>
      <c r="AM22" s="1759">
        <v>11939</v>
      </c>
      <c r="AN22" s="1759" t="s">
        <v>5338</v>
      </c>
      <c r="AO22" s="1764"/>
      <c r="AP22" s="1759" t="s">
        <v>5339</v>
      </c>
      <c r="AQ22" s="1759" t="s">
        <v>5340</v>
      </c>
      <c r="AR22" s="1759" t="s">
        <v>5341</v>
      </c>
      <c r="AS22" s="1759" t="s">
        <v>2749</v>
      </c>
      <c r="AT22" s="1759" t="s">
        <v>327</v>
      </c>
      <c r="AU22" s="1763"/>
      <c r="AV22" s="1763"/>
    </row>
    <row r="23" spans="1:48" ht="14" hidden="1">
      <c r="A23" s="1785" t="str">
        <f t="shared" ref="A23:A86" si="0">AT23</f>
        <v>גמל</v>
      </c>
      <c r="B23" s="1786">
        <f t="shared" ref="B23:B86" si="1">AK23</f>
        <v>11980</v>
      </c>
      <c r="C23" s="1787">
        <v>28946</v>
      </c>
      <c r="D23" s="1786" t="str">
        <f t="shared" ref="D23:D86" si="2">AJ23</f>
        <v>קל גמל קופת גמל לחסכון מדרגות 50-60</v>
      </c>
      <c r="E23" s="1786" t="s">
        <v>3929</v>
      </c>
      <c r="F23" s="1786" t="s">
        <v>2958</v>
      </c>
      <c r="G23" s="1786" t="s">
        <v>2959</v>
      </c>
      <c r="H23" s="1786" t="str">
        <f t="shared" ref="H23:H86" si="3">AC23</f>
        <v>פעיל</v>
      </c>
      <c r="I23" s="1788">
        <f t="shared" ref="I23:I86" si="4">IF(AE23="","",AE23)</f>
        <v>42848.532523148097</v>
      </c>
      <c r="J23" s="1788" t="str">
        <f t="shared" ref="J23:J86" si="5">IF(AD23="","",AD23)</f>
        <v/>
      </c>
      <c r="K23" s="1786">
        <v>0</v>
      </c>
      <c r="L23" s="1786" t="s">
        <v>1594</v>
      </c>
      <c r="M23" s="1786" t="s">
        <v>1653</v>
      </c>
      <c r="N23" s="1786" t="s">
        <v>1653</v>
      </c>
      <c r="O23" s="1786">
        <v>0</v>
      </c>
      <c r="P23" s="1786"/>
      <c r="Q23" s="1786">
        <v>0</v>
      </c>
      <c r="R23" s="1788"/>
      <c r="S23" s="1786">
        <f t="shared" ref="S23:S86" si="6">AM23</f>
        <v>11939</v>
      </c>
      <c r="T23" s="1786" t="str">
        <f t="shared" ref="T23:T86" si="7">AN23</f>
        <v>אפ.אמ.אר תפעול</v>
      </c>
      <c r="U23" s="1786" t="str">
        <f t="shared" ref="U23:U86" si="8">AL23</f>
        <v>קל גמל קופת גמל לחסכון</v>
      </c>
      <c r="V23" s="1786" t="str">
        <f t="shared" ref="V23:V86" si="9">AQ23</f>
        <v>514741552</v>
      </c>
      <c r="W23" s="1789" t="str">
        <f t="shared" ref="W23:W86" si="10">AR23</f>
        <v xml:space="preserve">סלייס גמל בע"מ </v>
      </c>
      <c r="AC23" s="1761" t="s">
        <v>346</v>
      </c>
      <c r="AD23" s="1761"/>
      <c r="AE23" s="1762">
        <v>42848.532523148097</v>
      </c>
      <c r="AF23" s="1761" t="s">
        <v>3932</v>
      </c>
      <c r="AG23" s="1761" t="s">
        <v>3931</v>
      </c>
      <c r="AH23" s="1761" t="s">
        <v>3658</v>
      </c>
      <c r="AI23" s="1761" t="s">
        <v>5342</v>
      </c>
      <c r="AJ23" s="1761" t="s">
        <v>5342</v>
      </c>
      <c r="AK23" s="1761">
        <v>11980</v>
      </c>
      <c r="AL23" s="1761" t="s">
        <v>5337</v>
      </c>
      <c r="AM23" s="1761">
        <v>11939</v>
      </c>
      <c r="AN23" s="1761" t="s">
        <v>5338</v>
      </c>
      <c r="AO23" s="1764"/>
      <c r="AP23" s="1761" t="s">
        <v>5339</v>
      </c>
      <c r="AQ23" s="1761" t="s">
        <v>5340</v>
      </c>
      <c r="AR23" s="1761" t="s">
        <v>5341</v>
      </c>
      <c r="AS23" s="1761" t="s">
        <v>2749</v>
      </c>
      <c r="AT23" s="1761" t="s">
        <v>327</v>
      </c>
      <c r="AU23" s="1763"/>
      <c r="AV23" s="1763"/>
    </row>
    <row r="24" spans="1:48" ht="25" hidden="1">
      <c r="A24" s="1785" t="str">
        <f t="shared" si="0"/>
        <v>גמל</v>
      </c>
      <c r="B24" s="1786">
        <f t="shared" si="1"/>
        <v>11981</v>
      </c>
      <c r="C24" s="1787">
        <v>28946</v>
      </c>
      <c r="D24" s="1786" t="str">
        <f t="shared" si="2"/>
        <v>קל גמל קופת גמל לחסכון מדרגות 60 ומעלה</v>
      </c>
      <c r="E24" s="1786" t="s">
        <v>3929</v>
      </c>
      <c r="F24" s="1786" t="s">
        <v>2958</v>
      </c>
      <c r="G24" s="1786" t="s">
        <v>2959</v>
      </c>
      <c r="H24" s="1786" t="str">
        <f t="shared" si="3"/>
        <v>פעיל</v>
      </c>
      <c r="I24" s="1788">
        <f t="shared" si="4"/>
        <v>42848.532523148097</v>
      </c>
      <c r="J24" s="1788" t="str">
        <f t="shared" si="5"/>
        <v/>
      </c>
      <c r="K24" s="1786">
        <v>0</v>
      </c>
      <c r="L24" s="1786" t="s">
        <v>1594</v>
      </c>
      <c r="M24" s="1786" t="s">
        <v>1653</v>
      </c>
      <c r="N24" s="1786" t="s">
        <v>1653</v>
      </c>
      <c r="O24" s="1786">
        <v>0</v>
      </c>
      <c r="P24" s="1786"/>
      <c r="Q24" s="1786">
        <v>0</v>
      </c>
      <c r="R24" s="1788"/>
      <c r="S24" s="1786">
        <f t="shared" si="6"/>
        <v>11939</v>
      </c>
      <c r="T24" s="1786" t="str">
        <f t="shared" si="7"/>
        <v>אפ.אמ.אר תפעול</v>
      </c>
      <c r="U24" s="1786" t="str">
        <f t="shared" si="8"/>
        <v>קל גמל קופת גמל לחסכון</v>
      </c>
      <c r="V24" s="1786" t="str">
        <f t="shared" si="9"/>
        <v>514741552</v>
      </c>
      <c r="W24" s="1789" t="str">
        <f t="shared" si="10"/>
        <v xml:space="preserve">סלייס גמל בע"מ </v>
      </c>
      <c r="AC24" s="1759" t="s">
        <v>346</v>
      </c>
      <c r="AD24" s="1759"/>
      <c r="AE24" s="1760">
        <v>42848.532523148097</v>
      </c>
      <c r="AF24" s="1759" t="s">
        <v>3963</v>
      </c>
      <c r="AG24" s="1759" t="s">
        <v>3931</v>
      </c>
      <c r="AH24" s="1759" t="s">
        <v>3658</v>
      </c>
      <c r="AI24" s="1759" t="s">
        <v>5343</v>
      </c>
      <c r="AJ24" s="1759" t="s">
        <v>5343</v>
      </c>
      <c r="AK24" s="1759">
        <v>11981</v>
      </c>
      <c r="AL24" s="1759" t="s">
        <v>5337</v>
      </c>
      <c r="AM24" s="1759">
        <v>11939</v>
      </c>
      <c r="AN24" s="1759" t="s">
        <v>5338</v>
      </c>
      <c r="AO24" s="1764"/>
      <c r="AP24" s="1759" t="s">
        <v>5339</v>
      </c>
      <c r="AQ24" s="1759" t="s">
        <v>5340</v>
      </c>
      <c r="AR24" s="1759" t="s">
        <v>5341</v>
      </c>
      <c r="AS24" s="1759" t="s">
        <v>2749</v>
      </c>
      <c r="AT24" s="1759" t="s">
        <v>327</v>
      </c>
      <c r="AU24" s="1763"/>
      <c r="AV24" s="1763"/>
    </row>
    <row r="25" spans="1:48" ht="14" hidden="1">
      <c r="A25" s="1785" t="str">
        <f t="shared" si="0"/>
        <v>גמל</v>
      </c>
      <c r="B25" s="1786">
        <f t="shared" si="1"/>
        <v>11942</v>
      </c>
      <c r="C25" s="1787">
        <v>28946</v>
      </c>
      <c r="D25" s="1786" t="str">
        <f t="shared" si="2"/>
        <v>קל גמל קופת גמל לחסכון אג"ח אג"ח</v>
      </c>
      <c r="E25" s="1786" t="s">
        <v>3929</v>
      </c>
      <c r="F25" s="1786" t="s">
        <v>2958</v>
      </c>
      <c r="G25" s="1786" t="s">
        <v>2959</v>
      </c>
      <c r="H25" s="1786" t="str">
        <f t="shared" si="3"/>
        <v>פעיל</v>
      </c>
      <c r="I25" s="1788">
        <f t="shared" si="4"/>
        <v>42848.532523148097</v>
      </c>
      <c r="J25" s="1788" t="str">
        <f t="shared" si="5"/>
        <v/>
      </c>
      <c r="K25" s="1786">
        <v>0</v>
      </c>
      <c r="L25" s="1786" t="s">
        <v>1594</v>
      </c>
      <c r="M25" s="1786" t="s">
        <v>1653</v>
      </c>
      <c r="N25" s="1786" t="s">
        <v>1653</v>
      </c>
      <c r="O25" s="1786">
        <v>0</v>
      </c>
      <c r="P25" s="1786"/>
      <c r="Q25" s="1786">
        <v>0</v>
      </c>
      <c r="R25" s="1788"/>
      <c r="S25" s="1786">
        <f t="shared" si="6"/>
        <v>11939</v>
      </c>
      <c r="T25" s="1786" t="str">
        <f t="shared" si="7"/>
        <v>אפ.אמ.אר תפעול</v>
      </c>
      <c r="U25" s="1786" t="str">
        <f t="shared" si="8"/>
        <v>קל גמל קופת גמל לחסכון</v>
      </c>
      <c r="V25" s="1786" t="str">
        <f t="shared" si="9"/>
        <v>514741552</v>
      </c>
      <c r="W25" s="1789" t="str">
        <f t="shared" si="10"/>
        <v xml:space="preserve">סלייס גמל בע"מ </v>
      </c>
      <c r="AC25" s="1761" t="s">
        <v>346</v>
      </c>
      <c r="AD25" s="1761"/>
      <c r="AE25" s="1762">
        <v>42848.532523148097</v>
      </c>
      <c r="AF25" s="1761" t="s">
        <v>1653</v>
      </c>
      <c r="AG25" s="1761" t="s">
        <v>1653</v>
      </c>
      <c r="AH25" s="1761" t="s">
        <v>1594</v>
      </c>
      <c r="AI25" s="1761" t="s">
        <v>5344</v>
      </c>
      <c r="AJ25" s="1761" t="s">
        <v>5344</v>
      </c>
      <c r="AK25" s="1761">
        <v>11942</v>
      </c>
      <c r="AL25" s="1761" t="s">
        <v>5337</v>
      </c>
      <c r="AM25" s="1761">
        <v>11939</v>
      </c>
      <c r="AN25" s="1761" t="s">
        <v>5338</v>
      </c>
      <c r="AO25" s="1764"/>
      <c r="AP25" s="1761" t="s">
        <v>5339</v>
      </c>
      <c r="AQ25" s="1761" t="s">
        <v>5340</v>
      </c>
      <c r="AR25" s="1761" t="s">
        <v>5341</v>
      </c>
      <c r="AS25" s="1761" t="s">
        <v>2749</v>
      </c>
      <c r="AT25" s="1761" t="s">
        <v>327</v>
      </c>
      <c r="AU25" s="1763"/>
      <c r="AV25" s="1763"/>
    </row>
    <row r="26" spans="1:48" ht="14" hidden="1">
      <c r="A26" s="1785" t="str">
        <f t="shared" si="0"/>
        <v>גמל</v>
      </c>
      <c r="B26" s="1786">
        <f t="shared" si="1"/>
        <v>11943</v>
      </c>
      <c r="C26" s="1787">
        <v>28946</v>
      </c>
      <c r="D26" s="1786" t="str">
        <f t="shared" si="2"/>
        <v xml:space="preserve">קל גמל קופת גמל לחסכון מניות מניות </v>
      </c>
      <c r="E26" s="1786" t="s">
        <v>3929</v>
      </c>
      <c r="F26" s="1786" t="s">
        <v>2958</v>
      </c>
      <c r="G26" s="1786" t="s">
        <v>2959</v>
      </c>
      <c r="H26" s="1786" t="str">
        <f t="shared" si="3"/>
        <v>פעיל</v>
      </c>
      <c r="I26" s="1788">
        <f t="shared" si="4"/>
        <v>42848.532523148097</v>
      </c>
      <c r="J26" s="1788" t="str">
        <f t="shared" si="5"/>
        <v/>
      </c>
      <c r="K26" s="1786">
        <v>0</v>
      </c>
      <c r="L26" s="1786" t="s">
        <v>1594</v>
      </c>
      <c r="M26" s="1786" t="s">
        <v>1653</v>
      </c>
      <c r="N26" s="1786" t="s">
        <v>1653</v>
      </c>
      <c r="O26" s="1786">
        <v>0</v>
      </c>
      <c r="P26" s="1786"/>
      <c r="Q26" s="1786">
        <v>0</v>
      </c>
      <c r="R26" s="1788"/>
      <c r="S26" s="1786">
        <f t="shared" si="6"/>
        <v>11939</v>
      </c>
      <c r="T26" s="1786" t="str">
        <f t="shared" si="7"/>
        <v>אפ.אמ.אר תפעול</v>
      </c>
      <c r="U26" s="1786" t="str">
        <f t="shared" si="8"/>
        <v>קל גמל קופת גמל לחסכון</v>
      </c>
      <c r="V26" s="1786" t="str">
        <f t="shared" si="9"/>
        <v>514741552</v>
      </c>
      <c r="W26" s="1789" t="str">
        <f t="shared" si="10"/>
        <v xml:space="preserve">סלייס גמל בע"מ </v>
      </c>
      <c r="AC26" s="1759" t="s">
        <v>346</v>
      </c>
      <c r="AD26" s="1759"/>
      <c r="AE26" s="1760">
        <v>42848.532523148097</v>
      </c>
      <c r="AF26" s="1759" t="s">
        <v>1595</v>
      </c>
      <c r="AG26" s="1759" t="s">
        <v>75</v>
      </c>
      <c r="AH26" s="1759" t="s">
        <v>1594</v>
      </c>
      <c r="AI26" s="1759" t="s">
        <v>5345</v>
      </c>
      <c r="AJ26" s="1759" t="s">
        <v>5345</v>
      </c>
      <c r="AK26" s="1759">
        <v>11943</v>
      </c>
      <c r="AL26" s="1759" t="s">
        <v>5337</v>
      </c>
      <c r="AM26" s="1759">
        <v>11939</v>
      </c>
      <c r="AN26" s="1759" t="s">
        <v>5338</v>
      </c>
      <c r="AO26" s="1764"/>
      <c r="AP26" s="1759" t="s">
        <v>5339</v>
      </c>
      <c r="AQ26" s="1759" t="s">
        <v>5340</v>
      </c>
      <c r="AR26" s="1759" t="s">
        <v>5341</v>
      </c>
      <c r="AS26" s="1759" t="s">
        <v>2749</v>
      </c>
      <c r="AT26" s="1759" t="s">
        <v>327</v>
      </c>
      <c r="AU26" s="1763"/>
      <c r="AV26" s="1763"/>
    </row>
    <row r="27" spans="1:48" ht="14" hidden="1">
      <c r="A27" s="1785" t="str">
        <f t="shared" si="0"/>
        <v>גמל</v>
      </c>
      <c r="B27" s="1786">
        <f t="shared" si="1"/>
        <v>11944</v>
      </c>
      <c r="C27" s="1787">
        <v>28946</v>
      </c>
      <c r="D27" s="1786" t="str">
        <f t="shared" si="2"/>
        <v>קל גמל קופת גמל לחסכון חו"ל חו"ל</v>
      </c>
      <c r="E27" s="1786" t="s">
        <v>3929</v>
      </c>
      <c r="F27" s="1786" t="s">
        <v>2958</v>
      </c>
      <c r="G27" s="1786" t="s">
        <v>2959</v>
      </c>
      <c r="H27" s="1786" t="str">
        <f t="shared" si="3"/>
        <v>פעיל</v>
      </c>
      <c r="I27" s="1788">
        <f t="shared" si="4"/>
        <v>42848.532523148097</v>
      </c>
      <c r="J27" s="1788" t="str">
        <f t="shared" si="5"/>
        <v/>
      </c>
      <c r="K27" s="1786">
        <v>0</v>
      </c>
      <c r="L27" s="1786" t="s">
        <v>1594</v>
      </c>
      <c r="M27" s="1786" t="s">
        <v>1653</v>
      </c>
      <c r="N27" s="1786" t="s">
        <v>1653</v>
      </c>
      <c r="O27" s="1786">
        <v>0</v>
      </c>
      <c r="P27" s="1786"/>
      <c r="Q27" s="1786">
        <v>0</v>
      </c>
      <c r="R27" s="1788"/>
      <c r="S27" s="1786">
        <f t="shared" si="6"/>
        <v>11939</v>
      </c>
      <c r="T27" s="1786" t="str">
        <f t="shared" si="7"/>
        <v>אפ.אמ.אר תפעול</v>
      </c>
      <c r="U27" s="1786" t="str">
        <f t="shared" si="8"/>
        <v>קל גמל קופת גמל לחסכון</v>
      </c>
      <c r="V27" s="1786" t="str">
        <f t="shared" si="9"/>
        <v>514741552</v>
      </c>
      <c r="W27" s="1789" t="str">
        <f t="shared" si="10"/>
        <v xml:space="preserve">סלייס גמל בע"מ </v>
      </c>
      <c r="AC27" s="1761" t="s">
        <v>346</v>
      </c>
      <c r="AD27" s="1761"/>
      <c r="AE27" s="1762">
        <v>42848.532523148097</v>
      </c>
      <c r="AF27" s="1761" t="s">
        <v>1948</v>
      </c>
      <c r="AG27" s="1761" t="s">
        <v>1948</v>
      </c>
      <c r="AH27" s="1761" t="s">
        <v>1594</v>
      </c>
      <c r="AI27" s="1761" t="s">
        <v>5346</v>
      </c>
      <c r="AJ27" s="1761" t="s">
        <v>5346</v>
      </c>
      <c r="AK27" s="1761">
        <v>11944</v>
      </c>
      <c r="AL27" s="1761" t="s">
        <v>5337</v>
      </c>
      <c r="AM27" s="1761">
        <v>11939</v>
      </c>
      <c r="AN27" s="1761" t="s">
        <v>5338</v>
      </c>
      <c r="AO27" s="1764"/>
      <c r="AP27" s="1761" t="s">
        <v>5339</v>
      </c>
      <c r="AQ27" s="1761" t="s">
        <v>5340</v>
      </c>
      <c r="AR27" s="1761" t="s">
        <v>5341</v>
      </c>
      <c r="AS27" s="1761" t="s">
        <v>2749</v>
      </c>
      <c r="AT27" s="1761" t="s">
        <v>327</v>
      </c>
      <c r="AU27" s="1763"/>
      <c r="AV27" s="1763"/>
    </row>
    <row r="28" spans="1:48" ht="14" hidden="1">
      <c r="A28" s="1785" t="str">
        <f t="shared" si="0"/>
        <v>גמל</v>
      </c>
      <c r="B28" s="1786">
        <f t="shared" si="1"/>
        <v>11945</v>
      </c>
      <c r="C28" s="1787">
        <v>28946</v>
      </c>
      <c r="D28" s="1786" t="str">
        <f t="shared" si="2"/>
        <v>קל גמל קופת גמל לחסכון מדד אג"ח</v>
      </c>
      <c r="E28" s="1786" t="s">
        <v>3929</v>
      </c>
      <c r="F28" s="1786" t="s">
        <v>2958</v>
      </c>
      <c r="G28" s="1786" t="s">
        <v>2959</v>
      </c>
      <c r="H28" s="1786" t="str">
        <f t="shared" si="3"/>
        <v>פעיל</v>
      </c>
      <c r="I28" s="1788">
        <f t="shared" si="4"/>
        <v>42848.532523148097</v>
      </c>
      <c r="J28" s="1788" t="str">
        <f t="shared" si="5"/>
        <v/>
      </c>
      <c r="K28" s="1786">
        <v>0</v>
      </c>
      <c r="L28" s="1786" t="s">
        <v>1594</v>
      </c>
      <c r="M28" s="1786" t="s">
        <v>1653</v>
      </c>
      <c r="N28" s="1786" t="s">
        <v>1653</v>
      </c>
      <c r="O28" s="1786">
        <v>0</v>
      </c>
      <c r="P28" s="1786"/>
      <c r="Q28" s="1786">
        <v>0</v>
      </c>
      <c r="R28" s="1788"/>
      <c r="S28" s="1786">
        <f t="shared" si="6"/>
        <v>11939</v>
      </c>
      <c r="T28" s="1786" t="str">
        <f t="shared" si="7"/>
        <v>אפ.אמ.אר תפעול</v>
      </c>
      <c r="U28" s="1786" t="str">
        <f t="shared" si="8"/>
        <v>קל גמל קופת גמל לחסכון</v>
      </c>
      <c r="V28" s="1786" t="str">
        <f t="shared" si="9"/>
        <v>514741552</v>
      </c>
      <c r="W28" s="1789" t="str">
        <f t="shared" si="10"/>
        <v xml:space="preserve">סלייס גמל בע"מ </v>
      </c>
      <c r="AC28" s="1759" t="s">
        <v>346</v>
      </c>
      <c r="AD28" s="1759"/>
      <c r="AE28" s="1760">
        <v>42848.532523148097</v>
      </c>
      <c r="AF28" s="1759" t="s">
        <v>1653</v>
      </c>
      <c r="AG28" s="1759" t="s">
        <v>1094</v>
      </c>
      <c r="AH28" s="1759" t="s">
        <v>1594</v>
      </c>
      <c r="AI28" s="1759" t="s">
        <v>5347</v>
      </c>
      <c r="AJ28" s="1759" t="s">
        <v>5347</v>
      </c>
      <c r="AK28" s="1759">
        <v>11945</v>
      </c>
      <c r="AL28" s="1759" t="s">
        <v>5337</v>
      </c>
      <c r="AM28" s="1759">
        <v>11939</v>
      </c>
      <c r="AN28" s="1759" t="s">
        <v>5338</v>
      </c>
      <c r="AO28" s="1764"/>
      <c r="AP28" s="1759" t="s">
        <v>5339</v>
      </c>
      <c r="AQ28" s="1759" t="s">
        <v>5340</v>
      </c>
      <c r="AR28" s="1759" t="s">
        <v>5341</v>
      </c>
      <c r="AS28" s="1759" t="s">
        <v>2749</v>
      </c>
      <c r="AT28" s="1759" t="s">
        <v>327</v>
      </c>
      <c r="AU28" s="1763"/>
      <c r="AV28" s="1763"/>
    </row>
    <row r="29" spans="1:48" ht="14" hidden="1">
      <c r="A29" s="1785" t="str">
        <f t="shared" si="0"/>
        <v>גמל</v>
      </c>
      <c r="B29" s="1786">
        <f t="shared" si="1"/>
        <v>11946</v>
      </c>
      <c r="C29" s="1787">
        <v>28946</v>
      </c>
      <c r="D29" s="1786" t="str">
        <f t="shared" si="2"/>
        <v>קל גמל קופת גמל לחסכון מדד מניות</v>
      </c>
      <c r="E29" s="1786" t="s">
        <v>3929</v>
      </c>
      <c r="F29" s="1786" t="s">
        <v>2958</v>
      </c>
      <c r="G29" s="1786" t="s">
        <v>2959</v>
      </c>
      <c r="H29" s="1786" t="str">
        <f t="shared" si="3"/>
        <v>פעיל</v>
      </c>
      <c r="I29" s="1788">
        <f t="shared" si="4"/>
        <v>42848.532523148097</v>
      </c>
      <c r="J29" s="1788" t="str">
        <f t="shared" si="5"/>
        <v/>
      </c>
      <c r="K29" s="1786">
        <v>0</v>
      </c>
      <c r="L29" s="1786" t="s">
        <v>1594</v>
      </c>
      <c r="M29" s="1786" t="s">
        <v>1653</v>
      </c>
      <c r="N29" s="1786" t="s">
        <v>1653</v>
      </c>
      <c r="O29" s="1786">
        <v>0</v>
      </c>
      <c r="P29" s="1786"/>
      <c r="Q29" s="1786">
        <v>0</v>
      </c>
      <c r="R29" s="1788"/>
      <c r="S29" s="1786">
        <f t="shared" si="6"/>
        <v>11939</v>
      </c>
      <c r="T29" s="1786" t="str">
        <f t="shared" si="7"/>
        <v>אפ.אמ.אר תפעול</v>
      </c>
      <c r="U29" s="1786" t="str">
        <f t="shared" si="8"/>
        <v>קל גמל קופת גמל לחסכון</v>
      </c>
      <c r="V29" s="1786" t="str">
        <f t="shared" si="9"/>
        <v>514741552</v>
      </c>
      <c r="W29" s="1789" t="str">
        <f t="shared" si="10"/>
        <v xml:space="preserve">סלייס גמל בע"מ </v>
      </c>
      <c r="AC29" s="1761" t="s">
        <v>346</v>
      </c>
      <c r="AD29" s="1761"/>
      <c r="AE29" s="1762">
        <v>42848.532523148097</v>
      </c>
      <c r="AF29" s="1761" t="s">
        <v>75</v>
      </c>
      <c r="AG29" s="1761" t="s">
        <v>1094</v>
      </c>
      <c r="AH29" s="1761" t="s">
        <v>1594</v>
      </c>
      <c r="AI29" s="1761" t="s">
        <v>5348</v>
      </c>
      <c r="AJ29" s="1761" t="s">
        <v>5348</v>
      </c>
      <c r="AK29" s="1761">
        <v>11946</v>
      </c>
      <c r="AL29" s="1761" t="s">
        <v>5337</v>
      </c>
      <c r="AM29" s="1761">
        <v>11939</v>
      </c>
      <c r="AN29" s="1761" t="s">
        <v>5338</v>
      </c>
      <c r="AO29" s="1764"/>
      <c r="AP29" s="1761" t="s">
        <v>5339</v>
      </c>
      <c r="AQ29" s="1761" t="s">
        <v>5340</v>
      </c>
      <c r="AR29" s="1761" t="s">
        <v>5341</v>
      </c>
      <c r="AS29" s="1761" t="s">
        <v>2749</v>
      </c>
      <c r="AT29" s="1761" t="s">
        <v>327</v>
      </c>
      <c r="AU29" s="1763"/>
      <c r="AV29" s="1763"/>
    </row>
    <row r="30" spans="1:48" ht="25" hidden="1">
      <c r="A30" s="1785" t="str">
        <f t="shared" si="0"/>
        <v>גמל</v>
      </c>
      <c r="B30" s="1786">
        <f t="shared" si="1"/>
        <v>11947</v>
      </c>
      <c r="C30" s="1787">
        <v>28946</v>
      </c>
      <c r="D30" s="1786" t="str">
        <f t="shared" si="2"/>
        <v>קל גמל קופת גמל לחסכון מדד מניות ישראל</v>
      </c>
      <c r="E30" s="1786" t="s">
        <v>3929</v>
      </c>
      <c r="F30" s="1786" t="s">
        <v>2958</v>
      </c>
      <c r="G30" s="1786" t="s">
        <v>2959</v>
      </c>
      <c r="H30" s="1786" t="str">
        <f t="shared" si="3"/>
        <v>פעיל</v>
      </c>
      <c r="I30" s="1788">
        <f t="shared" si="4"/>
        <v>42848.532523148097</v>
      </c>
      <c r="J30" s="1788" t="str">
        <f t="shared" si="5"/>
        <v/>
      </c>
      <c r="K30" s="1786">
        <v>0</v>
      </c>
      <c r="L30" s="1786" t="s">
        <v>1594</v>
      </c>
      <c r="M30" s="1786" t="s">
        <v>1653</v>
      </c>
      <c r="N30" s="1786" t="s">
        <v>1653</v>
      </c>
      <c r="O30" s="1786">
        <v>0</v>
      </c>
      <c r="P30" s="1786"/>
      <c r="Q30" s="1786">
        <v>0</v>
      </c>
      <c r="R30" s="1788"/>
      <c r="S30" s="1786">
        <f t="shared" si="6"/>
        <v>11939</v>
      </c>
      <c r="T30" s="1786" t="str">
        <f t="shared" si="7"/>
        <v>אפ.אמ.אר תפעול</v>
      </c>
      <c r="U30" s="1786" t="str">
        <f t="shared" si="8"/>
        <v>קל גמל קופת גמל לחסכון</v>
      </c>
      <c r="V30" s="1786" t="str">
        <f t="shared" si="9"/>
        <v>514741552</v>
      </c>
      <c r="W30" s="1789" t="str">
        <f t="shared" si="10"/>
        <v xml:space="preserve">סלייס גמל בע"מ </v>
      </c>
      <c r="AC30" s="1759" t="s">
        <v>346</v>
      </c>
      <c r="AD30" s="1759"/>
      <c r="AE30" s="1760">
        <v>42848.532523148097</v>
      </c>
      <c r="AF30" s="1759" t="s">
        <v>4705</v>
      </c>
      <c r="AG30" s="1759" t="s">
        <v>1094</v>
      </c>
      <c r="AH30" s="1759" t="s">
        <v>1594</v>
      </c>
      <c r="AI30" s="1759" t="s">
        <v>5349</v>
      </c>
      <c r="AJ30" s="1759" t="s">
        <v>5349</v>
      </c>
      <c r="AK30" s="1759">
        <v>11947</v>
      </c>
      <c r="AL30" s="1759" t="s">
        <v>5337</v>
      </c>
      <c r="AM30" s="1759">
        <v>11939</v>
      </c>
      <c r="AN30" s="1759" t="s">
        <v>5338</v>
      </c>
      <c r="AO30" s="1764"/>
      <c r="AP30" s="1759" t="s">
        <v>5339</v>
      </c>
      <c r="AQ30" s="1759" t="s">
        <v>5340</v>
      </c>
      <c r="AR30" s="1759" t="s">
        <v>5341</v>
      </c>
      <c r="AS30" s="1759" t="s">
        <v>2749</v>
      </c>
      <c r="AT30" s="1759" t="s">
        <v>327</v>
      </c>
      <c r="AU30" s="1763"/>
      <c r="AV30" s="1763"/>
    </row>
    <row r="31" spans="1:48" ht="25" hidden="1">
      <c r="A31" s="1785" t="str">
        <f t="shared" si="0"/>
        <v>גמל</v>
      </c>
      <c r="B31" s="1786">
        <f t="shared" si="1"/>
        <v>11948</v>
      </c>
      <c r="C31" s="1787">
        <v>28946</v>
      </c>
      <c r="D31" s="1786" t="str">
        <f t="shared" si="2"/>
        <v>קל גמל קופת גמל לחסכון מדד אג"ח ישראל</v>
      </c>
      <c r="E31" s="1786" t="s">
        <v>3929</v>
      </c>
      <c r="F31" s="1786" t="s">
        <v>2958</v>
      </c>
      <c r="G31" s="1786" t="s">
        <v>2959</v>
      </c>
      <c r="H31" s="1786" t="str">
        <f t="shared" si="3"/>
        <v>פעיל</v>
      </c>
      <c r="I31" s="1788">
        <f t="shared" si="4"/>
        <v>42848.532523148097</v>
      </c>
      <c r="J31" s="1788" t="str">
        <f t="shared" si="5"/>
        <v/>
      </c>
      <c r="K31" s="1786">
        <v>0</v>
      </c>
      <c r="L31" s="1786" t="s">
        <v>1594</v>
      </c>
      <c r="M31" s="1786" t="s">
        <v>1653</v>
      </c>
      <c r="N31" s="1786" t="s">
        <v>1653</v>
      </c>
      <c r="O31" s="1786">
        <v>0</v>
      </c>
      <c r="P31" s="1786"/>
      <c r="Q31" s="1786">
        <v>0</v>
      </c>
      <c r="R31" s="1788"/>
      <c r="S31" s="1786">
        <f t="shared" si="6"/>
        <v>11939</v>
      </c>
      <c r="T31" s="1786" t="str">
        <f t="shared" si="7"/>
        <v>אפ.אמ.אר תפעול</v>
      </c>
      <c r="U31" s="1786" t="str">
        <f t="shared" si="8"/>
        <v>קל גמל קופת גמל לחסכון</v>
      </c>
      <c r="V31" s="1786" t="str">
        <f t="shared" si="9"/>
        <v>514741552</v>
      </c>
      <c r="W31" s="1789" t="str">
        <f t="shared" si="10"/>
        <v xml:space="preserve">סלייס גמל בע"מ </v>
      </c>
      <c r="AC31" s="1761" t="s">
        <v>346</v>
      </c>
      <c r="AD31" s="1761"/>
      <c r="AE31" s="1762">
        <v>42848.532523148097</v>
      </c>
      <c r="AF31" s="1761" t="s">
        <v>4685</v>
      </c>
      <c r="AG31" s="1761" t="s">
        <v>1094</v>
      </c>
      <c r="AH31" s="1761" t="s">
        <v>1594</v>
      </c>
      <c r="AI31" s="1761" t="s">
        <v>5350</v>
      </c>
      <c r="AJ31" s="1761" t="s">
        <v>5350</v>
      </c>
      <c r="AK31" s="1761">
        <v>11948</v>
      </c>
      <c r="AL31" s="1761" t="s">
        <v>5337</v>
      </c>
      <c r="AM31" s="1761">
        <v>11939</v>
      </c>
      <c r="AN31" s="1761" t="s">
        <v>5338</v>
      </c>
      <c r="AO31" s="1764"/>
      <c r="AP31" s="1761" t="s">
        <v>5339</v>
      </c>
      <c r="AQ31" s="1761" t="s">
        <v>5340</v>
      </c>
      <c r="AR31" s="1761" t="s">
        <v>5341</v>
      </c>
      <c r="AS31" s="1761" t="s">
        <v>2749</v>
      </c>
      <c r="AT31" s="1761" t="s">
        <v>327</v>
      </c>
      <c r="AU31" s="1763"/>
      <c r="AV31" s="1763"/>
    </row>
    <row r="32" spans="1:48" ht="14" hidden="1">
      <c r="A32" s="1785" t="str">
        <f t="shared" si="0"/>
        <v>גמל</v>
      </c>
      <c r="B32" s="1786">
        <f t="shared" si="1"/>
        <v>11949</v>
      </c>
      <c r="C32" s="1787">
        <v>28946</v>
      </c>
      <c r="D32" s="1786" t="str">
        <f t="shared" si="2"/>
        <v>קל גמל קופת גמל לחסכון מדד חו"ל</v>
      </c>
      <c r="E32" s="1786" t="s">
        <v>3929</v>
      </c>
      <c r="F32" s="1786" t="s">
        <v>2958</v>
      </c>
      <c r="G32" s="1786" t="s">
        <v>2959</v>
      </c>
      <c r="H32" s="1786" t="str">
        <f t="shared" si="3"/>
        <v>פעיל</v>
      </c>
      <c r="I32" s="1788">
        <f t="shared" si="4"/>
        <v>42848.532523148097</v>
      </c>
      <c r="J32" s="1788" t="str">
        <f t="shared" si="5"/>
        <v/>
      </c>
      <c r="K32" s="1786">
        <v>0</v>
      </c>
      <c r="L32" s="1786" t="s">
        <v>1594</v>
      </c>
      <c r="M32" s="1786" t="s">
        <v>1653</v>
      </c>
      <c r="N32" s="1786" t="s">
        <v>1653</v>
      </c>
      <c r="O32" s="1786">
        <v>0</v>
      </c>
      <c r="P32" s="1786"/>
      <c r="Q32" s="1786">
        <v>0</v>
      </c>
      <c r="R32" s="1788"/>
      <c r="S32" s="1786">
        <f t="shared" si="6"/>
        <v>11939</v>
      </c>
      <c r="T32" s="1786" t="str">
        <f t="shared" si="7"/>
        <v>אפ.אמ.אר תפעול</v>
      </c>
      <c r="U32" s="1786" t="str">
        <f t="shared" si="8"/>
        <v>קל גמל קופת גמל לחסכון</v>
      </c>
      <c r="V32" s="1786" t="str">
        <f t="shared" si="9"/>
        <v>514741552</v>
      </c>
      <c r="W32" s="1789" t="str">
        <f t="shared" si="10"/>
        <v xml:space="preserve">סלייס גמל בע"מ </v>
      </c>
      <c r="AC32" s="1759" t="s">
        <v>346</v>
      </c>
      <c r="AD32" s="1759"/>
      <c r="AE32" s="1760">
        <v>42848.532523148097</v>
      </c>
      <c r="AF32" s="1759" t="s">
        <v>1948</v>
      </c>
      <c r="AG32" s="1759" t="s">
        <v>1094</v>
      </c>
      <c r="AH32" s="1759" t="s">
        <v>1594</v>
      </c>
      <c r="AI32" s="1759" t="s">
        <v>5351</v>
      </c>
      <c r="AJ32" s="1759" t="s">
        <v>5351</v>
      </c>
      <c r="AK32" s="1759">
        <v>11949</v>
      </c>
      <c r="AL32" s="1759" t="s">
        <v>5337</v>
      </c>
      <c r="AM32" s="1759">
        <v>11939</v>
      </c>
      <c r="AN32" s="1759" t="s">
        <v>5338</v>
      </c>
      <c r="AO32" s="1764"/>
      <c r="AP32" s="1759" t="s">
        <v>5339</v>
      </c>
      <c r="AQ32" s="1759" t="s">
        <v>5340</v>
      </c>
      <c r="AR32" s="1759" t="s">
        <v>5341</v>
      </c>
      <c r="AS32" s="1759" t="s">
        <v>2749</v>
      </c>
      <c r="AT32" s="1759" t="s">
        <v>327</v>
      </c>
      <c r="AU32" s="1763"/>
      <c r="AV32" s="1763"/>
    </row>
    <row r="33" spans="1:48" ht="25" hidden="1">
      <c r="A33" s="1785" t="str">
        <f t="shared" si="0"/>
        <v>גמל</v>
      </c>
      <c r="B33" s="1786">
        <f t="shared" si="1"/>
        <v>11950</v>
      </c>
      <c r="C33" s="1787">
        <v>28946</v>
      </c>
      <c r="D33" s="1786" t="str">
        <f t="shared" si="2"/>
        <v>קל גמל קופת גמל לחסכון אג"ח צמוד מדד בינוני</v>
      </c>
      <c r="E33" s="1786" t="s">
        <v>3929</v>
      </c>
      <c r="F33" s="1786" t="s">
        <v>2958</v>
      </c>
      <c r="G33" s="1786" t="s">
        <v>2959</v>
      </c>
      <c r="H33" s="1786" t="str">
        <f t="shared" si="3"/>
        <v>פעיל</v>
      </c>
      <c r="I33" s="1788">
        <f t="shared" si="4"/>
        <v>42848.532523148097</v>
      </c>
      <c r="J33" s="1788" t="str">
        <f t="shared" si="5"/>
        <v/>
      </c>
      <c r="K33" s="1786">
        <v>0</v>
      </c>
      <c r="L33" s="1786" t="s">
        <v>1594</v>
      </c>
      <c r="M33" s="1786" t="s">
        <v>1653</v>
      </c>
      <c r="N33" s="1786" t="s">
        <v>1653</v>
      </c>
      <c r="O33" s="1786">
        <v>0</v>
      </c>
      <c r="P33" s="1786"/>
      <c r="Q33" s="1786">
        <v>0</v>
      </c>
      <c r="R33" s="1788"/>
      <c r="S33" s="1786">
        <f t="shared" si="6"/>
        <v>11939</v>
      </c>
      <c r="T33" s="1786" t="str">
        <f t="shared" si="7"/>
        <v>אפ.אמ.אר תפעול</v>
      </c>
      <c r="U33" s="1786" t="str">
        <f t="shared" si="8"/>
        <v>קל גמל קופת גמל לחסכון</v>
      </c>
      <c r="V33" s="1786" t="str">
        <f t="shared" si="9"/>
        <v>514741552</v>
      </c>
      <c r="W33" s="1789" t="str">
        <f t="shared" si="10"/>
        <v xml:space="preserve">סלייס גמל בע"מ </v>
      </c>
      <c r="AC33" s="1761" t="s">
        <v>346</v>
      </c>
      <c r="AD33" s="1761"/>
      <c r="AE33" s="1762">
        <v>42848.532523148097</v>
      </c>
      <c r="AF33" s="1761" t="s">
        <v>3008</v>
      </c>
      <c r="AG33" s="1761" t="s">
        <v>1653</v>
      </c>
      <c r="AH33" s="1761" t="s">
        <v>1594</v>
      </c>
      <c r="AI33" s="1761" t="s">
        <v>5352</v>
      </c>
      <c r="AJ33" s="1761" t="s">
        <v>5352</v>
      </c>
      <c r="AK33" s="1761">
        <v>11950</v>
      </c>
      <c r="AL33" s="1761" t="s">
        <v>5337</v>
      </c>
      <c r="AM33" s="1761">
        <v>11939</v>
      </c>
      <c r="AN33" s="1761" t="s">
        <v>5338</v>
      </c>
      <c r="AO33" s="1764"/>
      <c r="AP33" s="1761" t="s">
        <v>5339</v>
      </c>
      <c r="AQ33" s="1761" t="s">
        <v>5340</v>
      </c>
      <c r="AR33" s="1761" t="s">
        <v>5341</v>
      </c>
      <c r="AS33" s="1761" t="s">
        <v>2749</v>
      </c>
      <c r="AT33" s="1761" t="s">
        <v>327</v>
      </c>
      <c r="AU33" s="1763"/>
      <c r="AV33" s="1763"/>
    </row>
    <row r="34" spans="1:48" ht="14" hidden="1">
      <c r="A34" s="1785" t="str">
        <f t="shared" si="0"/>
        <v>גמל</v>
      </c>
      <c r="B34" s="1786">
        <f t="shared" si="1"/>
        <v>11936</v>
      </c>
      <c r="C34" s="1787">
        <v>28946</v>
      </c>
      <c r="D34" s="1786" t="str">
        <f t="shared" si="2"/>
        <v>קל השתלמות חו"ל חו"ל</v>
      </c>
      <c r="E34" s="1786" t="s">
        <v>3929</v>
      </c>
      <c r="F34" s="1786" t="s">
        <v>2958</v>
      </c>
      <c r="G34" s="1786" t="s">
        <v>2959</v>
      </c>
      <c r="H34" s="1786" t="str">
        <f t="shared" si="3"/>
        <v>פעיל</v>
      </c>
      <c r="I34" s="1788">
        <f t="shared" si="4"/>
        <v>42847.958796296298</v>
      </c>
      <c r="J34" s="1788" t="str">
        <f t="shared" si="5"/>
        <v/>
      </c>
      <c r="K34" s="1786">
        <v>0</v>
      </c>
      <c r="L34" s="1786" t="s">
        <v>1594</v>
      </c>
      <c r="M34" s="1786" t="s">
        <v>1653</v>
      </c>
      <c r="N34" s="1786" t="s">
        <v>1653</v>
      </c>
      <c r="O34" s="1786">
        <v>0</v>
      </c>
      <c r="P34" s="1786"/>
      <c r="Q34" s="1786">
        <v>0</v>
      </c>
      <c r="R34" s="1788"/>
      <c r="S34" s="1786">
        <f t="shared" si="6"/>
        <v>11925</v>
      </c>
      <c r="T34" s="1786" t="str">
        <f t="shared" si="7"/>
        <v>אפ.אמ.אר תפעול</v>
      </c>
      <c r="U34" s="1786" t="str">
        <f t="shared" si="8"/>
        <v>קל השתלמות</v>
      </c>
      <c r="V34" s="1786" t="str">
        <f t="shared" si="9"/>
        <v>514741552</v>
      </c>
      <c r="W34" s="1789" t="str">
        <f t="shared" si="10"/>
        <v xml:space="preserve">סלייס גמל בע"מ </v>
      </c>
      <c r="AC34" s="1759" t="s">
        <v>346</v>
      </c>
      <c r="AD34" s="1759"/>
      <c r="AE34" s="1760">
        <v>42847.958796296298</v>
      </c>
      <c r="AF34" s="1759" t="s">
        <v>1948</v>
      </c>
      <c r="AG34" s="1759" t="s">
        <v>1948</v>
      </c>
      <c r="AH34" s="1759" t="s">
        <v>1594</v>
      </c>
      <c r="AI34" s="1759" t="s">
        <v>5353</v>
      </c>
      <c r="AJ34" s="1759" t="s">
        <v>5353</v>
      </c>
      <c r="AK34" s="1759">
        <v>11936</v>
      </c>
      <c r="AL34" s="1759" t="s">
        <v>4655</v>
      </c>
      <c r="AM34" s="1759">
        <v>11925</v>
      </c>
      <c r="AN34" s="1759" t="s">
        <v>5338</v>
      </c>
      <c r="AO34" s="1764"/>
      <c r="AP34" s="1759" t="s">
        <v>5339</v>
      </c>
      <c r="AQ34" s="1759" t="s">
        <v>5340</v>
      </c>
      <c r="AR34" s="1759" t="s">
        <v>5341</v>
      </c>
      <c r="AS34" s="1759" t="s">
        <v>2749</v>
      </c>
      <c r="AT34" s="1759" t="s">
        <v>327</v>
      </c>
      <c r="AU34" s="1763"/>
      <c r="AV34" s="1763"/>
    </row>
    <row r="35" spans="1:48" ht="14" hidden="1">
      <c r="A35" s="1785" t="str">
        <f t="shared" si="0"/>
        <v>גמל</v>
      </c>
      <c r="B35" s="1786">
        <f t="shared" si="1"/>
        <v>11937</v>
      </c>
      <c r="C35" s="1787">
        <v>28946</v>
      </c>
      <c r="D35" s="1786" t="str">
        <f t="shared" si="2"/>
        <v>קל השתלמות חו"ל פאסיבי</v>
      </c>
      <c r="E35" s="1786" t="s">
        <v>3929</v>
      </c>
      <c r="F35" s="1786" t="s">
        <v>2958</v>
      </c>
      <c r="G35" s="1786" t="s">
        <v>2959</v>
      </c>
      <c r="H35" s="1786" t="str">
        <f t="shared" si="3"/>
        <v>פעיל</v>
      </c>
      <c r="I35" s="1788">
        <f t="shared" si="4"/>
        <v>42847.958796296298</v>
      </c>
      <c r="J35" s="1788" t="str">
        <f t="shared" si="5"/>
        <v/>
      </c>
      <c r="K35" s="1786">
        <v>0</v>
      </c>
      <c r="L35" s="1786" t="s">
        <v>1594</v>
      </c>
      <c r="M35" s="1786" t="s">
        <v>1653</v>
      </c>
      <c r="N35" s="1786" t="s">
        <v>1653</v>
      </c>
      <c r="O35" s="1786">
        <v>0</v>
      </c>
      <c r="P35" s="1786"/>
      <c r="Q35" s="1786">
        <v>0</v>
      </c>
      <c r="R35" s="1788"/>
      <c r="S35" s="1786">
        <f t="shared" si="6"/>
        <v>11925</v>
      </c>
      <c r="T35" s="1786" t="str">
        <f t="shared" si="7"/>
        <v>אפ.אמ.אר תפעול</v>
      </c>
      <c r="U35" s="1786" t="str">
        <f t="shared" si="8"/>
        <v>קל השתלמות</v>
      </c>
      <c r="V35" s="1786" t="str">
        <f t="shared" si="9"/>
        <v>514741552</v>
      </c>
      <c r="W35" s="1789" t="str">
        <f t="shared" si="10"/>
        <v xml:space="preserve">סלייס גמל בע"מ </v>
      </c>
      <c r="AC35" s="1761" t="s">
        <v>346</v>
      </c>
      <c r="AD35" s="1761"/>
      <c r="AE35" s="1762">
        <v>42847.958796296298</v>
      </c>
      <c r="AF35" s="1761" t="s">
        <v>3959</v>
      </c>
      <c r="AG35" s="1761" t="s">
        <v>1948</v>
      </c>
      <c r="AH35" s="1761" t="s">
        <v>1594</v>
      </c>
      <c r="AI35" s="1761" t="s">
        <v>5354</v>
      </c>
      <c r="AJ35" s="1761" t="s">
        <v>5354</v>
      </c>
      <c r="AK35" s="1761">
        <v>11937</v>
      </c>
      <c r="AL35" s="1761" t="s">
        <v>4655</v>
      </c>
      <c r="AM35" s="1761">
        <v>11925</v>
      </c>
      <c r="AN35" s="1761" t="s">
        <v>5338</v>
      </c>
      <c r="AO35" s="1764"/>
      <c r="AP35" s="1761" t="s">
        <v>5339</v>
      </c>
      <c r="AQ35" s="1761" t="s">
        <v>5340</v>
      </c>
      <c r="AR35" s="1761" t="s">
        <v>5341</v>
      </c>
      <c r="AS35" s="1761" t="s">
        <v>2749</v>
      </c>
      <c r="AT35" s="1761" t="s">
        <v>327</v>
      </c>
      <c r="AU35" s="1763"/>
      <c r="AV35" s="1763"/>
    </row>
    <row r="36" spans="1:48" ht="14" hidden="1">
      <c r="A36" s="1785" t="str">
        <f t="shared" si="0"/>
        <v>גמל</v>
      </c>
      <c r="B36" s="1786">
        <f t="shared" si="1"/>
        <v>11934</v>
      </c>
      <c r="C36" s="1787">
        <v>28946</v>
      </c>
      <c r="D36" s="1786" t="str">
        <f t="shared" si="2"/>
        <v>קל השתלמות מדד חו"ל</v>
      </c>
      <c r="E36" s="1786" t="s">
        <v>3929</v>
      </c>
      <c r="F36" s="1786" t="s">
        <v>2958</v>
      </c>
      <c r="G36" s="1786" t="s">
        <v>2959</v>
      </c>
      <c r="H36" s="1786" t="str">
        <f t="shared" si="3"/>
        <v>פעיל</v>
      </c>
      <c r="I36" s="1788">
        <f t="shared" si="4"/>
        <v>42847.958796296298</v>
      </c>
      <c r="J36" s="1788" t="str">
        <f t="shared" si="5"/>
        <v/>
      </c>
      <c r="K36" s="1786">
        <v>0</v>
      </c>
      <c r="L36" s="1786" t="s">
        <v>1594</v>
      </c>
      <c r="M36" s="1786" t="s">
        <v>1653</v>
      </c>
      <c r="N36" s="1786" t="s">
        <v>1653</v>
      </c>
      <c r="O36" s="1786">
        <v>0</v>
      </c>
      <c r="P36" s="1786"/>
      <c r="Q36" s="1786">
        <v>0</v>
      </c>
      <c r="R36" s="1788"/>
      <c r="S36" s="1786">
        <f t="shared" si="6"/>
        <v>11925</v>
      </c>
      <c r="T36" s="1786" t="str">
        <f t="shared" si="7"/>
        <v>אפ.אמ.אר תפעול</v>
      </c>
      <c r="U36" s="1786" t="str">
        <f t="shared" si="8"/>
        <v>קל השתלמות</v>
      </c>
      <c r="V36" s="1786" t="str">
        <f t="shared" si="9"/>
        <v>514741552</v>
      </c>
      <c r="W36" s="1789" t="str">
        <f t="shared" si="10"/>
        <v xml:space="preserve">סלייס גמל בע"מ </v>
      </c>
      <c r="AC36" s="1759" t="s">
        <v>346</v>
      </c>
      <c r="AD36" s="1759"/>
      <c r="AE36" s="1760">
        <v>42847.958796296298</v>
      </c>
      <c r="AF36" s="1759" t="s">
        <v>1948</v>
      </c>
      <c r="AG36" s="1759" t="s">
        <v>1094</v>
      </c>
      <c r="AH36" s="1759" t="s">
        <v>1594</v>
      </c>
      <c r="AI36" s="1759" t="s">
        <v>5355</v>
      </c>
      <c r="AJ36" s="1759" t="s">
        <v>5355</v>
      </c>
      <c r="AK36" s="1759">
        <v>11934</v>
      </c>
      <c r="AL36" s="1759" t="s">
        <v>4655</v>
      </c>
      <c r="AM36" s="1759">
        <v>11925</v>
      </c>
      <c r="AN36" s="1759" t="s">
        <v>5338</v>
      </c>
      <c r="AO36" s="1764"/>
      <c r="AP36" s="1759" t="s">
        <v>5339</v>
      </c>
      <c r="AQ36" s="1759" t="s">
        <v>5340</v>
      </c>
      <c r="AR36" s="1759" t="s">
        <v>5341</v>
      </c>
      <c r="AS36" s="1759" t="s">
        <v>2749</v>
      </c>
      <c r="AT36" s="1759" t="s">
        <v>327</v>
      </c>
      <c r="AU36" s="1763"/>
      <c r="AV36" s="1763"/>
    </row>
    <row r="37" spans="1:48" ht="14" hidden="1">
      <c r="A37" s="1785" t="str">
        <f t="shared" si="0"/>
        <v>גמל</v>
      </c>
      <c r="B37" s="1786">
        <f t="shared" si="1"/>
        <v>11933</v>
      </c>
      <c r="C37" s="1787">
        <v>28946</v>
      </c>
      <c r="D37" s="1786" t="str">
        <f t="shared" si="2"/>
        <v>קל השתלמות מדד אג"ח ישראל</v>
      </c>
      <c r="E37" s="1786" t="s">
        <v>3929</v>
      </c>
      <c r="F37" s="1786" t="s">
        <v>2958</v>
      </c>
      <c r="G37" s="1786" t="s">
        <v>2959</v>
      </c>
      <c r="H37" s="1786" t="str">
        <f t="shared" si="3"/>
        <v>פעיל</v>
      </c>
      <c r="I37" s="1788">
        <f t="shared" si="4"/>
        <v>42847.958796296298</v>
      </c>
      <c r="J37" s="1788" t="str">
        <f t="shared" si="5"/>
        <v/>
      </c>
      <c r="K37" s="1786">
        <v>0</v>
      </c>
      <c r="L37" s="1786" t="s">
        <v>1594</v>
      </c>
      <c r="M37" s="1786" t="s">
        <v>1653</v>
      </c>
      <c r="N37" s="1786" t="s">
        <v>1653</v>
      </c>
      <c r="O37" s="1786">
        <v>0</v>
      </c>
      <c r="P37" s="1786"/>
      <c r="Q37" s="1786">
        <v>0</v>
      </c>
      <c r="R37" s="1788"/>
      <c r="S37" s="1786">
        <f t="shared" si="6"/>
        <v>11925</v>
      </c>
      <c r="T37" s="1786" t="str">
        <f t="shared" si="7"/>
        <v>אפ.אמ.אר תפעול</v>
      </c>
      <c r="U37" s="1786" t="str">
        <f t="shared" si="8"/>
        <v>קל השתלמות</v>
      </c>
      <c r="V37" s="1786" t="str">
        <f t="shared" si="9"/>
        <v>514741552</v>
      </c>
      <c r="W37" s="1789" t="str">
        <f t="shared" si="10"/>
        <v xml:space="preserve">סלייס גמל בע"מ </v>
      </c>
      <c r="AC37" s="1761" t="s">
        <v>346</v>
      </c>
      <c r="AD37" s="1761"/>
      <c r="AE37" s="1762">
        <v>42847.958796296298</v>
      </c>
      <c r="AF37" s="1761" t="s">
        <v>4685</v>
      </c>
      <c r="AG37" s="1761" t="s">
        <v>1094</v>
      </c>
      <c r="AH37" s="1761" t="s">
        <v>1594</v>
      </c>
      <c r="AI37" s="1761" t="s">
        <v>5356</v>
      </c>
      <c r="AJ37" s="1761" t="s">
        <v>5356</v>
      </c>
      <c r="AK37" s="1761">
        <v>11933</v>
      </c>
      <c r="AL37" s="1761" t="s">
        <v>4655</v>
      </c>
      <c r="AM37" s="1761">
        <v>11925</v>
      </c>
      <c r="AN37" s="1761" t="s">
        <v>5338</v>
      </c>
      <c r="AO37" s="1764"/>
      <c r="AP37" s="1761" t="s">
        <v>5339</v>
      </c>
      <c r="AQ37" s="1761" t="s">
        <v>5340</v>
      </c>
      <c r="AR37" s="1761" t="s">
        <v>5341</v>
      </c>
      <c r="AS37" s="1761" t="s">
        <v>2749</v>
      </c>
      <c r="AT37" s="1761" t="s">
        <v>327</v>
      </c>
      <c r="AU37" s="1763"/>
      <c r="AV37" s="1763"/>
    </row>
    <row r="38" spans="1:48" ht="14" hidden="1">
      <c r="A38" s="1785" t="str">
        <f t="shared" si="0"/>
        <v>גמל</v>
      </c>
      <c r="B38" s="1786">
        <f t="shared" si="1"/>
        <v>11932</v>
      </c>
      <c r="C38" s="1787">
        <v>28946</v>
      </c>
      <c r="D38" s="1786" t="str">
        <f t="shared" si="2"/>
        <v>קל השתלמות מדד מניות ישראל</v>
      </c>
      <c r="E38" s="1786" t="s">
        <v>3929</v>
      </c>
      <c r="F38" s="1786" t="s">
        <v>2958</v>
      </c>
      <c r="G38" s="1786" t="s">
        <v>2959</v>
      </c>
      <c r="H38" s="1786" t="str">
        <f t="shared" si="3"/>
        <v>פעיל</v>
      </c>
      <c r="I38" s="1788">
        <f t="shared" si="4"/>
        <v>42847.958796296298</v>
      </c>
      <c r="J38" s="1788" t="str">
        <f t="shared" si="5"/>
        <v/>
      </c>
      <c r="K38" s="1786">
        <v>0</v>
      </c>
      <c r="L38" s="1786" t="s">
        <v>1594</v>
      </c>
      <c r="M38" s="1786" t="s">
        <v>1653</v>
      </c>
      <c r="N38" s="1786" t="s">
        <v>1653</v>
      </c>
      <c r="O38" s="1786">
        <v>0</v>
      </c>
      <c r="P38" s="1786"/>
      <c r="Q38" s="1786">
        <v>0</v>
      </c>
      <c r="R38" s="1788"/>
      <c r="S38" s="1786">
        <f t="shared" si="6"/>
        <v>11925</v>
      </c>
      <c r="T38" s="1786" t="str">
        <f t="shared" si="7"/>
        <v>אפ.אמ.אר תפעול</v>
      </c>
      <c r="U38" s="1786" t="str">
        <f t="shared" si="8"/>
        <v>קל השתלמות</v>
      </c>
      <c r="V38" s="1786" t="str">
        <f t="shared" si="9"/>
        <v>514741552</v>
      </c>
      <c r="W38" s="1789" t="str">
        <f t="shared" si="10"/>
        <v xml:space="preserve">סלייס גמל בע"מ </v>
      </c>
      <c r="AC38" s="1759" t="s">
        <v>346</v>
      </c>
      <c r="AD38" s="1759"/>
      <c r="AE38" s="1760">
        <v>42847.958796296298</v>
      </c>
      <c r="AF38" s="1759" t="s">
        <v>4705</v>
      </c>
      <c r="AG38" s="1759" t="s">
        <v>1094</v>
      </c>
      <c r="AH38" s="1759" t="s">
        <v>1594</v>
      </c>
      <c r="AI38" s="1759" t="s">
        <v>5357</v>
      </c>
      <c r="AJ38" s="1759" t="s">
        <v>5357</v>
      </c>
      <c r="AK38" s="1759">
        <v>11932</v>
      </c>
      <c r="AL38" s="1759" t="s">
        <v>4655</v>
      </c>
      <c r="AM38" s="1759">
        <v>11925</v>
      </c>
      <c r="AN38" s="1759" t="s">
        <v>5338</v>
      </c>
      <c r="AO38" s="1764"/>
      <c r="AP38" s="1759" t="s">
        <v>5339</v>
      </c>
      <c r="AQ38" s="1759" t="s">
        <v>5340</v>
      </c>
      <c r="AR38" s="1759" t="s">
        <v>5341</v>
      </c>
      <c r="AS38" s="1759" t="s">
        <v>2749</v>
      </c>
      <c r="AT38" s="1759" t="s">
        <v>327</v>
      </c>
      <c r="AU38" s="1763"/>
      <c r="AV38" s="1763"/>
    </row>
    <row r="39" spans="1:48" ht="14" hidden="1">
      <c r="A39" s="1785" t="str">
        <f t="shared" si="0"/>
        <v>גמל</v>
      </c>
      <c r="B39" s="1786">
        <f t="shared" si="1"/>
        <v>11931</v>
      </c>
      <c r="C39" s="1787">
        <v>28946</v>
      </c>
      <c r="D39" s="1786" t="str">
        <f t="shared" si="2"/>
        <v>קל השתלמות מניות פאסיבי</v>
      </c>
      <c r="E39" s="1786" t="s">
        <v>3929</v>
      </c>
      <c r="F39" s="1786" t="s">
        <v>2958</v>
      </c>
      <c r="G39" s="1786" t="s">
        <v>2959</v>
      </c>
      <c r="H39" s="1786" t="str">
        <f t="shared" si="3"/>
        <v>פעיל</v>
      </c>
      <c r="I39" s="1788">
        <f t="shared" si="4"/>
        <v>42847.958796296298</v>
      </c>
      <c r="J39" s="1788" t="str">
        <f t="shared" si="5"/>
        <v/>
      </c>
      <c r="K39" s="1786">
        <v>0</v>
      </c>
      <c r="L39" s="1786" t="s">
        <v>1594</v>
      </c>
      <c r="M39" s="1786" t="s">
        <v>1653</v>
      </c>
      <c r="N39" s="1786" t="s">
        <v>1653</v>
      </c>
      <c r="O39" s="1786">
        <v>0</v>
      </c>
      <c r="P39" s="1786"/>
      <c r="Q39" s="1786">
        <v>0</v>
      </c>
      <c r="R39" s="1788"/>
      <c r="S39" s="1786">
        <f t="shared" si="6"/>
        <v>11925</v>
      </c>
      <c r="T39" s="1786" t="str">
        <f t="shared" si="7"/>
        <v>אפ.אמ.אר תפעול</v>
      </c>
      <c r="U39" s="1786" t="str">
        <f t="shared" si="8"/>
        <v>קל השתלמות</v>
      </c>
      <c r="V39" s="1786" t="str">
        <f t="shared" si="9"/>
        <v>514741552</v>
      </c>
      <c r="W39" s="1789" t="str">
        <f t="shared" si="10"/>
        <v xml:space="preserve">סלייס גמל בע"מ </v>
      </c>
      <c r="AC39" s="1761" t="s">
        <v>346</v>
      </c>
      <c r="AD39" s="1761"/>
      <c r="AE39" s="1762">
        <v>42847.958796296298</v>
      </c>
      <c r="AF39" s="1761" t="s">
        <v>3959</v>
      </c>
      <c r="AG39" s="1761" t="s">
        <v>75</v>
      </c>
      <c r="AH39" s="1761" t="s">
        <v>1594</v>
      </c>
      <c r="AI39" s="1761" t="s">
        <v>5358</v>
      </c>
      <c r="AJ39" s="1761" t="s">
        <v>5358</v>
      </c>
      <c r="AK39" s="1761">
        <v>11931</v>
      </c>
      <c r="AL39" s="1761" t="s">
        <v>4655</v>
      </c>
      <c r="AM39" s="1761">
        <v>11925</v>
      </c>
      <c r="AN39" s="1761" t="s">
        <v>5338</v>
      </c>
      <c r="AO39" s="1764"/>
      <c r="AP39" s="1761" t="s">
        <v>5339</v>
      </c>
      <c r="AQ39" s="1761" t="s">
        <v>5340</v>
      </c>
      <c r="AR39" s="1761" t="s">
        <v>5341</v>
      </c>
      <c r="AS39" s="1761" t="s">
        <v>2749</v>
      </c>
      <c r="AT39" s="1761" t="s">
        <v>327</v>
      </c>
      <c r="AU39" s="1763"/>
      <c r="AV39" s="1763"/>
    </row>
    <row r="40" spans="1:48" ht="14" hidden="1">
      <c r="A40" s="1785" t="str">
        <f t="shared" si="0"/>
        <v>גמל</v>
      </c>
      <c r="B40" s="1786">
        <f t="shared" si="1"/>
        <v>11930</v>
      </c>
      <c r="C40" s="1787">
        <v>28946</v>
      </c>
      <c r="D40" s="1786" t="str">
        <f t="shared" si="2"/>
        <v>קל השתלמות אג"ח פאסיבי</v>
      </c>
      <c r="E40" s="1786" t="s">
        <v>3929</v>
      </c>
      <c r="F40" s="1786" t="s">
        <v>2958</v>
      </c>
      <c r="G40" s="1786" t="s">
        <v>2959</v>
      </c>
      <c r="H40" s="1786" t="str">
        <f t="shared" si="3"/>
        <v>פעיל</v>
      </c>
      <c r="I40" s="1788">
        <f t="shared" si="4"/>
        <v>42847.958796296298</v>
      </c>
      <c r="J40" s="1788" t="str">
        <f t="shared" si="5"/>
        <v/>
      </c>
      <c r="K40" s="1786">
        <v>0</v>
      </c>
      <c r="L40" s="1786" t="s">
        <v>1594</v>
      </c>
      <c r="M40" s="1786" t="s">
        <v>1653</v>
      </c>
      <c r="N40" s="1786" t="s">
        <v>1653</v>
      </c>
      <c r="O40" s="1786">
        <v>0</v>
      </c>
      <c r="P40" s="1786"/>
      <c r="Q40" s="1786">
        <v>0</v>
      </c>
      <c r="R40" s="1788"/>
      <c r="S40" s="1786">
        <f t="shared" si="6"/>
        <v>11925</v>
      </c>
      <c r="T40" s="1786" t="str">
        <f t="shared" si="7"/>
        <v>אפ.אמ.אר תפעול</v>
      </c>
      <c r="U40" s="1786" t="str">
        <f t="shared" si="8"/>
        <v>קל השתלמות</v>
      </c>
      <c r="V40" s="1786" t="str">
        <f t="shared" si="9"/>
        <v>514741552</v>
      </c>
      <c r="W40" s="1789" t="str">
        <f t="shared" si="10"/>
        <v xml:space="preserve">סלייס גמל בע"מ </v>
      </c>
      <c r="AC40" s="1759" t="s">
        <v>346</v>
      </c>
      <c r="AD40" s="1759"/>
      <c r="AE40" s="1760">
        <v>42847.958796296298</v>
      </c>
      <c r="AF40" s="1759" t="s">
        <v>3959</v>
      </c>
      <c r="AG40" s="1759" t="s">
        <v>1653</v>
      </c>
      <c r="AH40" s="1759" t="s">
        <v>1594</v>
      </c>
      <c r="AI40" s="1759" t="s">
        <v>5359</v>
      </c>
      <c r="AJ40" s="1759" t="s">
        <v>5359</v>
      </c>
      <c r="AK40" s="1759">
        <v>11930</v>
      </c>
      <c r="AL40" s="1759" t="s">
        <v>4655</v>
      </c>
      <c r="AM40" s="1759">
        <v>11925</v>
      </c>
      <c r="AN40" s="1759" t="s">
        <v>5338</v>
      </c>
      <c r="AO40" s="1764"/>
      <c r="AP40" s="1759" t="s">
        <v>5339</v>
      </c>
      <c r="AQ40" s="1759" t="s">
        <v>5340</v>
      </c>
      <c r="AR40" s="1759" t="s">
        <v>5341</v>
      </c>
      <c r="AS40" s="1759" t="s">
        <v>2749</v>
      </c>
      <c r="AT40" s="1759" t="s">
        <v>327</v>
      </c>
      <c r="AU40" s="1763"/>
      <c r="AV40" s="1763"/>
    </row>
    <row r="41" spans="1:48" ht="14" hidden="1">
      <c r="A41" s="1785" t="str">
        <f t="shared" si="0"/>
        <v>גמל</v>
      </c>
      <c r="B41" s="1786">
        <f t="shared" si="1"/>
        <v>11929</v>
      </c>
      <c r="C41" s="1787">
        <v>28946</v>
      </c>
      <c r="D41" s="1786" t="str">
        <f t="shared" si="2"/>
        <v xml:space="preserve">קל השתלמות מניות מניות </v>
      </c>
      <c r="E41" s="1786" t="s">
        <v>3929</v>
      </c>
      <c r="F41" s="1786" t="s">
        <v>2958</v>
      </c>
      <c r="G41" s="1786" t="s">
        <v>2959</v>
      </c>
      <c r="H41" s="1786" t="str">
        <f t="shared" si="3"/>
        <v>פעיל</v>
      </c>
      <c r="I41" s="1788">
        <f t="shared" si="4"/>
        <v>42847.958796296298</v>
      </c>
      <c r="J41" s="1788" t="str">
        <f t="shared" si="5"/>
        <v/>
      </c>
      <c r="K41" s="1786">
        <v>0</v>
      </c>
      <c r="L41" s="1786" t="s">
        <v>1594</v>
      </c>
      <c r="M41" s="1786" t="s">
        <v>1653</v>
      </c>
      <c r="N41" s="1786" t="s">
        <v>1653</v>
      </c>
      <c r="O41" s="1786">
        <v>0</v>
      </c>
      <c r="P41" s="1786"/>
      <c r="Q41" s="1786">
        <v>0</v>
      </c>
      <c r="R41" s="1788"/>
      <c r="S41" s="1786">
        <f t="shared" si="6"/>
        <v>11925</v>
      </c>
      <c r="T41" s="1786" t="str">
        <f t="shared" si="7"/>
        <v>אפ.אמ.אר תפעול</v>
      </c>
      <c r="U41" s="1786" t="str">
        <f t="shared" si="8"/>
        <v>קל השתלמות</v>
      </c>
      <c r="V41" s="1786" t="str">
        <f t="shared" si="9"/>
        <v>514741552</v>
      </c>
      <c r="W41" s="1789" t="str">
        <f t="shared" si="10"/>
        <v xml:space="preserve">סלייס גמל בע"מ </v>
      </c>
      <c r="AC41" s="1761" t="s">
        <v>346</v>
      </c>
      <c r="AD41" s="1761"/>
      <c r="AE41" s="1762">
        <v>42847.958796296298</v>
      </c>
      <c r="AF41" s="1761" t="s">
        <v>1595</v>
      </c>
      <c r="AG41" s="1761" t="s">
        <v>75</v>
      </c>
      <c r="AH41" s="1761" t="s">
        <v>1594</v>
      </c>
      <c r="AI41" s="1761" t="s">
        <v>4656</v>
      </c>
      <c r="AJ41" s="1761" t="s">
        <v>4656</v>
      </c>
      <c r="AK41" s="1761">
        <v>11929</v>
      </c>
      <c r="AL41" s="1761" t="s">
        <v>4655</v>
      </c>
      <c r="AM41" s="1761">
        <v>11925</v>
      </c>
      <c r="AN41" s="1761" t="s">
        <v>5338</v>
      </c>
      <c r="AO41" s="1764"/>
      <c r="AP41" s="1761" t="s">
        <v>5339</v>
      </c>
      <c r="AQ41" s="1761" t="s">
        <v>5340</v>
      </c>
      <c r="AR41" s="1761" t="s">
        <v>5341</v>
      </c>
      <c r="AS41" s="1761" t="s">
        <v>2749</v>
      </c>
      <c r="AT41" s="1761" t="s">
        <v>327</v>
      </c>
      <c r="AU41" s="1763"/>
      <c r="AV41" s="1763"/>
    </row>
    <row r="42" spans="1:48" ht="14" hidden="1">
      <c r="A42" s="1785" t="str">
        <f t="shared" si="0"/>
        <v>גמל</v>
      </c>
      <c r="B42" s="1786">
        <f t="shared" si="1"/>
        <v>11928</v>
      </c>
      <c r="C42" s="1787">
        <v>28946</v>
      </c>
      <c r="D42" s="1786" t="str">
        <f t="shared" si="2"/>
        <v>קל השתלמות אג"ח אג"ח</v>
      </c>
      <c r="E42" s="1786" t="s">
        <v>3929</v>
      </c>
      <c r="F42" s="1786" t="s">
        <v>2958</v>
      </c>
      <c r="G42" s="1786" t="s">
        <v>2959</v>
      </c>
      <c r="H42" s="1786" t="str">
        <f t="shared" si="3"/>
        <v>פעיל</v>
      </c>
      <c r="I42" s="1788">
        <f t="shared" si="4"/>
        <v>42847.958796296298</v>
      </c>
      <c r="J42" s="1788" t="str">
        <f t="shared" si="5"/>
        <v/>
      </c>
      <c r="K42" s="1786">
        <v>0</v>
      </c>
      <c r="L42" s="1786" t="s">
        <v>1594</v>
      </c>
      <c r="M42" s="1786" t="s">
        <v>1653</v>
      </c>
      <c r="N42" s="1786" t="s">
        <v>1653</v>
      </c>
      <c r="O42" s="1786">
        <v>0</v>
      </c>
      <c r="P42" s="1786"/>
      <c r="Q42" s="1786">
        <v>0</v>
      </c>
      <c r="R42" s="1788"/>
      <c r="S42" s="1786">
        <f t="shared" si="6"/>
        <v>11925</v>
      </c>
      <c r="T42" s="1786" t="str">
        <f t="shared" si="7"/>
        <v>אפ.אמ.אר תפעול</v>
      </c>
      <c r="U42" s="1786" t="str">
        <f t="shared" si="8"/>
        <v>קל השתלמות</v>
      </c>
      <c r="V42" s="1786" t="str">
        <f t="shared" si="9"/>
        <v>514741552</v>
      </c>
      <c r="W42" s="1789" t="str">
        <f t="shared" si="10"/>
        <v xml:space="preserve">סלייס גמל בע"מ </v>
      </c>
      <c r="AC42" s="1759" t="s">
        <v>346</v>
      </c>
      <c r="AD42" s="1759"/>
      <c r="AE42" s="1760">
        <v>42847.958796296298</v>
      </c>
      <c r="AF42" s="1759" t="s">
        <v>1653</v>
      </c>
      <c r="AG42" s="1759" t="s">
        <v>1653</v>
      </c>
      <c r="AH42" s="1759" t="s">
        <v>1594</v>
      </c>
      <c r="AI42" s="1759" t="s">
        <v>5360</v>
      </c>
      <c r="AJ42" s="1759" t="s">
        <v>5360</v>
      </c>
      <c r="AK42" s="1759">
        <v>11928</v>
      </c>
      <c r="AL42" s="1759" t="s">
        <v>4655</v>
      </c>
      <c r="AM42" s="1759">
        <v>11925</v>
      </c>
      <c r="AN42" s="1759" t="s">
        <v>5338</v>
      </c>
      <c r="AO42" s="1764"/>
      <c r="AP42" s="1759" t="s">
        <v>5339</v>
      </c>
      <c r="AQ42" s="1759" t="s">
        <v>5340</v>
      </c>
      <c r="AR42" s="1759" t="s">
        <v>5341</v>
      </c>
      <c r="AS42" s="1759" t="s">
        <v>2749</v>
      </c>
      <c r="AT42" s="1759" t="s">
        <v>327</v>
      </c>
      <c r="AU42" s="1763"/>
      <c r="AV42" s="1763"/>
    </row>
    <row r="43" spans="1:48" ht="14" hidden="1">
      <c r="A43" s="1785" t="str">
        <f t="shared" si="0"/>
        <v>גמל</v>
      </c>
      <c r="B43" s="1786">
        <f t="shared" si="1"/>
        <v>11927</v>
      </c>
      <c r="C43" s="1787">
        <v>28946</v>
      </c>
      <c r="D43" s="1786" t="str">
        <f t="shared" si="2"/>
        <v>קל השתלמות כללי פאסיבי</v>
      </c>
      <c r="E43" s="1786" t="s">
        <v>3929</v>
      </c>
      <c r="F43" s="1786" t="s">
        <v>2958</v>
      </c>
      <c r="G43" s="1786" t="s">
        <v>2959</v>
      </c>
      <c r="H43" s="1786" t="str">
        <f t="shared" si="3"/>
        <v>פעיל</v>
      </c>
      <c r="I43" s="1788">
        <f t="shared" si="4"/>
        <v>42847.958796296298</v>
      </c>
      <c r="J43" s="1788" t="str">
        <f t="shared" si="5"/>
        <v/>
      </c>
      <c r="K43" s="1786">
        <v>0</v>
      </c>
      <c r="L43" s="1786" t="s">
        <v>1594</v>
      </c>
      <c r="M43" s="1786" t="s">
        <v>1653</v>
      </c>
      <c r="N43" s="1786" t="s">
        <v>1653</v>
      </c>
      <c r="O43" s="1786">
        <v>0</v>
      </c>
      <c r="P43" s="1786"/>
      <c r="Q43" s="1786">
        <v>0</v>
      </c>
      <c r="R43" s="1788"/>
      <c r="S43" s="1786">
        <f t="shared" si="6"/>
        <v>11925</v>
      </c>
      <c r="T43" s="1786" t="str">
        <f t="shared" si="7"/>
        <v>אפ.אמ.אר תפעול</v>
      </c>
      <c r="U43" s="1786" t="str">
        <f t="shared" si="8"/>
        <v>קל השתלמות</v>
      </c>
      <c r="V43" s="1786" t="str">
        <f t="shared" si="9"/>
        <v>514741552</v>
      </c>
      <c r="W43" s="1789" t="str">
        <f t="shared" si="10"/>
        <v xml:space="preserve">סלייס גמל בע"מ </v>
      </c>
      <c r="AC43" s="1761" t="s">
        <v>346</v>
      </c>
      <c r="AD43" s="1761"/>
      <c r="AE43" s="1762">
        <v>42847.958796296298</v>
      </c>
      <c r="AF43" s="1761" t="s">
        <v>3959</v>
      </c>
      <c r="AG43" s="1761" t="s">
        <v>1583</v>
      </c>
      <c r="AH43" s="1761" t="s">
        <v>1583</v>
      </c>
      <c r="AI43" s="1761" t="s">
        <v>5361</v>
      </c>
      <c r="AJ43" s="1761" t="s">
        <v>5361</v>
      </c>
      <c r="AK43" s="1761">
        <v>11927</v>
      </c>
      <c r="AL43" s="1761" t="s">
        <v>4655</v>
      </c>
      <c r="AM43" s="1761">
        <v>11925</v>
      </c>
      <c r="AN43" s="1761" t="s">
        <v>5338</v>
      </c>
      <c r="AO43" s="1764"/>
      <c r="AP43" s="1761" t="s">
        <v>5339</v>
      </c>
      <c r="AQ43" s="1761" t="s">
        <v>5340</v>
      </c>
      <c r="AR43" s="1761" t="s">
        <v>5341</v>
      </c>
      <c r="AS43" s="1761" t="s">
        <v>2749</v>
      </c>
      <c r="AT43" s="1761" t="s">
        <v>327</v>
      </c>
      <c r="AU43" s="1763"/>
      <c r="AV43" s="1763"/>
    </row>
    <row r="44" spans="1:48" ht="14" hidden="1">
      <c r="A44" s="1785" t="str">
        <f t="shared" si="0"/>
        <v>גמל</v>
      </c>
      <c r="B44" s="1786">
        <f t="shared" si="1"/>
        <v>11926</v>
      </c>
      <c r="C44" s="1787">
        <v>28946</v>
      </c>
      <c r="D44" s="1786" t="str">
        <f t="shared" si="2"/>
        <v>קל השתלמות כללי</v>
      </c>
      <c r="E44" s="1786" t="s">
        <v>3929</v>
      </c>
      <c r="F44" s="1786" t="s">
        <v>2958</v>
      </c>
      <c r="G44" s="1786" t="s">
        <v>2959</v>
      </c>
      <c r="H44" s="1786" t="str">
        <f t="shared" si="3"/>
        <v>פעיל</v>
      </c>
      <c r="I44" s="1788">
        <f t="shared" si="4"/>
        <v>42847.958796296298</v>
      </c>
      <c r="J44" s="1788" t="str">
        <f t="shared" si="5"/>
        <v/>
      </c>
      <c r="K44" s="1786">
        <v>0</v>
      </c>
      <c r="L44" s="1786" t="s">
        <v>1594</v>
      </c>
      <c r="M44" s="1786" t="s">
        <v>1653</v>
      </c>
      <c r="N44" s="1786" t="s">
        <v>1653</v>
      </c>
      <c r="O44" s="1786">
        <v>0</v>
      </c>
      <c r="P44" s="1786"/>
      <c r="Q44" s="1786">
        <v>0</v>
      </c>
      <c r="R44" s="1788"/>
      <c r="S44" s="1786">
        <f t="shared" si="6"/>
        <v>11925</v>
      </c>
      <c r="T44" s="1786" t="str">
        <f t="shared" si="7"/>
        <v>אפ.אמ.אר תפעול</v>
      </c>
      <c r="U44" s="1786" t="str">
        <f t="shared" si="8"/>
        <v>קל השתלמות</v>
      </c>
      <c r="V44" s="1786" t="str">
        <f t="shared" si="9"/>
        <v>514741552</v>
      </c>
      <c r="W44" s="1789" t="str">
        <f t="shared" si="10"/>
        <v xml:space="preserve">סלייס גמל בע"מ </v>
      </c>
      <c r="AC44" s="1759" t="s">
        <v>346</v>
      </c>
      <c r="AD44" s="1759"/>
      <c r="AE44" s="1760">
        <v>42847.958796296298</v>
      </c>
      <c r="AF44" s="1759" t="s">
        <v>1583</v>
      </c>
      <c r="AG44" s="1759" t="s">
        <v>1583</v>
      </c>
      <c r="AH44" s="1759" t="s">
        <v>1583</v>
      </c>
      <c r="AI44" s="1759" t="s">
        <v>4654</v>
      </c>
      <c r="AJ44" s="1759" t="s">
        <v>4654</v>
      </c>
      <c r="AK44" s="1759">
        <v>11926</v>
      </c>
      <c r="AL44" s="1759" t="s">
        <v>4655</v>
      </c>
      <c r="AM44" s="1759">
        <v>11925</v>
      </c>
      <c r="AN44" s="1759" t="s">
        <v>5338</v>
      </c>
      <c r="AO44" s="1764"/>
      <c r="AP44" s="1759" t="s">
        <v>5339</v>
      </c>
      <c r="AQ44" s="1759" t="s">
        <v>5340</v>
      </c>
      <c r="AR44" s="1759" t="s">
        <v>5341</v>
      </c>
      <c r="AS44" s="1759" t="s">
        <v>2749</v>
      </c>
      <c r="AT44" s="1759" t="s">
        <v>327</v>
      </c>
      <c r="AU44" s="1763"/>
      <c r="AV44" s="1763"/>
    </row>
    <row r="45" spans="1:48" ht="14" hidden="1">
      <c r="A45" s="1785" t="str">
        <f t="shared" si="0"/>
        <v>גמל</v>
      </c>
      <c r="B45" s="1786">
        <f t="shared" si="1"/>
        <v>11935</v>
      </c>
      <c r="C45" s="1787">
        <v>28946</v>
      </c>
      <c r="D45" s="1786" t="str">
        <f t="shared" si="2"/>
        <v>קל השתלמות אג"ח צמוד מדד בינוני</v>
      </c>
      <c r="E45" s="1786" t="s">
        <v>3929</v>
      </c>
      <c r="F45" s="1786" t="s">
        <v>2958</v>
      </c>
      <c r="G45" s="1786" t="s">
        <v>2959</v>
      </c>
      <c r="H45" s="1786" t="str">
        <f t="shared" si="3"/>
        <v>פעיל</v>
      </c>
      <c r="I45" s="1788">
        <f t="shared" si="4"/>
        <v>42847.958796296298</v>
      </c>
      <c r="J45" s="1788" t="str">
        <f t="shared" si="5"/>
        <v/>
      </c>
      <c r="K45" s="1786">
        <v>0</v>
      </c>
      <c r="L45" s="1786" t="s">
        <v>1594</v>
      </c>
      <c r="M45" s="1786" t="s">
        <v>1653</v>
      </c>
      <c r="N45" s="1786" t="s">
        <v>1653</v>
      </c>
      <c r="O45" s="1786">
        <v>0</v>
      </c>
      <c r="P45" s="1786"/>
      <c r="Q45" s="1786">
        <v>0</v>
      </c>
      <c r="R45" s="1788"/>
      <c r="S45" s="1786">
        <f t="shared" si="6"/>
        <v>11925</v>
      </c>
      <c r="T45" s="1786" t="str">
        <f t="shared" si="7"/>
        <v>אפ.אמ.אר תפעול</v>
      </c>
      <c r="U45" s="1786" t="str">
        <f t="shared" si="8"/>
        <v>קל השתלמות</v>
      </c>
      <c r="V45" s="1786" t="str">
        <f t="shared" si="9"/>
        <v>514741552</v>
      </c>
      <c r="W45" s="1789" t="str">
        <f t="shared" si="10"/>
        <v xml:space="preserve">סלייס גמל בע"מ </v>
      </c>
      <c r="AC45" s="1761" t="s">
        <v>346</v>
      </c>
      <c r="AD45" s="1761"/>
      <c r="AE45" s="1762">
        <v>42847.958796296298</v>
      </c>
      <c r="AF45" s="1761" t="s">
        <v>3008</v>
      </c>
      <c r="AG45" s="1761" t="s">
        <v>1653</v>
      </c>
      <c r="AH45" s="1761" t="s">
        <v>1594</v>
      </c>
      <c r="AI45" s="1761" t="s">
        <v>5362</v>
      </c>
      <c r="AJ45" s="1761" t="s">
        <v>5362</v>
      </c>
      <c r="AK45" s="1761">
        <v>11935</v>
      </c>
      <c r="AL45" s="1761" t="s">
        <v>4655</v>
      </c>
      <c r="AM45" s="1761">
        <v>11925</v>
      </c>
      <c r="AN45" s="1761" t="s">
        <v>5338</v>
      </c>
      <c r="AO45" s="1764"/>
      <c r="AP45" s="1761" t="s">
        <v>5339</v>
      </c>
      <c r="AQ45" s="1761" t="s">
        <v>5340</v>
      </c>
      <c r="AR45" s="1761" t="s">
        <v>5341</v>
      </c>
      <c r="AS45" s="1761" t="s">
        <v>2749</v>
      </c>
      <c r="AT45" s="1761" t="s">
        <v>327</v>
      </c>
      <c r="AU45" s="1763"/>
      <c r="AV45" s="1763"/>
    </row>
    <row r="46" spans="1:48" ht="25" hidden="1">
      <c r="A46" s="1785" t="str">
        <f t="shared" si="0"/>
        <v>גמל</v>
      </c>
      <c r="B46" s="1786">
        <f t="shared" si="1"/>
        <v>11393</v>
      </c>
      <c r="C46" s="1787">
        <v>28946</v>
      </c>
      <c r="D46" s="1786" t="str">
        <f t="shared" si="2"/>
        <v>ילין לפידות קופת גמל להשקעה מסלול אג"ח ממשלות</v>
      </c>
      <c r="E46" s="1786" t="s">
        <v>3929</v>
      </c>
      <c r="F46" s="1786" t="s">
        <v>2958</v>
      </c>
      <c r="G46" s="1786" t="s">
        <v>2959</v>
      </c>
      <c r="H46" s="1786" t="str">
        <f t="shared" si="3"/>
        <v>פעיל</v>
      </c>
      <c r="I46" s="1788">
        <f t="shared" si="4"/>
        <v>42695.365497685198</v>
      </c>
      <c r="J46" s="1788" t="str">
        <f t="shared" si="5"/>
        <v/>
      </c>
      <c r="K46" s="1786">
        <v>0</v>
      </c>
      <c r="L46" s="1786" t="s">
        <v>1594</v>
      </c>
      <c r="M46" s="1786" t="s">
        <v>1653</v>
      </c>
      <c r="N46" s="1786" t="s">
        <v>1653</v>
      </c>
      <c r="O46" s="1786">
        <v>0</v>
      </c>
      <c r="P46" s="1786"/>
      <c r="Q46" s="1786">
        <v>0</v>
      </c>
      <c r="R46" s="1788"/>
      <c r="S46" s="1786">
        <f t="shared" si="6"/>
        <v>11389</v>
      </c>
      <c r="T46" s="1786" t="str">
        <f t="shared" si="7"/>
        <v>לאומי</v>
      </c>
      <c r="U46" s="1786" t="str">
        <f t="shared" si="8"/>
        <v>ילין לפידות קופת גמל להשקעה</v>
      </c>
      <c r="V46" s="1786" t="str">
        <f t="shared" si="9"/>
        <v>513167346</v>
      </c>
      <c r="W46" s="1789" t="str">
        <f t="shared" si="10"/>
        <v>ילין לפידות ניהול קופות גמל בע"מ</v>
      </c>
      <c r="AC46" s="1759" t="s">
        <v>346</v>
      </c>
      <c r="AD46" s="1759"/>
      <c r="AE46" s="1760">
        <v>42695.365497685198</v>
      </c>
      <c r="AF46" s="1759" t="s">
        <v>2009</v>
      </c>
      <c r="AG46" s="1759" t="s">
        <v>1653</v>
      </c>
      <c r="AH46" s="1759" t="s">
        <v>1594</v>
      </c>
      <c r="AI46" s="1759" t="s">
        <v>4846</v>
      </c>
      <c r="AJ46" s="1759" t="s">
        <v>4846</v>
      </c>
      <c r="AK46" s="1759">
        <v>11393</v>
      </c>
      <c r="AL46" s="1759" t="s">
        <v>4670</v>
      </c>
      <c r="AM46" s="1759">
        <v>11389</v>
      </c>
      <c r="AN46" s="1759" t="s">
        <v>5305</v>
      </c>
      <c r="AO46" s="1764"/>
      <c r="AP46" s="1759" t="s">
        <v>5363</v>
      </c>
      <c r="AQ46" s="1759" t="s">
        <v>5364</v>
      </c>
      <c r="AR46" s="1759" t="s">
        <v>642</v>
      </c>
      <c r="AS46" s="1759" t="s">
        <v>643</v>
      </c>
      <c r="AT46" s="1759" t="s">
        <v>327</v>
      </c>
      <c r="AU46" s="1763"/>
      <c r="AV46" s="1763"/>
    </row>
    <row r="47" spans="1:48" ht="25" hidden="1">
      <c r="A47" s="1785" t="str">
        <f t="shared" si="0"/>
        <v>גמל</v>
      </c>
      <c r="B47" s="1786">
        <f t="shared" si="1"/>
        <v>11392</v>
      </c>
      <c r="C47" s="1787">
        <v>28946</v>
      </c>
      <c r="D47" s="1786" t="str">
        <f t="shared" si="2"/>
        <v>ילין לפידות קופת גמל להשקעה מסלול אג"ח עד 20% מניות</v>
      </c>
      <c r="E47" s="1786" t="s">
        <v>3929</v>
      </c>
      <c r="F47" s="1786" t="s">
        <v>2958</v>
      </c>
      <c r="G47" s="1786" t="s">
        <v>2959</v>
      </c>
      <c r="H47" s="1786" t="str">
        <f t="shared" si="3"/>
        <v>פעיל</v>
      </c>
      <c r="I47" s="1788">
        <f t="shared" si="4"/>
        <v>42695.365497685198</v>
      </c>
      <c r="J47" s="1788" t="str">
        <f t="shared" si="5"/>
        <v/>
      </c>
      <c r="K47" s="1786">
        <v>0</v>
      </c>
      <c r="L47" s="1786" t="s">
        <v>1594</v>
      </c>
      <c r="M47" s="1786" t="s">
        <v>1653</v>
      </c>
      <c r="N47" s="1786" t="s">
        <v>1653</v>
      </c>
      <c r="O47" s="1786">
        <v>0</v>
      </c>
      <c r="P47" s="1786"/>
      <c r="Q47" s="1786">
        <v>0</v>
      </c>
      <c r="R47" s="1788"/>
      <c r="S47" s="1786">
        <f t="shared" si="6"/>
        <v>11389</v>
      </c>
      <c r="T47" s="1786" t="str">
        <f t="shared" si="7"/>
        <v>לאומי</v>
      </c>
      <c r="U47" s="1786" t="str">
        <f t="shared" si="8"/>
        <v>ילין לפידות קופת גמל להשקעה</v>
      </c>
      <c r="V47" s="1786" t="str">
        <f t="shared" si="9"/>
        <v>513167346</v>
      </c>
      <c r="W47" s="1789" t="str">
        <f t="shared" si="10"/>
        <v>ילין לפידות ניהול קופות גמל בע"מ</v>
      </c>
      <c r="AC47" s="1761" t="s">
        <v>346</v>
      </c>
      <c r="AD47" s="1761"/>
      <c r="AE47" s="1762">
        <v>42695.365497685198</v>
      </c>
      <c r="AF47" s="1761" t="s">
        <v>3934</v>
      </c>
      <c r="AG47" s="1761" t="s">
        <v>1653</v>
      </c>
      <c r="AH47" s="1761" t="s">
        <v>1594</v>
      </c>
      <c r="AI47" s="1761" t="s">
        <v>4845</v>
      </c>
      <c r="AJ47" s="1761" t="s">
        <v>4845</v>
      </c>
      <c r="AK47" s="1761">
        <v>11392</v>
      </c>
      <c r="AL47" s="1761" t="s">
        <v>4670</v>
      </c>
      <c r="AM47" s="1761">
        <v>11389</v>
      </c>
      <c r="AN47" s="1761" t="s">
        <v>5305</v>
      </c>
      <c r="AO47" s="1764"/>
      <c r="AP47" s="1761" t="s">
        <v>5363</v>
      </c>
      <c r="AQ47" s="1761" t="s">
        <v>5364</v>
      </c>
      <c r="AR47" s="1761" t="s">
        <v>642</v>
      </c>
      <c r="AS47" s="1761" t="s">
        <v>643</v>
      </c>
      <c r="AT47" s="1761" t="s">
        <v>327</v>
      </c>
      <c r="AU47" s="1763"/>
      <c r="AV47" s="1763"/>
    </row>
    <row r="48" spans="1:48" ht="25" hidden="1">
      <c r="A48" s="1785" t="str">
        <f t="shared" si="0"/>
        <v>גמל</v>
      </c>
      <c r="B48" s="1786">
        <f t="shared" si="1"/>
        <v>11391</v>
      </c>
      <c r="C48" s="1787">
        <v>28946</v>
      </c>
      <c r="D48" s="1786" t="str">
        <f t="shared" si="2"/>
        <v>ילין לפידות קופת גמל להשקעה מסלול אג"ח עד 10% מניות</v>
      </c>
      <c r="E48" s="1786" t="s">
        <v>3929</v>
      </c>
      <c r="F48" s="1786" t="s">
        <v>2958</v>
      </c>
      <c r="G48" s="1786" t="s">
        <v>2959</v>
      </c>
      <c r="H48" s="1786" t="str">
        <f t="shared" si="3"/>
        <v>פעיל</v>
      </c>
      <c r="I48" s="1788">
        <f t="shared" si="4"/>
        <v>42695.365497685198</v>
      </c>
      <c r="J48" s="1788" t="str">
        <f t="shared" si="5"/>
        <v/>
      </c>
      <c r="K48" s="1786">
        <v>0</v>
      </c>
      <c r="L48" s="1786" t="s">
        <v>1594</v>
      </c>
      <c r="M48" s="1786" t="s">
        <v>1653</v>
      </c>
      <c r="N48" s="1786" t="s">
        <v>1653</v>
      </c>
      <c r="O48" s="1786">
        <v>0</v>
      </c>
      <c r="P48" s="1786"/>
      <c r="Q48" s="1786">
        <v>0</v>
      </c>
      <c r="R48" s="1788"/>
      <c r="S48" s="1786">
        <f t="shared" si="6"/>
        <v>11389</v>
      </c>
      <c r="T48" s="1786" t="str">
        <f t="shared" si="7"/>
        <v>לאומי</v>
      </c>
      <c r="U48" s="1786" t="str">
        <f t="shared" si="8"/>
        <v>ילין לפידות קופת גמל להשקעה</v>
      </c>
      <c r="V48" s="1786" t="str">
        <f t="shared" si="9"/>
        <v>513167346</v>
      </c>
      <c r="W48" s="1789" t="str">
        <f t="shared" si="10"/>
        <v>ילין לפידות ניהול קופות גמל בע"מ</v>
      </c>
      <c r="AC48" s="1759" t="s">
        <v>346</v>
      </c>
      <c r="AD48" s="1759"/>
      <c r="AE48" s="1760">
        <v>42695.365497685198</v>
      </c>
      <c r="AF48" s="1759" t="s">
        <v>3934</v>
      </c>
      <c r="AG48" s="1759" t="s">
        <v>1653</v>
      </c>
      <c r="AH48" s="1759" t="s">
        <v>1594</v>
      </c>
      <c r="AI48" s="1759" t="s">
        <v>4844</v>
      </c>
      <c r="AJ48" s="1759" t="s">
        <v>4844</v>
      </c>
      <c r="AK48" s="1759">
        <v>11391</v>
      </c>
      <c r="AL48" s="1759" t="s">
        <v>4670</v>
      </c>
      <c r="AM48" s="1759">
        <v>11389</v>
      </c>
      <c r="AN48" s="1759" t="s">
        <v>5305</v>
      </c>
      <c r="AO48" s="1764"/>
      <c r="AP48" s="1759" t="s">
        <v>5363</v>
      </c>
      <c r="AQ48" s="1759" t="s">
        <v>5364</v>
      </c>
      <c r="AR48" s="1759" t="s">
        <v>642</v>
      </c>
      <c r="AS48" s="1759" t="s">
        <v>643</v>
      </c>
      <c r="AT48" s="1759" t="s">
        <v>327</v>
      </c>
      <c r="AU48" s="1763"/>
      <c r="AV48" s="1763"/>
    </row>
    <row r="49" spans="1:48" ht="25" hidden="1">
      <c r="A49" s="1785" t="str">
        <f t="shared" si="0"/>
        <v>גמל</v>
      </c>
      <c r="B49" s="1786">
        <f t="shared" si="1"/>
        <v>11390</v>
      </c>
      <c r="C49" s="1787">
        <v>28946</v>
      </c>
      <c r="D49" s="1786" t="str">
        <f t="shared" si="2"/>
        <v xml:space="preserve">ילין לפידות קופת גמל להשקעה מסלול כללי </v>
      </c>
      <c r="E49" s="1786" t="s">
        <v>3929</v>
      </c>
      <c r="F49" s="1786" t="s">
        <v>2958</v>
      </c>
      <c r="G49" s="1786" t="s">
        <v>2959</v>
      </c>
      <c r="H49" s="1786" t="str">
        <f t="shared" si="3"/>
        <v>פעיל</v>
      </c>
      <c r="I49" s="1788">
        <f t="shared" si="4"/>
        <v>42695.365497685198</v>
      </c>
      <c r="J49" s="1788" t="str">
        <f t="shared" si="5"/>
        <v/>
      </c>
      <c r="K49" s="1786">
        <v>0</v>
      </c>
      <c r="L49" s="1786" t="s">
        <v>1594</v>
      </c>
      <c r="M49" s="1786" t="s">
        <v>1653</v>
      </c>
      <c r="N49" s="1786" t="s">
        <v>1653</v>
      </c>
      <c r="O49" s="1786">
        <v>0</v>
      </c>
      <c r="P49" s="1786"/>
      <c r="Q49" s="1786">
        <v>0</v>
      </c>
      <c r="R49" s="1788"/>
      <c r="S49" s="1786">
        <f t="shared" si="6"/>
        <v>11389</v>
      </c>
      <c r="T49" s="1786" t="str">
        <f t="shared" si="7"/>
        <v>לאומי</v>
      </c>
      <c r="U49" s="1786" t="str">
        <f t="shared" si="8"/>
        <v>ילין לפידות קופת גמל להשקעה</v>
      </c>
      <c r="V49" s="1786" t="str">
        <f t="shared" si="9"/>
        <v>513167346</v>
      </c>
      <c r="W49" s="1789" t="str">
        <f t="shared" si="10"/>
        <v>ילין לפידות ניהול קופות גמל בע"מ</v>
      </c>
      <c r="AC49" s="1761" t="s">
        <v>346</v>
      </c>
      <c r="AD49" s="1761"/>
      <c r="AE49" s="1762">
        <v>42695.365497685198</v>
      </c>
      <c r="AF49" s="1761" t="s">
        <v>1583</v>
      </c>
      <c r="AG49" s="1761" t="s">
        <v>1583</v>
      </c>
      <c r="AH49" s="1761" t="s">
        <v>1583</v>
      </c>
      <c r="AI49" s="1761" t="s">
        <v>4716</v>
      </c>
      <c r="AJ49" s="1761" t="s">
        <v>4716</v>
      </c>
      <c r="AK49" s="1761">
        <v>11390</v>
      </c>
      <c r="AL49" s="1761" t="s">
        <v>4670</v>
      </c>
      <c r="AM49" s="1761">
        <v>11389</v>
      </c>
      <c r="AN49" s="1761" t="s">
        <v>5305</v>
      </c>
      <c r="AO49" s="1764"/>
      <c r="AP49" s="1761" t="s">
        <v>5363</v>
      </c>
      <c r="AQ49" s="1761" t="s">
        <v>5364</v>
      </c>
      <c r="AR49" s="1761" t="s">
        <v>642</v>
      </c>
      <c r="AS49" s="1761" t="s">
        <v>643</v>
      </c>
      <c r="AT49" s="1761" t="s">
        <v>327</v>
      </c>
      <c r="AU49" s="1763"/>
      <c r="AV49" s="1763"/>
    </row>
    <row r="50" spans="1:48" ht="25" hidden="1">
      <c r="A50" s="1785" t="str">
        <f t="shared" si="0"/>
        <v>גמל</v>
      </c>
      <c r="B50" s="1786">
        <f t="shared" si="1"/>
        <v>11394</v>
      </c>
      <c r="C50" s="1787">
        <v>28946</v>
      </c>
      <c r="D50" s="1786" t="str">
        <f t="shared" si="2"/>
        <v xml:space="preserve">ילין לפידות קופת גמל להשקעה מסלול מניות </v>
      </c>
      <c r="E50" s="1786" t="s">
        <v>3929</v>
      </c>
      <c r="F50" s="1786" t="s">
        <v>2958</v>
      </c>
      <c r="G50" s="1786" t="s">
        <v>2959</v>
      </c>
      <c r="H50" s="1786" t="str">
        <f t="shared" si="3"/>
        <v>פעיל</v>
      </c>
      <c r="I50" s="1788">
        <f t="shared" si="4"/>
        <v>42695.365497685198</v>
      </c>
      <c r="J50" s="1788" t="str">
        <f t="shared" si="5"/>
        <v/>
      </c>
      <c r="K50" s="1786">
        <v>0</v>
      </c>
      <c r="L50" s="1786" t="s">
        <v>1594</v>
      </c>
      <c r="M50" s="1786" t="s">
        <v>1653</v>
      </c>
      <c r="N50" s="1786" t="s">
        <v>1653</v>
      </c>
      <c r="O50" s="1786">
        <v>0</v>
      </c>
      <c r="P50" s="1786"/>
      <c r="Q50" s="1786">
        <v>0</v>
      </c>
      <c r="R50" s="1788"/>
      <c r="S50" s="1786">
        <f t="shared" si="6"/>
        <v>11389</v>
      </c>
      <c r="T50" s="1786" t="str">
        <f t="shared" si="7"/>
        <v>לאומי</v>
      </c>
      <c r="U50" s="1786" t="str">
        <f t="shared" si="8"/>
        <v>ילין לפידות קופת גמל להשקעה</v>
      </c>
      <c r="V50" s="1786" t="str">
        <f t="shared" si="9"/>
        <v>513167346</v>
      </c>
      <c r="W50" s="1789" t="str">
        <f t="shared" si="10"/>
        <v>ילין לפידות ניהול קופות גמל בע"מ</v>
      </c>
      <c r="AC50" s="1759" t="s">
        <v>346</v>
      </c>
      <c r="AD50" s="1759"/>
      <c r="AE50" s="1760">
        <v>42695.365497685198</v>
      </c>
      <c r="AF50" s="1759" t="s">
        <v>1595</v>
      </c>
      <c r="AG50" s="1759" t="s">
        <v>75</v>
      </c>
      <c r="AH50" s="1759" t="s">
        <v>1594</v>
      </c>
      <c r="AI50" s="1759" t="s">
        <v>4847</v>
      </c>
      <c r="AJ50" s="1759" t="s">
        <v>4847</v>
      </c>
      <c r="AK50" s="1759">
        <v>11394</v>
      </c>
      <c r="AL50" s="1759" t="s">
        <v>4670</v>
      </c>
      <c r="AM50" s="1759">
        <v>11389</v>
      </c>
      <c r="AN50" s="1759" t="s">
        <v>5305</v>
      </c>
      <c r="AO50" s="1764"/>
      <c r="AP50" s="1759" t="s">
        <v>5363</v>
      </c>
      <c r="AQ50" s="1759" t="s">
        <v>5364</v>
      </c>
      <c r="AR50" s="1759" t="s">
        <v>642</v>
      </c>
      <c r="AS50" s="1759" t="s">
        <v>643</v>
      </c>
      <c r="AT50" s="1759" t="s">
        <v>327</v>
      </c>
      <c r="AU50" s="1763"/>
      <c r="AV50" s="1763"/>
    </row>
    <row r="51" spans="1:48" ht="25" hidden="1">
      <c r="A51" s="1785" t="str">
        <f t="shared" si="0"/>
        <v>גמל</v>
      </c>
      <c r="B51" s="1786">
        <f t="shared" si="1"/>
        <v>11382</v>
      </c>
      <c r="C51" s="1787">
        <v>28946</v>
      </c>
      <c r="D51" s="1786" t="str">
        <f t="shared" si="2"/>
        <v>פסגות חיסכון לילד - חוסכים המעדיפים סיכון מוגבר</v>
      </c>
      <c r="E51" s="1786" t="s">
        <v>3929</v>
      </c>
      <c r="F51" s="1786" t="s">
        <v>2958</v>
      </c>
      <c r="G51" s="1786" t="s">
        <v>2959</v>
      </c>
      <c r="H51" s="1786" t="str">
        <f t="shared" si="3"/>
        <v>פעיל</v>
      </c>
      <c r="I51" s="1788">
        <f t="shared" si="4"/>
        <v>42688.6335763889</v>
      </c>
      <c r="J51" s="1788" t="str">
        <f t="shared" si="5"/>
        <v/>
      </c>
      <c r="K51" s="1786">
        <v>0</v>
      </c>
      <c r="L51" s="1786" t="s">
        <v>1594</v>
      </c>
      <c r="M51" s="1786" t="s">
        <v>1653</v>
      </c>
      <c r="N51" s="1786" t="s">
        <v>1653</v>
      </c>
      <c r="O51" s="1786">
        <v>0</v>
      </c>
      <c r="P51" s="1786"/>
      <c r="Q51" s="1786">
        <v>0</v>
      </c>
      <c r="R51" s="1788"/>
      <c r="S51" s="1786">
        <f t="shared" si="6"/>
        <v>11379</v>
      </c>
      <c r="T51" s="1786" t="str">
        <f t="shared" si="7"/>
        <v>בנק הפועלים בע"מ</v>
      </c>
      <c r="U51" s="1786" t="str">
        <f t="shared" si="8"/>
        <v>פסגות חיסכון לכל ילד</v>
      </c>
      <c r="V51" s="1786" t="str">
        <f t="shared" si="9"/>
        <v>513767079</v>
      </c>
      <c r="W51" s="1789" t="str">
        <f t="shared" si="10"/>
        <v>פסגות קופות גמל ופנסיה בע"מ</v>
      </c>
      <c r="AC51" s="1761" t="s">
        <v>346</v>
      </c>
      <c r="AD51" s="1761"/>
      <c r="AE51" s="1762">
        <v>42688.6335763889</v>
      </c>
      <c r="AF51" s="1761" t="s">
        <v>4758</v>
      </c>
      <c r="AG51" s="1761" t="s">
        <v>70</v>
      </c>
      <c r="AH51" s="1761" t="s">
        <v>1594</v>
      </c>
      <c r="AI51" s="1761" t="s">
        <v>4835</v>
      </c>
      <c r="AJ51" s="1761" t="s">
        <v>4834</v>
      </c>
      <c r="AK51" s="1761">
        <v>11382</v>
      </c>
      <c r="AL51" s="1761" t="s">
        <v>4782</v>
      </c>
      <c r="AM51" s="1761">
        <v>11379</v>
      </c>
      <c r="AN51" s="1761" t="s">
        <v>1695</v>
      </c>
      <c r="AO51" s="1764"/>
      <c r="AP51" s="1761" t="s">
        <v>5365</v>
      </c>
      <c r="AQ51" s="1761" t="s">
        <v>5366</v>
      </c>
      <c r="AR51" s="1761" t="s">
        <v>351</v>
      </c>
      <c r="AS51" s="1761" t="s">
        <v>352</v>
      </c>
      <c r="AT51" s="1761" t="s">
        <v>327</v>
      </c>
      <c r="AU51" s="1763"/>
      <c r="AV51" s="1763"/>
    </row>
    <row r="52" spans="1:48" ht="25" hidden="1">
      <c r="A52" s="1785" t="str">
        <f t="shared" si="0"/>
        <v>גמל</v>
      </c>
      <c r="B52" s="1786">
        <f t="shared" si="1"/>
        <v>11383</v>
      </c>
      <c r="C52" s="1787">
        <v>28946</v>
      </c>
      <c r="D52" s="1786" t="str">
        <f t="shared" si="2"/>
        <v>פסגות חיסכון לילד - הלכה</v>
      </c>
      <c r="E52" s="1786" t="s">
        <v>3929</v>
      </c>
      <c r="F52" s="1786" t="s">
        <v>2958</v>
      </c>
      <c r="G52" s="1786" t="s">
        <v>2959</v>
      </c>
      <c r="H52" s="1786" t="str">
        <f t="shared" si="3"/>
        <v>פעיל</v>
      </c>
      <c r="I52" s="1788">
        <f t="shared" si="4"/>
        <v>42688.6335763889</v>
      </c>
      <c r="J52" s="1788" t="str">
        <f t="shared" si="5"/>
        <v/>
      </c>
      <c r="K52" s="1786">
        <v>0</v>
      </c>
      <c r="L52" s="1786" t="s">
        <v>1594</v>
      </c>
      <c r="M52" s="1786" t="s">
        <v>1653</v>
      </c>
      <c r="N52" s="1786" t="s">
        <v>1653</v>
      </c>
      <c r="O52" s="1786">
        <v>0</v>
      </c>
      <c r="P52" s="1786"/>
      <c r="Q52" s="1786">
        <v>0</v>
      </c>
      <c r="R52" s="1788"/>
      <c r="S52" s="1786">
        <f t="shared" si="6"/>
        <v>11379</v>
      </c>
      <c r="T52" s="1786" t="str">
        <f t="shared" si="7"/>
        <v>בנק הפועלים בע"מ</v>
      </c>
      <c r="U52" s="1786" t="str">
        <f t="shared" si="8"/>
        <v>פסגות חיסכון לכל ילד</v>
      </c>
      <c r="V52" s="1786" t="str">
        <f t="shared" si="9"/>
        <v>513767079</v>
      </c>
      <c r="W52" s="1789" t="str">
        <f t="shared" si="10"/>
        <v>פסגות קופות גמל ופנסיה בע"מ</v>
      </c>
      <c r="AC52" s="1759" t="s">
        <v>346</v>
      </c>
      <c r="AD52" s="1759"/>
      <c r="AE52" s="1760">
        <v>42688.6335763889</v>
      </c>
      <c r="AF52" s="1759" t="s">
        <v>4603</v>
      </c>
      <c r="AG52" s="1759" t="s">
        <v>2029</v>
      </c>
      <c r="AH52" s="1759" t="s">
        <v>2028</v>
      </c>
      <c r="AI52" s="1759" t="s">
        <v>4836</v>
      </c>
      <c r="AJ52" s="1759" t="s">
        <v>4836</v>
      </c>
      <c r="AK52" s="1759">
        <v>11383</v>
      </c>
      <c r="AL52" s="1759" t="s">
        <v>4782</v>
      </c>
      <c r="AM52" s="1759">
        <v>11379</v>
      </c>
      <c r="AN52" s="1759" t="s">
        <v>1695</v>
      </c>
      <c r="AO52" s="1764"/>
      <c r="AP52" s="1759" t="s">
        <v>5365</v>
      </c>
      <c r="AQ52" s="1759" t="s">
        <v>5366</v>
      </c>
      <c r="AR52" s="1759" t="s">
        <v>351</v>
      </c>
      <c r="AS52" s="1759" t="s">
        <v>352</v>
      </c>
      <c r="AT52" s="1759" t="s">
        <v>327</v>
      </c>
      <c r="AU52" s="1763"/>
      <c r="AV52" s="1763"/>
    </row>
    <row r="53" spans="1:48" ht="25" hidden="1">
      <c r="A53" s="1785" t="str">
        <f t="shared" si="0"/>
        <v>גמל</v>
      </c>
      <c r="B53" s="1786">
        <f t="shared" si="1"/>
        <v>11381</v>
      </c>
      <c r="C53" s="1787">
        <v>28946</v>
      </c>
      <c r="D53" s="1786" t="str">
        <f t="shared" si="2"/>
        <v>פסגות חיסכון לילד - חוסכים המעדיפים סיכון בינוני</v>
      </c>
      <c r="E53" s="1786" t="s">
        <v>3929</v>
      </c>
      <c r="F53" s="1786" t="s">
        <v>2958</v>
      </c>
      <c r="G53" s="1786" t="s">
        <v>2959</v>
      </c>
      <c r="H53" s="1786" t="str">
        <f t="shared" si="3"/>
        <v>פעיל</v>
      </c>
      <c r="I53" s="1788">
        <f t="shared" si="4"/>
        <v>42688.6335763889</v>
      </c>
      <c r="J53" s="1788" t="str">
        <f t="shared" si="5"/>
        <v/>
      </c>
      <c r="K53" s="1786">
        <v>0</v>
      </c>
      <c r="L53" s="1786" t="s">
        <v>1594</v>
      </c>
      <c r="M53" s="1786" t="s">
        <v>1653</v>
      </c>
      <c r="N53" s="1786" t="s">
        <v>1653</v>
      </c>
      <c r="O53" s="1786">
        <v>0</v>
      </c>
      <c r="P53" s="1786"/>
      <c r="Q53" s="1786">
        <v>0</v>
      </c>
      <c r="R53" s="1788"/>
      <c r="S53" s="1786">
        <f t="shared" si="6"/>
        <v>11379</v>
      </c>
      <c r="T53" s="1786" t="str">
        <f t="shared" si="7"/>
        <v>בנק הפועלים בע"מ</v>
      </c>
      <c r="U53" s="1786" t="str">
        <f t="shared" si="8"/>
        <v>פסגות חיסכון לכל ילד</v>
      </c>
      <c r="V53" s="1786" t="str">
        <f t="shared" si="9"/>
        <v>513767079</v>
      </c>
      <c r="W53" s="1789" t="str">
        <f t="shared" si="10"/>
        <v>פסגות קופות גמל ופנסיה בע"מ</v>
      </c>
      <c r="AC53" s="1761" t="s">
        <v>346</v>
      </c>
      <c r="AD53" s="1761"/>
      <c r="AE53" s="1762">
        <v>42688.6335763889</v>
      </c>
      <c r="AF53" s="1761" t="s">
        <v>4757</v>
      </c>
      <c r="AG53" s="1761" t="s">
        <v>70</v>
      </c>
      <c r="AH53" s="1761" t="s">
        <v>1594</v>
      </c>
      <c r="AI53" s="1761" t="s">
        <v>4833</v>
      </c>
      <c r="AJ53" s="1761" t="s">
        <v>4833</v>
      </c>
      <c r="AK53" s="1761">
        <v>11381</v>
      </c>
      <c r="AL53" s="1761" t="s">
        <v>4782</v>
      </c>
      <c r="AM53" s="1761">
        <v>11379</v>
      </c>
      <c r="AN53" s="1761" t="s">
        <v>1695</v>
      </c>
      <c r="AO53" s="1764"/>
      <c r="AP53" s="1761" t="s">
        <v>5365</v>
      </c>
      <c r="AQ53" s="1761" t="s">
        <v>5366</v>
      </c>
      <c r="AR53" s="1761" t="s">
        <v>351</v>
      </c>
      <c r="AS53" s="1761" t="s">
        <v>352</v>
      </c>
      <c r="AT53" s="1761" t="s">
        <v>327</v>
      </c>
      <c r="AU53" s="1763"/>
      <c r="AV53" s="1763"/>
    </row>
    <row r="54" spans="1:48" ht="25" hidden="1">
      <c r="A54" s="1785" t="str">
        <f t="shared" si="0"/>
        <v>גמל</v>
      </c>
      <c r="B54" s="1786">
        <f t="shared" si="1"/>
        <v>11380</v>
      </c>
      <c r="C54" s="1787">
        <v>28946</v>
      </c>
      <c r="D54" s="1786" t="str">
        <f t="shared" si="2"/>
        <v>פסגות חיסכון לילד  - חוסכים המעדיפים סיכון מועט</v>
      </c>
      <c r="E54" s="1786" t="s">
        <v>3929</v>
      </c>
      <c r="F54" s="1786" t="s">
        <v>2958</v>
      </c>
      <c r="G54" s="1786" t="s">
        <v>2959</v>
      </c>
      <c r="H54" s="1786" t="str">
        <f t="shared" si="3"/>
        <v>פעיל</v>
      </c>
      <c r="I54" s="1788">
        <f t="shared" si="4"/>
        <v>42688.6335763889</v>
      </c>
      <c r="J54" s="1788" t="str">
        <f t="shared" si="5"/>
        <v/>
      </c>
      <c r="K54" s="1786">
        <v>0</v>
      </c>
      <c r="L54" s="1786" t="s">
        <v>1594</v>
      </c>
      <c r="M54" s="1786" t="s">
        <v>1653</v>
      </c>
      <c r="N54" s="1786" t="s">
        <v>1653</v>
      </c>
      <c r="O54" s="1786">
        <v>0</v>
      </c>
      <c r="P54" s="1786"/>
      <c r="Q54" s="1786">
        <v>0</v>
      </c>
      <c r="R54" s="1788"/>
      <c r="S54" s="1786">
        <f t="shared" si="6"/>
        <v>11379</v>
      </c>
      <c r="T54" s="1786" t="str">
        <f t="shared" si="7"/>
        <v>בנק הפועלים בע"מ</v>
      </c>
      <c r="U54" s="1786" t="str">
        <f t="shared" si="8"/>
        <v>פסגות חיסכון לכל ילד</v>
      </c>
      <c r="V54" s="1786" t="str">
        <f t="shared" si="9"/>
        <v>513767079</v>
      </c>
      <c r="W54" s="1789" t="str">
        <f t="shared" si="10"/>
        <v>פסגות קופות גמל ופנסיה בע"מ</v>
      </c>
      <c r="AC54" s="1759" t="s">
        <v>346</v>
      </c>
      <c r="AD54" s="1759"/>
      <c r="AE54" s="1760">
        <v>42688.6335763889</v>
      </c>
      <c r="AF54" s="1759" t="s">
        <v>4759</v>
      </c>
      <c r="AG54" s="1759" t="s">
        <v>70</v>
      </c>
      <c r="AH54" s="1759" t="s">
        <v>1594</v>
      </c>
      <c r="AI54" s="1759" t="s">
        <v>4832</v>
      </c>
      <c r="AJ54" s="1759" t="s">
        <v>4831</v>
      </c>
      <c r="AK54" s="1759">
        <v>11380</v>
      </c>
      <c r="AL54" s="1759" t="s">
        <v>4782</v>
      </c>
      <c r="AM54" s="1759">
        <v>11379</v>
      </c>
      <c r="AN54" s="1759" t="s">
        <v>1695</v>
      </c>
      <c r="AO54" s="1764"/>
      <c r="AP54" s="1759" t="s">
        <v>5365</v>
      </c>
      <c r="AQ54" s="1759" t="s">
        <v>5366</v>
      </c>
      <c r="AR54" s="1759" t="s">
        <v>351</v>
      </c>
      <c r="AS54" s="1759" t="s">
        <v>352</v>
      </c>
      <c r="AT54" s="1759" t="s">
        <v>327</v>
      </c>
      <c r="AU54" s="1763"/>
      <c r="AV54" s="1763"/>
    </row>
    <row r="55" spans="1:48" ht="37.5" hidden="1">
      <c r="A55" s="1785" t="str">
        <f t="shared" si="0"/>
        <v>גמל</v>
      </c>
      <c r="B55" s="1786">
        <f t="shared" si="1"/>
        <v>11914</v>
      </c>
      <c r="C55" s="1787">
        <v>28946</v>
      </c>
      <c r="D55" s="1786" t="str">
        <f t="shared" si="2"/>
        <v>אינפיניטי חיסכון לילד - הלכה</v>
      </c>
      <c r="E55" s="1786" t="s">
        <v>3929</v>
      </c>
      <c r="F55" s="1786" t="s">
        <v>2958</v>
      </c>
      <c r="G55" s="1786" t="s">
        <v>2959</v>
      </c>
      <c r="H55" s="1786" t="str">
        <f t="shared" si="3"/>
        <v>פעיל</v>
      </c>
      <c r="I55" s="1788">
        <f t="shared" si="4"/>
        <v>42688.474120370403</v>
      </c>
      <c r="J55" s="1788" t="str">
        <f t="shared" si="5"/>
        <v/>
      </c>
      <c r="K55" s="1786">
        <v>0</v>
      </c>
      <c r="L55" s="1786" t="s">
        <v>1594</v>
      </c>
      <c r="M55" s="1786" t="s">
        <v>1653</v>
      </c>
      <c r="N55" s="1786" t="s">
        <v>1653</v>
      </c>
      <c r="O55" s="1786">
        <v>0</v>
      </c>
      <c r="P55" s="1786"/>
      <c r="Q55" s="1786">
        <v>0</v>
      </c>
      <c r="R55" s="1788"/>
      <c r="S55" s="1786">
        <f t="shared" si="6"/>
        <v>11371</v>
      </c>
      <c r="T55" s="1786" t="str">
        <f t="shared" si="7"/>
        <v>לאומי</v>
      </c>
      <c r="U55" s="1786" t="str">
        <f t="shared" si="8"/>
        <v>אינפיניטי גמל להשקעה לחסכון ארוך טווח לילד</v>
      </c>
      <c r="V55" s="1786" t="str">
        <f t="shared" si="9"/>
        <v>512475104</v>
      </c>
      <c r="W55" s="1789" t="str">
        <f t="shared" si="10"/>
        <v>אינפיניטי ניהול השתלמות וגמל בע"מ</v>
      </c>
      <c r="AC55" s="1761" t="s">
        <v>346</v>
      </c>
      <c r="AD55" s="1761"/>
      <c r="AE55" s="1762">
        <v>42688.474120370403</v>
      </c>
      <c r="AF55" s="1761" t="s">
        <v>4603</v>
      </c>
      <c r="AG55" s="1761" t="s">
        <v>2029</v>
      </c>
      <c r="AH55" s="1761" t="s">
        <v>2028</v>
      </c>
      <c r="AI55" s="1761" t="s">
        <v>5367</v>
      </c>
      <c r="AJ55" s="1761" t="s">
        <v>5367</v>
      </c>
      <c r="AK55" s="1761">
        <v>11914</v>
      </c>
      <c r="AL55" s="1761" t="s">
        <v>4781</v>
      </c>
      <c r="AM55" s="1761">
        <v>11371</v>
      </c>
      <c r="AN55" s="1761" t="s">
        <v>5305</v>
      </c>
      <c r="AO55" s="1764"/>
      <c r="AP55" s="1761" t="s">
        <v>5368</v>
      </c>
      <c r="AQ55" s="1761" t="s">
        <v>5369</v>
      </c>
      <c r="AR55" s="1761" t="s">
        <v>650</v>
      </c>
      <c r="AS55" s="1761" t="s">
        <v>651</v>
      </c>
      <c r="AT55" s="1761" t="s">
        <v>327</v>
      </c>
      <c r="AU55" s="1763"/>
      <c r="AV55" s="1763"/>
    </row>
    <row r="56" spans="1:48" ht="37.5" hidden="1">
      <c r="A56" s="1785" t="str">
        <f t="shared" si="0"/>
        <v>גמל</v>
      </c>
      <c r="B56" s="1786">
        <f t="shared" si="1"/>
        <v>11372</v>
      </c>
      <c r="C56" s="1787">
        <v>28946</v>
      </c>
      <c r="D56" s="1786" t="str">
        <f t="shared" si="2"/>
        <v>אינפיניטי  חיסכון לילד - חוסכים המעדיפים סיכון בינוני</v>
      </c>
      <c r="E56" s="1786" t="s">
        <v>3929</v>
      </c>
      <c r="F56" s="1786" t="s">
        <v>2958</v>
      </c>
      <c r="G56" s="1786" t="s">
        <v>2959</v>
      </c>
      <c r="H56" s="1786" t="str">
        <f t="shared" si="3"/>
        <v>פעיל</v>
      </c>
      <c r="I56" s="1788">
        <f t="shared" si="4"/>
        <v>42688.474120370403</v>
      </c>
      <c r="J56" s="1788" t="str">
        <f t="shared" si="5"/>
        <v/>
      </c>
      <c r="K56" s="1786">
        <v>0</v>
      </c>
      <c r="L56" s="1786" t="s">
        <v>1594</v>
      </c>
      <c r="M56" s="1786" t="s">
        <v>1653</v>
      </c>
      <c r="N56" s="1786" t="s">
        <v>1653</v>
      </c>
      <c r="O56" s="1786">
        <v>0</v>
      </c>
      <c r="P56" s="1786"/>
      <c r="Q56" s="1786">
        <v>0</v>
      </c>
      <c r="R56" s="1788"/>
      <c r="S56" s="1786">
        <f t="shared" si="6"/>
        <v>11371</v>
      </c>
      <c r="T56" s="1786" t="str">
        <f t="shared" si="7"/>
        <v>לאומי</v>
      </c>
      <c r="U56" s="1786" t="str">
        <f t="shared" si="8"/>
        <v>אינפיניטי גמל להשקעה לחסכון ארוך טווח לילד</v>
      </c>
      <c r="V56" s="1786" t="str">
        <f t="shared" si="9"/>
        <v>512475104</v>
      </c>
      <c r="W56" s="1789" t="str">
        <f t="shared" si="10"/>
        <v>אינפיניטי ניהול השתלמות וגמל בע"מ</v>
      </c>
      <c r="AC56" s="1759" t="s">
        <v>346</v>
      </c>
      <c r="AD56" s="1759"/>
      <c r="AE56" s="1760">
        <v>42688.474120370403</v>
      </c>
      <c r="AF56" s="1759" t="s">
        <v>4757</v>
      </c>
      <c r="AG56" s="1759" t="s">
        <v>70</v>
      </c>
      <c r="AH56" s="1759" t="s">
        <v>1594</v>
      </c>
      <c r="AI56" s="1759" t="s">
        <v>4826</v>
      </c>
      <c r="AJ56" s="1759" t="s">
        <v>4826</v>
      </c>
      <c r="AK56" s="1759">
        <v>11372</v>
      </c>
      <c r="AL56" s="1759" t="s">
        <v>4781</v>
      </c>
      <c r="AM56" s="1759">
        <v>11371</v>
      </c>
      <c r="AN56" s="1759" t="s">
        <v>5305</v>
      </c>
      <c r="AO56" s="1764"/>
      <c r="AP56" s="1759" t="s">
        <v>5368</v>
      </c>
      <c r="AQ56" s="1759" t="s">
        <v>5369</v>
      </c>
      <c r="AR56" s="1759" t="s">
        <v>650</v>
      </c>
      <c r="AS56" s="1759" t="s">
        <v>651</v>
      </c>
      <c r="AT56" s="1759" t="s">
        <v>327</v>
      </c>
      <c r="AU56" s="1763"/>
      <c r="AV56" s="1763"/>
    </row>
    <row r="57" spans="1:48" ht="37.5" hidden="1">
      <c r="A57" s="1785" t="str">
        <f t="shared" si="0"/>
        <v>גמל</v>
      </c>
      <c r="B57" s="1786">
        <f t="shared" si="1"/>
        <v>11373</v>
      </c>
      <c r="C57" s="1787">
        <v>28946</v>
      </c>
      <c r="D57" s="1786" t="str">
        <f t="shared" si="2"/>
        <v>אינפיניטי חיסכון לילד - חוסכים המעדיפים סיכון מוגבר</v>
      </c>
      <c r="E57" s="1786" t="s">
        <v>3929</v>
      </c>
      <c r="F57" s="1786" t="s">
        <v>2958</v>
      </c>
      <c r="G57" s="1786" t="s">
        <v>2959</v>
      </c>
      <c r="H57" s="1786" t="str">
        <f t="shared" si="3"/>
        <v>פעיל</v>
      </c>
      <c r="I57" s="1788">
        <f t="shared" si="4"/>
        <v>42688.474120370403</v>
      </c>
      <c r="J57" s="1788" t="str">
        <f t="shared" si="5"/>
        <v/>
      </c>
      <c r="K57" s="1786">
        <v>0</v>
      </c>
      <c r="L57" s="1786" t="s">
        <v>1594</v>
      </c>
      <c r="M57" s="1786" t="s">
        <v>1653</v>
      </c>
      <c r="N57" s="1786" t="s">
        <v>1653</v>
      </c>
      <c r="O57" s="1786">
        <v>0</v>
      </c>
      <c r="P57" s="1786"/>
      <c r="Q57" s="1786">
        <v>0</v>
      </c>
      <c r="R57" s="1788"/>
      <c r="S57" s="1786">
        <f t="shared" si="6"/>
        <v>11371</v>
      </c>
      <c r="T57" s="1786" t="str">
        <f t="shared" si="7"/>
        <v>לאומי</v>
      </c>
      <c r="U57" s="1786" t="str">
        <f t="shared" si="8"/>
        <v>אינפיניטי גמל להשקעה לחסכון ארוך טווח לילד</v>
      </c>
      <c r="V57" s="1786" t="str">
        <f t="shared" si="9"/>
        <v>512475104</v>
      </c>
      <c r="W57" s="1789" t="str">
        <f t="shared" si="10"/>
        <v>אינפיניטי ניהול השתלמות וגמל בע"מ</v>
      </c>
      <c r="AC57" s="1761" t="s">
        <v>346</v>
      </c>
      <c r="AD57" s="1761"/>
      <c r="AE57" s="1762">
        <v>42688.474120370403</v>
      </c>
      <c r="AF57" s="1761" t="s">
        <v>4758</v>
      </c>
      <c r="AG57" s="1761" t="s">
        <v>70</v>
      </c>
      <c r="AH57" s="1761" t="s">
        <v>1594</v>
      </c>
      <c r="AI57" s="1761" t="s">
        <v>4827</v>
      </c>
      <c r="AJ57" s="1761" t="s">
        <v>4827</v>
      </c>
      <c r="AK57" s="1761">
        <v>11373</v>
      </c>
      <c r="AL57" s="1761" t="s">
        <v>4781</v>
      </c>
      <c r="AM57" s="1761">
        <v>11371</v>
      </c>
      <c r="AN57" s="1761" t="s">
        <v>5305</v>
      </c>
      <c r="AO57" s="1764"/>
      <c r="AP57" s="1761" t="s">
        <v>5368</v>
      </c>
      <c r="AQ57" s="1761" t="s">
        <v>5369</v>
      </c>
      <c r="AR57" s="1761" t="s">
        <v>650</v>
      </c>
      <c r="AS57" s="1761" t="s">
        <v>651</v>
      </c>
      <c r="AT57" s="1761" t="s">
        <v>327</v>
      </c>
      <c r="AU57" s="1763"/>
      <c r="AV57" s="1763"/>
    </row>
    <row r="58" spans="1:48" ht="37.5" hidden="1">
      <c r="A58" s="1785" t="str">
        <f t="shared" si="0"/>
        <v>גמל</v>
      </c>
      <c r="B58" s="1786">
        <f t="shared" si="1"/>
        <v>11374</v>
      </c>
      <c r="C58" s="1787">
        <v>28946</v>
      </c>
      <c r="D58" s="1786" t="str">
        <f t="shared" si="2"/>
        <v>אינפיניטי חיסכון לילד - חוסכים המעדיפים סיכון מועט</v>
      </c>
      <c r="E58" s="1786" t="s">
        <v>3929</v>
      </c>
      <c r="F58" s="1786" t="s">
        <v>2958</v>
      </c>
      <c r="G58" s="1786" t="s">
        <v>2959</v>
      </c>
      <c r="H58" s="1786" t="str">
        <f t="shared" si="3"/>
        <v>פעיל</v>
      </c>
      <c r="I58" s="1788">
        <f t="shared" si="4"/>
        <v>42688.474120370403</v>
      </c>
      <c r="J58" s="1788" t="str">
        <f t="shared" si="5"/>
        <v/>
      </c>
      <c r="K58" s="1786">
        <v>0</v>
      </c>
      <c r="L58" s="1786" t="s">
        <v>1594</v>
      </c>
      <c r="M58" s="1786" t="s">
        <v>1653</v>
      </c>
      <c r="N58" s="1786" t="s">
        <v>1653</v>
      </c>
      <c r="O58" s="1786">
        <v>0</v>
      </c>
      <c r="P58" s="1786"/>
      <c r="Q58" s="1786">
        <v>0</v>
      </c>
      <c r="R58" s="1788"/>
      <c r="S58" s="1786">
        <f t="shared" si="6"/>
        <v>11371</v>
      </c>
      <c r="T58" s="1786" t="str">
        <f t="shared" si="7"/>
        <v>לאומי</v>
      </c>
      <c r="U58" s="1786" t="str">
        <f t="shared" si="8"/>
        <v>אינפיניטי גמל להשקעה לחסכון ארוך טווח לילד</v>
      </c>
      <c r="V58" s="1786" t="str">
        <f t="shared" si="9"/>
        <v>512475104</v>
      </c>
      <c r="W58" s="1789" t="str">
        <f t="shared" si="10"/>
        <v>אינפיניטי ניהול השתלמות וגמל בע"מ</v>
      </c>
      <c r="AC58" s="1759" t="s">
        <v>346</v>
      </c>
      <c r="AD58" s="1759"/>
      <c r="AE58" s="1760">
        <v>42688.474120370403</v>
      </c>
      <c r="AF58" s="1759" t="s">
        <v>4759</v>
      </c>
      <c r="AG58" s="1759" t="s">
        <v>70</v>
      </c>
      <c r="AH58" s="1759" t="s">
        <v>1594</v>
      </c>
      <c r="AI58" s="1759" t="s">
        <v>4828</v>
      </c>
      <c r="AJ58" s="1759" t="s">
        <v>4828</v>
      </c>
      <c r="AK58" s="1759">
        <v>11374</v>
      </c>
      <c r="AL58" s="1759" t="s">
        <v>4781</v>
      </c>
      <c r="AM58" s="1759">
        <v>11371</v>
      </c>
      <c r="AN58" s="1759" t="s">
        <v>5305</v>
      </c>
      <c r="AO58" s="1764"/>
      <c r="AP58" s="1759" t="s">
        <v>5368</v>
      </c>
      <c r="AQ58" s="1759" t="s">
        <v>5369</v>
      </c>
      <c r="AR58" s="1759" t="s">
        <v>650</v>
      </c>
      <c r="AS58" s="1759" t="s">
        <v>651</v>
      </c>
      <c r="AT58" s="1759" t="s">
        <v>327</v>
      </c>
      <c r="AU58" s="1763"/>
      <c r="AV58" s="1763"/>
    </row>
    <row r="59" spans="1:48" ht="25" hidden="1">
      <c r="A59" s="1785" t="str">
        <f t="shared" si="0"/>
        <v>גמל</v>
      </c>
      <c r="B59" s="1786">
        <f t="shared" si="1"/>
        <v>11356</v>
      </c>
      <c r="C59" s="1787">
        <v>28946</v>
      </c>
      <c r="D59" s="1786" t="str">
        <f t="shared" si="2"/>
        <v>הלמן-אלדובי חיסכון לילד- חוסכים המעדיפים סיכון מוגבר</v>
      </c>
      <c r="E59" s="1786" t="s">
        <v>3929</v>
      </c>
      <c r="F59" s="1786" t="s">
        <v>2958</v>
      </c>
      <c r="G59" s="1786" t="s">
        <v>2959</v>
      </c>
      <c r="H59" s="1786" t="str">
        <f t="shared" si="3"/>
        <v>פעיל</v>
      </c>
      <c r="I59" s="1788">
        <f t="shared" si="4"/>
        <v>42687.317129629599</v>
      </c>
      <c r="J59" s="1788" t="str">
        <f t="shared" si="5"/>
        <v/>
      </c>
      <c r="K59" s="1786">
        <v>0</v>
      </c>
      <c r="L59" s="1786" t="s">
        <v>1594</v>
      </c>
      <c r="M59" s="1786" t="s">
        <v>1653</v>
      </c>
      <c r="N59" s="1786" t="s">
        <v>1653</v>
      </c>
      <c r="O59" s="1786">
        <v>0</v>
      </c>
      <c r="P59" s="1786"/>
      <c r="Q59" s="1786">
        <v>0</v>
      </c>
      <c r="R59" s="1788"/>
      <c r="S59" s="1786">
        <f t="shared" si="6"/>
        <v>11351</v>
      </c>
      <c r="T59" s="1786" t="str">
        <f t="shared" si="7"/>
        <v>בנק מזרחי טפחות בע"מ</v>
      </c>
      <c r="U59" s="1786" t="str">
        <f t="shared" si="8"/>
        <v>הלמן-אלדובי חיסכון לילד</v>
      </c>
      <c r="V59" s="1786" t="str">
        <f t="shared" si="9"/>
        <v>513163105</v>
      </c>
      <c r="W59" s="1789" t="str">
        <f t="shared" si="10"/>
        <v>הלמן - אלדובי קופות גמל ופנסיה בע"מ</v>
      </c>
      <c r="AC59" s="1761" t="s">
        <v>346</v>
      </c>
      <c r="AD59" s="1761"/>
      <c r="AE59" s="1762">
        <v>42687.317129629599</v>
      </c>
      <c r="AF59" s="1761" t="s">
        <v>4758</v>
      </c>
      <c r="AG59" s="1761" t="s">
        <v>70</v>
      </c>
      <c r="AH59" s="1761" t="s">
        <v>1594</v>
      </c>
      <c r="AI59" s="1761" t="s">
        <v>4822</v>
      </c>
      <c r="AJ59" s="1761" t="s">
        <v>4822</v>
      </c>
      <c r="AK59" s="1761">
        <v>11356</v>
      </c>
      <c r="AL59" s="1761" t="s">
        <v>4818</v>
      </c>
      <c r="AM59" s="1761">
        <v>11351</v>
      </c>
      <c r="AN59" s="1761" t="s">
        <v>5370</v>
      </c>
      <c r="AO59" s="1764"/>
      <c r="AP59" s="1761" t="s">
        <v>5371</v>
      </c>
      <c r="AQ59" s="1761" t="s">
        <v>5372</v>
      </c>
      <c r="AR59" s="1761" t="s">
        <v>354</v>
      </c>
      <c r="AS59" s="1761" t="s">
        <v>355</v>
      </c>
      <c r="AT59" s="1761" t="s">
        <v>327</v>
      </c>
      <c r="AU59" s="1763"/>
      <c r="AV59" s="1763"/>
    </row>
    <row r="60" spans="1:48" ht="25" hidden="1">
      <c r="A60" s="1785" t="str">
        <f t="shared" si="0"/>
        <v>גמל</v>
      </c>
      <c r="B60" s="1786">
        <f t="shared" si="1"/>
        <v>11353</v>
      </c>
      <c r="C60" s="1787">
        <v>28946</v>
      </c>
      <c r="D60" s="1786" t="str">
        <f t="shared" si="2"/>
        <v>הלמן-אלדובי חיסכון לילד- הלכה</v>
      </c>
      <c r="E60" s="1786" t="s">
        <v>3929</v>
      </c>
      <c r="F60" s="1786" t="s">
        <v>2958</v>
      </c>
      <c r="G60" s="1786" t="s">
        <v>2959</v>
      </c>
      <c r="H60" s="1786" t="str">
        <f t="shared" si="3"/>
        <v>פעיל</v>
      </c>
      <c r="I60" s="1788">
        <f t="shared" si="4"/>
        <v>42687.317129629599</v>
      </c>
      <c r="J60" s="1788" t="str">
        <f t="shared" si="5"/>
        <v/>
      </c>
      <c r="K60" s="1786">
        <v>0</v>
      </c>
      <c r="L60" s="1786" t="s">
        <v>1594</v>
      </c>
      <c r="M60" s="1786" t="s">
        <v>1653</v>
      </c>
      <c r="N60" s="1786" t="s">
        <v>1653</v>
      </c>
      <c r="O60" s="1786">
        <v>0</v>
      </c>
      <c r="P60" s="1786"/>
      <c r="Q60" s="1786">
        <v>0</v>
      </c>
      <c r="R60" s="1788"/>
      <c r="S60" s="1786">
        <f t="shared" si="6"/>
        <v>11351</v>
      </c>
      <c r="T60" s="1786" t="str">
        <f t="shared" si="7"/>
        <v>בנק מזרחי טפחות בע"מ</v>
      </c>
      <c r="U60" s="1786" t="str">
        <f t="shared" si="8"/>
        <v>הלמן-אלדובי חיסכון לילד</v>
      </c>
      <c r="V60" s="1786" t="str">
        <f t="shared" si="9"/>
        <v>513163105</v>
      </c>
      <c r="W60" s="1789" t="str">
        <f t="shared" si="10"/>
        <v>הלמן - אלדובי קופות גמל ופנסיה בע"מ</v>
      </c>
      <c r="AC60" s="1759" t="s">
        <v>346</v>
      </c>
      <c r="AD60" s="1759"/>
      <c r="AE60" s="1760">
        <v>42687.317129629599</v>
      </c>
      <c r="AF60" s="1759" t="s">
        <v>4603</v>
      </c>
      <c r="AG60" s="1759" t="s">
        <v>2029</v>
      </c>
      <c r="AH60" s="1759" t="s">
        <v>2028</v>
      </c>
      <c r="AI60" s="1759" t="s">
        <v>4819</v>
      </c>
      <c r="AJ60" s="1759" t="s">
        <v>4819</v>
      </c>
      <c r="AK60" s="1759">
        <v>11353</v>
      </c>
      <c r="AL60" s="1759" t="s">
        <v>4818</v>
      </c>
      <c r="AM60" s="1759">
        <v>11351</v>
      </c>
      <c r="AN60" s="1759" t="s">
        <v>5370</v>
      </c>
      <c r="AO60" s="1764"/>
      <c r="AP60" s="1759" t="s">
        <v>5371</v>
      </c>
      <c r="AQ60" s="1759" t="s">
        <v>5372</v>
      </c>
      <c r="AR60" s="1759" t="s">
        <v>354</v>
      </c>
      <c r="AS60" s="1759" t="s">
        <v>355</v>
      </c>
      <c r="AT60" s="1759" t="s">
        <v>327</v>
      </c>
      <c r="AU60" s="1763"/>
      <c r="AV60" s="1763"/>
    </row>
    <row r="61" spans="1:48" ht="25" hidden="1">
      <c r="A61" s="1785" t="str">
        <f t="shared" si="0"/>
        <v>גמל</v>
      </c>
      <c r="B61" s="1786">
        <f t="shared" si="1"/>
        <v>11352</v>
      </c>
      <c r="C61" s="1787">
        <v>28946</v>
      </c>
      <c r="D61" s="1786" t="str">
        <f t="shared" si="2"/>
        <v>הלמן-אלדובי חיסכון לילד- שריעה</v>
      </c>
      <c r="E61" s="1786" t="s">
        <v>3929</v>
      </c>
      <c r="F61" s="1786" t="s">
        <v>2958</v>
      </c>
      <c r="G61" s="1786" t="s">
        <v>2959</v>
      </c>
      <c r="H61" s="1786" t="str">
        <f t="shared" si="3"/>
        <v>פעיל</v>
      </c>
      <c r="I61" s="1788">
        <f t="shared" si="4"/>
        <v>42687.317129629599</v>
      </c>
      <c r="J61" s="1788" t="str">
        <f t="shared" si="5"/>
        <v/>
      </c>
      <c r="K61" s="1786">
        <v>0</v>
      </c>
      <c r="L61" s="1786" t="s">
        <v>1594</v>
      </c>
      <c r="M61" s="1786" t="s">
        <v>1653</v>
      </c>
      <c r="N61" s="1786" t="s">
        <v>1653</v>
      </c>
      <c r="O61" s="1786">
        <v>0</v>
      </c>
      <c r="P61" s="1786"/>
      <c r="Q61" s="1786">
        <v>0</v>
      </c>
      <c r="R61" s="1788"/>
      <c r="S61" s="1786">
        <f t="shared" si="6"/>
        <v>11351</v>
      </c>
      <c r="T61" s="1786" t="str">
        <f t="shared" si="7"/>
        <v>בנק מזרחי טפחות בע"מ</v>
      </c>
      <c r="U61" s="1786" t="str">
        <f t="shared" si="8"/>
        <v>הלמן-אלדובי חיסכון לילד</v>
      </c>
      <c r="V61" s="1786" t="str">
        <f t="shared" si="9"/>
        <v>513163105</v>
      </c>
      <c r="W61" s="1789" t="str">
        <f t="shared" si="10"/>
        <v>הלמן - אלדובי קופות גמל ופנסיה בע"מ</v>
      </c>
      <c r="AC61" s="1761" t="s">
        <v>346</v>
      </c>
      <c r="AD61" s="1761"/>
      <c r="AE61" s="1762">
        <v>42687.317129629599</v>
      </c>
      <c r="AF61" s="1761" t="s">
        <v>4631</v>
      </c>
      <c r="AG61" s="1761" t="s">
        <v>2029</v>
      </c>
      <c r="AH61" s="1761" t="s">
        <v>2028</v>
      </c>
      <c r="AI61" s="1761" t="s">
        <v>4817</v>
      </c>
      <c r="AJ61" s="1761" t="s">
        <v>4817</v>
      </c>
      <c r="AK61" s="1761">
        <v>11352</v>
      </c>
      <c r="AL61" s="1761" t="s">
        <v>4818</v>
      </c>
      <c r="AM61" s="1761">
        <v>11351</v>
      </c>
      <c r="AN61" s="1761" t="s">
        <v>5370</v>
      </c>
      <c r="AO61" s="1764"/>
      <c r="AP61" s="1761" t="s">
        <v>5371</v>
      </c>
      <c r="AQ61" s="1761" t="s">
        <v>5372</v>
      </c>
      <c r="AR61" s="1761" t="s">
        <v>354</v>
      </c>
      <c r="AS61" s="1761" t="s">
        <v>355</v>
      </c>
      <c r="AT61" s="1761" t="s">
        <v>327</v>
      </c>
      <c r="AU61" s="1763"/>
      <c r="AV61" s="1763"/>
    </row>
    <row r="62" spans="1:48" ht="25" hidden="1">
      <c r="A62" s="1785" t="str">
        <f t="shared" si="0"/>
        <v>גמל</v>
      </c>
      <c r="B62" s="1786">
        <f t="shared" si="1"/>
        <v>11354</v>
      </c>
      <c r="C62" s="1787">
        <v>28946</v>
      </c>
      <c r="D62" s="1786" t="str">
        <f t="shared" si="2"/>
        <v>הלמן-אלדובי חיסכון לילד- חוסכים המעדיפים סיכון מועט</v>
      </c>
      <c r="E62" s="1786" t="s">
        <v>3929</v>
      </c>
      <c r="F62" s="1786" t="s">
        <v>2958</v>
      </c>
      <c r="G62" s="1786" t="s">
        <v>2959</v>
      </c>
      <c r="H62" s="1786" t="str">
        <f t="shared" si="3"/>
        <v>פעיל</v>
      </c>
      <c r="I62" s="1788">
        <f t="shared" si="4"/>
        <v>42687.317129629599</v>
      </c>
      <c r="J62" s="1788" t="str">
        <f t="shared" si="5"/>
        <v/>
      </c>
      <c r="K62" s="1786">
        <v>0</v>
      </c>
      <c r="L62" s="1786" t="s">
        <v>1594</v>
      </c>
      <c r="M62" s="1786" t="s">
        <v>1653</v>
      </c>
      <c r="N62" s="1786" t="s">
        <v>1653</v>
      </c>
      <c r="O62" s="1786">
        <v>0</v>
      </c>
      <c r="P62" s="1786"/>
      <c r="Q62" s="1786">
        <v>0</v>
      </c>
      <c r="R62" s="1788"/>
      <c r="S62" s="1786">
        <f t="shared" si="6"/>
        <v>11351</v>
      </c>
      <c r="T62" s="1786" t="str">
        <f t="shared" si="7"/>
        <v>בנק מזרחי טפחות בע"מ</v>
      </c>
      <c r="U62" s="1786" t="str">
        <f t="shared" si="8"/>
        <v>הלמן-אלדובי חיסכון לילד</v>
      </c>
      <c r="V62" s="1786" t="str">
        <f t="shared" si="9"/>
        <v>513163105</v>
      </c>
      <c r="W62" s="1789" t="str">
        <f t="shared" si="10"/>
        <v>הלמן - אלדובי קופות גמל ופנסיה בע"מ</v>
      </c>
      <c r="AC62" s="1759" t="s">
        <v>346</v>
      </c>
      <c r="AD62" s="1759"/>
      <c r="AE62" s="1760">
        <v>42687.317129629599</v>
      </c>
      <c r="AF62" s="1759" t="s">
        <v>4759</v>
      </c>
      <c r="AG62" s="1759" t="s">
        <v>70</v>
      </c>
      <c r="AH62" s="1759" t="s">
        <v>1594</v>
      </c>
      <c r="AI62" s="1759" t="s">
        <v>4820</v>
      </c>
      <c r="AJ62" s="1759" t="s">
        <v>4820</v>
      </c>
      <c r="AK62" s="1759">
        <v>11354</v>
      </c>
      <c r="AL62" s="1759" t="s">
        <v>4818</v>
      </c>
      <c r="AM62" s="1759">
        <v>11351</v>
      </c>
      <c r="AN62" s="1759" t="s">
        <v>5370</v>
      </c>
      <c r="AO62" s="1764"/>
      <c r="AP62" s="1759" t="s">
        <v>5371</v>
      </c>
      <c r="AQ62" s="1759" t="s">
        <v>5372</v>
      </c>
      <c r="AR62" s="1759" t="s">
        <v>354</v>
      </c>
      <c r="AS62" s="1759" t="s">
        <v>355</v>
      </c>
      <c r="AT62" s="1759" t="s">
        <v>327</v>
      </c>
      <c r="AU62" s="1763"/>
      <c r="AV62" s="1763"/>
    </row>
    <row r="63" spans="1:48" ht="25" hidden="1">
      <c r="A63" s="1785" t="str">
        <f t="shared" si="0"/>
        <v>גמל</v>
      </c>
      <c r="B63" s="1786">
        <f t="shared" si="1"/>
        <v>11355</v>
      </c>
      <c r="C63" s="1787">
        <v>28946</v>
      </c>
      <c r="D63" s="1786" t="str">
        <f t="shared" si="2"/>
        <v>הלמן-אלדובי חיסכון לילד- חוסכים המעדיפים סיכון בינוני</v>
      </c>
      <c r="E63" s="1786" t="s">
        <v>3929</v>
      </c>
      <c r="F63" s="1786" t="s">
        <v>2958</v>
      </c>
      <c r="G63" s="1786" t="s">
        <v>2959</v>
      </c>
      <c r="H63" s="1786" t="str">
        <f t="shared" si="3"/>
        <v>פעיל</v>
      </c>
      <c r="I63" s="1788">
        <f t="shared" si="4"/>
        <v>42687.317129629599</v>
      </c>
      <c r="J63" s="1788" t="str">
        <f t="shared" si="5"/>
        <v/>
      </c>
      <c r="K63" s="1786">
        <v>0</v>
      </c>
      <c r="L63" s="1786" t="s">
        <v>1594</v>
      </c>
      <c r="M63" s="1786" t="s">
        <v>1653</v>
      </c>
      <c r="N63" s="1786" t="s">
        <v>1653</v>
      </c>
      <c r="O63" s="1786">
        <v>0</v>
      </c>
      <c r="P63" s="1786"/>
      <c r="Q63" s="1786">
        <v>0</v>
      </c>
      <c r="R63" s="1788"/>
      <c r="S63" s="1786">
        <f t="shared" si="6"/>
        <v>11351</v>
      </c>
      <c r="T63" s="1786" t="str">
        <f t="shared" si="7"/>
        <v>בנק מזרחי טפחות בע"מ</v>
      </c>
      <c r="U63" s="1786" t="str">
        <f t="shared" si="8"/>
        <v>הלמן-אלדובי חיסכון לילד</v>
      </c>
      <c r="V63" s="1786" t="str">
        <f t="shared" si="9"/>
        <v>513163105</v>
      </c>
      <c r="W63" s="1789" t="str">
        <f t="shared" si="10"/>
        <v>הלמן - אלדובי קופות גמל ופנסיה בע"מ</v>
      </c>
      <c r="AC63" s="1761" t="s">
        <v>346</v>
      </c>
      <c r="AD63" s="1761"/>
      <c r="AE63" s="1762">
        <v>42687.317129629599</v>
      </c>
      <c r="AF63" s="1761" t="s">
        <v>4757</v>
      </c>
      <c r="AG63" s="1761" t="s">
        <v>70</v>
      </c>
      <c r="AH63" s="1761" t="s">
        <v>1594</v>
      </c>
      <c r="AI63" s="1761" t="s">
        <v>4821</v>
      </c>
      <c r="AJ63" s="1761" t="s">
        <v>4821</v>
      </c>
      <c r="AK63" s="1761">
        <v>11355</v>
      </c>
      <c r="AL63" s="1761" t="s">
        <v>4818</v>
      </c>
      <c r="AM63" s="1761">
        <v>11351</v>
      </c>
      <c r="AN63" s="1761" t="s">
        <v>5370</v>
      </c>
      <c r="AO63" s="1764"/>
      <c r="AP63" s="1761" t="s">
        <v>5371</v>
      </c>
      <c r="AQ63" s="1761" t="s">
        <v>5372</v>
      </c>
      <c r="AR63" s="1761" t="s">
        <v>354</v>
      </c>
      <c r="AS63" s="1761" t="s">
        <v>355</v>
      </c>
      <c r="AT63" s="1761" t="s">
        <v>327</v>
      </c>
      <c r="AU63" s="1763"/>
      <c r="AV63" s="1763"/>
    </row>
    <row r="64" spans="1:48" ht="25" hidden="1">
      <c r="A64" s="1785" t="str">
        <f t="shared" si="0"/>
        <v>גמל</v>
      </c>
      <c r="B64" s="1786">
        <f t="shared" si="1"/>
        <v>11343</v>
      </c>
      <c r="C64" s="1787">
        <v>28946</v>
      </c>
      <c r="D64" s="1786" t="str">
        <f t="shared" si="2"/>
        <v>קל גמל חסכון לילד - חוסכים המעדיפים סיכון מועט</v>
      </c>
      <c r="E64" s="1786" t="s">
        <v>3929</v>
      </c>
      <c r="F64" s="1786" t="s">
        <v>2958</v>
      </c>
      <c r="G64" s="1786" t="s">
        <v>2959</v>
      </c>
      <c r="H64" s="1786" t="str">
        <f t="shared" si="3"/>
        <v>פעיל</v>
      </c>
      <c r="I64" s="1788">
        <f t="shared" si="4"/>
        <v>42684.732233796298</v>
      </c>
      <c r="J64" s="1788" t="str">
        <f t="shared" si="5"/>
        <v/>
      </c>
      <c r="K64" s="1786">
        <v>0</v>
      </c>
      <c r="L64" s="1786" t="s">
        <v>1594</v>
      </c>
      <c r="M64" s="1786" t="s">
        <v>1653</v>
      </c>
      <c r="N64" s="1786" t="s">
        <v>1653</v>
      </c>
      <c r="O64" s="1786">
        <v>0</v>
      </c>
      <c r="P64" s="1786"/>
      <c r="Q64" s="1786">
        <v>0</v>
      </c>
      <c r="R64" s="1788"/>
      <c r="S64" s="1786">
        <f t="shared" si="6"/>
        <v>11342</v>
      </c>
      <c r="T64" s="1786" t="str">
        <f t="shared" si="7"/>
        <v>אפ.אמ.אר תפעול</v>
      </c>
      <c r="U64" s="1786" t="str">
        <f t="shared" si="8"/>
        <v>קל גמל להשקעה - חסכון לכל ילד</v>
      </c>
      <c r="V64" s="1786" t="str">
        <f t="shared" si="9"/>
        <v>514741552</v>
      </c>
      <c r="W64" s="1789" t="str">
        <f t="shared" si="10"/>
        <v xml:space="preserve">סלייס גמל בע"מ </v>
      </c>
      <c r="AC64" s="1759" t="s">
        <v>346</v>
      </c>
      <c r="AD64" s="1759"/>
      <c r="AE64" s="1760">
        <v>42684.732233796298</v>
      </c>
      <c r="AF64" s="1759" t="s">
        <v>4759</v>
      </c>
      <c r="AG64" s="1759" t="s">
        <v>70</v>
      </c>
      <c r="AH64" s="1759" t="s">
        <v>1594</v>
      </c>
      <c r="AI64" s="1759" t="s">
        <v>4811</v>
      </c>
      <c r="AJ64" s="1759" t="s">
        <v>4810</v>
      </c>
      <c r="AK64" s="1759">
        <v>11343</v>
      </c>
      <c r="AL64" s="1759" t="s">
        <v>4812</v>
      </c>
      <c r="AM64" s="1759">
        <v>11342</v>
      </c>
      <c r="AN64" s="1759" t="s">
        <v>5338</v>
      </c>
      <c r="AO64" s="1764"/>
      <c r="AP64" s="1759" t="s">
        <v>5339</v>
      </c>
      <c r="AQ64" s="1759" t="s">
        <v>5340</v>
      </c>
      <c r="AR64" s="1759" t="s">
        <v>5341</v>
      </c>
      <c r="AS64" s="1759" t="s">
        <v>2749</v>
      </c>
      <c r="AT64" s="1759" t="s">
        <v>327</v>
      </c>
      <c r="AU64" s="1763"/>
      <c r="AV64" s="1763"/>
    </row>
    <row r="65" spans="1:48" ht="25" hidden="1">
      <c r="A65" s="1785" t="str">
        <f t="shared" si="0"/>
        <v>גמל</v>
      </c>
      <c r="B65" s="1786">
        <f t="shared" si="1"/>
        <v>11344</v>
      </c>
      <c r="C65" s="1787">
        <v>28946</v>
      </c>
      <c r="D65" s="1786" t="str">
        <f t="shared" si="2"/>
        <v>קל גמל חסכון לילד - חוסכים המעדיפים סיכון בינוני</v>
      </c>
      <c r="E65" s="1786" t="s">
        <v>3929</v>
      </c>
      <c r="F65" s="1786" t="s">
        <v>2958</v>
      </c>
      <c r="G65" s="1786" t="s">
        <v>2959</v>
      </c>
      <c r="H65" s="1786" t="str">
        <f t="shared" si="3"/>
        <v>פעיל</v>
      </c>
      <c r="I65" s="1788">
        <f t="shared" si="4"/>
        <v>42684.732233796298</v>
      </c>
      <c r="J65" s="1788" t="str">
        <f t="shared" si="5"/>
        <v/>
      </c>
      <c r="K65" s="1786">
        <v>0</v>
      </c>
      <c r="L65" s="1786" t="s">
        <v>1594</v>
      </c>
      <c r="M65" s="1786" t="s">
        <v>1653</v>
      </c>
      <c r="N65" s="1786" t="s">
        <v>1653</v>
      </c>
      <c r="O65" s="1786">
        <v>0</v>
      </c>
      <c r="P65" s="1786"/>
      <c r="Q65" s="1786">
        <v>0</v>
      </c>
      <c r="R65" s="1788"/>
      <c r="S65" s="1786">
        <f t="shared" si="6"/>
        <v>11342</v>
      </c>
      <c r="T65" s="1786" t="str">
        <f t="shared" si="7"/>
        <v>אפ.אמ.אר תפעול</v>
      </c>
      <c r="U65" s="1786" t="str">
        <f t="shared" si="8"/>
        <v>קל גמל להשקעה - חסכון לכל ילד</v>
      </c>
      <c r="V65" s="1786" t="str">
        <f t="shared" si="9"/>
        <v>514741552</v>
      </c>
      <c r="W65" s="1789" t="str">
        <f t="shared" si="10"/>
        <v xml:space="preserve">סלייס גמל בע"מ </v>
      </c>
      <c r="AC65" s="1761" t="s">
        <v>346</v>
      </c>
      <c r="AD65" s="1761"/>
      <c r="AE65" s="1762">
        <v>42684.732233796298</v>
      </c>
      <c r="AF65" s="1761" t="s">
        <v>4757</v>
      </c>
      <c r="AG65" s="1761" t="s">
        <v>70</v>
      </c>
      <c r="AH65" s="1761" t="s">
        <v>1594</v>
      </c>
      <c r="AI65" s="1761" t="s">
        <v>4813</v>
      </c>
      <c r="AJ65" s="1761" t="s">
        <v>4813</v>
      </c>
      <c r="AK65" s="1761">
        <v>11344</v>
      </c>
      <c r="AL65" s="1761" t="s">
        <v>4812</v>
      </c>
      <c r="AM65" s="1761">
        <v>11342</v>
      </c>
      <c r="AN65" s="1761" t="s">
        <v>5338</v>
      </c>
      <c r="AO65" s="1764"/>
      <c r="AP65" s="1761" t="s">
        <v>5339</v>
      </c>
      <c r="AQ65" s="1761" t="s">
        <v>5340</v>
      </c>
      <c r="AR65" s="1761" t="s">
        <v>5341</v>
      </c>
      <c r="AS65" s="1761" t="s">
        <v>2749</v>
      </c>
      <c r="AT65" s="1761" t="s">
        <v>327</v>
      </c>
      <c r="AU65" s="1763"/>
      <c r="AV65" s="1763"/>
    </row>
    <row r="66" spans="1:48" ht="25" hidden="1">
      <c r="A66" s="1785" t="str">
        <f t="shared" si="0"/>
        <v>גמל</v>
      </c>
      <c r="B66" s="1786">
        <f t="shared" si="1"/>
        <v>11345</v>
      </c>
      <c r="C66" s="1787">
        <v>28946</v>
      </c>
      <c r="D66" s="1786" t="str">
        <f t="shared" si="2"/>
        <v>קל גמל חסכון לילד - חוסכים המעדיפים סיכון מוגבר</v>
      </c>
      <c r="E66" s="1786" t="s">
        <v>3929</v>
      </c>
      <c r="F66" s="1786" t="s">
        <v>2958</v>
      </c>
      <c r="G66" s="1786" t="s">
        <v>2959</v>
      </c>
      <c r="H66" s="1786" t="str">
        <f t="shared" si="3"/>
        <v>פעיל</v>
      </c>
      <c r="I66" s="1788">
        <f t="shared" si="4"/>
        <v>42684.732233796298</v>
      </c>
      <c r="J66" s="1788" t="str">
        <f t="shared" si="5"/>
        <v/>
      </c>
      <c r="K66" s="1786">
        <v>0</v>
      </c>
      <c r="L66" s="1786" t="s">
        <v>1594</v>
      </c>
      <c r="M66" s="1786" t="s">
        <v>1653</v>
      </c>
      <c r="N66" s="1786" t="s">
        <v>1653</v>
      </c>
      <c r="O66" s="1786">
        <v>0</v>
      </c>
      <c r="P66" s="1786"/>
      <c r="Q66" s="1786">
        <v>0</v>
      </c>
      <c r="R66" s="1788"/>
      <c r="S66" s="1786">
        <f t="shared" si="6"/>
        <v>11342</v>
      </c>
      <c r="T66" s="1786" t="str">
        <f t="shared" si="7"/>
        <v>אפ.אמ.אר תפעול</v>
      </c>
      <c r="U66" s="1786" t="str">
        <f t="shared" si="8"/>
        <v>קל גמל להשקעה - חסכון לכל ילד</v>
      </c>
      <c r="V66" s="1786" t="str">
        <f t="shared" si="9"/>
        <v>514741552</v>
      </c>
      <c r="W66" s="1789" t="str">
        <f t="shared" si="10"/>
        <v xml:space="preserve">סלייס גמל בע"מ </v>
      </c>
      <c r="AC66" s="1759" t="s">
        <v>346</v>
      </c>
      <c r="AD66" s="1759"/>
      <c r="AE66" s="1760">
        <v>42684.732233796298</v>
      </c>
      <c r="AF66" s="1759" t="s">
        <v>4758</v>
      </c>
      <c r="AG66" s="1759" t="s">
        <v>70</v>
      </c>
      <c r="AH66" s="1759" t="s">
        <v>1594</v>
      </c>
      <c r="AI66" s="1759" t="s">
        <v>4814</v>
      </c>
      <c r="AJ66" s="1759" t="s">
        <v>4814</v>
      </c>
      <c r="AK66" s="1759">
        <v>11345</v>
      </c>
      <c r="AL66" s="1759" t="s">
        <v>4812</v>
      </c>
      <c r="AM66" s="1759">
        <v>11342</v>
      </c>
      <c r="AN66" s="1759" t="s">
        <v>5338</v>
      </c>
      <c r="AO66" s="1764"/>
      <c r="AP66" s="1759" t="s">
        <v>5339</v>
      </c>
      <c r="AQ66" s="1759" t="s">
        <v>5340</v>
      </c>
      <c r="AR66" s="1759" t="s">
        <v>5341</v>
      </c>
      <c r="AS66" s="1759" t="s">
        <v>2749</v>
      </c>
      <c r="AT66" s="1759" t="s">
        <v>327</v>
      </c>
      <c r="AU66" s="1763"/>
      <c r="AV66" s="1763"/>
    </row>
    <row r="67" spans="1:48" ht="25" hidden="1">
      <c r="A67" s="1785" t="str">
        <f t="shared" si="0"/>
        <v>גמל</v>
      </c>
      <c r="B67" s="1786">
        <f t="shared" si="1"/>
        <v>11346</v>
      </c>
      <c r="C67" s="1787">
        <v>28946</v>
      </c>
      <c r="D67" s="1786" t="str">
        <f t="shared" si="2"/>
        <v>קל גמל להשקעה - חסכון לכל ילד הלכתי הלכה איסלאמית</v>
      </c>
      <c r="E67" s="1786" t="s">
        <v>3929</v>
      </c>
      <c r="F67" s="1786" t="s">
        <v>2958</v>
      </c>
      <c r="G67" s="1786" t="s">
        <v>2959</v>
      </c>
      <c r="H67" s="1786" t="str">
        <f t="shared" si="3"/>
        <v>לא פעיל</v>
      </c>
      <c r="I67" s="1788">
        <f t="shared" si="4"/>
        <v>42684.732233796298</v>
      </c>
      <c r="J67" s="1788">
        <f t="shared" si="5"/>
        <v>42712.7276851852</v>
      </c>
      <c r="K67" s="1786">
        <v>0</v>
      </c>
      <c r="L67" s="1786" t="s">
        <v>1594</v>
      </c>
      <c r="M67" s="1786" t="s">
        <v>1653</v>
      </c>
      <c r="N67" s="1786" t="s">
        <v>1653</v>
      </c>
      <c r="O67" s="1786">
        <v>0</v>
      </c>
      <c r="P67" s="1786"/>
      <c r="Q67" s="1786">
        <v>0</v>
      </c>
      <c r="R67" s="1788"/>
      <c r="S67" s="1786">
        <f t="shared" si="6"/>
        <v>11342</v>
      </c>
      <c r="T67" s="1786" t="str">
        <f t="shared" si="7"/>
        <v>אפ.אמ.אר תפעול</v>
      </c>
      <c r="U67" s="1786" t="str">
        <f t="shared" si="8"/>
        <v>קל גמל להשקעה - חסכון לכל ילד</v>
      </c>
      <c r="V67" s="1786" t="str">
        <f t="shared" si="9"/>
        <v>514741552</v>
      </c>
      <c r="W67" s="1789" t="str">
        <f t="shared" si="10"/>
        <v xml:space="preserve">סלייס גמל בע"מ </v>
      </c>
      <c r="AC67" s="1761" t="s">
        <v>1586</v>
      </c>
      <c r="AD67" s="1762">
        <v>42712.7276851852</v>
      </c>
      <c r="AE67" s="1762">
        <v>42684.732233796298</v>
      </c>
      <c r="AF67" s="1761" t="s">
        <v>4631</v>
      </c>
      <c r="AG67" s="1761" t="s">
        <v>2029</v>
      </c>
      <c r="AH67" s="1761" t="s">
        <v>2028</v>
      </c>
      <c r="AI67" s="1761" t="s">
        <v>4808</v>
      </c>
      <c r="AJ67" s="1761" t="s">
        <v>4815</v>
      </c>
      <c r="AK67" s="1761">
        <v>11346</v>
      </c>
      <c r="AL67" s="1761" t="s">
        <v>4812</v>
      </c>
      <c r="AM67" s="1761">
        <v>11342</v>
      </c>
      <c r="AN67" s="1761" t="s">
        <v>5338</v>
      </c>
      <c r="AO67" s="1764"/>
      <c r="AP67" s="1761" t="s">
        <v>5339</v>
      </c>
      <c r="AQ67" s="1761" t="s">
        <v>5340</v>
      </c>
      <c r="AR67" s="1761" t="s">
        <v>5341</v>
      </c>
      <c r="AS67" s="1761" t="s">
        <v>2749</v>
      </c>
      <c r="AT67" s="1761" t="s">
        <v>327</v>
      </c>
      <c r="AU67" s="1763"/>
      <c r="AV67" s="1763"/>
    </row>
    <row r="68" spans="1:48" ht="25" hidden="1">
      <c r="A68" s="1785" t="str">
        <f t="shared" si="0"/>
        <v>גמל</v>
      </c>
      <c r="B68" s="1786">
        <f t="shared" si="1"/>
        <v>11347</v>
      </c>
      <c r="C68" s="1787">
        <v>28946</v>
      </c>
      <c r="D68" s="1786" t="str">
        <f t="shared" si="2"/>
        <v>קל גמל להשקעה - חסכון לכל ילד הלכתי הלכה יהודית</v>
      </c>
      <c r="E68" s="1786" t="s">
        <v>3929</v>
      </c>
      <c r="F68" s="1786" t="s">
        <v>2958</v>
      </c>
      <c r="G68" s="1786" t="s">
        <v>2959</v>
      </c>
      <c r="H68" s="1786" t="str">
        <f t="shared" si="3"/>
        <v>לא פעיל</v>
      </c>
      <c r="I68" s="1788">
        <f t="shared" si="4"/>
        <v>42684.732233796298</v>
      </c>
      <c r="J68" s="1788">
        <f t="shared" si="5"/>
        <v>42712.7276851852</v>
      </c>
      <c r="K68" s="1786">
        <v>0</v>
      </c>
      <c r="L68" s="1786" t="s">
        <v>1594</v>
      </c>
      <c r="M68" s="1786" t="s">
        <v>1653</v>
      </c>
      <c r="N68" s="1786" t="s">
        <v>1653</v>
      </c>
      <c r="O68" s="1786">
        <v>0</v>
      </c>
      <c r="P68" s="1786"/>
      <c r="Q68" s="1786">
        <v>0</v>
      </c>
      <c r="R68" s="1788"/>
      <c r="S68" s="1786">
        <f t="shared" si="6"/>
        <v>11342</v>
      </c>
      <c r="T68" s="1786" t="str">
        <f t="shared" si="7"/>
        <v>אפ.אמ.אר תפעול</v>
      </c>
      <c r="U68" s="1786" t="str">
        <f t="shared" si="8"/>
        <v>קל גמל להשקעה - חסכון לכל ילד</v>
      </c>
      <c r="V68" s="1786" t="str">
        <f t="shared" si="9"/>
        <v>514741552</v>
      </c>
      <c r="W68" s="1789" t="str">
        <f t="shared" si="10"/>
        <v xml:space="preserve">סלייס גמל בע"מ </v>
      </c>
      <c r="AC68" s="1759" t="s">
        <v>1586</v>
      </c>
      <c r="AD68" s="1760">
        <v>42712.7276851852</v>
      </c>
      <c r="AE68" s="1760">
        <v>42684.732233796298</v>
      </c>
      <c r="AF68" s="1759" t="s">
        <v>4603</v>
      </c>
      <c r="AG68" s="1759" t="s">
        <v>2029</v>
      </c>
      <c r="AH68" s="1759" t="s">
        <v>2028</v>
      </c>
      <c r="AI68" s="1759" t="s">
        <v>4809</v>
      </c>
      <c r="AJ68" s="1759" t="s">
        <v>4816</v>
      </c>
      <c r="AK68" s="1759">
        <v>11347</v>
      </c>
      <c r="AL68" s="1759" t="s">
        <v>4812</v>
      </c>
      <c r="AM68" s="1759">
        <v>11342</v>
      </c>
      <c r="AN68" s="1759" t="s">
        <v>5338</v>
      </c>
      <c r="AO68" s="1764"/>
      <c r="AP68" s="1759" t="s">
        <v>5339</v>
      </c>
      <c r="AQ68" s="1759" t="s">
        <v>5340</v>
      </c>
      <c r="AR68" s="1759" t="s">
        <v>5341</v>
      </c>
      <c r="AS68" s="1759" t="s">
        <v>2749</v>
      </c>
      <c r="AT68" s="1759" t="s">
        <v>327</v>
      </c>
      <c r="AU68" s="1763"/>
      <c r="AV68" s="1763"/>
    </row>
    <row r="69" spans="1:48" ht="37.5" hidden="1">
      <c r="A69" s="1785" t="str">
        <f t="shared" si="0"/>
        <v>גמל</v>
      </c>
      <c r="B69" s="1786">
        <f t="shared" si="1"/>
        <v>11388</v>
      </c>
      <c r="C69" s="1787">
        <v>28946</v>
      </c>
      <c r="D69" s="1786" t="str">
        <f t="shared" si="2"/>
        <v>מיטב דש קופת גמל להשקעה לחיסכון ארוך טווח לילד הלכתי הלכה יהודית</v>
      </c>
      <c r="E69" s="1786" t="s">
        <v>3929</v>
      </c>
      <c r="F69" s="1786" t="s">
        <v>2958</v>
      </c>
      <c r="G69" s="1786" t="s">
        <v>2959</v>
      </c>
      <c r="H69" s="1786" t="str">
        <f t="shared" si="3"/>
        <v>פעיל</v>
      </c>
      <c r="I69" s="1788">
        <f t="shared" si="4"/>
        <v>42684.572094907402</v>
      </c>
      <c r="J69" s="1788" t="str">
        <f t="shared" si="5"/>
        <v/>
      </c>
      <c r="K69" s="1786">
        <v>0</v>
      </c>
      <c r="L69" s="1786" t="s">
        <v>1594</v>
      </c>
      <c r="M69" s="1786" t="s">
        <v>1653</v>
      </c>
      <c r="N69" s="1786" t="s">
        <v>1653</v>
      </c>
      <c r="O69" s="1786">
        <v>0</v>
      </c>
      <c r="P69" s="1786"/>
      <c r="Q69" s="1786">
        <v>0</v>
      </c>
      <c r="R69" s="1788"/>
      <c r="S69" s="1786">
        <f t="shared" si="6"/>
        <v>11329</v>
      </c>
      <c r="T69" s="1786" t="str">
        <f t="shared" si="7"/>
        <v>בנק מזרחי טפחות בע"מ</v>
      </c>
      <c r="U69" s="1786" t="str">
        <f t="shared" si="8"/>
        <v>מיטב דש קופת גמל להשקעה לחיסכון ארוך טווח לילד</v>
      </c>
      <c r="V69" s="1786" t="str">
        <f t="shared" si="9"/>
        <v>520043795</v>
      </c>
      <c r="W69" s="1789" t="str">
        <f t="shared" si="10"/>
        <v>מיטב דש גמל ופנסיה בע"מ</v>
      </c>
      <c r="AC69" s="1761" t="s">
        <v>346</v>
      </c>
      <c r="AD69" s="1761"/>
      <c r="AE69" s="1762">
        <v>42684.572094907402</v>
      </c>
      <c r="AF69" s="1761" t="s">
        <v>4603</v>
      </c>
      <c r="AG69" s="1761" t="s">
        <v>2029</v>
      </c>
      <c r="AH69" s="1761" t="s">
        <v>2028</v>
      </c>
      <c r="AI69" s="1761" t="s">
        <v>4843</v>
      </c>
      <c r="AJ69" s="1761" t="s">
        <v>4788</v>
      </c>
      <c r="AK69" s="1761">
        <v>11388</v>
      </c>
      <c r="AL69" s="1761" t="s">
        <v>4787</v>
      </c>
      <c r="AM69" s="1761">
        <v>11329</v>
      </c>
      <c r="AN69" s="1761" t="s">
        <v>5370</v>
      </c>
      <c r="AO69" s="1764"/>
      <c r="AP69" s="1761" t="s">
        <v>5373</v>
      </c>
      <c r="AQ69" s="1761" t="s">
        <v>5374</v>
      </c>
      <c r="AR69" s="1761" t="s">
        <v>2899</v>
      </c>
      <c r="AS69" s="1761" t="s">
        <v>349</v>
      </c>
      <c r="AT69" s="1761" t="s">
        <v>327</v>
      </c>
      <c r="AU69" s="1763"/>
      <c r="AV69" s="1763"/>
    </row>
    <row r="70" spans="1:48" ht="37.5" hidden="1">
      <c r="A70" s="1785" t="str">
        <f t="shared" si="0"/>
        <v>גמל</v>
      </c>
      <c r="B70" s="1786">
        <f t="shared" si="1"/>
        <v>11388</v>
      </c>
      <c r="C70" s="1787">
        <v>28946</v>
      </c>
      <c r="D70" s="1786" t="str">
        <f t="shared" si="2"/>
        <v>מיטב דש קופת גמל להשקעה לחיסכון ארוך טווח לילד הלכתי הלכה יהודית</v>
      </c>
      <c r="E70" s="1786" t="s">
        <v>3929</v>
      </c>
      <c r="F70" s="1786" t="s">
        <v>2958</v>
      </c>
      <c r="G70" s="1786" t="s">
        <v>2959</v>
      </c>
      <c r="H70" s="1786" t="str">
        <f t="shared" si="3"/>
        <v>פעיל</v>
      </c>
      <c r="I70" s="1788">
        <f t="shared" si="4"/>
        <v>42684.572094907402</v>
      </c>
      <c r="J70" s="1788" t="str">
        <f t="shared" si="5"/>
        <v/>
      </c>
      <c r="K70" s="1786">
        <v>0</v>
      </c>
      <c r="L70" s="1786" t="s">
        <v>1594</v>
      </c>
      <c r="M70" s="1786" t="s">
        <v>1653</v>
      </c>
      <c r="N70" s="1786" t="s">
        <v>1653</v>
      </c>
      <c r="O70" s="1786">
        <v>0</v>
      </c>
      <c r="P70" s="1786"/>
      <c r="Q70" s="1786">
        <v>0</v>
      </c>
      <c r="R70" s="1788"/>
      <c r="S70" s="1786">
        <f t="shared" si="6"/>
        <v>11329</v>
      </c>
      <c r="T70" s="1786" t="str">
        <f t="shared" si="7"/>
        <v>בנק מזרחי טפחות בע"מ</v>
      </c>
      <c r="U70" s="1786" t="str">
        <f t="shared" si="8"/>
        <v>מיטב דש קופת גמל להשקעה לחיסכון ארוך טווח לילד</v>
      </c>
      <c r="V70" s="1786" t="str">
        <f t="shared" si="9"/>
        <v>520043795</v>
      </c>
      <c r="W70" s="1789" t="str">
        <f t="shared" si="10"/>
        <v>מיטב דש גמל ופנסיה בע"מ</v>
      </c>
      <c r="AC70" s="1759" t="s">
        <v>346</v>
      </c>
      <c r="AD70" s="1759"/>
      <c r="AE70" s="1760">
        <v>42684.572094907402</v>
      </c>
      <c r="AF70" s="1759" t="s">
        <v>4603</v>
      </c>
      <c r="AG70" s="1759" t="s">
        <v>2029</v>
      </c>
      <c r="AH70" s="1759" t="s">
        <v>2028</v>
      </c>
      <c r="AI70" s="1759" t="s">
        <v>4843</v>
      </c>
      <c r="AJ70" s="1759" t="s">
        <v>4788</v>
      </c>
      <c r="AK70" s="1759">
        <v>11388</v>
      </c>
      <c r="AL70" s="1759" t="s">
        <v>4787</v>
      </c>
      <c r="AM70" s="1759">
        <v>11329</v>
      </c>
      <c r="AN70" s="1759" t="s">
        <v>5370</v>
      </c>
      <c r="AO70" s="1764"/>
      <c r="AP70" s="1759" t="s">
        <v>5373</v>
      </c>
      <c r="AQ70" s="1759" t="s">
        <v>5374</v>
      </c>
      <c r="AR70" s="1759" t="s">
        <v>2899</v>
      </c>
      <c r="AS70" s="1759" t="s">
        <v>349</v>
      </c>
      <c r="AT70" s="1759" t="s">
        <v>327</v>
      </c>
      <c r="AU70" s="1763"/>
      <c r="AV70" s="1763"/>
    </row>
    <row r="71" spans="1:48" ht="37.5" hidden="1">
      <c r="A71" s="1785" t="str">
        <f t="shared" si="0"/>
        <v>גמל</v>
      </c>
      <c r="B71" s="1786">
        <f t="shared" si="1"/>
        <v>11387</v>
      </c>
      <c r="C71" s="1787">
        <v>28946</v>
      </c>
      <c r="D71" s="1786" t="str">
        <f t="shared" si="2"/>
        <v>מיטב דש קופת גמל להשקעה לחיסכון ארוך טווח לילד אחר חיסכון לכל ילד - חוסכים המעדיפים סיכון מוגבר</v>
      </c>
      <c r="E71" s="1786" t="s">
        <v>3929</v>
      </c>
      <c r="F71" s="1786" t="s">
        <v>2958</v>
      </c>
      <c r="G71" s="1786" t="s">
        <v>2959</v>
      </c>
      <c r="H71" s="1786" t="str">
        <f t="shared" si="3"/>
        <v>פעיל</v>
      </c>
      <c r="I71" s="1788">
        <f t="shared" si="4"/>
        <v>42684.572094907402</v>
      </c>
      <c r="J71" s="1788" t="str">
        <f t="shared" si="5"/>
        <v/>
      </c>
      <c r="K71" s="1786">
        <v>0</v>
      </c>
      <c r="L71" s="1786" t="s">
        <v>1594</v>
      </c>
      <c r="M71" s="1786" t="s">
        <v>1653</v>
      </c>
      <c r="N71" s="1786" t="s">
        <v>1653</v>
      </c>
      <c r="O71" s="1786">
        <v>0</v>
      </c>
      <c r="P71" s="1786"/>
      <c r="Q71" s="1786">
        <v>0</v>
      </c>
      <c r="R71" s="1788"/>
      <c r="S71" s="1786">
        <f t="shared" si="6"/>
        <v>11329</v>
      </c>
      <c r="T71" s="1786" t="str">
        <f t="shared" si="7"/>
        <v>בנק מזרחי טפחות בע"מ</v>
      </c>
      <c r="U71" s="1786" t="str">
        <f t="shared" si="8"/>
        <v>מיטב דש קופת גמל להשקעה לחיסכון ארוך טווח לילד</v>
      </c>
      <c r="V71" s="1786" t="str">
        <f t="shared" si="9"/>
        <v>520043795</v>
      </c>
      <c r="W71" s="1789" t="str">
        <f t="shared" si="10"/>
        <v>מיטב דש גמל ופנסיה בע"מ</v>
      </c>
      <c r="AC71" s="1761" t="s">
        <v>346</v>
      </c>
      <c r="AD71" s="1761"/>
      <c r="AE71" s="1762">
        <v>42684.572094907402</v>
      </c>
      <c r="AF71" s="1761" t="s">
        <v>4758</v>
      </c>
      <c r="AG71" s="1761" t="s">
        <v>70</v>
      </c>
      <c r="AH71" s="1761" t="s">
        <v>1594</v>
      </c>
      <c r="AI71" s="1761" t="s">
        <v>4842</v>
      </c>
      <c r="AJ71" s="1761" t="s">
        <v>4841</v>
      </c>
      <c r="AK71" s="1761">
        <v>11387</v>
      </c>
      <c r="AL71" s="1761" t="s">
        <v>4787</v>
      </c>
      <c r="AM71" s="1761">
        <v>11329</v>
      </c>
      <c r="AN71" s="1761" t="s">
        <v>5370</v>
      </c>
      <c r="AO71" s="1764"/>
      <c r="AP71" s="1761" t="s">
        <v>5373</v>
      </c>
      <c r="AQ71" s="1761" t="s">
        <v>5374</v>
      </c>
      <c r="AR71" s="1761" t="s">
        <v>2899</v>
      </c>
      <c r="AS71" s="1761" t="s">
        <v>349</v>
      </c>
      <c r="AT71" s="1761" t="s">
        <v>327</v>
      </c>
      <c r="AU71" s="1763"/>
      <c r="AV71" s="1763"/>
    </row>
    <row r="72" spans="1:48" ht="37.5" hidden="1">
      <c r="A72" s="1785" t="str">
        <f t="shared" si="0"/>
        <v>גמל</v>
      </c>
      <c r="B72" s="1786">
        <f t="shared" si="1"/>
        <v>11387</v>
      </c>
      <c r="C72" s="1787">
        <v>28946</v>
      </c>
      <c r="D72" s="1786" t="str">
        <f t="shared" si="2"/>
        <v>מיטב דש קופת גמל להשקעה לחיסכון ארוך טווח לילד אחר חיסכון לכל ילד - חוסכים המעדיפים סיכון מוגבר</v>
      </c>
      <c r="E72" s="1786" t="s">
        <v>3929</v>
      </c>
      <c r="F72" s="1786" t="s">
        <v>2958</v>
      </c>
      <c r="G72" s="1786" t="s">
        <v>2959</v>
      </c>
      <c r="H72" s="1786" t="str">
        <f t="shared" si="3"/>
        <v>פעיל</v>
      </c>
      <c r="I72" s="1788">
        <f t="shared" si="4"/>
        <v>42684.572094907402</v>
      </c>
      <c r="J72" s="1788" t="str">
        <f t="shared" si="5"/>
        <v/>
      </c>
      <c r="K72" s="1786">
        <v>0</v>
      </c>
      <c r="L72" s="1786" t="s">
        <v>1594</v>
      </c>
      <c r="M72" s="1786" t="s">
        <v>1653</v>
      </c>
      <c r="N72" s="1786" t="s">
        <v>1653</v>
      </c>
      <c r="O72" s="1786">
        <v>0</v>
      </c>
      <c r="P72" s="1786"/>
      <c r="Q72" s="1786">
        <v>0</v>
      </c>
      <c r="R72" s="1788"/>
      <c r="S72" s="1786">
        <f t="shared" si="6"/>
        <v>11329</v>
      </c>
      <c r="T72" s="1786" t="str">
        <f t="shared" si="7"/>
        <v>בנק מזרחי טפחות בע"מ</v>
      </c>
      <c r="U72" s="1786" t="str">
        <f t="shared" si="8"/>
        <v>מיטב דש קופת גמל להשקעה לחיסכון ארוך טווח לילד</v>
      </c>
      <c r="V72" s="1786" t="str">
        <f t="shared" si="9"/>
        <v>520043795</v>
      </c>
      <c r="W72" s="1789" t="str">
        <f t="shared" si="10"/>
        <v>מיטב דש גמל ופנסיה בע"מ</v>
      </c>
      <c r="AC72" s="1759" t="s">
        <v>346</v>
      </c>
      <c r="AD72" s="1759"/>
      <c r="AE72" s="1760">
        <v>42684.572094907402</v>
      </c>
      <c r="AF72" s="1759" t="s">
        <v>4758</v>
      </c>
      <c r="AG72" s="1759" t="s">
        <v>70</v>
      </c>
      <c r="AH72" s="1759" t="s">
        <v>1594</v>
      </c>
      <c r="AI72" s="1759" t="s">
        <v>4842</v>
      </c>
      <c r="AJ72" s="1759" t="s">
        <v>4841</v>
      </c>
      <c r="AK72" s="1759">
        <v>11387</v>
      </c>
      <c r="AL72" s="1759" t="s">
        <v>4787</v>
      </c>
      <c r="AM72" s="1759">
        <v>11329</v>
      </c>
      <c r="AN72" s="1759" t="s">
        <v>5370</v>
      </c>
      <c r="AO72" s="1764"/>
      <c r="AP72" s="1759" t="s">
        <v>5373</v>
      </c>
      <c r="AQ72" s="1759" t="s">
        <v>5374</v>
      </c>
      <c r="AR72" s="1759" t="s">
        <v>2899</v>
      </c>
      <c r="AS72" s="1759" t="s">
        <v>349</v>
      </c>
      <c r="AT72" s="1759" t="s">
        <v>327</v>
      </c>
      <c r="AU72" s="1763"/>
      <c r="AV72" s="1763"/>
    </row>
    <row r="73" spans="1:48" ht="37.5" hidden="1">
      <c r="A73" s="1785" t="str">
        <f t="shared" si="0"/>
        <v>גמל</v>
      </c>
      <c r="B73" s="1786">
        <f t="shared" si="1"/>
        <v>11386</v>
      </c>
      <c r="C73" s="1787">
        <v>28946</v>
      </c>
      <c r="D73" s="1786" t="str">
        <f t="shared" si="2"/>
        <v>מיטב דש קופת גמל להשקעה לחיסכון ארוך טווח לילד אחר חיסכון לכל ילד - חוסכים המעדיפים סיכון בינוני</v>
      </c>
      <c r="E73" s="1786" t="s">
        <v>3929</v>
      </c>
      <c r="F73" s="1786" t="s">
        <v>2958</v>
      </c>
      <c r="G73" s="1786" t="s">
        <v>2959</v>
      </c>
      <c r="H73" s="1786" t="str">
        <f t="shared" si="3"/>
        <v>פעיל</v>
      </c>
      <c r="I73" s="1788">
        <f t="shared" si="4"/>
        <v>42684.572094907402</v>
      </c>
      <c r="J73" s="1788" t="str">
        <f t="shared" si="5"/>
        <v/>
      </c>
      <c r="K73" s="1786">
        <v>0</v>
      </c>
      <c r="L73" s="1786" t="s">
        <v>1594</v>
      </c>
      <c r="M73" s="1786" t="s">
        <v>1653</v>
      </c>
      <c r="N73" s="1786" t="s">
        <v>1653</v>
      </c>
      <c r="O73" s="1786">
        <v>0</v>
      </c>
      <c r="P73" s="1786"/>
      <c r="Q73" s="1786">
        <v>0</v>
      </c>
      <c r="R73" s="1788"/>
      <c r="S73" s="1786">
        <f t="shared" si="6"/>
        <v>11329</v>
      </c>
      <c r="T73" s="1786" t="str">
        <f t="shared" si="7"/>
        <v>בנק מזרחי טפחות בע"מ</v>
      </c>
      <c r="U73" s="1786" t="str">
        <f t="shared" si="8"/>
        <v>מיטב דש קופת גמל להשקעה לחיסכון ארוך טווח לילד</v>
      </c>
      <c r="V73" s="1786" t="str">
        <f t="shared" si="9"/>
        <v>520043795</v>
      </c>
      <c r="W73" s="1789" t="str">
        <f t="shared" si="10"/>
        <v>מיטב דש גמל ופנסיה בע"מ</v>
      </c>
      <c r="AC73" s="1761" t="s">
        <v>346</v>
      </c>
      <c r="AD73" s="1761"/>
      <c r="AE73" s="1762">
        <v>42684.572094907402</v>
      </c>
      <c r="AF73" s="1761" t="s">
        <v>4757</v>
      </c>
      <c r="AG73" s="1761" t="s">
        <v>70</v>
      </c>
      <c r="AH73" s="1761" t="s">
        <v>1594</v>
      </c>
      <c r="AI73" s="1761" t="s">
        <v>4840</v>
      </c>
      <c r="AJ73" s="1761" t="s">
        <v>4839</v>
      </c>
      <c r="AK73" s="1761">
        <v>11386</v>
      </c>
      <c r="AL73" s="1761" t="s">
        <v>4787</v>
      </c>
      <c r="AM73" s="1761">
        <v>11329</v>
      </c>
      <c r="AN73" s="1761" t="s">
        <v>5370</v>
      </c>
      <c r="AO73" s="1764"/>
      <c r="AP73" s="1761" t="s">
        <v>5373</v>
      </c>
      <c r="AQ73" s="1761" t="s">
        <v>5374</v>
      </c>
      <c r="AR73" s="1761" t="s">
        <v>2899</v>
      </c>
      <c r="AS73" s="1761" t="s">
        <v>349</v>
      </c>
      <c r="AT73" s="1761" t="s">
        <v>327</v>
      </c>
      <c r="AU73" s="1763"/>
      <c r="AV73" s="1763"/>
    </row>
    <row r="74" spans="1:48" ht="37.5" hidden="1">
      <c r="A74" s="1785" t="str">
        <f t="shared" si="0"/>
        <v>גמל</v>
      </c>
      <c r="B74" s="1786">
        <f t="shared" si="1"/>
        <v>11385</v>
      </c>
      <c r="C74" s="1787">
        <v>28946</v>
      </c>
      <c r="D74" s="1786" t="str">
        <f t="shared" si="2"/>
        <v>מיטב דש קופת גמל להשקעה לחיסכון ארוך טווח לילד אחר חיסכון לכל ילד - חוסכים המעדיפים סיכון מועט</v>
      </c>
      <c r="E74" s="1786" t="s">
        <v>3929</v>
      </c>
      <c r="F74" s="1786" t="s">
        <v>2958</v>
      </c>
      <c r="G74" s="1786" t="s">
        <v>2959</v>
      </c>
      <c r="H74" s="1786" t="str">
        <f t="shared" si="3"/>
        <v>פעיל</v>
      </c>
      <c r="I74" s="1788">
        <f t="shared" si="4"/>
        <v>42684.572094907402</v>
      </c>
      <c r="J74" s="1788" t="str">
        <f t="shared" si="5"/>
        <v/>
      </c>
      <c r="K74" s="1786">
        <v>0</v>
      </c>
      <c r="L74" s="1786" t="s">
        <v>1594</v>
      </c>
      <c r="M74" s="1786" t="s">
        <v>1653</v>
      </c>
      <c r="N74" s="1786" t="s">
        <v>1653</v>
      </c>
      <c r="O74" s="1786">
        <v>0</v>
      </c>
      <c r="P74" s="1786"/>
      <c r="Q74" s="1786">
        <v>0</v>
      </c>
      <c r="R74" s="1788"/>
      <c r="S74" s="1786">
        <f t="shared" si="6"/>
        <v>11329</v>
      </c>
      <c r="T74" s="1786" t="str">
        <f t="shared" si="7"/>
        <v>בנק מזרחי טפחות בע"מ</v>
      </c>
      <c r="U74" s="1786" t="str">
        <f t="shared" si="8"/>
        <v>מיטב דש קופת גמל להשקעה לחיסכון ארוך טווח לילד</v>
      </c>
      <c r="V74" s="1786" t="str">
        <f t="shared" si="9"/>
        <v>520043795</v>
      </c>
      <c r="W74" s="1789" t="str">
        <f t="shared" si="10"/>
        <v>מיטב דש גמל ופנסיה בע"מ</v>
      </c>
      <c r="AC74" s="1759" t="s">
        <v>346</v>
      </c>
      <c r="AD74" s="1759"/>
      <c r="AE74" s="1760">
        <v>42684.572094907402</v>
      </c>
      <c r="AF74" s="1759" t="s">
        <v>4759</v>
      </c>
      <c r="AG74" s="1759" t="s">
        <v>70</v>
      </c>
      <c r="AH74" s="1759" t="s">
        <v>1594</v>
      </c>
      <c r="AI74" s="1759" t="s">
        <v>4838</v>
      </c>
      <c r="AJ74" s="1759" t="s">
        <v>4837</v>
      </c>
      <c r="AK74" s="1759">
        <v>11385</v>
      </c>
      <c r="AL74" s="1759" t="s">
        <v>4787</v>
      </c>
      <c r="AM74" s="1759">
        <v>11329</v>
      </c>
      <c r="AN74" s="1759" t="s">
        <v>5370</v>
      </c>
      <c r="AO74" s="1764"/>
      <c r="AP74" s="1759" t="s">
        <v>5373</v>
      </c>
      <c r="AQ74" s="1759" t="s">
        <v>5374</v>
      </c>
      <c r="AR74" s="1759" t="s">
        <v>2899</v>
      </c>
      <c r="AS74" s="1759" t="s">
        <v>349</v>
      </c>
      <c r="AT74" s="1759" t="s">
        <v>327</v>
      </c>
      <c r="AU74" s="1763"/>
      <c r="AV74" s="1763"/>
    </row>
    <row r="75" spans="1:48" ht="37.5" hidden="1">
      <c r="A75" s="1785" t="str">
        <f t="shared" si="0"/>
        <v>גמל</v>
      </c>
      <c r="B75" s="1786">
        <f t="shared" si="1"/>
        <v>11386</v>
      </c>
      <c r="C75" s="1787">
        <v>28946</v>
      </c>
      <c r="D75" s="1786" t="str">
        <f t="shared" si="2"/>
        <v>מיטב דש קופת גמל להשקעה לחיסכון ארוך טווח לילד אחר חיסכון לכל ילד - חוסכים המעדיפים סיכון בינוני</v>
      </c>
      <c r="E75" s="1786" t="s">
        <v>3929</v>
      </c>
      <c r="F75" s="1786" t="s">
        <v>2958</v>
      </c>
      <c r="G75" s="1786" t="s">
        <v>2959</v>
      </c>
      <c r="H75" s="1786" t="str">
        <f t="shared" si="3"/>
        <v>פעיל</v>
      </c>
      <c r="I75" s="1788">
        <f t="shared" si="4"/>
        <v>42684.572094907402</v>
      </c>
      <c r="J75" s="1788" t="str">
        <f t="shared" si="5"/>
        <v/>
      </c>
      <c r="K75" s="1786">
        <v>0</v>
      </c>
      <c r="L75" s="1786" t="s">
        <v>1594</v>
      </c>
      <c r="M75" s="1786" t="s">
        <v>1653</v>
      </c>
      <c r="N75" s="1786" t="s">
        <v>1653</v>
      </c>
      <c r="O75" s="1786">
        <v>0</v>
      </c>
      <c r="P75" s="1786"/>
      <c r="Q75" s="1786">
        <v>0</v>
      </c>
      <c r="R75" s="1788"/>
      <c r="S75" s="1786">
        <f t="shared" si="6"/>
        <v>11329</v>
      </c>
      <c r="T75" s="1786" t="str">
        <f t="shared" si="7"/>
        <v>בנק מזרחי טפחות בע"מ</v>
      </c>
      <c r="U75" s="1786" t="str">
        <f t="shared" si="8"/>
        <v>מיטב דש קופת גמל להשקעה לחיסכון ארוך טווח לילד</v>
      </c>
      <c r="V75" s="1786" t="str">
        <f t="shared" si="9"/>
        <v>520043795</v>
      </c>
      <c r="W75" s="1789" t="str">
        <f t="shared" si="10"/>
        <v>מיטב דש גמל ופנסיה בע"מ</v>
      </c>
      <c r="AC75" s="1761" t="s">
        <v>346</v>
      </c>
      <c r="AD75" s="1761"/>
      <c r="AE75" s="1762">
        <v>42684.572094907402</v>
      </c>
      <c r="AF75" s="1761" t="s">
        <v>4757</v>
      </c>
      <c r="AG75" s="1761" t="s">
        <v>70</v>
      </c>
      <c r="AH75" s="1761" t="s">
        <v>1594</v>
      </c>
      <c r="AI75" s="1761" t="s">
        <v>4840</v>
      </c>
      <c r="AJ75" s="1761" t="s">
        <v>4839</v>
      </c>
      <c r="AK75" s="1761">
        <v>11386</v>
      </c>
      <c r="AL75" s="1761" t="s">
        <v>4787</v>
      </c>
      <c r="AM75" s="1761">
        <v>11329</v>
      </c>
      <c r="AN75" s="1761" t="s">
        <v>5370</v>
      </c>
      <c r="AO75" s="1764"/>
      <c r="AP75" s="1761" t="s">
        <v>5373</v>
      </c>
      <c r="AQ75" s="1761" t="s">
        <v>5374</v>
      </c>
      <c r="AR75" s="1761" t="s">
        <v>2899</v>
      </c>
      <c r="AS75" s="1761" t="s">
        <v>349</v>
      </c>
      <c r="AT75" s="1761" t="s">
        <v>327</v>
      </c>
      <c r="AU75" s="1763"/>
      <c r="AV75" s="1763"/>
    </row>
    <row r="76" spans="1:48" ht="37.5" hidden="1">
      <c r="A76" s="1785" t="str">
        <f t="shared" si="0"/>
        <v>גמל</v>
      </c>
      <c r="B76" s="1786">
        <f t="shared" si="1"/>
        <v>11385</v>
      </c>
      <c r="C76" s="1787">
        <v>28946</v>
      </c>
      <c r="D76" s="1786" t="str">
        <f t="shared" si="2"/>
        <v>מיטב דש קופת גמל להשקעה לחיסכון ארוך טווח לילד אחר חיסכון לכל ילד - חוסכים המעדיפים סיכון מועט</v>
      </c>
      <c r="E76" s="1786" t="s">
        <v>3929</v>
      </c>
      <c r="F76" s="1786" t="s">
        <v>2958</v>
      </c>
      <c r="G76" s="1786" t="s">
        <v>2959</v>
      </c>
      <c r="H76" s="1786" t="str">
        <f t="shared" si="3"/>
        <v>פעיל</v>
      </c>
      <c r="I76" s="1788">
        <f t="shared" si="4"/>
        <v>42684.572094907402</v>
      </c>
      <c r="J76" s="1788" t="str">
        <f t="shared" si="5"/>
        <v/>
      </c>
      <c r="K76" s="1786">
        <v>0</v>
      </c>
      <c r="L76" s="1786" t="s">
        <v>1594</v>
      </c>
      <c r="M76" s="1786" t="s">
        <v>1653</v>
      </c>
      <c r="N76" s="1786" t="s">
        <v>1653</v>
      </c>
      <c r="O76" s="1786">
        <v>0</v>
      </c>
      <c r="P76" s="1786"/>
      <c r="Q76" s="1786">
        <v>0</v>
      </c>
      <c r="R76" s="1788"/>
      <c r="S76" s="1786">
        <f t="shared" si="6"/>
        <v>11329</v>
      </c>
      <c r="T76" s="1786" t="str">
        <f t="shared" si="7"/>
        <v>בנק מזרחי טפחות בע"מ</v>
      </c>
      <c r="U76" s="1786" t="str">
        <f t="shared" si="8"/>
        <v>מיטב דש קופת גמל להשקעה לחיסכון ארוך טווח לילד</v>
      </c>
      <c r="V76" s="1786" t="str">
        <f t="shared" si="9"/>
        <v>520043795</v>
      </c>
      <c r="W76" s="1789" t="str">
        <f t="shared" si="10"/>
        <v>מיטב דש גמל ופנסיה בע"מ</v>
      </c>
      <c r="AC76" s="1759" t="s">
        <v>346</v>
      </c>
      <c r="AD76" s="1759"/>
      <c r="AE76" s="1760">
        <v>42684.572094907402</v>
      </c>
      <c r="AF76" s="1759" t="s">
        <v>4759</v>
      </c>
      <c r="AG76" s="1759" t="s">
        <v>70</v>
      </c>
      <c r="AH76" s="1759" t="s">
        <v>1594</v>
      </c>
      <c r="AI76" s="1759" t="s">
        <v>4838</v>
      </c>
      <c r="AJ76" s="1759" t="s">
        <v>4837</v>
      </c>
      <c r="AK76" s="1759">
        <v>11385</v>
      </c>
      <c r="AL76" s="1759" t="s">
        <v>4787</v>
      </c>
      <c r="AM76" s="1759">
        <v>11329</v>
      </c>
      <c r="AN76" s="1759" t="s">
        <v>5370</v>
      </c>
      <c r="AO76" s="1764"/>
      <c r="AP76" s="1759" t="s">
        <v>5373</v>
      </c>
      <c r="AQ76" s="1759" t="s">
        <v>5374</v>
      </c>
      <c r="AR76" s="1759" t="s">
        <v>2899</v>
      </c>
      <c r="AS76" s="1759" t="s">
        <v>349</v>
      </c>
      <c r="AT76" s="1759" t="s">
        <v>327</v>
      </c>
      <c r="AU76" s="1763"/>
      <c r="AV76" s="1763"/>
    </row>
    <row r="77" spans="1:48" ht="25" hidden="1">
      <c r="A77" s="1785" t="str">
        <f t="shared" si="0"/>
        <v>גמל</v>
      </c>
      <c r="B77" s="1786">
        <f t="shared" si="1"/>
        <v>11328</v>
      </c>
      <c r="C77" s="1787">
        <v>28946</v>
      </c>
      <c r="D77" s="1786" t="str">
        <f t="shared" si="2"/>
        <v xml:space="preserve">אלטשולר שחם חיסכון לילד הלכה </v>
      </c>
      <c r="E77" s="1786" t="s">
        <v>3929</v>
      </c>
      <c r="F77" s="1786" t="s">
        <v>2958</v>
      </c>
      <c r="G77" s="1786" t="s">
        <v>2959</v>
      </c>
      <c r="H77" s="1786" t="str">
        <f t="shared" si="3"/>
        <v>פעיל</v>
      </c>
      <c r="I77" s="1788">
        <f t="shared" si="4"/>
        <v>42684.518634259301</v>
      </c>
      <c r="J77" s="1788" t="str">
        <f t="shared" si="5"/>
        <v/>
      </c>
      <c r="K77" s="1786">
        <v>0</v>
      </c>
      <c r="L77" s="1786" t="s">
        <v>1594</v>
      </c>
      <c r="M77" s="1786" t="s">
        <v>1653</v>
      </c>
      <c r="N77" s="1786" t="s">
        <v>1653</v>
      </c>
      <c r="O77" s="1786">
        <v>0</v>
      </c>
      <c r="P77" s="1786"/>
      <c r="Q77" s="1786">
        <v>0</v>
      </c>
      <c r="R77" s="1788"/>
      <c r="S77" s="1786">
        <f t="shared" si="6"/>
        <v>11324</v>
      </c>
      <c r="T77" s="1786" t="str">
        <f t="shared" si="7"/>
        <v>לאומי</v>
      </c>
      <c r="U77" s="1786" t="str">
        <f t="shared" si="8"/>
        <v>אלטשולר שחם חיסכון לילד</v>
      </c>
      <c r="V77" s="1786" t="str">
        <f t="shared" si="9"/>
        <v>511446551</v>
      </c>
      <c r="W77" s="1789" t="str">
        <f t="shared" si="10"/>
        <v>אלטשולר שחם גמל ופנסיה בע"מ</v>
      </c>
      <c r="AC77" s="1761" t="s">
        <v>346</v>
      </c>
      <c r="AD77" s="1761"/>
      <c r="AE77" s="1762">
        <v>42684.518634259301</v>
      </c>
      <c r="AF77" s="1761" t="s">
        <v>4603</v>
      </c>
      <c r="AG77" s="1761" t="s">
        <v>2029</v>
      </c>
      <c r="AH77" s="1761" t="s">
        <v>2028</v>
      </c>
      <c r="AI77" s="1761" t="s">
        <v>4806</v>
      </c>
      <c r="AJ77" s="1761" t="s">
        <v>4805</v>
      </c>
      <c r="AK77" s="1761">
        <v>11328</v>
      </c>
      <c r="AL77" s="1761" t="s">
        <v>4800</v>
      </c>
      <c r="AM77" s="1761">
        <v>11324</v>
      </c>
      <c r="AN77" s="1761" t="s">
        <v>5305</v>
      </c>
      <c r="AO77" s="1764"/>
      <c r="AP77" s="1761" t="s">
        <v>5375</v>
      </c>
      <c r="AQ77" s="1761" t="s">
        <v>5376</v>
      </c>
      <c r="AR77" s="1761" t="s">
        <v>2963</v>
      </c>
      <c r="AS77" s="1761" t="s">
        <v>523</v>
      </c>
      <c r="AT77" s="1761" t="s">
        <v>327</v>
      </c>
      <c r="AU77" s="1763"/>
      <c r="AV77" s="1763"/>
    </row>
    <row r="78" spans="1:48" ht="25" hidden="1">
      <c r="A78" s="1785" t="str">
        <f t="shared" si="0"/>
        <v>גמל</v>
      </c>
      <c r="B78" s="1786">
        <f t="shared" si="1"/>
        <v>11327</v>
      </c>
      <c r="C78" s="1787">
        <v>28946</v>
      </c>
      <c r="D78" s="1786" t="str">
        <f t="shared" si="2"/>
        <v>אלטשולר שחם חיסכון לילד לחוסכים המעדיפים סיכון מוגבר</v>
      </c>
      <c r="E78" s="1786" t="s">
        <v>3929</v>
      </c>
      <c r="F78" s="1786" t="s">
        <v>2958</v>
      </c>
      <c r="G78" s="1786" t="s">
        <v>2959</v>
      </c>
      <c r="H78" s="1786" t="str">
        <f t="shared" si="3"/>
        <v>פעיל</v>
      </c>
      <c r="I78" s="1788">
        <f t="shared" si="4"/>
        <v>42684.518634259301</v>
      </c>
      <c r="J78" s="1788" t="str">
        <f t="shared" si="5"/>
        <v/>
      </c>
      <c r="K78" s="1786">
        <v>0</v>
      </c>
      <c r="L78" s="1786" t="s">
        <v>1594</v>
      </c>
      <c r="M78" s="1786" t="s">
        <v>1653</v>
      </c>
      <c r="N78" s="1786" t="s">
        <v>1653</v>
      </c>
      <c r="O78" s="1786">
        <v>0</v>
      </c>
      <c r="P78" s="1786"/>
      <c r="Q78" s="1786">
        <v>0</v>
      </c>
      <c r="R78" s="1788"/>
      <c r="S78" s="1786">
        <f t="shared" si="6"/>
        <v>11324</v>
      </c>
      <c r="T78" s="1786" t="str">
        <f t="shared" si="7"/>
        <v>לאומי</v>
      </c>
      <c r="U78" s="1786" t="str">
        <f t="shared" si="8"/>
        <v>אלטשולר שחם חיסכון לילד</v>
      </c>
      <c r="V78" s="1786" t="str">
        <f t="shared" si="9"/>
        <v>511446551</v>
      </c>
      <c r="W78" s="1789" t="str">
        <f t="shared" si="10"/>
        <v>אלטשולר שחם גמל ופנסיה בע"מ</v>
      </c>
      <c r="AC78" s="1759" t="s">
        <v>346</v>
      </c>
      <c r="AD78" s="1759"/>
      <c r="AE78" s="1760">
        <v>42684.518634259301</v>
      </c>
      <c r="AF78" s="1759" t="s">
        <v>4758</v>
      </c>
      <c r="AG78" s="1759" t="s">
        <v>70</v>
      </c>
      <c r="AH78" s="1759" t="s">
        <v>1594</v>
      </c>
      <c r="AI78" s="1759" t="s">
        <v>4804</v>
      </c>
      <c r="AJ78" s="1759" t="s">
        <v>4803</v>
      </c>
      <c r="AK78" s="1759">
        <v>11327</v>
      </c>
      <c r="AL78" s="1759" t="s">
        <v>4800</v>
      </c>
      <c r="AM78" s="1759">
        <v>11324</v>
      </c>
      <c r="AN78" s="1759" t="s">
        <v>5305</v>
      </c>
      <c r="AO78" s="1764"/>
      <c r="AP78" s="1759" t="s">
        <v>5375</v>
      </c>
      <c r="AQ78" s="1759" t="s">
        <v>5376</v>
      </c>
      <c r="AR78" s="1759" t="s">
        <v>2963</v>
      </c>
      <c r="AS78" s="1759" t="s">
        <v>523</v>
      </c>
      <c r="AT78" s="1759" t="s">
        <v>327</v>
      </c>
      <c r="AU78" s="1763"/>
      <c r="AV78" s="1763"/>
    </row>
    <row r="79" spans="1:48" ht="25" hidden="1">
      <c r="A79" s="1785" t="str">
        <f t="shared" si="0"/>
        <v>גמל</v>
      </c>
      <c r="B79" s="1786">
        <f t="shared" si="1"/>
        <v>11326</v>
      </c>
      <c r="C79" s="1787">
        <v>28946</v>
      </c>
      <c r="D79" s="1786" t="str">
        <f t="shared" si="2"/>
        <v>אלטשולר שחם חיסכון לילד לחוסכים המעדיפים סיכון בינוני</v>
      </c>
      <c r="E79" s="1786" t="s">
        <v>3929</v>
      </c>
      <c r="F79" s="1786" t="s">
        <v>2958</v>
      </c>
      <c r="G79" s="1786" t="s">
        <v>2959</v>
      </c>
      <c r="H79" s="1786" t="str">
        <f t="shared" si="3"/>
        <v>פעיל</v>
      </c>
      <c r="I79" s="1788">
        <f t="shared" si="4"/>
        <v>42684.518634259301</v>
      </c>
      <c r="J79" s="1788" t="str">
        <f t="shared" si="5"/>
        <v/>
      </c>
      <c r="K79" s="1786">
        <v>0</v>
      </c>
      <c r="L79" s="1786" t="s">
        <v>1594</v>
      </c>
      <c r="M79" s="1786" t="s">
        <v>1653</v>
      </c>
      <c r="N79" s="1786" t="s">
        <v>1653</v>
      </c>
      <c r="O79" s="1786">
        <v>0</v>
      </c>
      <c r="P79" s="1786"/>
      <c r="Q79" s="1786">
        <v>0</v>
      </c>
      <c r="R79" s="1788"/>
      <c r="S79" s="1786">
        <f t="shared" si="6"/>
        <v>11324</v>
      </c>
      <c r="T79" s="1786" t="str">
        <f t="shared" si="7"/>
        <v>לאומי</v>
      </c>
      <c r="U79" s="1786" t="str">
        <f t="shared" si="8"/>
        <v>אלטשולר שחם חיסכון לילד</v>
      </c>
      <c r="V79" s="1786" t="str">
        <f t="shared" si="9"/>
        <v>511446551</v>
      </c>
      <c r="W79" s="1789" t="str">
        <f t="shared" si="10"/>
        <v>אלטשולר שחם גמל ופנסיה בע"מ</v>
      </c>
      <c r="AC79" s="1761" t="s">
        <v>346</v>
      </c>
      <c r="AD79" s="1761"/>
      <c r="AE79" s="1762">
        <v>42684.518634259301</v>
      </c>
      <c r="AF79" s="1761" t="s">
        <v>4757</v>
      </c>
      <c r="AG79" s="1761" t="s">
        <v>70</v>
      </c>
      <c r="AH79" s="1761" t="s">
        <v>1594</v>
      </c>
      <c r="AI79" s="1761" t="s">
        <v>4802</v>
      </c>
      <c r="AJ79" s="1761" t="s">
        <v>4801</v>
      </c>
      <c r="AK79" s="1761">
        <v>11326</v>
      </c>
      <c r="AL79" s="1761" t="s">
        <v>4800</v>
      </c>
      <c r="AM79" s="1761">
        <v>11324</v>
      </c>
      <c r="AN79" s="1761" t="s">
        <v>5305</v>
      </c>
      <c r="AO79" s="1764"/>
      <c r="AP79" s="1761" t="s">
        <v>5375</v>
      </c>
      <c r="AQ79" s="1761" t="s">
        <v>5376</v>
      </c>
      <c r="AR79" s="1761" t="s">
        <v>2963</v>
      </c>
      <c r="AS79" s="1761" t="s">
        <v>523</v>
      </c>
      <c r="AT79" s="1761" t="s">
        <v>327</v>
      </c>
      <c r="AU79" s="1763"/>
      <c r="AV79" s="1763"/>
    </row>
    <row r="80" spans="1:48" ht="25" hidden="1">
      <c r="A80" s="1785" t="str">
        <f t="shared" si="0"/>
        <v>גמל</v>
      </c>
      <c r="B80" s="1786">
        <f t="shared" si="1"/>
        <v>11325</v>
      </c>
      <c r="C80" s="1787">
        <v>28946</v>
      </c>
      <c r="D80" s="1786" t="str">
        <f t="shared" si="2"/>
        <v>אלטשולר שחם חיסכון לילד לחוסכים המעדיפים סיכון מועט</v>
      </c>
      <c r="E80" s="1786" t="s">
        <v>3929</v>
      </c>
      <c r="F80" s="1786" t="s">
        <v>2958</v>
      </c>
      <c r="G80" s="1786" t="s">
        <v>2959</v>
      </c>
      <c r="H80" s="1786" t="str">
        <f t="shared" si="3"/>
        <v>פעיל</v>
      </c>
      <c r="I80" s="1788">
        <f t="shared" si="4"/>
        <v>42684.518634259301</v>
      </c>
      <c r="J80" s="1788" t="str">
        <f t="shared" si="5"/>
        <v/>
      </c>
      <c r="K80" s="1786">
        <v>0</v>
      </c>
      <c r="L80" s="1786" t="s">
        <v>1594</v>
      </c>
      <c r="M80" s="1786" t="s">
        <v>1653</v>
      </c>
      <c r="N80" s="1786" t="s">
        <v>1653</v>
      </c>
      <c r="O80" s="1786">
        <v>0</v>
      </c>
      <c r="P80" s="1786"/>
      <c r="Q80" s="1786">
        <v>0</v>
      </c>
      <c r="R80" s="1788"/>
      <c r="S80" s="1786">
        <f t="shared" si="6"/>
        <v>11324</v>
      </c>
      <c r="T80" s="1786" t="str">
        <f t="shared" si="7"/>
        <v>לאומי</v>
      </c>
      <c r="U80" s="1786" t="str">
        <f t="shared" si="8"/>
        <v>אלטשולר שחם חיסכון לילד</v>
      </c>
      <c r="V80" s="1786" t="str">
        <f t="shared" si="9"/>
        <v>511446551</v>
      </c>
      <c r="W80" s="1789" t="str">
        <f t="shared" si="10"/>
        <v>אלטשולר שחם גמל ופנסיה בע"מ</v>
      </c>
      <c r="AC80" s="1759" t="s">
        <v>346</v>
      </c>
      <c r="AD80" s="1759"/>
      <c r="AE80" s="1760">
        <v>42684.518634259301</v>
      </c>
      <c r="AF80" s="1759" t="s">
        <v>4759</v>
      </c>
      <c r="AG80" s="1759" t="s">
        <v>70</v>
      </c>
      <c r="AH80" s="1759" t="s">
        <v>1594</v>
      </c>
      <c r="AI80" s="1759" t="s">
        <v>4799</v>
      </c>
      <c r="AJ80" s="1759" t="s">
        <v>4798</v>
      </c>
      <c r="AK80" s="1759">
        <v>11325</v>
      </c>
      <c r="AL80" s="1759" t="s">
        <v>4800</v>
      </c>
      <c r="AM80" s="1759">
        <v>11324</v>
      </c>
      <c r="AN80" s="1759" t="s">
        <v>5305</v>
      </c>
      <c r="AO80" s="1764"/>
      <c r="AP80" s="1759" t="s">
        <v>5375</v>
      </c>
      <c r="AQ80" s="1759" t="s">
        <v>5376</v>
      </c>
      <c r="AR80" s="1759" t="s">
        <v>2963</v>
      </c>
      <c r="AS80" s="1759" t="s">
        <v>523</v>
      </c>
      <c r="AT80" s="1759" t="s">
        <v>327</v>
      </c>
      <c r="AU80" s="1763"/>
      <c r="AV80" s="1763"/>
    </row>
    <row r="81" spans="1:48" ht="25" hidden="1">
      <c r="A81" s="1785" t="str">
        <f t="shared" si="0"/>
        <v>גמל</v>
      </c>
      <c r="B81" s="1786">
        <f t="shared" si="1"/>
        <v>11323</v>
      </c>
      <c r="C81" s="1787">
        <v>28946</v>
      </c>
      <c r="D81" s="1786" t="str">
        <f t="shared" si="2"/>
        <v>מנורה מבטחים חסכון לכל ילד - מסלול חוסכים המעדיפים סיכון מוגבר</v>
      </c>
      <c r="E81" s="1786" t="s">
        <v>3929</v>
      </c>
      <c r="F81" s="1786" t="s">
        <v>2958</v>
      </c>
      <c r="G81" s="1786" t="s">
        <v>2959</v>
      </c>
      <c r="H81" s="1786" t="str">
        <f t="shared" si="3"/>
        <v>פעיל</v>
      </c>
      <c r="I81" s="1788">
        <f t="shared" si="4"/>
        <v>42684.390740740702</v>
      </c>
      <c r="J81" s="1788" t="str">
        <f t="shared" si="5"/>
        <v/>
      </c>
      <c r="K81" s="1786">
        <v>0</v>
      </c>
      <c r="L81" s="1786" t="s">
        <v>1594</v>
      </c>
      <c r="M81" s="1786" t="s">
        <v>1653</v>
      </c>
      <c r="N81" s="1786" t="s">
        <v>1653</v>
      </c>
      <c r="O81" s="1786">
        <v>0</v>
      </c>
      <c r="P81" s="1786"/>
      <c r="Q81" s="1786">
        <v>0</v>
      </c>
      <c r="R81" s="1788"/>
      <c r="S81" s="1786">
        <f t="shared" si="6"/>
        <v>11319</v>
      </c>
      <c r="T81" s="1786" t="str">
        <f t="shared" si="7"/>
        <v>לאומי</v>
      </c>
      <c r="U81" s="1786" t="str">
        <f t="shared" si="8"/>
        <v>מנורה מבטחים חסכון לכל ילד</v>
      </c>
      <c r="V81" s="1786" t="str">
        <f t="shared" si="9"/>
        <v>520007469</v>
      </c>
      <c r="W81" s="1789" t="str">
        <f t="shared" si="10"/>
        <v>מנורה מבטחים פנסיה וגמל בע"מ</v>
      </c>
      <c r="AC81" s="1761" t="s">
        <v>346</v>
      </c>
      <c r="AD81" s="1761"/>
      <c r="AE81" s="1762">
        <v>42684.390740740702</v>
      </c>
      <c r="AF81" s="1761" t="s">
        <v>4758</v>
      </c>
      <c r="AG81" s="1761" t="s">
        <v>70</v>
      </c>
      <c r="AH81" s="1761" t="s">
        <v>1594</v>
      </c>
      <c r="AI81" s="1761" t="s">
        <v>4797</v>
      </c>
      <c r="AJ81" s="1761" t="s">
        <v>4796</v>
      </c>
      <c r="AK81" s="1761">
        <v>11323</v>
      </c>
      <c r="AL81" s="1761" t="s">
        <v>4791</v>
      </c>
      <c r="AM81" s="1761">
        <v>11319</v>
      </c>
      <c r="AN81" s="1761" t="s">
        <v>5305</v>
      </c>
      <c r="AO81" s="1764"/>
      <c r="AP81" s="1761" t="s">
        <v>5377</v>
      </c>
      <c r="AQ81" s="1761" t="s">
        <v>5378</v>
      </c>
      <c r="AR81" s="1761" t="s">
        <v>2971</v>
      </c>
      <c r="AS81" s="1761" t="s">
        <v>396</v>
      </c>
      <c r="AT81" s="1761" t="s">
        <v>327</v>
      </c>
      <c r="AU81" s="1763"/>
      <c r="AV81" s="1763"/>
    </row>
    <row r="82" spans="1:48" ht="25" hidden="1">
      <c r="A82" s="1785" t="str">
        <f t="shared" si="0"/>
        <v>גמל</v>
      </c>
      <c r="B82" s="1786">
        <f t="shared" si="1"/>
        <v>11322</v>
      </c>
      <c r="C82" s="1787">
        <v>28946</v>
      </c>
      <c r="D82" s="1786" t="str">
        <f t="shared" si="2"/>
        <v>מנורה מבטחים חסכון לכל ילד - מסלול חוסכים המעדיפים סיכון בינוני</v>
      </c>
      <c r="E82" s="1786" t="s">
        <v>3929</v>
      </c>
      <c r="F82" s="1786" t="s">
        <v>2958</v>
      </c>
      <c r="G82" s="1786" t="s">
        <v>2959</v>
      </c>
      <c r="H82" s="1786" t="str">
        <f t="shared" si="3"/>
        <v>פעיל</v>
      </c>
      <c r="I82" s="1788">
        <f t="shared" si="4"/>
        <v>42684.390740740702</v>
      </c>
      <c r="J82" s="1788" t="str">
        <f t="shared" si="5"/>
        <v/>
      </c>
      <c r="K82" s="1786">
        <v>0</v>
      </c>
      <c r="L82" s="1786" t="s">
        <v>1594</v>
      </c>
      <c r="M82" s="1786" t="s">
        <v>1653</v>
      </c>
      <c r="N82" s="1786" t="s">
        <v>1653</v>
      </c>
      <c r="O82" s="1786">
        <v>0</v>
      </c>
      <c r="P82" s="1786"/>
      <c r="Q82" s="1786">
        <v>0</v>
      </c>
      <c r="R82" s="1788"/>
      <c r="S82" s="1786">
        <f t="shared" si="6"/>
        <v>11319</v>
      </c>
      <c r="T82" s="1786" t="str">
        <f t="shared" si="7"/>
        <v>לאומי</v>
      </c>
      <c r="U82" s="1786" t="str">
        <f t="shared" si="8"/>
        <v>מנורה מבטחים חסכון לכל ילד</v>
      </c>
      <c r="V82" s="1786" t="str">
        <f t="shared" si="9"/>
        <v>520007469</v>
      </c>
      <c r="W82" s="1789" t="str">
        <f t="shared" si="10"/>
        <v>מנורה מבטחים פנסיה וגמל בע"מ</v>
      </c>
      <c r="AC82" s="1759" t="s">
        <v>346</v>
      </c>
      <c r="AD82" s="1759"/>
      <c r="AE82" s="1760">
        <v>42684.390740740702</v>
      </c>
      <c r="AF82" s="1759" t="s">
        <v>4757</v>
      </c>
      <c r="AG82" s="1759" t="s">
        <v>70</v>
      </c>
      <c r="AH82" s="1759" t="s">
        <v>1594</v>
      </c>
      <c r="AI82" s="1759" t="s">
        <v>4795</v>
      </c>
      <c r="AJ82" s="1759" t="s">
        <v>4794</v>
      </c>
      <c r="AK82" s="1759">
        <v>11322</v>
      </c>
      <c r="AL82" s="1759" t="s">
        <v>4791</v>
      </c>
      <c r="AM82" s="1759">
        <v>11319</v>
      </c>
      <c r="AN82" s="1759" t="s">
        <v>5305</v>
      </c>
      <c r="AO82" s="1764"/>
      <c r="AP82" s="1759" t="s">
        <v>5377</v>
      </c>
      <c r="AQ82" s="1759" t="s">
        <v>5378</v>
      </c>
      <c r="AR82" s="1759" t="s">
        <v>2971</v>
      </c>
      <c r="AS82" s="1759" t="s">
        <v>396</v>
      </c>
      <c r="AT82" s="1759" t="s">
        <v>327</v>
      </c>
      <c r="AU82" s="1763"/>
      <c r="AV82" s="1763"/>
    </row>
    <row r="83" spans="1:48" ht="25" hidden="1">
      <c r="A83" s="1785" t="str">
        <f t="shared" si="0"/>
        <v>גמל</v>
      </c>
      <c r="B83" s="1786">
        <f t="shared" si="1"/>
        <v>11320</v>
      </c>
      <c r="C83" s="1787">
        <v>28946</v>
      </c>
      <c r="D83" s="1786" t="str">
        <f t="shared" si="2"/>
        <v>מנורה מבטחים חסכון לכל ילד מסלול הלכה</v>
      </c>
      <c r="E83" s="1786" t="s">
        <v>3929</v>
      </c>
      <c r="F83" s="1786" t="s">
        <v>2958</v>
      </c>
      <c r="G83" s="1786" t="s">
        <v>2959</v>
      </c>
      <c r="H83" s="1786" t="str">
        <f t="shared" si="3"/>
        <v>פעיל</v>
      </c>
      <c r="I83" s="1788">
        <f t="shared" si="4"/>
        <v>42684.390740740702</v>
      </c>
      <c r="J83" s="1788" t="str">
        <f t="shared" si="5"/>
        <v/>
      </c>
      <c r="K83" s="1786">
        <v>0</v>
      </c>
      <c r="L83" s="1786" t="s">
        <v>1594</v>
      </c>
      <c r="M83" s="1786" t="s">
        <v>1653</v>
      </c>
      <c r="N83" s="1786" t="s">
        <v>1653</v>
      </c>
      <c r="O83" s="1786">
        <v>0</v>
      </c>
      <c r="P83" s="1786"/>
      <c r="Q83" s="1786">
        <v>0</v>
      </c>
      <c r="R83" s="1788"/>
      <c r="S83" s="1786">
        <f t="shared" si="6"/>
        <v>11319</v>
      </c>
      <c r="T83" s="1786" t="str">
        <f t="shared" si="7"/>
        <v>לאומי</v>
      </c>
      <c r="U83" s="1786" t="str">
        <f t="shared" si="8"/>
        <v>מנורה מבטחים חסכון לכל ילד</v>
      </c>
      <c r="V83" s="1786" t="str">
        <f t="shared" si="9"/>
        <v>520007469</v>
      </c>
      <c r="W83" s="1789" t="str">
        <f t="shared" si="10"/>
        <v>מנורה מבטחים פנסיה וגמל בע"מ</v>
      </c>
      <c r="AC83" s="1761" t="s">
        <v>346</v>
      </c>
      <c r="AD83" s="1761"/>
      <c r="AE83" s="1762">
        <v>42684.390740740702</v>
      </c>
      <c r="AF83" s="1761" t="s">
        <v>4603</v>
      </c>
      <c r="AG83" s="1761" t="s">
        <v>2029</v>
      </c>
      <c r="AH83" s="1761" t="s">
        <v>2028</v>
      </c>
      <c r="AI83" s="1761" t="s">
        <v>4790</v>
      </c>
      <c r="AJ83" s="1761" t="s">
        <v>4789</v>
      </c>
      <c r="AK83" s="1761">
        <v>11320</v>
      </c>
      <c r="AL83" s="1761" t="s">
        <v>4791</v>
      </c>
      <c r="AM83" s="1761">
        <v>11319</v>
      </c>
      <c r="AN83" s="1761" t="s">
        <v>5305</v>
      </c>
      <c r="AO83" s="1764"/>
      <c r="AP83" s="1761" t="s">
        <v>5377</v>
      </c>
      <c r="AQ83" s="1761" t="s">
        <v>5378</v>
      </c>
      <c r="AR83" s="1761" t="s">
        <v>2971</v>
      </c>
      <c r="AS83" s="1761" t="s">
        <v>396</v>
      </c>
      <c r="AT83" s="1761" t="s">
        <v>327</v>
      </c>
      <c r="AU83" s="1763"/>
      <c r="AV83" s="1763"/>
    </row>
    <row r="84" spans="1:48" ht="25" hidden="1">
      <c r="A84" s="1785" t="str">
        <f t="shared" si="0"/>
        <v>גמל</v>
      </c>
      <c r="B84" s="1786">
        <f t="shared" si="1"/>
        <v>11321</v>
      </c>
      <c r="C84" s="1787">
        <v>28946</v>
      </c>
      <c r="D84" s="1786" t="str">
        <f t="shared" si="2"/>
        <v>מנורה מבטחים חסכון לכל ילד - מסלול חוסכים המעדיפים סיכון מועט</v>
      </c>
      <c r="E84" s="1786" t="s">
        <v>3929</v>
      </c>
      <c r="F84" s="1786" t="s">
        <v>2958</v>
      </c>
      <c r="G84" s="1786" t="s">
        <v>2959</v>
      </c>
      <c r="H84" s="1786" t="str">
        <f t="shared" si="3"/>
        <v>פעיל</v>
      </c>
      <c r="I84" s="1788">
        <f t="shared" si="4"/>
        <v>42684.390740740702</v>
      </c>
      <c r="J84" s="1788" t="str">
        <f t="shared" si="5"/>
        <v/>
      </c>
      <c r="K84" s="1786">
        <v>0</v>
      </c>
      <c r="L84" s="1786" t="s">
        <v>1594</v>
      </c>
      <c r="M84" s="1786" t="s">
        <v>1653</v>
      </c>
      <c r="N84" s="1786" t="s">
        <v>1653</v>
      </c>
      <c r="O84" s="1786">
        <v>0</v>
      </c>
      <c r="P84" s="1786"/>
      <c r="Q84" s="1786">
        <v>0</v>
      </c>
      <c r="R84" s="1788"/>
      <c r="S84" s="1786">
        <f t="shared" si="6"/>
        <v>11319</v>
      </c>
      <c r="T84" s="1786" t="str">
        <f t="shared" si="7"/>
        <v>לאומי</v>
      </c>
      <c r="U84" s="1786" t="str">
        <f t="shared" si="8"/>
        <v>מנורה מבטחים חסכון לכל ילד</v>
      </c>
      <c r="V84" s="1786" t="str">
        <f t="shared" si="9"/>
        <v>520007469</v>
      </c>
      <c r="W84" s="1789" t="str">
        <f t="shared" si="10"/>
        <v>מנורה מבטחים פנסיה וגמל בע"מ</v>
      </c>
      <c r="AC84" s="1759" t="s">
        <v>346</v>
      </c>
      <c r="AD84" s="1759"/>
      <c r="AE84" s="1760">
        <v>42684.390740740702</v>
      </c>
      <c r="AF84" s="1759" t="s">
        <v>4759</v>
      </c>
      <c r="AG84" s="1759" t="s">
        <v>70</v>
      </c>
      <c r="AH84" s="1759" t="s">
        <v>1594</v>
      </c>
      <c r="AI84" s="1759" t="s">
        <v>4793</v>
      </c>
      <c r="AJ84" s="1759" t="s">
        <v>4792</v>
      </c>
      <c r="AK84" s="1759">
        <v>11321</v>
      </c>
      <c r="AL84" s="1759" t="s">
        <v>4791</v>
      </c>
      <c r="AM84" s="1759">
        <v>11319</v>
      </c>
      <c r="AN84" s="1759" t="s">
        <v>5305</v>
      </c>
      <c r="AO84" s="1764"/>
      <c r="AP84" s="1759" t="s">
        <v>5377</v>
      </c>
      <c r="AQ84" s="1759" t="s">
        <v>5378</v>
      </c>
      <c r="AR84" s="1759" t="s">
        <v>2971</v>
      </c>
      <c r="AS84" s="1759" t="s">
        <v>396</v>
      </c>
      <c r="AT84" s="1759" t="s">
        <v>327</v>
      </c>
      <c r="AU84" s="1763"/>
      <c r="AV84" s="1763"/>
    </row>
    <row r="85" spans="1:48" ht="25" hidden="1">
      <c r="A85" s="1785" t="str">
        <f t="shared" si="0"/>
        <v>גמל</v>
      </c>
      <c r="B85" s="1786">
        <f t="shared" si="1"/>
        <v>11311</v>
      </c>
      <c r="C85" s="1787">
        <v>28946</v>
      </c>
      <c r="D85" s="1786" t="str">
        <f t="shared" si="2"/>
        <v>אקסלנס חיסכון לילד - חוסכים המעדיפים סיכון מוגבר</v>
      </c>
      <c r="E85" s="1786" t="s">
        <v>3929</v>
      </c>
      <c r="F85" s="1786" t="s">
        <v>2958</v>
      </c>
      <c r="G85" s="1786" t="s">
        <v>2959</v>
      </c>
      <c r="H85" s="1786" t="str">
        <f t="shared" si="3"/>
        <v>פעיל</v>
      </c>
      <c r="I85" s="1788">
        <f t="shared" si="4"/>
        <v>42683.7246296296</v>
      </c>
      <c r="J85" s="1788" t="str">
        <f t="shared" si="5"/>
        <v/>
      </c>
      <c r="K85" s="1786">
        <v>0</v>
      </c>
      <c r="L85" s="1786" t="s">
        <v>1594</v>
      </c>
      <c r="M85" s="1786" t="s">
        <v>1653</v>
      </c>
      <c r="N85" s="1786" t="s">
        <v>1653</v>
      </c>
      <c r="O85" s="1786">
        <v>0</v>
      </c>
      <c r="P85" s="1786"/>
      <c r="Q85" s="1786">
        <v>0</v>
      </c>
      <c r="R85" s="1788"/>
      <c r="S85" s="1786">
        <f t="shared" si="6"/>
        <v>11309</v>
      </c>
      <c r="T85" s="1786" t="str">
        <f t="shared" si="7"/>
        <v>בנק מזרחי טפחות בע"מ</v>
      </c>
      <c r="U85" s="1786" t="str">
        <f t="shared" si="8"/>
        <v>אקסלנס גמל להשקעה לחיסכון ארוך טווח לילד</v>
      </c>
      <c r="V85" s="1786" t="str">
        <f t="shared" si="9"/>
        <v>520017450</v>
      </c>
      <c r="W85" s="1789" t="str">
        <f t="shared" si="10"/>
        <v xml:space="preserve">הפניקס אקסלנס פנסיה וגמל בע"מ </v>
      </c>
      <c r="AC85" s="1761" t="s">
        <v>346</v>
      </c>
      <c r="AD85" s="1761"/>
      <c r="AE85" s="1762">
        <v>42683.7246296296</v>
      </c>
      <c r="AF85" s="1761" t="s">
        <v>4758</v>
      </c>
      <c r="AG85" s="1761" t="s">
        <v>70</v>
      </c>
      <c r="AH85" s="1761" t="s">
        <v>1594</v>
      </c>
      <c r="AI85" s="1761" t="s">
        <v>4785</v>
      </c>
      <c r="AJ85" s="1761" t="s">
        <v>4785</v>
      </c>
      <c r="AK85" s="1761">
        <v>11311</v>
      </c>
      <c r="AL85" s="1761" t="s">
        <v>4784</v>
      </c>
      <c r="AM85" s="1761">
        <v>11309</v>
      </c>
      <c r="AN85" s="1761" t="s">
        <v>5370</v>
      </c>
      <c r="AO85" s="1764"/>
      <c r="AP85" s="1761" t="s">
        <v>5379</v>
      </c>
      <c r="AQ85" s="1761" t="s">
        <v>5380</v>
      </c>
      <c r="AR85" s="1761" t="s">
        <v>5381</v>
      </c>
      <c r="AS85" s="1761" t="s">
        <v>347</v>
      </c>
      <c r="AT85" s="1761" t="s">
        <v>327</v>
      </c>
      <c r="AU85" s="1763"/>
      <c r="AV85" s="1763"/>
    </row>
    <row r="86" spans="1:48" ht="25" hidden="1">
      <c r="A86" s="1785" t="str">
        <f t="shared" si="0"/>
        <v>גמל</v>
      </c>
      <c r="B86" s="1786">
        <f t="shared" si="1"/>
        <v>11312</v>
      </c>
      <c r="C86" s="1787">
        <v>28946</v>
      </c>
      <c r="D86" s="1786" t="str">
        <f t="shared" si="2"/>
        <v>אקסלנס חיסכון לילד - חוסכים המעדיפים סיכון בינוני</v>
      </c>
      <c r="E86" s="1786" t="s">
        <v>3929</v>
      </c>
      <c r="F86" s="1786" t="s">
        <v>2958</v>
      </c>
      <c r="G86" s="1786" t="s">
        <v>2959</v>
      </c>
      <c r="H86" s="1786" t="str">
        <f t="shared" si="3"/>
        <v>פעיל</v>
      </c>
      <c r="I86" s="1788">
        <f t="shared" si="4"/>
        <v>42683.7246296296</v>
      </c>
      <c r="J86" s="1788" t="str">
        <f t="shared" si="5"/>
        <v/>
      </c>
      <c r="K86" s="1786">
        <v>0</v>
      </c>
      <c r="L86" s="1786" t="s">
        <v>1594</v>
      </c>
      <c r="M86" s="1786" t="s">
        <v>1653</v>
      </c>
      <c r="N86" s="1786" t="s">
        <v>1653</v>
      </c>
      <c r="O86" s="1786">
        <v>0</v>
      </c>
      <c r="P86" s="1786"/>
      <c r="Q86" s="1786">
        <v>0</v>
      </c>
      <c r="R86" s="1788"/>
      <c r="S86" s="1786">
        <f t="shared" si="6"/>
        <v>11309</v>
      </c>
      <c r="T86" s="1786" t="str">
        <f t="shared" si="7"/>
        <v>בנק מזרחי טפחות בע"מ</v>
      </c>
      <c r="U86" s="1786" t="str">
        <f t="shared" si="8"/>
        <v>אקסלנס גמל להשקעה לחיסכון ארוך טווח לילד</v>
      </c>
      <c r="V86" s="1786" t="str">
        <f t="shared" si="9"/>
        <v>520017450</v>
      </c>
      <c r="W86" s="1789" t="str">
        <f t="shared" si="10"/>
        <v xml:space="preserve">הפניקס אקסלנס פנסיה וגמל בע"מ </v>
      </c>
      <c r="AC86" s="1759" t="s">
        <v>346</v>
      </c>
      <c r="AD86" s="1759"/>
      <c r="AE86" s="1760">
        <v>42683.7246296296</v>
      </c>
      <c r="AF86" s="1759" t="s">
        <v>4757</v>
      </c>
      <c r="AG86" s="1759" t="s">
        <v>70</v>
      </c>
      <c r="AH86" s="1759" t="s">
        <v>1594</v>
      </c>
      <c r="AI86" s="1759" t="s">
        <v>4786</v>
      </c>
      <c r="AJ86" s="1759" t="s">
        <v>4786</v>
      </c>
      <c r="AK86" s="1759">
        <v>11312</v>
      </c>
      <c r="AL86" s="1759" t="s">
        <v>4784</v>
      </c>
      <c r="AM86" s="1759">
        <v>11309</v>
      </c>
      <c r="AN86" s="1759" t="s">
        <v>5370</v>
      </c>
      <c r="AO86" s="1764"/>
      <c r="AP86" s="1759" t="s">
        <v>5379</v>
      </c>
      <c r="AQ86" s="1759" t="s">
        <v>5380</v>
      </c>
      <c r="AR86" s="1759" t="s">
        <v>5381</v>
      </c>
      <c r="AS86" s="1759" t="s">
        <v>347</v>
      </c>
      <c r="AT86" s="1759" t="s">
        <v>327</v>
      </c>
      <c r="AU86" s="1763"/>
      <c r="AV86" s="1763"/>
    </row>
    <row r="87" spans="1:48" ht="25" hidden="1">
      <c r="A87" s="1785" t="str">
        <f t="shared" ref="A87:A150" si="11">AT87</f>
        <v>גמל</v>
      </c>
      <c r="B87" s="1786">
        <f t="shared" ref="B87:B150" si="12">AK87</f>
        <v>11310</v>
      </c>
      <c r="C87" s="1787">
        <v>28946</v>
      </c>
      <c r="D87" s="1786" t="str">
        <f t="shared" ref="D87:D150" si="13">AJ87</f>
        <v>אקסלנס חיסכון לילד - חוסכים המעדיפים סיכון מועט</v>
      </c>
      <c r="E87" s="1786" t="s">
        <v>3929</v>
      </c>
      <c r="F87" s="1786" t="s">
        <v>2958</v>
      </c>
      <c r="G87" s="1786" t="s">
        <v>2959</v>
      </c>
      <c r="H87" s="1786" t="str">
        <f t="shared" ref="H87:H150" si="14">AC87</f>
        <v>פעיל</v>
      </c>
      <c r="I87" s="1788">
        <f t="shared" ref="I87:I150" si="15">IF(AE87="","",AE87)</f>
        <v>42683.7246296296</v>
      </c>
      <c r="J87" s="1788" t="str">
        <f t="shared" ref="J87:J150" si="16">IF(AD87="","",AD87)</f>
        <v/>
      </c>
      <c r="K87" s="1786">
        <v>0</v>
      </c>
      <c r="L87" s="1786" t="s">
        <v>1594</v>
      </c>
      <c r="M87" s="1786" t="s">
        <v>1653</v>
      </c>
      <c r="N87" s="1786" t="s">
        <v>1653</v>
      </c>
      <c r="O87" s="1786">
        <v>0</v>
      </c>
      <c r="P87" s="1786"/>
      <c r="Q87" s="1786">
        <v>0</v>
      </c>
      <c r="R87" s="1788"/>
      <c r="S87" s="1786">
        <f t="shared" ref="S87:S150" si="17">AM87</f>
        <v>11309</v>
      </c>
      <c r="T87" s="1786" t="str">
        <f t="shared" ref="T87:T150" si="18">AN87</f>
        <v>בנק מזרחי טפחות בע"מ</v>
      </c>
      <c r="U87" s="1786" t="str">
        <f t="shared" ref="U87:U150" si="19">AL87</f>
        <v>אקסלנס גמל להשקעה לחיסכון ארוך טווח לילד</v>
      </c>
      <c r="V87" s="1786" t="str">
        <f t="shared" ref="V87:V150" si="20">AQ87</f>
        <v>520017450</v>
      </c>
      <c r="W87" s="1789" t="str">
        <f t="shared" ref="W87:W150" si="21">AR87</f>
        <v xml:space="preserve">הפניקס אקסלנס פנסיה וגמל בע"מ </v>
      </c>
      <c r="AC87" s="1761" t="s">
        <v>346</v>
      </c>
      <c r="AD87" s="1761"/>
      <c r="AE87" s="1762">
        <v>42683.7246296296</v>
      </c>
      <c r="AF87" s="1761" t="s">
        <v>4759</v>
      </c>
      <c r="AG87" s="1761" t="s">
        <v>70</v>
      </c>
      <c r="AH87" s="1761" t="s">
        <v>1594</v>
      </c>
      <c r="AI87" s="1761" t="s">
        <v>4783</v>
      </c>
      <c r="AJ87" s="1761" t="s">
        <v>4783</v>
      </c>
      <c r="AK87" s="1761">
        <v>11310</v>
      </c>
      <c r="AL87" s="1761" t="s">
        <v>4784</v>
      </c>
      <c r="AM87" s="1761">
        <v>11309</v>
      </c>
      <c r="AN87" s="1761" t="s">
        <v>5370</v>
      </c>
      <c r="AO87" s="1764"/>
      <c r="AP87" s="1761" t="s">
        <v>5379</v>
      </c>
      <c r="AQ87" s="1761" t="s">
        <v>5380</v>
      </c>
      <c r="AR87" s="1761" t="s">
        <v>5381</v>
      </c>
      <c r="AS87" s="1761" t="s">
        <v>347</v>
      </c>
      <c r="AT87" s="1761" t="s">
        <v>327</v>
      </c>
      <c r="AU87" s="1763"/>
      <c r="AV87" s="1763"/>
    </row>
    <row r="88" spans="1:48" ht="25" hidden="1">
      <c r="A88" s="1785" t="str">
        <f t="shared" si="11"/>
        <v>גמל</v>
      </c>
      <c r="B88" s="1786">
        <f t="shared" si="12"/>
        <v>11335</v>
      </c>
      <c r="C88" s="1787">
        <v>28946</v>
      </c>
      <c r="D88" s="1786" t="str">
        <f t="shared" si="13"/>
        <v xml:space="preserve">אקסלנס חיסכון לילד - הלכה </v>
      </c>
      <c r="E88" s="1786" t="s">
        <v>3929</v>
      </c>
      <c r="F88" s="1786" t="s">
        <v>2958</v>
      </c>
      <c r="G88" s="1786" t="s">
        <v>2959</v>
      </c>
      <c r="H88" s="1786" t="str">
        <f t="shared" si="14"/>
        <v>פעיל</v>
      </c>
      <c r="I88" s="1788">
        <f t="shared" si="15"/>
        <v>42683.7246296296</v>
      </c>
      <c r="J88" s="1788" t="str">
        <f t="shared" si="16"/>
        <v/>
      </c>
      <c r="K88" s="1786">
        <v>0</v>
      </c>
      <c r="L88" s="1786" t="s">
        <v>1594</v>
      </c>
      <c r="M88" s="1786" t="s">
        <v>1653</v>
      </c>
      <c r="N88" s="1786" t="s">
        <v>1653</v>
      </c>
      <c r="O88" s="1786">
        <v>0</v>
      </c>
      <c r="P88" s="1786"/>
      <c r="Q88" s="1786">
        <v>0</v>
      </c>
      <c r="R88" s="1788"/>
      <c r="S88" s="1786">
        <f t="shared" si="17"/>
        <v>11309</v>
      </c>
      <c r="T88" s="1786" t="str">
        <f t="shared" si="18"/>
        <v>בנק מזרחי טפחות בע"מ</v>
      </c>
      <c r="U88" s="1786" t="str">
        <f t="shared" si="19"/>
        <v>אקסלנס גמל להשקעה לחיסכון ארוך טווח לילד</v>
      </c>
      <c r="V88" s="1786" t="str">
        <f t="shared" si="20"/>
        <v>520017450</v>
      </c>
      <c r="W88" s="1789" t="str">
        <f t="shared" si="21"/>
        <v xml:space="preserve">הפניקס אקסלנס פנסיה וגמל בע"מ </v>
      </c>
      <c r="AC88" s="1759" t="s">
        <v>346</v>
      </c>
      <c r="AD88" s="1759"/>
      <c r="AE88" s="1760">
        <v>42683.7246296296</v>
      </c>
      <c r="AF88" s="1759" t="s">
        <v>4603</v>
      </c>
      <c r="AG88" s="1759" t="s">
        <v>2029</v>
      </c>
      <c r="AH88" s="1759" t="s">
        <v>2028</v>
      </c>
      <c r="AI88" s="1759" t="s">
        <v>4807</v>
      </c>
      <c r="AJ88" s="1759" t="s">
        <v>4807</v>
      </c>
      <c r="AK88" s="1759">
        <v>11335</v>
      </c>
      <c r="AL88" s="1759" t="s">
        <v>4784</v>
      </c>
      <c r="AM88" s="1759">
        <v>11309</v>
      </c>
      <c r="AN88" s="1759" t="s">
        <v>5370</v>
      </c>
      <c r="AO88" s="1764"/>
      <c r="AP88" s="1759" t="s">
        <v>5379</v>
      </c>
      <c r="AQ88" s="1759" t="s">
        <v>5380</v>
      </c>
      <c r="AR88" s="1759" t="s">
        <v>5381</v>
      </c>
      <c r="AS88" s="1759" t="s">
        <v>347</v>
      </c>
      <c r="AT88" s="1759" t="s">
        <v>327</v>
      </c>
      <c r="AU88" s="1763"/>
      <c r="AV88" s="1763"/>
    </row>
    <row r="89" spans="1:48" ht="37.5" hidden="1">
      <c r="A89" s="1785" t="str">
        <f t="shared" si="11"/>
        <v>גמל</v>
      </c>
      <c r="B89" s="1786">
        <f t="shared" si="12"/>
        <v>9895</v>
      </c>
      <c r="C89" s="1787">
        <v>28946</v>
      </c>
      <c r="D89" s="1786" t="str">
        <f t="shared" si="13"/>
        <v>מגדל  חסכון לילד - הלכה</v>
      </c>
      <c r="E89" s="1786" t="s">
        <v>3929</v>
      </c>
      <c r="F89" s="1786" t="s">
        <v>2958</v>
      </c>
      <c r="G89" s="1786" t="s">
        <v>2959</v>
      </c>
      <c r="H89" s="1786" t="str">
        <f t="shared" si="14"/>
        <v>פעיל</v>
      </c>
      <c r="I89" s="1788">
        <f t="shared" si="15"/>
        <v>42683.614259259302</v>
      </c>
      <c r="J89" s="1788" t="str">
        <f t="shared" si="16"/>
        <v/>
      </c>
      <c r="K89" s="1786">
        <v>0</v>
      </c>
      <c r="L89" s="1786" t="s">
        <v>1594</v>
      </c>
      <c r="M89" s="1786" t="s">
        <v>1653</v>
      </c>
      <c r="N89" s="1786" t="s">
        <v>1653</v>
      </c>
      <c r="O89" s="1786">
        <v>0</v>
      </c>
      <c r="P89" s="1786"/>
      <c r="Q89" s="1786">
        <v>0</v>
      </c>
      <c r="R89" s="1788"/>
      <c r="S89" s="1786">
        <f t="shared" si="17"/>
        <v>9894</v>
      </c>
      <c r="T89" s="1786" t="str">
        <f t="shared" si="18"/>
        <v>לאומי</v>
      </c>
      <c r="U89" s="1786" t="str">
        <f t="shared" si="19"/>
        <v>מגדל  חסכון לילד</v>
      </c>
      <c r="V89" s="1786" t="str">
        <f t="shared" si="20"/>
        <v>510464803</v>
      </c>
      <c r="W89" s="1789" t="str">
        <f t="shared" si="21"/>
        <v>מגדל מקפת קרנות פנסיה וקופות גמל בע"מ</v>
      </c>
      <c r="AC89" s="1761" t="s">
        <v>346</v>
      </c>
      <c r="AD89" s="1761"/>
      <c r="AE89" s="1762">
        <v>42683.614259259302</v>
      </c>
      <c r="AF89" s="1761" t="s">
        <v>4603</v>
      </c>
      <c r="AG89" s="1761" t="s">
        <v>2029</v>
      </c>
      <c r="AH89" s="1761" t="s">
        <v>2028</v>
      </c>
      <c r="AI89" s="1761" t="s">
        <v>4775</v>
      </c>
      <c r="AJ89" s="1761" t="s">
        <v>4775</v>
      </c>
      <c r="AK89" s="1761">
        <v>9895</v>
      </c>
      <c r="AL89" s="1761" t="s">
        <v>4776</v>
      </c>
      <c r="AM89" s="1761">
        <v>9894</v>
      </c>
      <c r="AN89" s="1761" t="s">
        <v>5305</v>
      </c>
      <c r="AO89" s="1764"/>
      <c r="AP89" s="1761" t="s">
        <v>5382</v>
      </c>
      <c r="AQ89" s="1761" t="s">
        <v>5383</v>
      </c>
      <c r="AR89" s="1761" t="s">
        <v>394</v>
      </c>
      <c r="AS89" s="1761" t="s">
        <v>395</v>
      </c>
      <c r="AT89" s="1761" t="s">
        <v>327</v>
      </c>
      <c r="AU89" s="1763"/>
      <c r="AV89" s="1763"/>
    </row>
    <row r="90" spans="1:48" ht="37.5" hidden="1">
      <c r="A90" s="1785" t="str">
        <f t="shared" si="11"/>
        <v>גמל</v>
      </c>
      <c r="B90" s="1786">
        <f t="shared" si="12"/>
        <v>9898</v>
      </c>
      <c r="C90" s="1787">
        <v>28946</v>
      </c>
      <c r="D90" s="1786" t="str">
        <f t="shared" si="13"/>
        <v>מגדל  חסכון לילד - חוסכים המעדיפים סיכון מוגבר</v>
      </c>
      <c r="E90" s="1786" t="s">
        <v>3929</v>
      </c>
      <c r="F90" s="1786" t="s">
        <v>2958</v>
      </c>
      <c r="G90" s="1786" t="s">
        <v>2959</v>
      </c>
      <c r="H90" s="1786" t="str">
        <f t="shared" si="14"/>
        <v>פעיל</v>
      </c>
      <c r="I90" s="1788">
        <f t="shared" si="15"/>
        <v>42683.614259259302</v>
      </c>
      <c r="J90" s="1788" t="str">
        <f t="shared" si="16"/>
        <v/>
      </c>
      <c r="K90" s="1786">
        <v>0</v>
      </c>
      <c r="L90" s="1786" t="s">
        <v>1594</v>
      </c>
      <c r="M90" s="1786" t="s">
        <v>1653</v>
      </c>
      <c r="N90" s="1786" t="s">
        <v>1653</v>
      </c>
      <c r="O90" s="1786">
        <v>0</v>
      </c>
      <c r="P90" s="1786"/>
      <c r="Q90" s="1786">
        <v>0</v>
      </c>
      <c r="R90" s="1788"/>
      <c r="S90" s="1786">
        <f t="shared" si="17"/>
        <v>9894</v>
      </c>
      <c r="T90" s="1786" t="str">
        <f t="shared" si="18"/>
        <v>לאומי</v>
      </c>
      <c r="U90" s="1786" t="str">
        <f t="shared" si="19"/>
        <v>מגדל  חסכון לילד</v>
      </c>
      <c r="V90" s="1786" t="str">
        <f t="shared" si="20"/>
        <v>510464803</v>
      </c>
      <c r="W90" s="1789" t="str">
        <f t="shared" si="21"/>
        <v>מגדל מקפת קרנות פנסיה וקופות גמל בע"מ</v>
      </c>
      <c r="AC90" s="1759" t="s">
        <v>346</v>
      </c>
      <c r="AD90" s="1759"/>
      <c r="AE90" s="1760">
        <v>42683.614259259302</v>
      </c>
      <c r="AF90" s="1759" t="s">
        <v>4758</v>
      </c>
      <c r="AG90" s="1759" t="s">
        <v>70</v>
      </c>
      <c r="AH90" s="1759" t="s">
        <v>1594</v>
      </c>
      <c r="AI90" s="1759" t="s">
        <v>4780</v>
      </c>
      <c r="AJ90" s="1759" t="s">
        <v>4780</v>
      </c>
      <c r="AK90" s="1759">
        <v>9898</v>
      </c>
      <c r="AL90" s="1759" t="s">
        <v>4776</v>
      </c>
      <c r="AM90" s="1759">
        <v>9894</v>
      </c>
      <c r="AN90" s="1759" t="s">
        <v>5305</v>
      </c>
      <c r="AO90" s="1764"/>
      <c r="AP90" s="1759" t="s">
        <v>5382</v>
      </c>
      <c r="AQ90" s="1759" t="s">
        <v>5383</v>
      </c>
      <c r="AR90" s="1759" t="s">
        <v>394</v>
      </c>
      <c r="AS90" s="1759" t="s">
        <v>395</v>
      </c>
      <c r="AT90" s="1759" t="s">
        <v>327</v>
      </c>
      <c r="AU90" s="1763"/>
      <c r="AV90" s="1763"/>
    </row>
    <row r="91" spans="1:48" ht="37.5" hidden="1">
      <c r="A91" s="1785" t="str">
        <f t="shared" si="11"/>
        <v>גמל</v>
      </c>
      <c r="B91" s="1786">
        <f t="shared" si="12"/>
        <v>9897</v>
      </c>
      <c r="C91" s="1787">
        <v>28946</v>
      </c>
      <c r="D91" s="1786" t="str">
        <f t="shared" si="13"/>
        <v>מגדל  חסכון לילד - חוסכים המעדיפים סיכון בינוני</v>
      </c>
      <c r="E91" s="1786" t="s">
        <v>3929</v>
      </c>
      <c r="F91" s="1786" t="s">
        <v>2958</v>
      </c>
      <c r="G91" s="1786" t="s">
        <v>2959</v>
      </c>
      <c r="H91" s="1786" t="str">
        <f t="shared" si="14"/>
        <v>פעיל</v>
      </c>
      <c r="I91" s="1788">
        <f t="shared" si="15"/>
        <v>42683.614259259302</v>
      </c>
      <c r="J91" s="1788" t="str">
        <f t="shared" si="16"/>
        <v/>
      </c>
      <c r="K91" s="1786">
        <v>0</v>
      </c>
      <c r="L91" s="1786" t="s">
        <v>1594</v>
      </c>
      <c r="M91" s="1786" t="s">
        <v>1653</v>
      </c>
      <c r="N91" s="1786" t="s">
        <v>1653</v>
      </c>
      <c r="O91" s="1786">
        <v>0</v>
      </c>
      <c r="P91" s="1786"/>
      <c r="Q91" s="1786">
        <v>0</v>
      </c>
      <c r="R91" s="1788"/>
      <c r="S91" s="1786">
        <f t="shared" si="17"/>
        <v>9894</v>
      </c>
      <c r="T91" s="1786" t="str">
        <f t="shared" si="18"/>
        <v>לאומי</v>
      </c>
      <c r="U91" s="1786" t="str">
        <f t="shared" si="19"/>
        <v>מגדל  חסכון לילד</v>
      </c>
      <c r="V91" s="1786" t="str">
        <f t="shared" si="20"/>
        <v>510464803</v>
      </c>
      <c r="W91" s="1789" t="str">
        <f t="shared" si="21"/>
        <v>מגדל מקפת קרנות פנסיה וקופות גמל בע"מ</v>
      </c>
      <c r="AC91" s="1761" t="s">
        <v>346</v>
      </c>
      <c r="AD91" s="1761"/>
      <c r="AE91" s="1762">
        <v>42683.614259259302</v>
      </c>
      <c r="AF91" s="1761" t="s">
        <v>4757</v>
      </c>
      <c r="AG91" s="1761" t="s">
        <v>70</v>
      </c>
      <c r="AH91" s="1761" t="s">
        <v>1594</v>
      </c>
      <c r="AI91" s="1761" t="s">
        <v>4779</v>
      </c>
      <c r="AJ91" s="1761" t="s">
        <v>4779</v>
      </c>
      <c r="AK91" s="1761">
        <v>9897</v>
      </c>
      <c r="AL91" s="1761" t="s">
        <v>4776</v>
      </c>
      <c r="AM91" s="1761">
        <v>9894</v>
      </c>
      <c r="AN91" s="1761" t="s">
        <v>5305</v>
      </c>
      <c r="AO91" s="1764"/>
      <c r="AP91" s="1761" t="s">
        <v>5382</v>
      </c>
      <c r="AQ91" s="1761" t="s">
        <v>5383</v>
      </c>
      <c r="AR91" s="1761" t="s">
        <v>394</v>
      </c>
      <c r="AS91" s="1761" t="s">
        <v>395</v>
      </c>
      <c r="AT91" s="1761" t="s">
        <v>327</v>
      </c>
      <c r="AU91" s="1763"/>
      <c r="AV91" s="1763"/>
    </row>
    <row r="92" spans="1:48" ht="37.5" hidden="1">
      <c r="A92" s="1785" t="str">
        <f t="shared" si="11"/>
        <v>גמל</v>
      </c>
      <c r="B92" s="1786">
        <f t="shared" si="12"/>
        <v>9896</v>
      </c>
      <c r="C92" s="1787">
        <v>28946</v>
      </c>
      <c r="D92" s="1786" t="str">
        <f t="shared" si="13"/>
        <v>מגדל  חסכון לילד - חוסכים המעדיפים סיכון מועט</v>
      </c>
      <c r="E92" s="1786" t="s">
        <v>3929</v>
      </c>
      <c r="F92" s="1786" t="s">
        <v>2958</v>
      </c>
      <c r="G92" s="1786" t="s">
        <v>2959</v>
      </c>
      <c r="H92" s="1786" t="str">
        <f t="shared" si="14"/>
        <v>פעיל</v>
      </c>
      <c r="I92" s="1788">
        <f t="shared" si="15"/>
        <v>42683.614259259302</v>
      </c>
      <c r="J92" s="1788" t="str">
        <f t="shared" si="16"/>
        <v/>
      </c>
      <c r="K92" s="1786">
        <v>0</v>
      </c>
      <c r="L92" s="1786" t="s">
        <v>1594</v>
      </c>
      <c r="M92" s="1786" t="s">
        <v>1653</v>
      </c>
      <c r="N92" s="1786" t="s">
        <v>1653</v>
      </c>
      <c r="O92" s="1786">
        <v>0</v>
      </c>
      <c r="P92" s="1786"/>
      <c r="Q92" s="1786">
        <v>0</v>
      </c>
      <c r="R92" s="1788"/>
      <c r="S92" s="1786">
        <f t="shared" si="17"/>
        <v>9894</v>
      </c>
      <c r="T92" s="1786" t="str">
        <f t="shared" si="18"/>
        <v>לאומי</v>
      </c>
      <c r="U92" s="1786" t="str">
        <f t="shared" si="19"/>
        <v>מגדל  חסכון לילד</v>
      </c>
      <c r="V92" s="1786" t="str">
        <f t="shared" si="20"/>
        <v>510464803</v>
      </c>
      <c r="W92" s="1789" t="str">
        <f t="shared" si="21"/>
        <v>מגדל מקפת קרנות פנסיה וקופות גמל בע"מ</v>
      </c>
      <c r="AC92" s="1759" t="s">
        <v>346</v>
      </c>
      <c r="AD92" s="1759"/>
      <c r="AE92" s="1760">
        <v>42683.614259259302</v>
      </c>
      <c r="AF92" s="1759" t="s">
        <v>4759</v>
      </c>
      <c r="AG92" s="1759" t="s">
        <v>70</v>
      </c>
      <c r="AH92" s="1759" t="s">
        <v>1594</v>
      </c>
      <c r="AI92" s="1759" t="s">
        <v>4778</v>
      </c>
      <c r="AJ92" s="1759" t="s">
        <v>4777</v>
      </c>
      <c r="AK92" s="1759">
        <v>9896</v>
      </c>
      <c r="AL92" s="1759" t="s">
        <v>4776</v>
      </c>
      <c r="AM92" s="1759">
        <v>9894</v>
      </c>
      <c r="AN92" s="1759" t="s">
        <v>5305</v>
      </c>
      <c r="AO92" s="1764"/>
      <c r="AP92" s="1759" t="s">
        <v>5382</v>
      </c>
      <c r="AQ92" s="1759" t="s">
        <v>5383</v>
      </c>
      <c r="AR92" s="1759" t="s">
        <v>394</v>
      </c>
      <c r="AS92" s="1759" t="s">
        <v>395</v>
      </c>
      <c r="AT92" s="1759" t="s">
        <v>327</v>
      </c>
      <c r="AU92" s="1763"/>
      <c r="AV92" s="1763"/>
    </row>
    <row r="93" spans="1:48" ht="37.5" hidden="1">
      <c r="A93" s="1785" t="str">
        <f t="shared" si="11"/>
        <v>גמל</v>
      </c>
      <c r="B93" s="1786">
        <f t="shared" si="12"/>
        <v>9728</v>
      </c>
      <c r="C93" s="1787">
        <v>28946</v>
      </c>
      <c r="D93" s="1786" t="str">
        <f t="shared" si="13"/>
        <v>איילון קופת גמל מרכזית להשתתפות בפנסיה תקציבית כללי כללי</v>
      </c>
      <c r="E93" s="1786" t="s">
        <v>3929</v>
      </c>
      <c r="F93" s="1786" t="s">
        <v>2958</v>
      </c>
      <c r="G93" s="1786" t="s">
        <v>2959</v>
      </c>
      <c r="H93" s="1786" t="str">
        <f t="shared" si="14"/>
        <v>לא פעיל</v>
      </c>
      <c r="I93" s="1788">
        <f t="shared" si="15"/>
        <v>42289.674861111103</v>
      </c>
      <c r="J93" s="1788">
        <f t="shared" si="16"/>
        <v>42326.447476851798</v>
      </c>
      <c r="K93" s="1786">
        <v>0</v>
      </c>
      <c r="L93" s="1786" t="s">
        <v>1594</v>
      </c>
      <c r="M93" s="1786" t="s">
        <v>1653</v>
      </c>
      <c r="N93" s="1786" t="s">
        <v>1653</v>
      </c>
      <c r="O93" s="1786">
        <v>0</v>
      </c>
      <c r="P93" s="1786"/>
      <c r="Q93" s="1786">
        <v>0</v>
      </c>
      <c r="R93" s="1788"/>
      <c r="S93" s="1786">
        <f t="shared" si="17"/>
        <v>9727</v>
      </c>
      <c r="T93" s="1786" t="str">
        <f t="shared" si="18"/>
        <v>הבנק הבינלאומי הראשון</v>
      </c>
      <c r="U93" s="1786" t="str">
        <f t="shared" si="19"/>
        <v>איילון קופת גמל מרכזית להשתתפות בפנסיה תקציבית</v>
      </c>
      <c r="V93" s="1786" t="str">
        <f t="shared" si="20"/>
        <v>520030677</v>
      </c>
      <c r="W93" s="1789" t="str">
        <f t="shared" si="21"/>
        <v>איילון פנסיה וגמל בע"מ</v>
      </c>
      <c r="AC93" s="1761" t="s">
        <v>1586</v>
      </c>
      <c r="AD93" s="1762">
        <v>42326.447476851798</v>
      </c>
      <c r="AE93" s="1762">
        <v>42289.674861111103</v>
      </c>
      <c r="AF93" s="1761" t="s">
        <v>1583</v>
      </c>
      <c r="AG93" s="1761" t="s">
        <v>1583</v>
      </c>
      <c r="AH93" s="1761" t="s">
        <v>1583</v>
      </c>
      <c r="AI93" s="1761" t="s">
        <v>4530</v>
      </c>
      <c r="AJ93" s="1761" t="s">
        <v>4529</v>
      </c>
      <c r="AK93" s="1761">
        <v>9728</v>
      </c>
      <c r="AL93" s="1761" t="s">
        <v>4531</v>
      </c>
      <c r="AM93" s="1761">
        <v>9727</v>
      </c>
      <c r="AN93" s="1761" t="s">
        <v>5384</v>
      </c>
      <c r="AO93" s="1764"/>
      <c r="AP93" s="1761" t="s">
        <v>5385</v>
      </c>
      <c r="AQ93" s="1761" t="s">
        <v>5386</v>
      </c>
      <c r="AR93" s="1761" t="s">
        <v>2780</v>
      </c>
      <c r="AS93" s="1761" t="s">
        <v>426</v>
      </c>
      <c r="AT93" s="1761" t="s">
        <v>327</v>
      </c>
      <c r="AU93" s="1763"/>
      <c r="AV93" s="1763"/>
    </row>
    <row r="94" spans="1:48" ht="37.5" hidden="1">
      <c r="A94" s="1785" t="str">
        <f t="shared" si="11"/>
        <v>גמל</v>
      </c>
      <c r="B94" s="1786">
        <f t="shared" si="12"/>
        <v>11367</v>
      </c>
      <c r="C94" s="1787">
        <v>28946</v>
      </c>
      <c r="D94" s="1786" t="str">
        <f t="shared" si="13"/>
        <v>אנליסט מסלולית - קופת גמל להשקעה לחיסכון ארוך טווח לילד - מסלול לחוסכים המעדיפים סיכון מוגבר</v>
      </c>
      <c r="E94" s="1786" t="s">
        <v>3929</v>
      </c>
      <c r="F94" s="1786" t="s">
        <v>2958</v>
      </c>
      <c r="G94" s="1786" t="s">
        <v>2959</v>
      </c>
      <c r="H94" s="1786" t="str">
        <f t="shared" si="14"/>
        <v>פעיל</v>
      </c>
      <c r="I94" s="1788">
        <f t="shared" si="15"/>
        <v>42683.603958333297</v>
      </c>
      <c r="J94" s="1788" t="str">
        <f t="shared" si="16"/>
        <v/>
      </c>
      <c r="K94" s="1786">
        <v>0</v>
      </c>
      <c r="L94" s="1786" t="s">
        <v>1594</v>
      </c>
      <c r="M94" s="1786" t="s">
        <v>1653</v>
      </c>
      <c r="N94" s="1786" t="s">
        <v>1653</v>
      </c>
      <c r="O94" s="1786">
        <v>0</v>
      </c>
      <c r="P94" s="1786"/>
      <c r="Q94" s="1786">
        <v>0</v>
      </c>
      <c r="R94" s="1788"/>
      <c r="S94" s="1786">
        <f t="shared" si="17"/>
        <v>9641</v>
      </c>
      <c r="T94" s="1786" t="str">
        <f t="shared" si="18"/>
        <v>הבנק הבינלאומי הראשון</v>
      </c>
      <c r="U94" s="1786" t="str">
        <f t="shared" si="19"/>
        <v>אנליסט מסלולית - קופת גמל להשקעה לחיסכון ארוך טווח לילד</v>
      </c>
      <c r="V94" s="1786" t="str">
        <f t="shared" si="20"/>
        <v>520041963</v>
      </c>
      <c r="W94" s="1789" t="str">
        <f t="shared" si="21"/>
        <v>אנליסט קופות גמל בע"מ</v>
      </c>
      <c r="AC94" s="1759" t="s">
        <v>346</v>
      </c>
      <c r="AD94" s="1759"/>
      <c r="AE94" s="1760">
        <v>42683.603958333297</v>
      </c>
      <c r="AF94" s="1759" t="s">
        <v>4758</v>
      </c>
      <c r="AG94" s="1759" t="s">
        <v>70</v>
      </c>
      <c r="AH94" s="1759" t="s">
        <v>1594</v>
      </c>
      <c r="AI94" s="1759" t="s">
        <v>4825</v>
      </c>
      <c r="AJ94" s="1759" t="s">
        <v>4774</v>
      </c>
      <c r="AK94" s="1759">
        <v>11367</v>
      </c>
      <c r="AL94" s="1759" t="s">
        <v>4767</v>
      </c>
      <c r="AM94" s="1759">
        <v>9641</v>
      </c>
      <c r="AN94" s="1759" t="s">
        <v>5384</v>
      </c>
      <c r="AO94" s="1764"/>
      <c r="AP94" s="1759" t="s">
        <v>5387</v>
      </c>
      <c r="AQ94" s="1759" t="s">
        <v>5388</v>
      </c>
      <c r="AR94" s="1759" t="s">
        <v>360</v>
      </c>
      <c r="AS94" s="1759" t="s">
        <v>361</v>
      </c>
      <c r="AT94" s="1759" t="s">
        <v>327</v>
      </c>
      <c r="AU94" s="1763"/>
      <c r="AV94" s="1763"/>
    </row>
    <row r="95" spans="1:48" ht="37.5" hidden="1">
      <c r="A95" s="1785" t="str">
        <f t="shared" si="11"/>
        <v>גמל</v>
      </c>
      <c r="B95" s="1786">
        <f t="shared" si="12"/>
        <v>11366</v>
      </c>
      <c r="C95" s="1787">
        <v>28946</v>
      </c>
      <c r="D95" s="1786" t="str">
        <f t="shared" si="13"/>
        <v>אנליסט מסלולית - קופת גמל להשקעה לחיסכון ארוך טווח לילד - מסלול לחוסכים המעדיפים סיכון בינוני</v>
      </c>
      <c r="E95" s="1786" t="s">
        <v>3929</v>
      </c>
      <c r="F95" s="1786" t="s">
        <v>2958</v>
      </c>
      <c r="G95" s="1786" t="s">
        <v>2959</v>
      </c>
      <c r="H95" s="1786" t="str">
        <f t="shared" si="14"/>
        <v>פעיל</v>
      </c>
      <c r="I95" s="1788">
        <f t="shared" si="15"/>
        <v>42683.603958333297</v>
      </c>
      <c r="J95" s="1788" t="str">
        <f t="shared" si="16"/>
        <v/>
      </c>
      <c r="K95" s="1786">
        <v>0</v>
      </c>
      <c r="L95" s="1786" t="s">
        <v>1594</v>
      </c>
      <c r="M95" s="1786" t="s">
        <v>1653</v>
      </c>
      <c r="N95" s="1786" t="s">
        <v>1653</v>
      </c>
      <c r="O95" s="1786">
        <v>0</v>
      </c>
      <c r="P95" s="1786"/>
      <c r="Q95" s="1786">
        <v>0</v>
      </c>
      <c r="R95" s="1788"/>
      <c r="S95" s="1786">
        <f t="shared" si="17"/>
        <v>9641</v>
      </c>
      <c r="T95" s="1786" t="str">
        <f t="shared" si="18"/>
        <v>הבנק הבינלאומי הראשון</v>
      </c>
      <c r="U95" s="1786" t="str">
        <f t="shared" si="19"/>
        <v>אנליסט מסלולית - קופת גמל להשקעה לחיסכון ארוך טווח לילד</v>
      </c>
      <c r="V95" s="1786" t="str">
        <f t="shared" si="20"/>
        <v>520041963</v>
      </c>
      <c r="W95" s="1789" t="str">
        <f t="shared" si="21"/>
        <v>אנליסט קופות גמל בע"מ</v>
      </c>
      <c r="AC95" s="1761" t="s">
        <v>346</v>
      </c>
      <c r="AD95" s="1759"/>
      <c r="AE95" s="1762">
        <v>42683.603958333297</v>
      </c>
      <c r="AF95" s="1761" t="s">
        <v>4757</v>
      </c>
      <c r="AG95" s="1761" t="s">
        <v>70</v>
      </c>
      <c r="AH95" s="1761" t="s">
        <v>1594</v>
      </c>
      <c r="AI95" s="1761" t="s">
        <v>4824</v>
      </c>
      <c r="AJ95" s="1761" t="s">
        <v>4768</v>
      </c>
      <c r="AK95" s="1761">
        <v>11366</v>
      </c>
      <c r="AL95" s="1761" t="s">
        <v>4767</v>
      </c>
      <c r="AM95" s="1761">
        <v>9641</v>
      </c>
      <c r="AN95" s="1761" t="s">
        <v>5384</v>
      </c>
      <c r="AO95" s="1764"/>
      <c r="AP95" s="1761" t="s">
        <v>5387</v>
      </c>
      <c r="AQ95" s="1761" t="s">
        <v>5388</v>
      </c>
      <c r="AR95" s="1761" t="s">
        <v>360</v>
      </c>
      <c r="AS95" s="1761" t="s">
        <v>361</v>
      </c>
      <c r="AT95" s="1761" t="s">
        <v>327</v>
      </c>
      <c r="AU95" s="1763"/>
      <c r="AV95" s="1763"/>
    </row>
    <row r="96" spans="1:48" ht="37.5" hidden="1">
      <c r="A96" s="1785" t="str">
        <f t="shared" si="11"/>
        <v>גמל</v>
      </c>
      <c r="B96" s="1786">
        <f t="shared" si="12"/>
        <v>11365</v>
      </c>
      <c r="C96" s="1787">
        <v>28946</v>
      </c>
      <c r="D96" s="1786" t="str">
        <f t="shared" si="13"/>
        <v>אנליסט מסלולית - קופת גמל להשקעה לחיסכון ארוך טווח לילד - מסלול לחוסכים המעדיפים סיכון מועט</v>
      </c>
      <c r="E96" s="1786" t="s">
        <v>3929</v>
      </c>
      <c r="F96" s="1786" t="s">
        <v>2958</v>
      </c>
      <c r="G96" s="1786" t="s">
        <v>2959</v>
      </c>
      <c r="H96" s="1786" t="str">
        <f t="shared" si="14"/>
        <v>פעיל</v>
      </c>
      <c r="I96" s="1788">
        <f t="shared" si="15"/>
        <v>42683.603958333297</v>
      </c>
      <c r="J96" s="1788" t="str">
        <f t="shared" si="16"/>
        <v/>
      </c>
      <c r="K96" s="1786">
        <v>0</v>
      </c>
      <c r="L96" s="1786" t="s">
        <v>1594</v>
      </c>
      <c r="M96" s="1786" t="s">
        <v>1653</v>
      </c>
      <c r="N96" s="1786" t="s">
        <v>1653</v>
      </c>
      <c r="O96" s="1786">
        <v>0</v>
      </c>
      <c r="P96" s="1786"/>
      <c r="Q96" s="1786">
        <v>0</v>
      </c>
      <c r="R96" s="1788"/>
      <c r="S96" s="1786">
        <f t="shared" si="17"/>
        <v>9641</v>
      </c>
      <c r="T96" s="1786" t="str">
        <f t="shared" si="18"/>
        <v>הבנק הבינלאומי הראשון</v>
      </c>
      <c r="U96" s="1786" t="str">
        <f t="shared" si="19"/>
        <v>אנליסט מסלולית - קופת גמל להשקעה לחיסכון ארוך טווח לילד</v>
      </c>
      <c r="V96" s="1786" t="str">
        <f t="shared" si="20"/>
        <v>520041963</v>
      </c>
      <c r="W96" s="1789" t="str">
        <f t="shared" si="21"/>
        <v>אנליסט קופות גמל בע"מ</v>
      </c>
      <c r="AC96" s="1759" t="s">
        <v>346</v>
      </c>
      <c r="AD96" s="1759"/>
      <c r="AE96" s="1760">
        <v>42683.603958333297</v>
      </c>
      <c r="AF96" s="1759" t="s">
        <v>4759</v>
      </c>
      <c r="AG96" s="1759" t="s">
        <v>70</v>
      </c>
      <c r="AH96" s="1759" t="s">
        <v>1594</v>
      </c>
      <c r="AI96" s="1759" t="s">
        <v>4823</v>
      </c>
      <c r="AJ96" s="1759" t="s">
        <v>4766</v>
      </c>
      <c r="AK96" s="1759">
        <v>11365</v>
      </c>
      <c r="AL96" s="1759" t="s">
        <v>4767</v>
      </c>
      <c r="AM96" s="1759">
        <v>9641</v>
      </c>
      <c r="AN96" s="1759" t="s">
        <v>5384</v>
      </c>
      <c r="AO96" s="1764"/>
      <c r="AP96" s="1759" t="s">
        <v>5387</v>
      </c>
      <c r="AQ96" s="1759" t="s">
        <v>5388</v>
      </c>
      <c r="AR96" s="1759" t="s">
        <v>360</v>
      </c>
      <c r="AS96" s="1759" t="s">
        <v>361</v>
      </c>
      <c r="AT96" s="1759" t="s">
        <v>327</v>
      </c>
      <c r="AU96" s="1763"/>
      <c r="AV96" s="1763"/>
    </row>
    <row r="97" spans="1:48" ht="37.5" hidden="1">
      <c r="A97" s="1785" t="str">
        <f t="shared" si="11"/>
        <v>גמל</v>
      </c>
      <c r="B97" s="1786">
        <f t="shared" si="12"/>
        <v>11407</v>
      </c>
      <c r="C97" s="1787">
        <v>28946</v>
      </c>
      <c r="D97" s="1786" t="str">
        <f t="shared" si="13"/>
        <v>אינפיניטי גמל להשקעה מניות</v>
      </c>
      <c r="E97" s="1786" t="s">
        <v>3929</v>
      </c>
      <c r="F97" s="1786" t="s">
        <v>2958</v>
      </c>
      <c r="G97" s="1786" t="s">
        <v>2959</v>
      </c>
      <c r="H97" s="1786" t="str">
        <f t="shared" si="14"/>
        <v>פעיל</v>
      </c>
      <c r="I97" s="1788">
        <f t="shared" si="15"/>
        <v>42683.526469907403</v>
      </c>
      <c r="J97" s="1788" t="str">
        <f t="shared" si="16"/>
        <v/>
      </c>
      <c r="K97" s="1786">
        <v>0</v>
      </c>
      <c r="L97" s="1786" t="s">
        <v>1594</v>
      </c>
      <c r="M97" s="1786" t="s">
        <v>1653</v>
      </c>
      <c r="N97" s="1786" t="s">
        <v>1653</v>
      </c>
      <c r="O97" s="1786">
        <v>0</v>
      </c>
      <c r="P97" s="1786"/>
      <c r="Q97" s="1786">
        <v>0</v>
      </c>
      <c r="R97" s="1788"/>
      <c r="S97" s="1786">
        <f t="shared" si="17"/>
        <v>9637</v>
      </c>
      <c r="T97" s="1786" t="str">
        <f t="shared" si="18"/>
        <v>בנק מזרחי טפחות בע"מ</v>
      </c>
      <c r="U97" s="1786" t="str">
        <f t="shared" si="19"/>
        <v xml:space="preserve">אינפיניטי גמל להשקעה </v>
      </c>
      <c r="V97" s="1786" t="str">
        <f t="shared" si="20"/>
        <v>512475104</v>
      </c>
      <c r="W97" s="1789" t="str">
        <f t="shared" si="21"/>
        <v>אינפיניטי ניהול השתלמות וגמל בע"מ</v>
      </c>
      <c r="AC97" s="1761" t="s">
        <v>346</v>
      </c>
      <c r="AD97" s="1761"/>
      <c r="AE97" s="1762">
        <v>42683.526469907403</v>
      </c>
      <c r="AF97" s="1761" t="s">
        <v>1595</v>
      </c>
      <c r="AG97" s="1761" t="s">
        <v>75</v>
      </c>
      <c r="AH97" s="1761" t="s">
        <v>1594</v>
      </c>
      <c r="AI97" s="1761" t="s">
        <v>4850</v>
      </c>
      <c r="AJ97" s="1761" t="s">
        <v>4849</v>
      </c>
      <c r="AK97" s="1761">
        <v>11407</v>
      </c>
      <c r="AL97" s="1761" t="s">
        <v>5389</v>
      </c>
      <c r="AM97" s="1761">
        <v>9637</v>
      </c>
      <c r="AN97" s="1761" t="s">
        <v>5370</v>
      </c>
      <c r="AO97" s="1764"/>
      <c r="AP97" s="1761" t="s">
        <v>5368</v>
      </c>
      <c r="AQ97" s="1761" t="s">
        <v>5369</v>
      </c>
      <c r="AR97" s="1761" t="s">
        <v>650</v>
      </c>
      <c r="AS97" s="1761" t="s">
        <v>651</v>
      </c>
      <c r="AT97" s="1761" t="s">
        <v>327</v>
      </c>
      <c r="AU97" s="1763"/>
      <c r="AV97" s="1763"/>
    </row>
    <row r="98" spans="1:48" ht="37.5" hidden="1">
      <c r="A98" s="1785" t="str">
        <f t="shared" si="11"/>
        <v>גמל</v>
      </c>
      <c r="B98" s="1786">
        <f t="shared" si="12"/>
        <v>9638</v>
      </c>
      <c r="C98" s="1787">
        <v>28946</v>
      </c>
      <c r="D98" s="1786" t="str">
        <f t="shared" si="13"/>
        <v xml:space="preserve">אינפיניטי גמל להשקעה כללי </v>
      </c>
      <c r="E98" s="1786" t="s">
        <v>3929</v>
      </c>
      <c r="F98" s="1786" t="s">
        <v>2958</v>
      </c>
      <c r="G98" s="1786" t="s">
        <v>2959</v>
      </c>
      <c r="H98" s="1786" t="str">
        <f t="shared" si="14"/>
        <v>פעיל</v>
      </c>
      <c r="I98" s="1788">
        <f t="shared" si="15"/>
        <v>42683.526469907403</v>
      </c>
      <c r="J98" s="1788" t="str">
        <f t="shared" si="16"/>
        <v/>
      </c>
      <c r="K98" s="1786">
        <v>0</v>
      </c>
      <c r="L98" s="1786" t="s">
        <v>1594</v>
      </c>
      <c r="M98" s="1786" t="s">
        <v>1653</v>
      </c>
      <c r="N98" s="1786" t="s">
        <v>1653</v>
      </c>
      <c r="O98" s="1786">
        <v>0</v>
      </c>
      <c r="P98" s="1786"/>
      <c r="Q98" s="1786">
        <v>0</v>
      </c>
      <c r="R98" s="1788"/>
      <c r="S98" s="1786">
        <f t="shared" si="17"/>
        <v>9637</v>
      </c>
      <c r="T98" s="1786" t="str">
        <f t="shared" si="18"/>
        <v>בנק מזרחי טפחות בע"מ</v>
      </c>
      <c r="U98" s="1786" t="str">
        <f t="shared" si="19"/>
        <v xml:space="preserve">אינפיניטי גמל להשקעה </v>
      </c>
      <c r="V98" s="1786" t="str">
        <f t="shared" si="20"/>
        <v>512475104</v>
      </c>
      <c r="W98" s="1789" t="str">
        <f t="shared" si="21"/>
        <v>אינפיניטי ניהול השתלמות וגמל בע"מ</v>
      </c>
      <c r="AC98" s="1759" t="s">
        <v>346</v>
      </c>
      <c r="AD98" s="1759"/>
      <c r="AE98" s="1760">
        <v>42683.526469907403</v>
      </c>
      <c r="AF98" s="1759" t="s">
        <v>1583</v>
      </c>
      <c r="AG98" s="1759" t="s">
        <v>1583</v>
      </c>
      <c r="AH98" s="1759" t="s">
        <v>1583</v>
      </c>
      <c r="AI98" s="1759" t="s">
        <v>4677</v>
      </c>
      <c r="AJ98" s="1759" t="s">
        <v>4677</v>
      </c>
      <c r="AK98" s="1759">
        <v>9638</v>
      </c>
      <c r="AL98" s="1759" t="s">
        <v>5389</v>
      </c>
      <c r="AM98" s="1759">
        <v>9637</v>
      </c>
      <c r="AN98" s="1759" t="s">
        <v>5370</v>
      </c>
      <c r="AO98" s="1764"/>
      <c r="AP98" s="1759" t="s">
        <v>5368</v>
      </c>
      <c r="AQ98" s="1759" t="s">
        <v>5369</v>
      </c>
      <c r="AR98" s="1759" t="s">
        <v>650</v>
      </c>
      <c r="AS98" s="1759" t="s">
        <v>651</v>
      </c>
      <c r="AT98" s="1759" t="s">
        <v>327</v>
      </c>
      <c r="AU98" s="1763"/>
      <c r="AV98" s="1763"/>
    </row>
    <row r="99" spans="1:48" ht="37.5" hidden="1">
      <c r="A99" s="1785" t="str">
        <f t="shared" si="11"/>
        <v>גמל</v>
      </c>
      <c r="B99" s="1786">
        <f t="shared" si="12"/>
        <v>13228</v>
      </c>
      <c r="C99" s="1787">
        <v>28946</v>
      </c>
      <c r="D99" s="1786" t="str">
        <f t="shared" si="13"/>
        <v xml:space="preserve">אינפיניטי גמל להשקעה מסלול פאסיבי כללי </v>
      </c>
      <c r="E99" s="1786" t="s">
        <v>3929</v>
      </c>
      <c r="F99" s="1786" t="s">
        <v>2958</v>
      </c>
      <c r="G99" s="1786" t="s">
        <v>2959</v>
      </c>
      <c r="H99" s="1786" t="str">
        <f t="shared" si="14"/>
        <v>פעיל</v>
      </c>
      <c r="I99" s="1788">
        <f t="shared" si="15"/>
        <v>42683.526469907403</v>
      </c>
      <c r="J99" s="1788" t="str">
        <f t="shared" si="16"/>
        <v/>
      </c>
      <c r="K99" s="1786">
        <v>0</v>
      </c>
      <c r="L99" s="1786" t="s">
        <v>1594</v>
      </c>
      <c r="M99" s="1786" t="s">
        <v>1653</v>
      </c>
      <c r="N99" s="1786" t="s">
        <v>1653</v>
      </c>
      <c r="O99" s="1786">
        <v>0</v>
      </c>
      <c r="P99" s="1786"/>
      <c r="Q99" s="1786">
        <v>0</v>
      </c>
      <c r="R99" s="1788"/>
      <c r="S99" s="1786">
        <f t="shared" si="17"/>
        <v>9637</v>
      </c>
      <c r="T99" s="1786" t="str">
        <f t="shared" si="18"/>
        <v>בנק מזרחי טפחות בע"מ</v>
      </c>
      <c r="U99" s="1786" t="str">
        <f t="shared" si="19"/>
        <v xml:space="preserve">אינפיניטי גמל להשקעה </v>
      </c>
      <c r="V99" s="1786" t="str">
        <f t="shared" si="20"/>
        <v>512475104</v>
      </c>
      <c r="W99" s="1789" t="str">
        <f t="shared" si="21"/>
        <v>אינפיניטי ניהול השתלמות וגמל בע"מ</v>
      </c>
      <c r="AC99" s="1761" t="s">
        <v>346</v>
      </c>
      <c r="AD99" s="1761"/>
      <c r="AE99" s="1762">
        <v>42683.526469907403</v>
      </c>
      <c r="AF99" s="1761" t="s">
        <v>3959</v>
      </c>
      <c r="AG99" s="1761" t="s">
        <v>1583</v>
      </c>
      <c r="AH99" s="1761" t="s">
        <v>1583</v>
      </c>
      <c r="AI99" s="1761" t="s">
        <v>5390</v>
      </c>
      <c r="AJ99" s="1761" t="s">
        <v>5391</v>
      </c>
      <c r="AK99" s="1761">
        <v>13228</v>
      </c>
      <c r="AL99" s="1761" t="s">
        <v>5389</v>
      </c>
      <c r="AM99" s="1761">
        <v>9637</v>
      </c>
      <c r="AN99" s="1761" t="s">
        <v>5370</v>
      </c>
      <c r="AO99" s="1764"/>
      <c r="AP99" s="1761" t="s">
        <v>5368</v>
      </c>
      <c r="AQ99" s="1761" t="s">
        <v>5369</v>
      </c>
      <c r="AR99" s="1761" t="s">
        <v>650</v>
      </c>
      <c r="AS99" s="1761" t="s">
        <v>651</v>
      </c>
      <c r="AT99" s="1761" t="s">
        <v>327</v>
      </c>
      <c r="AU99" s="1763"/>
      <c r="AV99" s="1763"/>
    </row>
    <row r="100" spans="1:48" ht="37.5" hidden="1">
      <c r="A100" s="1785" t="str">
        <f t="shared" si="11"/>
        <v>גמל</v>
      </c>
      <c r="B100" s="1786">
        <f t="shared" si="12"/>
        <v>12540</v>
      </c>
      <c r="C100" s="1787">
        <v>28946</v>
      </c>
      <c r="D100" s="1786" t="str">
        <f t="shared" si="13"/>
        <v>אינפיניטי גמל להשקעה הלכה</v>
      </c>
      <c r="E100" s="1786" t="s">
        <v>3929</v>
      </c>
      <c r="F100" s="1786" t="s">
        <v>2958</v>
      </c>
      <c r="G100" s="1786" t="s">
        <v>2959</v>
      </c>
      <c r="H100" s="1786" t="str">
        <f t="shared" si="14"/>
        <v>פעיל</v>
      </c>
      <c r="I100" s="1788">
        <f t="shared" si="15"/>
        <v>42683.526469907403</v>
      </c>
      <c r="J100" s="1788" t="str">
        <f t="shared" si="16"/>
        <v/>
      </c>
      <c r="K100" s="1786">
        <v>0</v>
      </c>
      <c r="L100" s="1786" t="s">
        <v>1594</v>
      </c>
      <c r="M100" s="1786" t="s">
        <v>1653</v>
      </c>
      <c r="N100" s="1786" t="s">
        <v>1653</v>
      </c>
      <c r="O100" s="1786">
        <v>0</v>
      </c>
      <c r="P100" s="1786"/>
      <c r="Q100" s="1786">
        <v>0</v>
      </c>
      <c r="R100" s="1788"/>
      <c r="S100" s="1786">
        <f t="shared" si="17"/>
        <v>9637</v>
      </c>
      <c r="T100" s="1786" t="str">
        <f t="shared" si="18"/>
        <v>בנק מזרחי טפחות בע"מ</v>
      </c>
      <c r="U100" s="1786" t="str">
        <f t="shared" si="19"/>
        <v xml:space="preserve">אינפיניטי גמל להשקעה </v>
      </c>
      <c r="V100" s="1786" t="str">
        <f t="shared" si="20"/>
        <v>512475104</v>
      </c>
      <c r="W100" s="1789" t="str">
        <f t="shared" si="21"/>
        <v>אינפיניטי ניהול השתלמות וגמל בע"מ</v>
      </c>
      <c r="AC100" s="1759" t="s">
        <v>346</v>
      </c>
      <c r="AD100" s="1759"/>
      <c r="AE100" s="1760">
        <v>42683.526469907403</v>
      </c>
      <c r="AF100" s="1759" t="s">
        <v>4603</v>
      </c>
      <c r="AG100" s="1759" t="s">
        <v>2029</v>
      </c>
      <c r="AH100" s="1759" t="s">
        <v>2028</v>
      </c>
      <c r="AI100" s="1759" t="s">
        <v>5392</v>
      </c>
      <c r="AJ100" s="1759" t="s">
        <v>5392</v>
      </c>
      <c r="AK100" s="1759">
        <v>12540</v>
      </c>
      <c r="AL100" s="1759" t="s">
        <v>5389</v>
      </c>
      <c r="AM100" s="1759">
        <v>9637</v>
      </c>
      <c r="AN100" s="1759" t="s">
        <v>5370</v>
      </c>
      <c r="AO100" s="1764"/>
      <c r="AP100" s="1759" t="s">
        <v>5368</v>
      </c>
      <c r="AQ100" s="1759" t="s">
        <v>5369</v>
      </c>
      <c r="AR100" s="1759" t="s">
        <v>650</v>
      </c>
      <c r="AS100" s="1759" t="s">
        <v>651</v>
      </c>
      <c r="AT100" s="1759" t="s">
        <v>327</v>
      </c>
      <c r="AU100" s="1763"/>
      <c r="AV100" s="1763"/>
    </row>
    <row r="101" spans="1:48" ht="37.5" hidden="1">
      <c r="A101" s="1785" t="str">
        <f t="shared" si="11"/>
        <v>גמל</v>
      </c>
      <c r="B101" s="1786">
        <f t="shared" si="12"/>
        <v>9639</v>
      </c>
      <c r="C101" s="1787">
        <v>28946</v>
      </c>
      <c r="D101" s="1786" t="str">
        <f t="shared" si="13"/>
        <v>אינפיניטי גמל להשקעה אג"ח עד 15% מניות</v>
      </c>
      <c r="E101" s="1786" t="s">
        <v>3929</v>
      </c>
      <c r="F101" s="1786" t="s">
        <v>2958</v>
      </c>
      <c r="G101" s="1786" t="s">
        <v>2959</v>
      </c>
      <c r="H101" s="1786" t="str">
        <f t="shared" si="14"/>
        <v>פעיל</v>
      </c>
      <c r="I101" s="1788">
        <f t="shared" si="15"/>
        <v>42683.526469907403</v>
      </c>
      <c r="J101" s="1788" t="str">
        <f t="shared" si="16"/>
        <v/>
      </c>
      <c r="K101" s="1786">
        <v>0</v>
      </c>
      <c r="L101" s="1786" t="s">
        <v>1594</v>
      </c>
      <c r="M101" s="1786" t="s">
        <v>1653</v>
      </c>
      <c r="N101" s="1786" t="s">
        <v>1653</v>
      </c>
      <c r="O101" s="1786">
        <v>0</v>
      </c>
      <c r="P101" s="1786"/>
      <c r="Q101" s="1786">
        <v>0</v>
      </c>
      <c r="R101" s="1788"/>
      <c r="S101" s="1786">
        <f t="shared" si="17"/>
        <v>9637</v>
      </c>
      <c r="T101" s="1786" t="str">
        <f t="shared" si="18"/>
        <v>בנק מזרחי טפחות בע"מ</v>
      </c>
      <c r="U101" s="1786" t="str">
        <f t="shared" si="19"/>
        <v xml:space="preserve">אינפיניטי גמל להשקעה </v>
      </c>
      <c r="V101" s="1786" t="str">
        <f t="shared" si="20"/>
        <v>512475104</v>
      </c>
      <c r="W101" s="1789" t="str">
        <f t="shared" si="21"/>
        <v>אינפיניטי ניהול השתלמות וגמל בע"מ</v>
      </c>
      <c r="AC101" s="1761" t="s">
        <v>346</v>
      </c>
      <c r="AD101" s="1761"/>
      <c r="AE101" s="1762">
        <v>42683.526469907403</v>
      </c>
      <c r="AF101" s="1761" t="s">
        <v>3934</v>
      </c>
      <c r="AG101" s="1761" t="s">
        <v>1653</v>
      </c>
      <c r="AH101" s="1761" t="s">
        <v>1594</v>
      </c>
      <c r="AI101" s="1761" t="s">
        <v>4765</v>
      </c>
      <c r="AJ101" s="1761" t="s">
        <v>4765</v>
      </c>
      <c r="AK101" s="1761">
        <v>9639</v>
      </c>
      <c r="AL101" s="1761" t="s">
        <v>5389</v>
      </c>
      <c r="AM101" s="1761">
        <v>9637</v>
      </c>
      <c r="AN101" s="1761" t="s">
        <v>5370</v>
      </c>
      <c r="AO101" s="1764"/>
      <c r="AP101" s="1761" t="s">
        <v>5368</v>
      </c>
      <c r="AQ101" s="1761" t="s">
        <v>5369</v>
      </c>
      <c r="AR101" s="1761" t="s">
        <v>650</v>
      </c>
      <c r="AS101" s="1761" t="s">
        <v>651</v>
      </c>
      <c r="AT101" s="1761" t="s">
        <v>327</v>
      </c>
      <c r="AU101" s="1763"/>
      <c r="AV101" s="1763"/>
    </row>
    <row r="102" spans="1:48" ht="37.5" hidden="1">
      <c r="A102" s="1785" t="str">
        <f t="shared" si="11"/>
        <v>גמל</v>
      </c>
      <c r="B102" s="1786">
        <f t="shared" si="12"/>
        <v>9539</v>
      </c>
      <c r="C102" s="1787">
        <v>28946</v>
      </c>
      <c r="D102" s="1786" t="str">
        <f t="shared" si="13"/>
        <v xml:space="preserve">אינפיניטי קופת גמל לפנסיה תקציבית 
</v>
      </c>
      <c r="E102" s="1786" t="s">
        <v>3929</v>
      </c>
      <c r="F102" s="1786" t="s">
        <v>2958</v>
      </c>
      <c r="G102" s="1786" t="s">
        <v>2959</v>
      </c>
      <c r="H102" s="1786" t="str">
        <f t="shared" si="14"/>
        <v>לא פעיל</v>
      </c>
      <c r="I102" s="1788">
        <f t="shared" si="15"/>
        <v>42268.431886574101</v>
      </c>
      <c r="J102" s="1788">
        <f t="shared" si="16"/>
        <v>42781.328807870399</v>
      </c>
      <c r="K102" s="1786">
        <v>0</v>
      </c>
      <c r="L102" s="1786" t="s">
        <v>1594</v>
      </c>
      <c r="M102" s="1786" t="s">
        <v>1653</v>
      </c>
      <c r="N102" s="1786" t="s">
        <v>1653</v>
      </c>
      <c r="O102" s="1786">
        <v>0</v>
      </c>
      <c r="P102" s="1786"/>
      <c r="Q102" s="1786">
        <v>0</v>
      </c>
      <c r="R102" s="1788"/>
      <c r="S102" s="1786">
        <f t="shared" si="17"/>
        <v>9538</v>
      </c>
      <c r="T102" s="1786" t="str">
        <f t="shared" si="18"/>
        <v>לאומי</v>
      </c>
      <c r="U102" s="1786" t="str">
        <f t="shared" si="19"/>
        <v>אינפיניטי קופת גמל לפנסיה תקציבית</v>
      </c>
      <c r="V102" s="1786" t="str">
        <f t="shared" si="20"/>
        <v>512475104</v>
      </c>
      <c r="W102" s="1789" t="str">
        <f t="shared" si="21"/>
        <v>אינפיניטי ניהול השתלמות וגמל בע"מ</v>
      </c>
      <c r="AC102" s="1759" t="s">
        <v>1586</v>
      </c>
      <c r="AD102" s="1760">
        <v>42781.328807870399</v>
      </c>
      <c r="AE102" s="1760">
        <v>42268.431886574101</v>
      </c>
      <c r="AF102" s="1759" t="s">
        <v>1583</v>
      </c>
      <c r="AG102" s="1759" t="s">
        <v>1583</v>
      </c>
      <c r="AH102" s="1759" t="s">
        <v>1583</v>
      </c>
      <c r="AI102" s="1759" t="s">
        <v>4285</v>
      </c>
      <c r="AJ102" s="1759" t="s">
        <v>4284</v>
      </c>
      <c r="AK102" s="1759">
        <v>9539</v>
      </c>
      <c r="AL102" s="1759" t="s">
        <v>4286</v>
      </c>
      <c r="AM102" s="1759">
        <v>9538</v>
      </c>
      <c r="AN102" s="1759" t="s">
        <v>5305</v>
      </c>
      <c r="AO102" s="1764"/>
      <c r="AP102" s="1759" t="s">
        <v>5368</v>
      </c>
      <c r="AQ102" s="1759" t="s">
        <v>5369</v>
      </c>
      <c r="AR102" s="1759" t="s">
        <v>650</v>
      </c>
      <c r="AS102" s="1759" t="s">
        <v>651</v>
      </c>
      <c r="AT102" s="1759" t="s">
        <v>327</v>
      </c>
      <c r="AU102" s="1763"/>
      <c r="AV102" s="1763"/>
    </row>
    <row r="103" spans="1:48" ht="37.5" hidden="1">
      <c r="A103" s="1785" t="str">
        <f t="shared" si="11"/>
        <v>גמל</v>
      </c>
      <c r="B103" s="1786">
        <f t="shared" si="12"/>
        <v>9491</v>
      </c>
      <c r="C103" s="1787">
        <v>28946</v>
      </c>
      <c r="D103" s="1786" t="str">
        <f t="shared" si="13"/>
        <v xml:space="preserve">מיטב דש מרכזית להשתתפות בפנסיה תקציבית כללי </v>
      </c>
      <c r="E103" s="1786" t="s">
        <v>3929</v>
      </c>
      <c r="F103" s="1786" t="s">
        <v>2958</v>
      </c>
      <c r="G103" s="1786" t="s">
        <v>2959</v>
      </c>
      <c r="H103" s="1786" t="str">
        <f t="shared" si="14"/>
        <v>פעיל</v>
      </c>
      <c r="I103" s="1788">
        <f t="shared" si="15"/>
        <v>42250.486597222203</v>
      </c>
      <c r="J103" s="1788" t="str">
        <f t="shared" si="16"/>
        <v/>
      </c>
      <c r="K103" s="1786">
        <v>0</v>
      </c>
      <c r="L103" s="1786" t="s">
        <v>1594</v>
      </c>
      <c r="M103" s="1786" t="s">
        <v>1653</v>
      </c>
      <c r="N103" s="1786" t="s">
        <v>1653</v>
      </c>
      <c r="O103" s="1786">
        <v>0</v>
      </c>
      <c r="P103" s="1786"/>
      <c r="Q103" s="1786">
        <v>0</v>
      </c>
      <c r="R103" s="1788"/>
      <c r="S103" s="1786">
        <f t="shared" si="17"/>
        <v>9490</v>
      </c>
      <c r="T103" s="1786" t="str">
        <f t="shared" si="18"/>
        <v>ד.ס.ש ייעוץ ושירותים בע"מ</v>
      </c>
      <c r="U103" s="1786" t="str">
        <f t="shared" si="19"/>
        <v>מיטב דש מרכזית להשתתפות בפנסיה תקציבית</v>
      </c>
      <c r="V103" s="1786" t="str">
        <f t="shared" si="20"/>
        <v>520043795</v>
      </c>
      <c r="W103" s="1789" t="str">
        <f t="shared" si="21"/>
        <v>מיטב דש גמל ופנסיה בע"מ</v>
      </c>
      <c r="AC103" s="1761" t="s">
        <v>346</v>
      </c>
      <c r="AD103" s="1761"/>
      <c r="AE103" s="1762">
        <v>42250.486597222203</v>
      </c>
      <c r="AF103" s="1761" t="s">
        <v>1583</v>
      </c>
      <c r="AG103" s="1761" t="s">
        <v>1583</v>
      </c>
      <c r="AH103" s="1761" t="s">
        <v>1583</v>
      </c>
      <c r="AI103" s="1761" t="s">
        <v>4277</v>
      </c>
      <c r="AJ103" s="1761" t="s">
        <v>4276</v>
      </c>
      <c r="AK103" s="1761">
        <v>9491</v>
      </c>
      <c r="AL103" s="1761" t="s">
        <v>4278</v>
      </c>
      <c r="AM103" s="1761">
        <v>9490</v>
      </c>
      <c r="AN103" s="1761" t="s">
        <v>5393</v>
      </c>
      <c r="AO103" s="1764"/>
      <c r="AP103" s="1761" t="s">
        <v>5373</v>
      </c>
      <c r="AQ103" s="1761" t="s">
        <v>5374</v>
      </c>
      <c r="AR103" s="1761" t="s">
        <v>2899</v>
      </c>
      <c r="AS103" s="1761" t="s">
        <v>349</v>
      </c>
      <c r="AT103" s="1761" t="s">
        <v>327</v>
      </c>
      <c r="AU103" s="1763"/>
      <c r="AV103" s="1763"/>
    </row>
    <row r="104" spans="1:48" ht="37.5" hidden="1">
      <c r="A104" s="1785" t="str">
        <f t="shared" si="11"/>
        <v>גמל</v>
      </c>
      <c r="B104" s="1786">
        <f t="shared" si="12"/>
        <v>9491</v>
      </c>
      <c r="C104" s="1787">
        <v>28946</v>
      </c>
      <c r="D104" s="1786" t="str">
        <f t="shared" si="13"/>
        <v xml:space="preserve">מיטב דש מרכזית להשתתפות בפנסיה תקציבית כללי </v>
      </c>
      <c r="E104" s="1786" t="s">
        <v>3929</v>
      </c>
      <c r="F104" s="1786" t="s">
        <v>2958</v>
      </c>
      <c r="G104" s="1786" t="s">
        <v>2959</v>
      </c>
      <c r="H104" s="1786" t="str">
        <f t="shared" si="14"/>
        <v>פעיל</v>
      </c>
      <c r="I104" s="1788">
        <f t="shared" si="15"/>
        <v>42250.486597222203</v>
      </c>
      <c r="J104" s="1788" t="str">
        <f t="shared" si="16"/>
        <v/>
      </c>
      <c r="K104" s="1786">
        <v>0</v>
      </c>
      <c r="L104" s="1786" t="s">
        <v>1594</v>
      </c>
      <c r="M104" s="1786" t="s">
        <v>1653</v>
      </c>
      <c r="N104" s="1786" t="s">
        <v>1653</v>
      </c>
      <c r="O104" s="1786">
        <v>0</v>
      </c>
      <c r="P104" s="1786"/>
      <c r="Q104" s="1786">
        <v>0</v>
      </c>
      <c r="R104" s="1788"/>
      <c r="S104" s="1786">
        <f t="shared" si="17"/>
        <v>9490</v>
      </c>
      <c r="T104" s="1786" t="str">
        <f t="shared" si="18"/>
        <v>ד.ס.ש ייעוץ ושירותים בע"מ</v>
      </c>
      <c r="U104" s="1786" t="str">
        <f t="shared" si="19"/>
        <v>מיטב דש מרכזית להשתתפות בפנסיה תקציבית</v>
      </c>
      <c r="V104" s="1786" t="str">
        <f t="shared" si="20"/>
        <v>520043795</v>
      </c>
      <c r="W104" s="1789" t="str">
        <f t="shared" si="21"/>
        <v>מיטב דש גמל ופנסיה בע"מ</v>
      </c>
      <c r="AC104" s="1759" t="s">
        <v>346</v>
      </c>
      <c r="AD104" s="1759"/>
      <c r="AE104" s="1760">
        <v>42250.486597222203</v>
      </c>
      <c r="AF104" s="1759" t="s">
        <v>1583</v>
      </c>
      <c r="AG104" s="1759" t="s">
        <v>1583</v>
      </c>
      <c r="AH104" s="1759" t="s">
        <v>1583</v>
      </c>
      <c r="AI104" s="1759" t="s">
        <v>4277</v>
      </c>
      <c r="AJ104" s="1759" t="s">
        <v>4276</v>
      </c>
      <c r="AK104" s="1759">
        <v>9491</v>
      </c>
      <c r="AL104" s="1759" t="s">
        <v>4278</v>
      </c>
      <c r="AM104" s="1759">
        <v>9490</v>
      </c>
      <c r="AN104" s="1759" t="s">
        <v>5393</v>
      </c>
      <c r="AO104" s="1764"/>
      <c r="AP104" s="1759" t="s">
        <v>5373</v>
      </c>
      <c r="AQ104" s="1759" t="s">
        <v>5374</v>
      </c>
      <c r="AR104" s="1759" t="s">
        <v>2899</v>
      </c>
      <c r="AS104" s="1759" t="s">
        <v>349</v>
      </c>
      <c r="AT104" s="1759" t="s">
        <v>327</v>
      </c>
      <c r="AU104" s="1763"/>
      <c r="AV104" s="1763"/>
    </row>
    <row r="105" spans="1:48" ht="37.5" hidden="1">
      <c r="A105" s="1785" t="str">
        <f t="shared" si="11"/>
        <v>גמל</v>
      </c>
      <c r="B105" s="1786">
        <f t="shared" si="12"/>
        <v>9484</v>
      </c>
      <c r="C105" s="1787">
        <v>28946</v>
      </c>
      <c r="D105" s="1786" t="str">
        <f t="shared" si="13"/>
        <v xml:space="preserve">הלמן-אלדובי קופת גמל מרכזית להשתתפות בפנסיה תקציבית </v>
      </c>
      <c r="E105" s="1786" t="s">
        <v>3929</v>
      </c>
      <c r="F105" s="1786" t="s">
        <v>2958</v>
      </c>
      <c r="G105" s="1786" t="s">
        <v>2959</v>
      </c>
      <c r="H105" s="1786" t="str">
        <f t="shared" si="14"/>
        <v>פעיל</v>
      </c>
      <c r="I105" s="1788">
        <f t="shared" si="15"/>
        <v>42246.7</v>
      </c>
      <c r="J105" s="1788" t="str">
        <f t="shared" si="16"/>
        <v/>
      </c>
      <c r="K105" s="1786">
        <v>0</v>
      </c>
      <c r="L105" s="1786" t="s">
        <v>1594</v>
      </c>
      <c r="M105" s="1786" t="s">
        <v>1653</v>
      </c>
      <c r="N105" s="1786" t="s">
        <v>1653</v>
      </c>
      <c r="O105" s="1786">
        <v>0</v>
      </c>
      <c r="P105" s="1786"/>
      <c r="Q105" s="1786">
        <v>0</v>
      </c>
      <c r="R105" s="1788"/>
      <c r="S105" s="1786">
        <f t="shared" si="17"/>
        <v>9483</v>
      </c>
      <c r="T105" s="1786" t="str">
        <f t="shared" si="18"/>
        <v>חברת תפעול גמל בע"מ</v>
      </c>
      <c r="U105" s="1786" t="str">
        <f t="shared" si="19"/>
        <v>הלמן-אלדובי קופת גמל מרכזית להשתתפות בפנסיה תקציבית</v>
      </c>
      <c r="V105" s="1786" t="str">
        <f t="shared" si="20"/>
        <v>513163105</v>
      </c>
      <c r="W105" s="1789" t="str">
        <f t="shared" si="21"/>
        <v>הלמן - אלדובי קופות גמל ופנסיה בע"מ</v>
      </c>
      <c r="AC105" s="1761" t="s">
        <v>346</v>
      </c>
      <c r="AD105" s="1761"/>
      <c r="AE105" s="1762">
        <v>42246.7</v>
      </c>
      <c r="AF105" s="1761" t="s">
        <v>1583</v>
      </c>
      <c r="AG105" s="1761" t="s">
        <v>1583</v>
      </c>
      <c r="AH105" s="1761" t="s">
        <v>1583</v>
      </c>
      <c r="AI105" s="1761" t="s">
        <v>4274</v>
      </c>
      <c r="AJ105" s="1761" t="s">
        <v>4273</v>
      </c>
      <c r="AK105" s="1761">
        <v>9484</v>
      </c>
      <c r="AL105" s="1761" t="s">
        <v>4275</v>
      </c>
      <c r="AM105" s="1761">
        <v>9483</v>
      </c>
      <c r="AN105" s="1761" t="s">
        <v>5394</v>
      </c>
      <c r="AO105" s="1764"/>
      <c r="AP105" s="1761" t="s">
        <v>5371</v>
      </c>
      <c r="AQ105" s="1761" t="s">
        <v>5372</v>
      </c>
      <c r="AR105" s="1761" t="s">
        <v>354</v>
      </c>
      <c r="AS105" s="1761" t="s">
        <v>355</v>
      </c>
      <c r="AT105" s="1761" t="s">
        <v>327</v>
      </c>
      <c r="AU105" s="1763"/>
      <c r="AV105" s="1763"/>
    </row>
    <row r="106" spans="1:48" ht="37.5" hidden="1">
      <c r="A106" s="1785" t="str">
        <f t="shared" si="11"/>
        <v>גמל</v>
      </c>
      <c r="B106" s="1786">
        <f t="shared" si="12"/>
        <v>9482</v>
      </c>
      <c r="C106" s="1787">
        <v>28946</v>
      </c>
      <c r="D106" s="1786" t="str">
        <f t="shared" si="13"/>
        <v>אי.בי.אי. - קופת גמל מרכזית להשתתפות בפנסיה תקציבית כללי כללי</v>
      </c>
      <c r="E106" s="1786" t="s">
        <v>3929</v>
      </c>
      <c r="F106" s="1786" t="s">
        <v>2958</v>
      </c>
      <c r="G106" s="1786" t="s">
        <v>2959</v>
      </c>
      <c r="H106" s="1786" t="str">
        <f t="shared" si="14"/>
        <v>לא פעיל</v>
      </c>
      <c r="I106" s="1788">
        <f t="shared" si="15"/>
        <v>42246.643877314797</v>
      </c>
      <c r="J106" s="1788">
        <f t="shared" si="16"/>
        <v>43290.461041666698</v>
      </c>
      <c r="K106" s="1786">
        <v>0</v>
      </c>
      <c r="L106" s="1786" t="s">
        <v>1594</v>
      </c>
      <c r="M106" s="1786" t="s">
        <v>1653</v>
      </c>
      <c r="N106" s="1786" t="s">
        <v>1653</v>
      </c>
      <c r="O106" s="1786">
        <v>0</v>
      </c>
      <c r="P106" s="1786"/>
      <c r="Q106" s="1786">
        <v>0</v>
      </c>
      <c r="R106" s="1788"/>
      <c r="S106" s="1786">
        <f t="shared" si="17"/>
        <v>9481</v>
      </c>
      <c r="T106" s="1786" t="str">
        <f t="shared" si="18"/>
        <v>בנק הפועלים בע"מ</v>
      </c>
      <c r="U106" s="1786" t="str">
        <f t="shared" si="19"/>
        <v>אי.בי.אי. - קופת גמל מרכזית להשתתפות בפנסיה תקציבית</v>
      </c>
      <c r="V106" s="1786">
        <f t="shared" si="20"/>
        <v>0</v>
      </c>
      <c r="W106" s="1789" t="str">
        <f t="shared" si="21"/>
        <v xml:space="preserve">אי.בי.אי. חברת ניהול קופות גמל וקרנות השתלמות בע"מ </v>
      </c>
      <c r="AC106" s="1759" t="s">
        <v>1586</v>
      </c>
      <c r="AD106" s="1760">
        <v>43290.461041666698</v>
      </c>
      <c r="AE106" s="1760">
        <v>42246.643877314797</v>
      </c>
      <c r="AF106" s="1759" t="s">
        <v>1583</v>
      </c>
      <c r="AG106" s="1759" t="s">
        <v>1583</v>
      </c>
      <c r="AH106" s="1759" t="s">
        <v>1583</v>
      </c>
      <c r="AI106" s="1759" t="s">
        <v>4271</v>
      </c>
      <c r="AJ106" s="1759" t="s">
        <v>4271</v>
      </c>
      <c r="AK106" s="1759">
        <v>9482</v>
      </c>
      <c r="AL106" s="1759" t="s">
        <v>4272</v>
      </c>
      <c r="AM106" s="1759">
        <v>9481</v>
      </c>
      <c r="AN106" s="1759" t="s">
        <v>1695</v>
      </c>
      <c r="AO106" s="1764"/>
      <c r="AP106" s="1759"/>
      <c r="AQ106" s="1759"/>
      <c r="AR106" s="1759" t="s">
        <v>5395</v>
      </c>
      <c r="AS106" s="1759" t="s">
        <v>677</v>
      </c>
      <c r="AT106" s="1759" t="s">
        <v>327</v>
      </c>
      <c r="AU106" s="1763"/>
      <c r="AV106" s="1763"/>
    </row>
    <row r="107" spans="1:48" ht="37.5" hidden="1">
      <c r="A107" s="1785" t="str">
        <f t="shared" si="11"/>
        <v>גמל</v>
      </c>
      <c r="B107" s="1786">
        <f t="shared" si="12"/>
        <v>9555</v>
      </c>
      <c r="C107" s="1787">
        <v>28946</v>
      </c>
      <c r="D107" s="1786" t="str">
        <f t="shared" si="13"/>
        <v>הראל חיסכון לילד - הלכה</v>
      </c>
      <c r="E107" s="1786" t="s">
        <v>3929</v>
      </c>
      <c r="F107" s="1786" t="s">
        <v>2958</v>
      </c>
      <c r="G107" s="1786" t="s">
        <v>2959</v>
      </c>
      <c r="H107" s="1786" t="str">
        <f t="shared" si="14"/>
        <v>פעיל</v>
      </c>
      <c r="I107" s="1788">
        <f t="shared" si="15"/>
        <v>42683.436574074098</v>
      </c>
      <c r="J107" s="1788" t="str">
        <f t="shared" si="16"/>
        <v/>
      </c>
      <c r="K107" s="1786">
        <v>0</v>
      </c>
      <c r="L107" s="1786" t="s">
        <v>1594</v>
      </c>
      <c r="M107" s="1786" t="s">
        <v>1653</v>
      </c>
      <c r="N107" s="1786" t="s">
        <v>1653</v>
      </c>
      <c r="O107" s="1786">
        <v>0</v>
      </c>
      <c r="P107" s="1786"/>
      <c r="Q107" s="1786">
        <v>0</v>
      </c>
      <c r="R107" s="1788"/>
      <c r="S107" s="1786">
        <f t="shared" si="17"/>
        <v>9438</v>
      </c>
      <c r="T107" s="1786" t="str">
        <f t="shared" si="18"/>
        <v>הראל פנסיה</v>
      </c>
      <c r="U107" s="1786" t="str">
        <f t="shared" si="19"/>
        <v>הראל חיסכון לכל ילד</v>
      </c>
      <c r="V107" s="1786" t="str">
        <f t="shared" si="20"/>
        <v>520033986</v>
      </c>
      <c r="W107" s="1789" t="str">
        <f t="shared" si="21"/>
        <v>הראל פנסיה וגמל בע"מ</v>
      </c>
      <c r="AC107" s="1761" t="s">
        <v>346</v>
      </c>
      <c r="AD107" s="1761"/>
      <c r="AE107" s="1762">
        <v>42683.436574074098</v>
      </c>
      <c r="AF107" s="1761" t="s">
        <v>4603</v>
      </c>
      <c r="AG107" s="1761" t="s">
        <v>2029</v>
      </c>
      <c r="AH107" s="1761" t="s">
        <v>2028</v>
      </c>
      <c r="AI107" s="1761" t="s">
        <v>4764</v>
      </c>
      <c r="AJ107" s="1761" t="s">
        <v>4763</v>
      </c>
      <c r="AK107" s="1761">
        <v>9555</v>
      </c>
      <c r="AL107" s="1761" t="s">
        <v>4760</v>
      </c>
      <c r="AM107" s="1761">
        <v>9438</v>
      </c>
      <c r="AN107" s="1761" t="s">
        <v>4168</v>
      </c>
      <c r="AO107" s="1764"/>
      <c r="AP107" s="1761" t="s">
        <v>5396</v>
      </c>
      <c r="AQ107" s="1761" t="s">
        <v>5397</v>
      </c>
      <c r="AR107" s="1761" t="s">
        <v>4588</v>
      </c>
      <c r="AS107" s="1761" t="s">
        <v>405</v>
      </c>
      <c r="AT107" s="1761" t="s">
        <v>327</v>
      </c>
      <c r="AU107" s="1763"/>
      <c r="AV107" s="1763"/>
    </row>
    <row r="108" spans="1:48" ht="37.5" hidden="1">
      <c r="A108" s="1785" t="str">
        <f t="shared" si="11"/>
        <v>גמל</v>
      </c>
      <c r="B108" s="1786">
        <f t="shared" si="12"/>
        <v>11375</v>
      </c>
      <c r="C108" s="1787">
        <v>28946</v>
      </c>
      <c r="D108" s="1786" t="str">
        <f t="shared" si="13"/>
        <v>הראל חיסכון לילד - חוסכים המעדיפים סיכון מועט</v>
      </c>
      <c r="E108" s="1786" t="s">
        <v>3929</v>
      </c>
      <c r="F108" s="1786" t="s">
        <v>2958</v>
      </c>
      <c r="G108" s="1786" t="s">
        <v>2959</v>
      </c>
      <c r="H108" s="1786" t="str">
        <f t="shared" si="14"/>
        <v>פעיל</v>
      </c>
      <c r="I108" s="1788">
        <f t="shared" si="15"/>
        <v>42683.436574074098</v>
      </c>
      <c r="J108" s="1788" t="str">
        <f t="shared" si="16"/>
        <v/>
      </c>
      <c r="K108" s="1786">
        <v>0</v>
      </c>
      <c r="L108" s="1786" t="s">
        <v>1594</v>
      </c>
      <c r="M108" s="1786" t="s">
        <v>1653</v>
      </c>
      <c r="N108" s="1786" t="s">
        <v>1653</v>
      </c>
      <c r="O108" s="1786">
        <v>0</v>
      </c>
      <c r="P108" s="1786"/>
      <c r="Q108" s="1786">
        <v>0</v>
      </c>
      <c r="R108" s="1788"/>
      <c r="S108" s="1786">
        <f t="shared" si="17"/>
        <v>9438</v>
      </c>
      <c r="T108" s="1786" t="str">
        <f t="shared" si="18"/>
        <v>הראל פנסיה</v>
      </c>
      <c r="U108" s="1786" t="str">
        <f t="shared" si="19"/>
        <v>הראל חיסכון לכל ילד</v>
      </c>
      <c r="V108" s="1786" t="str">
        <f t="shared" si="20"/>
        <v>520033986</v>
      </c>
      <c r="W108" s="1789" t="str">
        <f t="shared" si="21"/>
        <v>הראל פנסיה וגמל בע"מ</v>
      </c>
      <c r="AC108" s="1759" t="s">
        <v>346</v>
      </c>
      <c r="AD108" s="1759"/>
      <c r="AE108" s="1760">
        <v>42683.436574074098</v>
      </c>
      <c r="AF108" s="1759" t="s">
        <v>4759</v>
      </c>
      <c r="AG108" s="1759" t="s">
        <v>70</v>
      </c>
      <c r="AH108" s="1759" t="s">
        <v>1594</v>
      </c>
      <c r="AI108" s="1759" t="s">
        <v>4829</v>
      </c>
      <c r="AJ108" s="1759" t="s">
        <v>4829</v>
      </c>
      <c r="AK108" s="1759">
        <v>11375</v>
      </c>
      <c r="AL108" s="1759" t="s">
        <v>4760</v>
      </c>
      <c r="AM108" s="1759">
        <v>9438</v>
      </c>
      <c r="AN108" s="1759" t="s">
        <v>4168</v>
      </c>
      <c r="AO108" s="1764"/>
      <c r="AP108" s="1759" t="s">
        <v>5396</v>
      </c>
      <c r="AQ108" s="1759" t="s">
        <v>5397</v>
      </c>
      <c r="AR108" s="1759" t="s">
        <v>4588</v>
      </c>
      <c r="AS108" s="1759" t="s">
        <v>405</v>
      </c>
      <c r="AT108" s="1759" t="s">
        <v>327</v>
      </c>
      <c r="AU108" s="1763"/>
      <c r="AV108" s="1763"/>
    </row>
    <row r="109" spans="1:48" ht="37.5" hidden="1">
      <c r="A109" s="1785" t="str">
        <f t="shared" si="11"/>
        <v>גמל</v>
      </c>
      <c r="B109" s="1786">
        <f t="shared" si="12"/>
        <v>11376</v>
      </c>
      <c r="C109" s="1787">
        <v>28946</v>
      </c>
      <c r="D109" s="1786" t="str">
        <f t="shared" si="13"/>
        <v>הראל חיסכון לילד - חוסכים המעדיפים סיכון בינוני</v>
      </c>
      <c r="E109" s="1786" t="s">
        <v>3929</v>
      </c>
      <c r="F109" s="1786" t="s">
        <v>2958</v>
      </c>
      <c r="G109" s="1786" t="s">
        <v>2959</v>
      </c>
      <c r="H109" s="1786" t="str">
        <f t="shared" si="14"/>
        <v>פעיל</v>
      </c>
      <c r="I109" s="1788">
        <f t="shared" si="15"/>
        <v>42683.436574074098</v>
      </c>
      <c r="J109" s="1788" t="str">
        <f t="shared" si="16"/>
        <v/>
      </c>
      <c r="K109" s="1786">
        <v>0</v>
      </c>
      <c r="L109" s="1786" t="s">
        <v>1594</v>
      </c>
      <c r="M109" s="1786" t="s">
        <v>1653</v>
      </c>
      <c r="N109" s="1786" t="s">
        <v>1653</v>
      </c>
      <c r="O109" s="1786">
        <v>0</v>
      </c>
      <c r="P109" s="1786"/>
      <c r="Q109" s="1786">
        <v>0</v>
      </c>
      <c r="R109" s="1788"/>
      <c r="S109" s="1786">
        <f t="shared" si="17"/>
        <v>9438</v>
      </c>
      <c r="T109" s="1786" t="str">
        <f t="shared" si="18"/>
        <v>הראל פנסיה</v>
      </c>
      <c r="U109" s="1786" t="str">
        <f t="shared" si="19"/>
        <v>הראל חיסכון לכל ילד</v>
      </c>
      <c r="V109" s="1786" t="str">
        <f t="shared" si="20"/>
        <v>520033986</v>
      </c>
      <c r="W109" s="1789" t="str">
        <f t="shared" si="21"/>
        <v>הראל פנסיה וגמל בע"מ</v>
      </c>
      <c r="AC109" s="1761" t="s">
        <v>346</v>
      </c>
      <c r="AD109" s="1761"/>
      <c r="AE109" s="1762">
        <v>42683.436574074098</v>
      </c>
      <c r="AF109" s="1761" t="s">
        <v>4757</v>
      </c>
      <c r="AG109" s="1761" t="s">
        <v>70</v>
      </c>
      <c r="AH109" s="1761" t="s">
        <v>1594</v>
      </c>
      <c r="AI109" s="1761" t="s">
        <v>4830</v>
      </c>
      <c r="AJ109" s="1761" t="s">
        <v>4830</v>
      </c>
      <c r="AK109" s="1761">
        <v>11376</v>
      </c>
      <c r="AL109" s="1761" t="s">
        <v>4760</v>
      </c>
      <c r="AM109" s="1761">
        <v>9438</v>
      </c>
      <c r="AN109" s="1761" t="s">
        <v>4168</v>
      </c>
      <c r="AO109" s="1764"/>
      <c r="AP109" s="1761" t="s">
        <v>5396</v>
      </c>
      <c r="AQ109" s="1761" t="s">
        <v>5397</v>
      </c>
      <c r="AR109" s="1761" t="s">
        <v>4588</v>
      </c>
      <c r="AS109" s="1761" t="s">
        <v>405</v>
      </c>
      <c r="AT109" s="1761" t="s">
        <v>327</v>
      </c>
      <c r="AU109" s="1763"/>
      <c r="AV109" s="1763"/>
    </row>
    <row r="110" spans="1:48" ht="37.5" hidden="1">
      <c r="A110" s="1785" t="str">
        <f t="shared" si="11"/>
        <v>גמל</v>
      </c>
      <c r="B110" s="1786">
        <f t="shared" si="12"/>
        <v>11377</v>
      </c>
      <c r="C110" s="1787">
        <v>28946</v>
      </c>
      <c r="D110" s="1786" t="str">
        <f t="shared" si="13"/>
        <v>הראל חיסכון לילד - חוסכים המעדיפים סיכון מוגבר</v>
      </c>
      <c r="E110" s="1786" t="s">
        <v>3929</v>
      </c>
      <c r="F110" s="1786" t="s">
        <v>2958</v>
      </c>
      <c r="G110" s="1786" t="s">
        <v>2959</v>
      </c>
      <c r="H110" s="1786" t="str">
        <f t="shared" si="14"/>
        <v>פעיל</v>
      </c>
      <c r="I110" s="1788">
        <f t="shared" si="15"/>
        <v>42683.436574074098</v>
      </c>
      <c r="J110" s="1788" t="str">
        <f t="shared" si="16"/>
        <v/>
      </c>
      <c r="K110" s="1786">
        <v>0</v>
      </c>
      <c r="L110" s="1786" t="s">
        <v>1594</v>
      </c>
      <c r="M110" s="1786" t="s">
        <v>1653</v>
      </c>
      <c r="N110" s="1786" t="s">
        <v>1653</v>
      </c>
      <c r="O110" s="1786">
        <v>0</v>
      </c>
      <c r="P110" s="1786"/>
      <c r="Q110" s="1786">
        <v>0</v>
      </c>
      <c r="R110" s="1788"/>
      <c r="S110" s="1786">
        <f t="shared" si="17"/>
        <v>9438</v>
      </c>
      <c r="T110" s="1786" t="str">
        <f t="shared" si="18"/>
        <v>הראל פנסיה</v>
      </c>
      <c r="U110" s="1786" t="str">
        <f t="shared" si="19"/>
        <v>הראל חיסכון לכל ילד</v>
      </c>
      <c r="V110" s="1786" t="str">
        <f t="shared" si="20"/>
        <v>520033986</v>
      </c>
      <c r="W110" s="1789" t="str">
        <f t="shared" si="21"/>
        <v>הראל פנסיה וגמל בע"מ</v>
      </c>
      <c r="AC110" s="1759" t="s">
        <v>346</v>
      </c>
      <c r="AD110" s="1759"/>
      <c r="AE110" s="1760">
        <v>42683.436574074098</v>
      </c>
      <c r="AF110" s="1759" t="s">
        <v>4758</v>
      </c>
      <c r="AG110" s="1759" t="s">
        <v>70</v>
      </c>
      <c r="AH110" s="1759" t="s">
        <v>1594</v>
      </c>
      <c r="AI110" s="1759" t="s">
        <v>5398</v>
      </c>
      <c r="AJ110" s="1759" t="s">
        <v>5398</v>
      </c>
      <c r="AK110" s="1759">
        <v>11377</v>
      </c>
      <c r="AL110" s="1759" t="s">
        <v>4760</v>
      </c>
      <c r="AM110" s="1759">
        <v>9438</v>
      </c>
      <c r="AN110" s="1759" t="s">
        <v>4168</v>
      </c>
      <c r="AO110" s="1764"/>
      <c r="AP110" s="1759" t="s">
        <v>5396</v>
      </c>
      <c r="AQ110" s="1759" t="s">
        <v>5397</v>
      </c>
      <c r="AR110" s="1759" t="s">
        <v>4588</v>
      </c>
      <c r="AS110" s="1759" t="s">
        <v>405</v>
      </c>
      <c r="AT110" s="1759" t="s">
        <v>327</v>
      </c>
      <c r="AU110" s="1763"/>
      <c r="AV110" s="1763"/>
    </row>
    <row r="111" spans="1:48" ht="25" hidden="1">
      <c r="A111" s="1785" t="str">
        <f t="shared" si="11"/>
        <v>גמל</v>
      </c>
      <c r="B111" s="1786">
        <f t="shared" si="12"/>
        <v>9418</v>
      </c>
      <c r="C111" s="1787">
        <v>28946</v>
      </c>
      <c r="D111" s="1786" t="str">
        <f t="shared" si="13"/>
        <v>אקסלנס גמל מסלולית לפיצויים רבת מסלולים</v>
      </c>
      <c r="E111" s="1786" t="s">
        <v>3929</v>
      </c>
      <c r="F111" s="1786" t="s">
        <v>2958</v>
      </c>
      <c r="G111" s="1786" t="s">
        <v>2959</v>
      </c>
      <c r="H111" s="1786" t="str">
        <f t="shared" si="14"/>
        <v>פעיל</v>
      </c>
      <c r="I111" s="1788">
        <f t="shared" si="15"/>
        <v>42183.503379629597</v>
      </c>
      <c r="J111" s="1788" t="str">
        <f t="shared" si="16"/>
        <v/>
      </c>
      <c r="K111" s="1786">
        <v>0</v>
      </c>
      <c r="L111" s="1786" t="s">
        <v>1594</v>
      </c>
      <c r="M111" s="1786" t="s">
        <v>1653</v>
      </c>
      <c r="N111" s="1786" t="s">
        <v>1653</v>
      </c>
      <c r="O111" s="1786">
        <v>0</v>
      </c>
      <c r="P111" s="1786"/>
      <c r="Q111" s="1786">
        <v>0</v>
      </c>
      <c r="R111" s="1788"/>
      <c r="S111" s="1786">
        <f t="shared" si="17"/>
        <v>9417</v>
      </c>
      <c r="T111" s="1786" t="str">
        <f t="shared" si="18"/>
        <v>בנק מזרחי טפחות בע"מ</v>
      </c>
      <c r="U111" s="1786" t="str">
        <f t="shared" si="19"/>
        <v>אקסלנס גמל מסלולית לפיצויים</v>
      </c>
      <c r="V111" s="1786" t="str">
        <f t="shared" si="20"/>
        <v>520017450</v>
      </c>
      <c r="W111" s="1789" t="str">
        <f t="shared" si="21"/>
        <v xml:space="preserve">הפניקס אקסלנס פנסיה וגמל בע"מ </v>
      </c>
      <c r="AC111" s="1761" t="s">
        <v>346</v>
      </c>
      <c r="AD111" s="1761"/>
      <c r="AE111" s="1762">
        <v>42183.503379629597</v>
      </c>
      <c r="AF111" s="1761"/>
      <c r="AG111" s="1761"/>
      <c r="AH111" s="1761" t="s">
        <v>1812</v>
      </c>
      <c r="AI111" s="1761" t="s">
        <v>4260</v>
      </c>
      <c r="AJ111" s="1761" t="s">
        <v>4260</v>
      </c>
      <c r="AK111" s="1761">
        <v>9418</v>
      </c>
      <c r="AL111" s="1761" t="s">
        <v>4261</v>
      </c>
      <c r="AM111" s="1761">
        <v>9417</v>
      </c>
      <c r="AN111" s="1761" t="s">
        <v>5370</v>
      </c>
      <c r="AO111" s="1764"/>
      <c r="AP111" s="1761" t="s">
        <v>5379</v>
      </c>
      <c r="AQ111" s="1761" t="s">
        <v>5380</v>
      </c>
      <c r="AR111" s="1761" t="s">
        <v>5381</v>
      </c>
      <c r="AS111" s="1761" t="s">
        <v>347</v>
      </c>
      <c r="AT111" s="1761" t="s">
        <v>327</v>
      </c>
      <c r="AU111" s="1763"/>
      <c r="AV111" s="1763"/>
    </row>
    <row r="112" spans="1:48" ht="37.5" hidden="1">
      <c r="A112" s="1785" t="str">
        <f t="shared" si="11"/>
        <v>גמל</v>
      </c>
      <c r="B112" s="1786">
        <f t="shared" si="12"/>
        <v>8890</v>
      </c>
      <c r="C112" s="1787">
        <v>28946</v>
      </c>
      <c r="D112" s="1786" t="str">
        <f t="shared" si="13"/>
        <v>מגדל השתלמות בניהול אישי IRA</v>
      </c>
      <c r="E112" s="1786" t="s">
        <v>3929</v>
      </c>
      <c r="F112" s="1786" t="s">
        <v>2958</v>
      </c>
      <c r="G112" s="1786" t="s">
        <v>2959</v>
      </c>
      <c r="H112" s="1786" t="str">
        <f t="shared" si="14"/>
        <v>פעיל</v>
      </c>
      <c r="I112" s="1788">
        <f t="shared" si="15"/>
        <v>42088.738553240699</v>
      </c>
      <c r="J112" s="1788" t="str">
        <f t="shared" si="16"/>
        <v/>
      </c>
      <c r="K112" s="1786">
        <v>0</v>
      </c>
      <c r="L112" s="1786" t="s">
        <v>1594</v>
      </c>
      <c r="M112" s="1786" t="s">
        <v>1653</v>
      </c>
      <c r="N112" s="1786" t="s">
        <v>1653</v>
      </c>
      <c r="O112" s="1786">
        <v>0</v>
      </c>
      <c r="P112" s="1786"/>
      <c r="Q112" s="1786">
        <v>0</v>
      </c>
      <c r="R112" s="1788"/>
      <c r="S112" s="1786">
        <f t="shared" si="17"/>
        <v>8889</v>
      </c>
      <c r="T112" s="1786" t="str">
        <f t="shared" si="18"/>
        <v>מגדל ביטוח</v>
      </c>
      <c r="U112" s="1786" t="str">
        <f t="shared" si="19"/>
        <v>מגדל השתלמות בניהול אישי</v>
      </c>
      <c r="V112" s="1786" t="str">
        <f t="shared" si="20"/>
        <v>510464803</v>
      </c>
      <c r="W112" s="1789" t="str">
        <f t="shared" si="21"/>
        <v>מגדל מקפת קרנות פנסיה וקופות גמל בע"מ</v>
      </c>
      <c r="AC112" s="1759" t="s">
        <v>346</v>
      </c>
      <c r="AD112" s="1759"/>
      <c r="AE112" s="1760">
        <v>42088.738553240699</v>
      </c>
      <c r="AF112" s="1759"/>
      <c r="AG112" s="1759"/>
      <c r="AH112" s="1759" t="s">
        <v>2513</v>
      </c>
      <c r="AI112" s="1759" t="s">
        <v>3751</v>
      </c>
      <c r="AJ112" s="1759" t="s">
        <v>3751</v>
      </c>
      <c r="AK112" s="1759">
        <v>8890</v>
      </c>
      <c r="AL112" s="1759" t="s">
        <v>3752</v>
      </c>
      <c r="AM112" s="1759">
        <v>8889</v>
      </c>
      <c r="AN112" s="1759" t="s">
        <v>5399</v>
      </c>
      <c r="AO112" s="1764"/>
      <c r="AP112" s="1759" t="s">
        <v>5382</v>
      </c>
      <c r="AQ112" s="1759" t="s">
        <v>5383</v>
      </c>
      <c r="AR112" s="1759" t="s">
        <v>394</v>
      </c>
      <c r="AS112" s="1759" t="s">
        <v>395</v>
      </c>
      <c r="AT112" s="1759" t="s">
        <v>327</v>
      </c>
      <c r="AU112" s="1763"/>
      <c r="AV112" s="1763"/>
    </row>
    <row r="113" spans="1:48" ht="37.5" hidden="1">
      <c r="A113" s="1785" t="str">
        <f t="shared" si="11"/>
        <v>גמל</v>
      </c>
      <c r="B113" s="1786">
        <f t="shared" si="12"/>
        <v>8888</v>
      </c>
      <c r="C113" s="1787">
        <v>28946</v>
      </c>
      <c r="D113" s="1786" t="str">
        <f t="shared" si="13"/>
        <v>מגדל לתגמולים בניהול אישי IRA</v>
      </c>
      <c r="E113" s="1786" t="s">
        <v>3929</v>
      </c>
      <c r="F113" s="1786" t="s">
        <v>2958</v>
      </c>
      <c r="G113" s="1786" t="s">
        <v>2959</v>
      </c>
      <c r="H113" s="1786" t="str">
        <f t="shared" si="14"/>
        <v>פעיל</v>
      </c>
      <c r="I113" s="1788">
        <f t="shared" si="15"/>
        <v>42088.734247685199</v>
      </c>
      <c r="J113" s="1788" t="str">
        <f t="shared" si="16"/>
        <v/>
      </c>
      <c r="K113" s="1786">
        <v>0</v>
      </c>
      <c r="L113" s="1786" t="s">
        <v>1594</v>
      </c>
      <c r="M113" s="1786" t="s">
        <v>1653</v>
      </c>
      <c r="N113" s="1786" t="s">
        <v>1653</v>
      </c>
      <c r="O113" s="1786">
        <v>0</v>
      </c>
      <c r="P113" s="1786"/>
      <c r="Q113" s="1786">
        <v>0</v>
      </c>
      <c r="R113" s="1788"/>
      <c r="S113" s="1786">
        <f t="shared" si="17"/>
        <v>8887</v>
      </c>
      <c r="T113" s="1786" t="str">
        <f t="shared" si="18"/>
        <v>מגדל מקפת</v>
      </c>
      <c r="U113" s="1786" t="str">
        <f t="shared" si="19"/>
        <v>מגדל לתגמולים בניהול אישי</v>
      </c>
      <c r="V113" s="1786" t="str">
        <f t="shared" si="20"/>
        <v>510464803</v>
      </c>
      <c r="W113" s="1789" t="str">
        <f t="shared" si="21"/>
        <v>מגדל מקפת קרנות פנסיה וקופות גמל בע"מ</v>
      </c>
      <c r="AC113" s="1761" t="s">
        <v>346</v>
      </c>
      <c r="AD113" s="1761"/>
      <c r="AE113" s="1762">
        <v>42088.734247685199</v>
      </c>
      <c r="AF113" s="1761"/>
      <c r="AG113" s="1761"/>
      <c r="AH113" s="1761" t="s">
        <v>2513</v>
      </c>
      <c r="AI113" s="1761" t="s">
        <v>3749</v>
      </c>
      <c r="AJ113" s="1761" t="s">
        <v>3749</v>
      </c>
      <c r="AK113" s="1761">
        <v>8888</v>
      </c>
      <c r="AL113" s="1761" t="s">
        <v>3750</v>
      </c>
      <c r="AM113" s="1761">
        <v>8887</v>
      </c>
      <c r="AN113" s="1761" t="s">
        <v>5400</v>
      </c>
      <c r="AO113" s="1764"/>
      <c r="AP113" s="1761" t="s">
        <v>5382</v>
      </c>
      <c r="AQ113" s="1761" t="s">
        <v>5383</v>
      </c>
      <c r="AR113" s="1761" t="s">
        <v>394</v>
      </c>
      <c r="AS113" s="1761" t="s">
        <v>395</v>
      </c>
      <c r="AT113" s="1761" t="s">
        <v>327</v>
      </c>
      <c r="AU113" s="1763"/>
      <c r="AV113" s="1763"/>
    </row>
    <row r="114" spans="1:48" ht="25" hidden="1">
      <c r="A114" s="1785" t="str">
        <f t="shared" si="11"/>
        <v>גמל</v>
      </c>
      <c r="B114" s="1786">
        <f t="shared" si="12"/>
        <v>9414</v>
      </c>
      <c r="C114" s="1787">
        <v>28946</v>
      </c>
      <c r="D114" s="1786" t="str">
        <f t="shared" si="13"/>
        <v>מור חיסכון לילד - חוסכים המעדיפים סיכון בינוני</v>
      </c>
      <c r="E114" s="1786" t="s">
        <v>3929</v>
      </c>
      <c r="F114" s="1786" t="s">
        <v>2958</v>
      </c>
      <c r="G114" s="1786" t="s">
        <v>2959</v>
      </c>
      <c r="H114" s="1786" t="str">
        <f t="shared" si="14"/>
        <v>פעיל</v>
      </c>
      <c r="I114" s="1788">
        <f t="shared" si="15"/>
        <v>42683.363217592603</v>
      </c>
      <c r="J114" s="1788" t="str">
        <f t="shared" si="16"/>
        <v/>
      </c>
      <c r="K114" s="1786">
        <v>0</v>
      </c>
      <c r="L114" s="1786" t="s">
        <v>1594</v>
      </c>
      <c r="M114" s="1786" t="s">
        <v>1653</v>
      </c>
      <c r="N114" s="1786" t="s">
        <v>1653</v>
      </c>
      <c r="O114" s="1786">
        <v>0</v>
      </c>
      <c r="P114" s="1786"/>
      <c r="Q114" s="1786">
        <v>0</v>
      </c>
      <c r="R114" s="1788"/>
      <c r="S114" s="1786">
        <f t="shared" si="17"/>
        <v>8861</v>
      </c>
      <c r="T114" s="1786" t="str">
        <f t="shared" si="18"/>
        <v>ד.ס.ש ייעוץ ושירותים בע"מ</v>
      </c>
      <c r="U114" s="1786" t="str">
        <f t="shared" si="19"/>
        <v>מור לקופת גמל להשקעה לחיסכון ארוך טווח לילד</v>
      </c>
      <c r="V114" s="1786" t="str">
        <f t="shared" si="20"/>
        <v>513834606</v>
      </c>
      <c r="W114" s="1789" t="str">
        <f t="shared" si="21"/>
        <v>מור קופות גמל בע"מ</v>
      </c>
      <c r="AC114" s="1759" t="s">
        <v>346</v>
      </c>
      <c r="AD114" s="1759"/>
      <c r="AE114" s="1760">
        <v>42683.363217592603</v>
      </c>
      <c r="AF114" s="1759" t="s">
        <v>4757</v>
      </c>
      <c r="AG114" s="1759" t="s">
        <v>70</v>
      </c>
      <c r="AH114" s="1759" t="s">
        <v>1594</v>
      </c>
      <c r="AI114" s="1759" t="s">
        <v>5401</v>
      </c>
      <c r="AJ114" s="1759" t="s">
        <v>5401</v>
      </c>
      <c r="AK114" s="1759">
        <v>9414</v>
      </c>
      <c r="AL114" s="1759" t="s">
        <v>5402</v>
      </c>
      <c r="AM114" s="1759">
        <v>8861</v>
      </c>
      <c r="AN114" s="1759" t="s">
        <v>5393</v>
      </c>
      <c r="AO114" s="1764"/>
      <c r="AP114" s="1759" t="s">
        <v>5403</v>
      </c>
      <c r="AQ114" s="1759" t="s">
        <v>5404</v>
      </c>
      <c r="AR114" s="1759" t="s">
        <v>5405</v>
      </c>
      <c r="AS114" s="1759" t="s">
        <v>3736</v>
      </c>
      <c r="AT114" s="1759" t="s">
        <v>327</v>
      </c>
      <c r="AU114" s="1763"/>
      <c r="AV114" s="1763"/>
    </row>
    <row r="115" spans="1:48" ht="25" hidden="1">
      <c r="A115" s="1785" t="str">
        <f t="shared" si="11"/>
        <v>גמל</v>
      </c>
      <c r="B115" s="1786">
        <f t="shared" si="12"/>
        <v>9421</v>
      </c>
      <c r="C115" s="1787">
        <v>28946</v>
      </c>
      <c r="D115" s="1786" t="str">
        <f t="shared" si="13"/>
        <v>מור חיסכון לילד - חוסכים המעדיפים סיכון מועט</v>
      </c>
      <c r="E115" s="1786" t="s">
        <v>3929</v>
      </c>
      <c r="F115" s="1786" t="s">
        <v>2958</v>
      </c>
      <c r="G115" s="1786" t="s">
        <v>2959</v>
      </c>
      <c r="H115" s="1786" t="str">
        <f t="shared" si="14"/>
        <v>פעיל</v>
      </c>
      <c r="I115" s="1788">
        <f t="shared" si="15"/>
        <v>42683.363217592603</v>
      </c>
      <c r="J115" s="1788" t="str">
        <f t="shared" si="16"/>
        <v/>
      </c>
      <c r="K115" s="1786">
        <v>0</v>
      </c>
      <c r="L115" s="1786" t="s">
        <v>1594</v>
      </c>
      <c r="M115" s="1786" t="s">
        <v>1653</v>
      </c>
      <c r="N115" s="1786" t="s">
        <v>1653</v>
      </c>
      <c r="O115" s="1786">
        <v>0</v>
      </c>
      <c r="P115" s="1786"/>
      <c r="Q115" s="1786">
        <v>0</v>
      </c>
      <c r="R115" s="1788"/>
      <c r="S115" s="1786">
        <f t="shared" si="17"/>
        <v>8861</v>
      </c>
      <c r="T115" s="1786" t="str">
        <f t="shared" si="18"/>
        <v>ד.ס.ש ייעוץ ושירותים בע"מ</v>
      </c>
      <c r="U115" s="1786" t="str">
        <f t="shared" si="19"/>
        <v>מור לקופת גמל להשקעה לחיסכון ארוך טווח לילד</v>
      </c>
      <c r="V115" s="1786" t="str">
        <f t="shared" si="20"/>
        <v>513834606</v>
      </c>
      <c r="W115" s="1789" t="str">
        <f t="shared" si="21"/>
        <v>מור קופות גמל בע"מ</v>
      </c>
      <c r="AC115" s="1761" t="s">
        <v>346</v>
      </c>
      <c r="AD115" s="1761"/>
      <c r="AE115" s="1762">
        <v>42683.363217592603</v>
      </c>
      <c r="AF115" s="1761" t="s">
        <v>4759</v>
      </c>
      <c r="AG115" s="1761" t="s">
        <v>70</v>
      </c>
      <c r="AH115" s="1761" t="s">
        <v>1594</v>
      </c>
      <c r="AI115" s="1761" t="s">
        <v>5406</v>
      </c>
      <c r="AJ115" s="1761" t="s">
        <v>5407</v>
      </c>
      <c r="AK115" s="1761">
        <v>9421</v>
      </c>
      <c r="AL115" s="1761" t="s">
        <v>5402</v>
      </c>
      <c r="AM115" s="1761">
        <v>8861</v>
      </c>
      <c r="AN115" s="1761" t="s">
        <v>5393</v>
      </c>
      <c r="AO115" s="1764"/>
      <c r="AP115" s="1761" t="s">
        <v>5403</v>
      </c>
      <c r="AQ115" s="1761" t="s">
        <v>5404</v>
      </c>
      <c r="AR115" s="1761" t="s">
        <v>5405</v>
      </c>
      <c r="AS115" s="1761" t="s">
        <v>3736</v>
      </c>
      <c r="AT115" s="1761" t="s">
        <v>327</v>
      </c>
      <c r="AU115" s="1763"/>
      <c r="AV115" s="1763"/>
    </row>
    <row r="116" spans="1:48" ht="25" hidden="1">
      <c r="A116" s="1785" t="str">
        <f t="shared" si="11"/>
        <v>גמל</v>
      </c>
      <c r="B116" s="1786">
        <f t="shared" si="12"/>
        <v>9303</v>
      </c>
      <c r="C116" s="1787">
        <v>28946</v>
      </c>
      <c r="D116" s="1786" t="str">
        <f t="shared" si="13"/>
        <v>מור חיסכון לילד - שריעה</v>
      </c>
      <c r="E116" s="1786" t="s">
        <v>3929</v>
      </c>
      <c r="F116" s="1786" t="s">
        <v>2958</v>
      </c>
      <c r="G116" s="1786" t="s">
        <v>2959</v>
      </c>
      <c r="H116" s="1786" t="str">
        <f t="shared" si="14"/>
        <v>פעיל</v>
      </c>
      <c r="I116" s="1788">
        <f t="shared" si="15"/>
        <v>42683.363217592603</v>
      </c>
      <c r="J116" s="1788" t="str">
        <f t="shared" si="16"/>
        <v/>
      </c>
      <c r="K116" s="1786">
        <v>0</v>
      </c>
      <c r="L116" s="1786" t="s">
        <v>1594</v>
      </c>
      <c r="M116" s="1786" t="s">
        <v>1653</v>
      </c>
      <c r="N116" s="1786" t="s">
        <v>1653</v>
      </c>
      <c r="O116" s="1786">
        <v>0</v>
      </c>
      <c r="P116" s="1786"/>
      <c r="Q116" s="1786">
        <v>0</v>
      </c>
      <c r="R116" s="1788"/>
      <c r="S116" s="1786">
        <f t="shared" si="17"/>
        <v>8861</v>
      </c>
      <c r="T116" s="1786" t="str">
        <f t="shared" si="18"/>
        <v>ד.ס.ש ייעוץ ושירותים בע"מ</v>
      </c>
      <c r="U116" s="1786" t="str">
        <f t="shared" si="19"/>
        <v>מור לקופת גמל להשקעה לחיסכון ארוך טווח לילד</v>
      </c>
      <c r="V116" s="1786" t="str">
        <f t="shared" si="20"/>
        <v>513834606</v>
      </c>
      <c r="W116" s="1789" t="str">
        <f t="shared" si="21"/>
        <v>מור קופות גמל בע"מ</v>
      </c>
      <c r="AC116" s="1759" t="s">
        <v>346</v>
      </c>
      <c r="AD116" s="1759"/>
      <c r="AE116" s="1760">
        <v>42683.363217592603</v>
      </c>
      <c r="AF116" s="1759" t="s">
        <v>4631</v>
      </c>
      <c r="AG116" s="1759" t="s">
        <v>2029</v>
      </c>
      <c r="AH116" s="1759" t="s">
        <v>2028</v>
      </c>
      <c r="AI116" s="1759" t="s">
        <v>5408</v>
      </c>
      <c r="AJ116" s="1759" t="s">
        <v>5408</v>
      </c>
      <c r="AK116" s="1759">
        <v>9303</v>
      </c>
      <c r="AL116" s="1759" t="s">
        <v>5402</v>
      </c>
      <c r="AM116" s="1759">
        <v>8861</v>
      </c>
      <c r="AN116" s="1759" t="s">
        <v>5393</v>
      </c>
      <c r="AO116" s="1764"/>
      <c r="AP116" s="1759" t="s">
        <v>5403</v>
      </c>
      <c r="AQ116" s="1759" t="s">
        <v>5404</v>
      </c>
      <c r="AR116" s="1759" t="s">
        <v>5405</v>
      </c>
      <c r="AS116" s="1759" t="s">
        <v>3736</v>
      </c>
      <c r="AT116" s="1759" t="s">
        <v>327</v>
      </c>
      <c r="AU116" s="1763"/>
      <c r="AV116" s="1763"/>
    </row>
    <row r="117" spans="1:48" ht="25" hidden="1">
      <c r="A117" s="1785" t="str">
        <f t="shared" si="11"/>
        <v>גמל</v>
      </c>
      <c r="B117" s="1786">
        <f t="shared" si="12"/>
        <v>9113</v>
      </c>
      <c r="C117" s="1787">
        <v>28946</v>
      </c>
      <c r="D117" s="1786" t="str">
        <f t="shared" si="13"/>
        <v>מור חיסכון לילד - הלכה</v>
      </c>
      <c r="E117" s="1786" t="s">
        <v>3929</v>
      </c>
      <c r="F117" s="1786" t="s">
        <v>2958</v>
      </c>
      <c r="G117" s="1786" t="s">
        <v>2959</v>
      </c>
      <c r="H117" s="1786" t="str">
        <f t="shared" si="14"/>
        <v>פעיל</v>
      </c>
      <c r="I117" s="1788">
        <f t="shared" si="15"/>
        <v>42683.363217592603</v>
      </c>
      <c r="J117" s="1788" t="str">
        <f t="shared" si="16"/>
        <v/>
      </c>
      <c r="K117" s="1786">
        <v>0</v>
      </c>
      <c r="L117" s="1786" t="s">
        <v>1594</v>
      </c>
      <c r="M117" s="1786" t="s">
        <v>1653</v>
      </c>
      <c r="N117" s="1786" t="s">
        <v>1653</v>
      </c>
      <c r="O117" s="1786">
        <v>0</v>
      </c>
      <c r="P117" s="1786"/>
      <c r="Q117" s="1786">
        <v>0</v>
      </c>
      <c r="R117" s="1788"/>
      <c r="S117" s="1786">
        <f t="shared" si="17"/>
        <v>8861</v>
      </c>
      <c r="T117" s="1786" t="str">
        <f t="shared" si="18"/>
        <v>ד.ס.ש ייעוץ ושירותים בע"מ</v>
      </c>
      <c r="U117" s="1786" t="str">
        <f t="shared" si="19"/>
        <v>מור לקופת גמל להשקעה לחיסכון ארוך טווח לילד</v>
      </c>
      <c r="V117" s="1786" t="str">
        <f t="shared" si="20"/>
        <v>513834606</v>
      </c>
      <c r="W117" s="1789" t="str">
        <f t="shared" si="21"/>
        <v>מור קופות גמל בע"מ</v>
      </c>
      <c r="AC117" s="1761" t="s">
        <v>346</v>
      </c>
      <c r="AD117" s="1761"/>
      <c r="AE117" s="1762">
        <v>42683.363217592603</v>
      </c>
      <c r="AF117" s="1761" t="s">
        <v>4603</v>
      </c>
      <c r="AG117" s="1761" t="s">
        <v>2029</v>
      </c>
      <c r="AH117" s="1761" t="s">
        <v>2028</v>
      </c>
      <c r="AI117" s="1761" t="s">
        <v>5409</v>
      </c>
      <c r="AJ117" s="1761" t="s">
        <v>5409</v>
      </c>
      <c r="AK117" s="1761">
        <v>9113</v>
      </c>
      <c r="AL117" s="1761" t="s">
        <v>5402</v>
      </c>
      <c r="AM117" s="1761">
        <v>8861</v>
      </c>
      <c r="AN117" s="1761" t="s">
        <v>5393</v>
      </c>
      <c r="AO117" s="1764"/>
      <c r="AP117" s="1761" t="s">
        <v>5403</v>
      </c>
      <c r="AQ117" s="1761" t="s">
        <v>5404</v>
      </c>
      <c r="AR117" s="1761" t="s">
        <v>5405</v>
      </c>
      <c r="AS117" s="1761" t="s">
        <v>3736</v>
      </c>
      <c r="AT117" s="1761" t="s">
        <v>327</v>
      </c>
      <c r="AU117" s="1763"/>
      <c r="AV117" s="1763"/>
    </row>
    <row r="118" spans="1:48" ht="25" hidden="1">
      <c r="A118" s="1785" t="str">
        <f t="shared" si="11"/>
        <v>גמל</v>
      </c>
      <c r="B118" s="1786">
        <f t="shared" si="12"/>
        <v>9420</v>
      </c>
      <c r="C118" s="1787">
        <v>28946</v>
      </c>
      <c r="D118" s="1786" t="str">
        <f t="shared" si="13"/>
        <v>מור חיסכון לילד - חוסכים המעדיפים סיכון מוגבר</v>
      </c>
      <c r="E118" s="1786" t="s">
        <v>3929</v>
      </c>
      <c r="F118" s="1786" t="s">
        <v>2958</v>
      </c>
      <c r="G118" s="1786" t="s">
        <v>2959</v>
      </c>
      <c r="H118" s="1786" t="str">
        <f t="shared" si="14"/>
        <v>פעיל</v>
      </c>
      <c r="I118" s="1788">
        <f t="shared" si="15"/>
        <v>42683.363217592603</v>
      </c>
      <c r="J118" s="1788" t="str">
        <f t="shared" si="16"/>
        <v/>
      </c>
      <c r="K118" s="1786">
        <v>0</v>
      </c>
      <c r="L118" s="1786" t="s">
        <v>1594</v>
      </c>
      <c r="M118" s="1786" t="s">
        <v>1653</v>
      </c>
      <c r="N118" s="1786" t="s">
        <v>1653</v>
      </c>
      <c r="O118" s="1786">
        <v>0</v>
      </c>
      <c r="P118" s="1786"/>
      <c r="Q118" s="1786">
        <v>0</v>
      </c>
      <c r="R118" s="1788"/>
      <c r="S118" s="1786">
        <f t="shared" si="17"/>
        <v>8861</v>
      </c>
      <c r="T118" s="1786" t="str">
        <f t="shared" si="18"/>
        <v>ד.ס.ש ייעוץ ושירותים בע"מ</v>
      </c>
      <c r="U118" s="1786" t="str">
        <f t="shared" si="19"/>
        <v>מור לקופת גמל להשקעה לחיסכון ארוך טווח לילד</v>
      </c>
      <c r="V118" s="1786" t="str">
        <f t="shared" si="20"/>
        <v>513834606</v>
      </c>
      <c r="W118" s="1789" t="str">
        <f t="shared" si="21"/>
        <v>מור קופות גמל בע"מ</v>
      </c>
      <c r="AC118" s="1759" t="s">
        <v>346</v>
      </c>
      <c r="AD118" s="1759"/>
      <c r="AE118" s="1760">
        <v>42683.363217592603</v>
      </c>
      <c r="AF118" s="1759" t="s">
        <v>4758</v>
      </c>
      <c r="AG118" s="1759" t="s">
        <v>70</v>
      </c>
      <c r="AH118" s="1759" t="s">
        <v>1594</v>
      </c>
      <c r="AI118" s="1759" t="s">
        <v>5410</v>
      </c>
      <c r="AJ118" s="1759" t="s">
        <v>5410</v>
      </c>
      <c r="AK118" s="1759">
        <v>9420</v>
      </c>
      <c r="AL118" s="1759" t="s">
        <v>5402</v>
      </c>
      <c r="AM118" s="1759">
        <v>8861</v>
      </c>
      <c r="AN118" s="1759" t="s">
        <v>5393</v>
      </c>
      <c r="AO118" s="1764"/>
      <c r="AP118" s="1759" t="s">
        <v>5403</v>
      </c>
      <c r="AQ118" s="1759" t="s">
        <v>5404</v>
      </c>
      <c r="AR118" s="1759" t="s">
        <v>5405</v>
      </c>
      <c r="AS118" s="1759" t="s">
        <v>3736</v>
      </c>
      <c r="AT118" s="1759" t="s">
        <v>327</v>
      </c>
      <c r="AU118" s="1763"/>
      <c r="AV118" s="1763"/>
    </row>
    <row r="119" spans="1:48" ht="37.5" hidden="1">
      <c r="A119" s="1785" t="str">
        <f t="shared" si="11"/>
        <v>גמל</v>
      </c>
      <c r="B119" s="1786">
        <f t="shared" si="12"/>
        <v>8761</v>
      </c>
      <c r="C119" s="1787">
        <v>28946</v>
      </c>
      <c r="D119" s="1786" t="str">
        <f t="shared" si="13"/>
        <v>הראל השתלמות IRA IRA</v>
      </c>
      <c r="E119" s="1786" t="s">
        <v>3929</v>
      </c>
      <c r="F119" s="1786" t="s">
        <v>2958</v>
      </c>
      <c r="G119" s="1786" t="s">
        <v>2959</v>
      </c>
      <c r="H119" s="1786" t="str">
        <f t="shared" si="14"/>
        <v>לא פעיל</v>
      </c>
      <c r="I119" s="1788">
        <f t="shared" si="15"/>
        <v>41998.591064814798</v>
      </c>
      <c r="J119" s="1788">
        <f t="shared" si="16"/>
        <v>43878.568877314799</v>
      </c>
      <c r="K119" s="1786">
        <v>0</v>
      </c>
      <c r="L119" s="1786" t="s">
        <v>1594</v>
      </c>
      <c r="M119" s="1786" t="s">
        <v>1653</v>
      </c>
      <c r="N119" s="1786" t="s">
        <v>1653</v>
      </c>
      <c r="O119" s="1786">
        <v>0</v>
      </c>
      <c r="P119" s="1786"/>
      <c r="Q119" s="1786">
        <v>0</v>
      </c>
      <c r="R119" s="1788"/>
      <c r="S119" s="1786">
        <f t="shared" si="17"/>
        <v>8760</v>
      </c>
      <c r="T119" s="1786" t="str">
        <f t="shared" si="18"/>
        <v>הראל גמל</v>
      </c>
      <c r="U119" s="1786" t="str">
        <f t="shared" si="19"/>
        <v>הראל השתלמות IRA</v>
      </c>
      <c r="V119" s="1786" t="str">
        <f t="shared" si="20"/>
        <v>520033986</v>
      </c>
      <c r="W119" s="1789" t="str">
        <f t="shared" si="21"/>
        <v>הראל פנסיה וגמל בע"מ</v>
      </c>
      <c r="AC119" s="1761" t="s">
        <v>1586</v>
      </c>
      <c r="AD119" s="1762">
        <v>43878.568877314799</v>
      </c>
      <c r="AE119" s="1762">
        <v>41998.591064814798</v>
      </c>
      <c r="AF119" s="1761"/>
      <c r="AG119" s="1761"/>
      <c r="AH119" s="1761" t="s">
        <v>2513</v>
      </c>
      <c r="AI119" s="1761" t="s">
        <v>3744</v>
      </c>
      <c r="AJ119" s="1761" t="s">
        <v>3744</v>
      </c>
      <c r="AK119" s="1761">
        <v>8761</v>
      </c>
      <c r="AL119" s="1761" t="s">
        <v>3745</v>
      </c>
      <c r="AM119" s="1761">
        <v>8760</v>
      </c>
      <c r="AN119" s="1761" t="s">
        <v>5411</v>
      </c>
      <c r="AO119" s="1764"/>
      <c r="AP119" s="1761" t="s">
        <v>5396</v>
      </c>
      <c r="AQ119" s="1761" t="s">
        <v>5397</v>
      </c>
      <c r="AR119" s="1761" t="s">
        <v>4588</v>
      </c>
      <c r="AS119" s="1761" t="s">
        <v>405</v>
      </c>
      <c r="AT119" s="1761" t="s">
        <v>327</v>
      </c>
      <c r="AU119" s="1763"/>
      <c r="AV119" s="1763"/>
    </row>
    <row r="120" spans="1:48" ht="37.5" hidden="1">
      <c r="A120" s="1785" t="str">
        <f t="shared" si="11"/>
        <v>גמל</v>
      </c>
      <c r="B120" s="1786">
        <f t="shared" si="12"/>
        <v>8759</v>
      </c>
      <c r="C120" s="1787">
        <v>28946</v>
      </c>
      <c r="D120" s="1786" t="str">
        <f t="shared" si="13"/>
        <v>הראל גמל IRA IRA</v>
      </c>
      <c r="E120" s="1786" t="s">
        <v>3929</v>
      </c>
      <c r="F120" s="1786" t="s">
        <v>2958</v>
      </c>
      <c r="G120" s="1786" t="s">
        <v>2959</v>
      </c>
      <c r="H120" s="1786" t="str">
        <f t="shared" si="14"/>
        <v>לא פעיל</v>
      </c>
      <c r="I120" s="1788">
        <f t="shared" si="15"/>
        <v>41998.588703703703</v>
      </c>
      <c r="J120" s="1788">
        <f t="shared" si="16"/>
        <v>43656.640393518501</v>
      </c>
      <c r="K120" s="1786">
        <v>0</v>
      </c>
      <c r="L120" s="1786" t="s">
        <v>1594</v>
      </c>
      <c r="M120" s="1786" t="s">
        <v>1653</v>
      </c>
      <c r="N120" s="1786" t="s">
        <v>1653</v>
      </c>
      <c r="O120" s="1786">
        <v>0</v>
      </c>
      <c r="P120" s="1786"/>
      <c r="Q120" s="1786">
        <v>0</v>
      </c>
      <c r="R120" s="1788"/>
      <c r="S120" s="1786">
        <f t="shared" si="17"/>
        <v>8758</v>
      </c>
      <c r="T120" s="1786" t="str">
        <f t="shared" si="18"/>
        <v>הראל גמל</v>
      </c>
      <c r="U120" s="1786" t="str">
        <f t="shared" si="19"/>
        <v>הראל גמל IRA</v>
      </c>
      <c r="V120" s="1786" t="str">
        <f t="shared" si="20"/>
        <v>520033986</v>
      </c>
      <c r="W120" s="1789" t="str">
        <f t="shared" si="21"/>
        <v>הראל פנסיה וגמל בע"מ</v>
      </c>
      <c r="AC120" s="1759" t="s">
        <v>1586</v>
      </c>
      <c r="AD120" s="1760">
        <v>43656.640393518501</v>
      </c>
      <c r="AE120" s="1760">
        <v>41998.588703703703</v>
      </c>
      <c r="AF120" s="1759"/>
      <c r="AG120" s="1759"/>
      <c r="AH120" s="1759" t="s">
        <v>2513</v>
      </c>
      <c r="AI120" s="1759" t="s">
        <v>3742</v>
      </c>
      <c r="AJ120" s="1759" t="s">
        <v>3742</v>
      </c>
      <c r="AK120" s="1759">
        <v>8759</v>
      </c>
      <c r="AL120" s="1759" t="s">
        <v>3743</v>
      </c>
      <c r="AM120" s="1759">
        <v>8758</v>
      </c>
      <c r="AN120" s="1759" t="s">
        <v>5411</v>
      </c>
      <c r="AO120" s="1764"/>
      <c r="AP120" s="1759" t="s">
        <v>5396</v>
      </c>
      <c r="AQ120" s="1759" t="s">
        <v>5397</v>
      </c>
      <c r="AR120" s="1759" t="s">
        <v>4588</v>
      </c>
      <c r="AS120" s="1759" t="s">
        <v>405</v>
      </c>
      <c r="AT120" s="1759" t="s">
        <v>327</v>
      </c>
      <c r="AU120" s="1763"/>
      <c r="AV120" s="1763"/>
    </row>
    <row r="121" spans="1:48" ht="25" hidden="1">
      <c r="A121" s="1785" t="str">
        <f t="shared" si="11"/>
        <v>גמל</v>
      </c>
      <c r="B121" s="1786">
        <f t="shared" si="12"/>
        <v>12956</v>
      </c>
      <c r="C121" s="1787">
        <v>28946</v>
      </c>
      <c r="D121" s="1786" t="str">
        <f t="shared" si="13"/>
        <v>מור קרן השתלמות לשכירים ולעצמאים  אג"ח עד 25% במניות</v>
      </c>
      <c r="E121" s="1786" t="s">
        <v>3929</v>
      </c>
      <c r="F121" s="1786" t="s">
        <v>2958</v>
      </c>
      <c r="G121" s="1786" t="s">
        <v>2959</v>
      </c>
      <c r="H121" s="1786" t="str">
        <f t="shared" si="14"/>
        <v>פעיל</v>
      </c>
      <c r="I121" s="1788">
        <f t="shared" si="15"/>
        <v>41968.613761574103</v>
      </c>
      <c r="J121" s="1788" t="str">
        <f t="shared" si="16"/>
        <v/>
      </c>
      <c r="K121" s="1786">
        <v>0</v>
      </c>
      <c r="L121" s="1786" t="s">
        <v>1594</v>
      </c>
      <c r="M121" s="1786" t="s">
        <v>1653</v>
      </c>
      <c r="N121" s="1786" t="s">
        <v>1653</v>
      </c>
      <c r="O121" s="1786">
        <v>0</v>
      </c>
      <c r="P121" s="1786"/>
      <c r="Q121" s="1786">
        <v>0</v>
      </c>
      <c r="R121" s="1788"/>
      <c r="S121" s="1786">
        <f t="shared" si="17"/>
        <v>8700</v>
      </c>
      <c r="T121" s="1786" t="str">
        <f t="shared" si="18"/>
        <v>אפ.אמ.אר תפעול</v>
      </c>
      <c r="U121" s="1786" t="str">
        <f t="shared" si="19"/>
        <v xml:space="preserve">מור קרן השתלמות לשכירים ולעצמאים </v>
      </c>
      <c r="V121" s="1786" t="str">
        <f t="shared" si="20"/>
        <v>513834606</v>
      </c>
      <c r="W121" s="1789" t="str">
        <f t="shared" si="21"/>
        <v>מור קופות גמל בע"מ</v>
      </c>
      <c r="AC121" s="1761" t="s">
        <v>346</v>
      </c>
      <c r="AD121" s="1761"/>
      <c r="AE121" s="1762">
        <v>41968.613761574103</v>
      </c>
      <c r="AF121" s="1761" t="s">
        <v>3934</v>
      </c>
      <c r="AG121" s="1761" t="s">
        <v>1653</v>
      </c>
      <c r="AH121" s="1761" t="s">
        <v>1594</v>
      </c>
      <c r="AI121" s="1761" t="s">
        <v>5412</v>
      </c>
      <c r="AJ121" s="1761" t="s">
        <v>5413</v>
      </c>
      <c r="AK121" s="1761">
        <v>12956</v>
      </c>
      <c r="AL121" s="1761" t="s">
        <v>5414</v>
      </c>
      <c r="AM121" s="1761">
        <v>8700</v>
      </c>
      <c r="AN121" s="1761" t="s">
        <v>5338</v>
      </c>
      <c r="AO121" s="1764"/>
      <c r="AP121" s="1761" t="s">
        <v>5403</v>
      </c>
      <c r="AQ121" s="1761" t="s">
        <v>5404</v>
      </c>
      <c r="AR121" s="1761" t="s">
        <v>5405</v>
      </c>
      <c r="AS121" s="1761" t="s">
        <v>3736</v>
      </c>
      <c r="AT121" s="1761" t="s">
        <v>327</v>
      </c>
      <c r="AU121" s="1763"/>
      <c r="AV121" s="1763"/>
    </row>
    <row r="122" spans="1:48" ht="25" hidden="1">
      <c r="A122" s="1785" t="str">
        <f t="shared" si="11"/>
        <v>גמל</v>
      </c>
      <c r="B122" s="1786">
        <f t="shared" si="12"/>
        <v>8701</v>
      </c>
      <c r="C122" s="1787">
        <v>28946</v>
      </c>
      <c r="D122" s="1786" t="str">
        <f t="shared" si="13"/>
        <v>מור השתלמות -מסלול עוקב מדד "מניות תל אביב 35"</v>
      </c>
      <c r="E122" s="1786" t="s">
        <v>3929</v>
      </c>
      <c r="F122" s="1786" t="s">
        <v>2958</v>
      </c>
      <c r="G122" s="1786" t="s">
        <v>2959</v>
      </c>
      <c r="H122" s="1786" t="str">
        <f t="shared" si="14"/>
        <v>פעיל</v>
      </c>
      <c r="I122" s="1788">
        <f t="shared" si="15"/>
        <v>41968.613761574103</v>
      </c>
      <c r="J122" s="1788" t="str">
        <f t="shared" si="16"/>
        <v/>
      </c>
      <c r="K122" s="1786">
        <v>0</v>
      </c>
      <c r="L122" s="1786" t="s">
        <v>1594</v>
      </c>
      <c r="M122" s="1786" t="s">
        <v>1653</v>
      </c>
      <c r="N122" s="1786" t="s">
        <v>1653</v>
      </c>
      <c r="O122" s="1786">
        <v>0</v>
      </c>
      <c r="P122" s="1786"/>
      <c r="Q122" s="1786">
        <v>0</v>
      </c>
      <c r="R122" s="1788"/>
      <c r="S122" s="1786">
        <f t="shared" si="17"/>
        <v>8700</v>
      </c>
      <c r="T122" s="1786" t="str">
        <f t="shared" si="18"/>
        <v>אפ.אמ.אר תפעול</v>
      </c>
      <c r="U122" s="1786" t="str">
        <f t="shared" si="19"/>
        <v xml:space="preserve">מור קרן השתלמות לשכירים ולעצמאים </v>
      </c>
      <c r="V122" s="1786" t="str">
        <f t="shared" si="20"/>
        <v>513834606</v>
      </c>
      <c r="W122" s="1789" t="str">
        <f t="shared" si="21"/>
        <v>מור קופות גמל בע"מ</v>
      </c>
      <c r="AC122" s="1759" t="s">
        <v>346</v>
      </c>
      <c r="AD122" s="1759"/>
      <c r="AE122" s="1760">
        <v>41968.613761574103</v>
      </c>
      <c r="AF122" s="1759" t="s">
        <v>3672</v>
      </c>
      <c r="AG122" s="1759" t="s">
        <v>75</v>
      </c>
      <c r="AH122" s="1759" t="s">
        <v>1594</v>
      </c>
      <c r="AI122" s="1759" t="s">
        <v>5415</v>
      </c>
      <c r="AJ122" s="1759" t="s">
        <v>5416</v>
      </c>
      <c r="AK122" s="1759">
        <v>8701</v>
      </c>
      <c r="AL122" s="1759" t="s">
        <v>5414</v>
      </c>
      <c r="AM122" s="1759">
        <v>8700</v>
      </c>
      <c r="AN122" s="1759" t="s">
        <v>5338</v>
      </c>
      <c r="AO122" s="1764"/>
      <c r="AP122" s="1759" t="s">
        <v>5403</v>
      </c>
      <c r="AQ122" s="1759" t="s">
        <v>5404</v>
      </c>
      <c r="AR122" s="1759" t="s">
        <v>5405</v>
      </c>
      <c r="AS122" s="1759" t="s">
        <v>3736</v>
      </c>
      <c r="AT122" s="1759" t="s">
        <v>327</v>
      </c>
      <c r="AU122" s="1763"/>
      <c r="AV122" s="1763"/>
    </row>
    <row r="123" spans="1:48" ht="25" hidden="1">
      <c r="A123" s="1785" t="str">
        <f t="shared" si="11"/>
        <v>גמל</v>
      </c>
      <c r="B123" s="1786">
        <f t="shared" si="12"/>
        <v>8702</v>
      </c>
      <c r="C123" s="1787">
        <v>28946</v>
      </c>
      <c r="D123" s="1786" t="str">
        <f t="shared" si="13"/>
        <v>מור השתלמות - מסלול עוקב מדד "מדדיות ממשלתיות לטווח של 5-10 שנים"</v>
      </c>
      <c r="E123" s="1786" t="s">
        <v>3929</v>
      </c>
      <c r="F123" s="1786" t="s">
        <v>2958</v>
      </c>
      <c r="G123" s="1786" t="s">
        <v>2959</v>
      </c>
      <c r="H123" s="1786" t="str">
        <f t="shared" si="14"/>
        <v>פעיל</v>
      </c>
      <c r="I123" s="1788">
        <f t="shared" si="15"/>
        <v>41968.613761574103</v>
      </c>
      <c r="J123" s="1788" t="str">
        <f t="shared" si="16"/>
        <v/>
      </c>
      <c r="K123" s="1786">
        <v>0</v>
      </c>
      <c r="L123" s="1786" t="s">
        <v>1594</v>
      </c>
      <c r="M123" s="1786" t="s">
        <v>1653</v>
      </c>
      <c r="N123" s="1786" t="s">
        <v>1653</v>
      </c>
      <c r="O123" s="1786">
        <v>0</v>
      </c>
      <c r="P123" s="1786"/>
      <c r="Q123" s="1786">
        <v>0</v>
      </c>
      <c r="R123" s="1788"/>
      <c r="S123" s="1786">
        <f t="shared" si="17"/>
        <v>8700</v>
      </c>
      <c r="T123" s="1786" t="str">
        <f t="shared" si="18"/>
        <v>אפ.אמ.אר תפעול</v>
      </c>
      <c r="U123" s="1786" t="str">
        <f t="shared" si="19"/>
        <v xml:space="preserve">מור קרן השתלמות לשכירים ולעצמאים </v>
      </c>
      <c r="V123" s="1786" t="str">
        <f t="shared" si="20"/>
        <v>513834606</v>
      </c>
      <c r="W123" s="1789" t="str">
        <f t="shared" si="21"/>
        <v>מור קופות גמל בע"מ</v>
      </c>
      <c r="AC123" s="1761" t="s">
        <v>346</v>
      </c>
      <c r="AD123" s="1761"/>
      <c r="AE123" s="1762">
        <v>41968.613761574103</v>
      </c>
      <c r="AF123" s="1761" t="s">
        <v>2009</v>
      </c>
      <c r="AG123" s="1761" t="s">
        <v>1653</v>
      </c>
      <c r="AH123" s="1761" t="s">
        <v>1594</v>
      </c>
      <c r="AI123" s="1761" t="s">
        <v>5417</v>
      </c>
      <c r="AJ123" s="1761" t="s">
        <v>5418</v>
      </c>
      <c r="AK123" s="1761">
        <v>8702</v>
      </c>
      <c r="AL123" s="1761" t="s">
        <v>5414</v>
      </c>
      <c r="AM123" s="1761">
        <v>8700</v>
      </c>
      <c r="AN123" s="1761" t="s">
        <v>5338</v>
      </c>
      <c r="AO123" s="1764"/>
      <c r="AP123" s="1761" t="s">
        <v>5403</v>
      </c>
      <c r="AQ123" s="1761" t="s">
        <v>5404</v>
      </c>
      <c r="AR123" s="1761" t="s">
        <v>5405</v>
      </c>
      <c r="AS123" s="1761" t="s">
        <v>3736</v>
      </c>
      <c r="AT123" s="1761" t="s">
        <v>327</v>
      </c>
      <c r="AU123" s="1763"/>
      <c r="AV123" s="1763"/>
    </row>
    <row r="124" spans="1:48" ht="25" hidden="1">
      <c r="A124" s="1785" t="str">
        <f t="shared" si="11"/>
        <v>גמל</v>
      </c>
      <c r="B124" s="1786">
        <f t="shared" si="12"/>
        <v>9676</v>
      </c>
      <c r="C124" s="1787">
        <v>28946</v>
      </c>
      <c r="D124" s="1786" t="str">
        <f t="shared" si="13"/>
        <v>מור השתלמות קרן השתלמות לשכירים ולעצמאים  מעורב מחקה מדדים</v>
      </c>
      <c r="E124" s="1786" t="s">
        <v>3929</v>
      </c>
      <c r="F124" s="1786" t="s">
        <v>2958</v>
      </c>
      <c r="G124" s="1786" t="s">
        <v>2959</v>
      </c>
      <c r="H124" s="1786" t="str">
        <f t="shared" si="14"/>
        <v>פעיל</v>
      </c>
      <c r="I124" s="1788">
        <f t="shared" si="15"/>
        <v>41968.613761574103</v>
      </c>
      <c r="J124" s="1788" t="str">
        <f t="shared" si="16"/>
        <v/>
      </c>
      <c r="K124" s="1786">
        <v>0</v>
      </c>
      <c r="L124" s="1786" t="s">
        <v>1594</v>
      </c>
      <c r="M124" s="1786" t="s">
        <v>1653</v>
      </c>
      <c r="N124" s="1786" t="s">
        <v>1653</v>
      </c>
      <c r="O124" s="1786">
        <v>0</v>
      </c>
      <c r="P124" s="1786"/>
      <c r="Q124" s="1786">
        <v>0</v>
      </c>
      <c r="R124" s="1788"/>
      <c r="S124" s="1786">
        <f t="shared" si="17"/>
        <v>8700</v>
      </c>
      <c r="T124" s="1786" t="str">
        <f t="shared" si="18"/>
        <v>אפ.אמ.אר תפעול</v>
      </c>
      <c r="U124" s="1786" t="str">
        <f t="shared" si="19"/>
        <v xml:space="preserve">מור קרן השתלמות לשכירים ולעצמאים </v>
      </c>
      <c r="V124" s="1786" t="str">
        <f t="shared" si="20"/>
        <v>513834606</v>
      </c>
      <c r="W124" s="1789" t="str">
        <f t="shared" si="21"/>
        <v>מור קופות גמל בע"מ</v>
      </c>
      <c r="AC124" s="1759" t="s">
        <v>346</v>
      </c>
      <c r="AD124" s="1759"/>
      <c r="AE124" s="1760">
        <v>41968.613761574103</v>
      </c>
      <c r="AF124" s="1759" t="s">
        <v>1583</v>
      </c>
      <c r="AG124" s="1759" t="s">
        <v>1583</v>
      </c>
      <c r="AH124" s="1759" t="s">
        <v>1583</v>
      </c>
      <c r="AI124" s="1759" t="s">
        <v>5419</v>
      </c>
      <c r="AJ124" s="1759" t="s">
        <v>5420</v>
      </c>
      <c r="AK124" s="1759">
        <v>9676</v>
      </c>
      <c r="AL124" s="1759" t="s">
        <v>5414</v>
      </c>
      <c r="AM124" s="1759">
        <v>8700</v>
      </c>
      <c r="AN124" s="1759" t="s">
        <v>5338</v>
      </c>
      <c r="AO124" s="1764"/>
      <c r="AP124" s="1759" t="s">
        <v>5403</v>
      </c>
      <c r="AQ124" s="1759" t="s">
        <v>5404</v>
      </c>
      <c r="AR124" s="1759" t="s">
        <v>5405</v>
      </c>
      <c r="AS124" s="1759" t="s">
        <v>3736</v>
      </c>
      <c r="AT124" s="1759" t="s">
        <v>327</v>
      </c>
      <c r="AU124" s="1763"/>
      <c r="AV124" s="1763"/>
    </row>
    <row r="125" spans="1:48" ht="25" hidden="1">
      <c r="A125" s="1785" t="str">
        <f t="shared" si="11"/>
        <v>גמל</v>
      </c>
      <c r="B125" s="1786">
        <f t="shared" si="12"/>
        <v>8704</v>
      </c>
      <c r="C125" s="1787">
        <v>28946</v>
      </c>
      <c r="D125" s="1786" t="str">
        <f t="shared" si="13"/>
        <v>מור השתלמות - מסלול עוקב מדד "תל בונד 20"</v>
      </c>
      <c r="E125" s="1786" t="s">
        <v>3929</v>
      </c>
      <c r="F125" s="1786" t="s">
        <v>2958</v>
      </c>
      <c r="G125" s="1786" t="s">
        <v>2959</v>
      </c>
      <c r="H125" s="1786" t="str">
        <f t="shared" si="14"/>
        <v>פעיל</v>
      </c>
      <c r="I125" s="1788">
        <f t="shared" si="15"/>
        <v>41968.613761574103</v>
      </c>
      <c r="J125" s="1788" t="str">
        <f t="shared" si="16"/>
        <v/>
      </c>
      <c r="K125" s="1786">
        <v>0</v>
      </c>
      <c r="L125" s="1786" t="s">
        <v>1594</v>
      </c>
      <c r="M125" s="1786" t="s">
        <v>1653</v>
      </c>
      <c r="N125" s="1786" t="s">
        <v>1653</v>
      </c>
      <c r="O125" s="1786">
        <v>0</v>
      </c>
      <c r="P125" s="1786"/>
      <c r="Q125" s="1786">
        <v>0</v>
      </c>
      <c r="R125" s="1788"/>
      <c r="S125" s="1786">
        <f t="shared" si="17"/>
        <v>8700</v>
      </c>
      <c r="T125" s="1786" t="str">
        <f t="shared" si="18"/>
        <v>אפ.אמ.אר תפעול</v>
      </c>
      <c r="U125" s="1786" t="str">
        <f t="shared" si="19"/>
        <v xml:space="preserve">מור קרן השתלמות לשכירים ולעצמאים </v>
      </c>
      <c r="V125" s="1786" t="str">
        <f t="shared" si="20"/>
        <v>513834606</v>
      </c>
      <c r="W125" s="1789" t="str">
        <f t="shared" si="21"/>
        <v>מור קופות גמל בע"מ</v>
      </c>
      <c r="AC125" s="1761" t="s">
        <v>346</v>
      </c>
      <c r="AD125" s="1761"/>
      <c r="AE125" s="1762">
        <v>41968.613761574103</v>
      </c>
      <c r="AF125" s="1761" t="s">
        <v>3010</v>
      </c>
      <c r="AG125" s="1761" t="s">
        <v>1653</v>
      </c>
      <c r="AH125" s="1761" t="s">
        <v>1594</v>
      </c>
      <c r="AI125" s="1761" t="s">
        <v>5421</v>
      </c>
      <c r="AJ125" s="1761" t="s">
        <v>5422</v>
      </c>
      <c r="AK125" s="1761">
        <v>8704</v>
      </c>
      <c r="AL125" s="1761" t="s">
        <v>5414</v>
      </c>
      <c r="AM125" s="1761">
        <v>8700</v>
      </c>
      <c r="AN125" s="1761" t="s">
        <v>5338</v>
      </c>
      <c r="AO125" s="1764"/>
      <c r="AP125" s="1761" t="s">
        <v>5403</v>
      </c>
      <c r="AQ125" s="1761" t="s">
        <v>5404</v>
      </c>
      <c r="AR125" s="1761" t="s">
        <v>5405</v>
      </c>
      <c r="AS125" s="1761" t="s">
        <v>3736</v>
      </c>
      <c r="AT125" s="1761" t="s">
        <v>327</v>
      </c>
      <c r="AU125" s="1763"/>
      <c r="AV125" s="1763"/>
    </row>
    <row r="126" spans="1:48" ht="25" hidden="1">
      <c r="A126" s="1785" t="str">
        <f t="shared" si="11"/>
        <v>גמל</v>
      </c>
      <c r="B126" s="1786">
        <f t="shared" si="12"/>
        <v>8705</v>
      </c>
      <c r="C126" s="1787">
        <v>28946</v>
      </c>
      <c r="D126" s="1786" t="str">
        <f t="shared" si="13"/>
        <v>מור השתלמות - מסלול מזומן</v>
      </c>
      <c r="E126" s="1786" t="s">
        <v>3929</v>
      </c>
      <c r="F126" s="1786" t="s">
        <v>2958</v>
      </c>
      <c r="G126" s="1786" t="s">
        <v>2959</v>
      </c>
      <c r="H126" s="1786" t="str">
        <f t="shared" si="14"/>
        <v>פעיל</v>
      </c>
      <c r="I126" s="1788">
        <f t="shared" si="15"/>
        <v>41968.613761574103</v>
      </c>
      <c r="J126" s="1788" t="str">
        <f t="shared" si="16"/>
        <v/>
      </c>
      <c r="K126" s="1786">
        <v>0</v>
      </c>
      <c r="L126" s="1786" t="s">
        <v>1594</v>
      </c>
      <c r="M126" s="1786" t="s">
        <v>1653</v>
      </c>
      <c r="N126" s="1786" t="s">
        <v>1653</v>
      </c>
      <c r="O126" s="1786">
        <v>0</v>
      </c>
      <c r="P126" s="1786"/>
      <c r="Q126" s="1786">
        <v>0</v>
      </c>
      <c r="R126" s="1788"/>
      <c r="S126" s="1786">
        <f t="shared" si="17"/>
        <v>8700</v>
      </c>
      <c r="T126" s="1786" t="str">
        <f t="shared" si="18"/>
        <v>אפ.אמ.אר תפעול</v>
      </c>
      <c r="U126" s="1786" t="str">
        <f t="shared" si="19"/>
        <v xml:space="preserve">מור קרן השתלמות לשכירים ולעצמאים </v>
      </c>
      <c r="V126" s="1786" t="str">
        <f t="shared" si="20"/>
        <v>513834606</v>
      </c>
      <c r="W126" s="1789" t="str">
        <f t="shared" si="21"/>
        <v>מור קופות גמל בע"מ</v>
      </c>
      <c r="AC126" s="1759" t="s">
        <v>346</v>
      </c>
      <c r="AD126" s="1759"/>
      <c r="AE126" s="1760">
        <v>41968.613761574103</v>
      </c>
      <c r="AF126" s="1759" t="s">
        <v>2409</v>
      </c>
      <c r="AG126" s="1759" t="s">
        <v>1614</v>
      </c>
      <c r="AH126" s="1759" t="s">
        <v>1594</v>
      </c>
      <c r="AI126" s="1759" t="s">
        <v>5423</v>
      </c>
      <c r="AJ126" s="1759" t="s">
        <v>5424</v>
      </c>
      <c r="AK126" s="1759">
        <v>8705</v>
      </c>
      <c r="AL126" s="1759" t="s">
        <v>5414</v>
      </c>
      <c r="AM126" s="1759">
        <v>8700</v>
      </c>
      <c r="AN126" s="1759" t="s">
        <v>5338</v>
      </c>
      <c r="AO126" s="1764"/>
      <c r="AP126" s="1759" t="s">
        <v>5403</v>
      </c>
      <c r="AQ126" s="1759" t="s">
        <v>5404</v>
      </c>
      <c r="AR126" s="1759" t="s">
        <v>5405</v>
      </c>
      <c r="AS126" s="1759" t="s">
        <v>3736</v>
      </c>
      <c r="AT126" s="1759" t="s">
        <v>327</v>
      </c>
      <c r="AU126" s="1763"/>
      <c r="AV126" s="1763"/>
    </row>
    <row r="127" spans="1:48" ht="25" hidden="1">
      <c r="A127" s="1785" t="str">
        <f t="shared" si="11"/>
        <v>גמל</v>
      </c>
      <c r="B127" s="1786">
        <f t="shared" si="12"/>
        <v>9451</v>
      </c>
      <c r="C127" s="1787">
        <v>28946</v>
      </c>
      <c r="D127" s="1786" t="str">
        <f t="shared" si="13"/>
        <v>מור השתלמות - מסלול מניות בארה"ב העוקב אחר מדד S&amp;P500</v>
      </c>
      <c r="E127" s="1786" t="s">
        <v>3929</v>
      </c>
      <c r="F127" s="1786" t="s">
        <v>2958</v>
      </c>
      <c r="G127" s="1786" t="s">
        <v>2959</v>
      </c>
      <c r="H127" s="1786" t="str">
        <f t="shared" si="14"/>
        <v>פעיל</v>
      </c>
      <c r="I127" s="1788">
        <f t="shared" si="15"/>
        <v>41968.613761574103</v>
      </c>
      <c r="J127" s="1788" t="str">
        <f t="shared" si="16"/>
        <v/>
      </c>
      <c r="K127" s="1786">
        <v>0</v>
      </c>
      <c r="L127" s="1786" t="s">
        <v>1594</v>
      </c>
      <c r="M127" s="1786" t="s">
        <v>1653</v>
      </c>
      <c r="N127" s="1786" t="s">
        <v>1653</v>
      </c>
      <c r="O127" s="1786">
        <v>0</v>
      </c>
      <c r="P127" s="1786"/>
      <c r="Q127" s="1786">
        <v>0</v>
      </c>
      <c r="R127" s="1788"/>
      <c r="S127" s="1786">
        <f t="shared" si="17"/>
        <v>8700</v>
      </c>
      <c r="T127" s="1786" t="str">
        <f t="shared" si="18"/>
        <v>אפ.אמ.אר תפעול</v>
      </c>
      <c r="U127" s="1786" t="str">
        <f t="shared" si="19"/>
        <v xml:space="preserve">מור קרן השתלמות לשכירים ולעצמאים </v>
      </c>
      <c r="V127" s="1786" t="str">
        <f t="shared" si="20"/>
        <v>513834606</v>
      </c>
      <c r="W127" s="1789" t="str">
        <f t="shared" si="21"/>
        <v>מור קופות גמל בע"מ</v>
      </c>
      <c r="AC127" s="1761" t="s">
        <v>346</v>
      </c>
      <c r="AD127" s="1761"/>
      <c r="AE127" s="1762">
        <v>41968.613761574103</v>
      </c>
      <c r="AF127" s="1761" t="s">
        <v>1948</v>
      </c>
      <c r="AG127" s="1761" t="s">
        <v>75</v>
      </c>
      <c r="AH127" s="1761" t="s">
        <v>1594</v>
      </c>
      <c r="AI127" s="1761" t="s">
        <v>5425</v>
      </c>
      <c r="AJ127" s="1761" t="s">
        <v>5426</v>
      </c>
      <c r="AK127" s="1761">
        <v>9451</v>
      </c>
      <c r="AL127" s="1761" t="s">
        <v>5414</v>
      </c>
      <c r="AM127" s="1761">
        <v>8700</v>
      </c>
      <c r="AN127" s="1761" t="s">
        <v>5338</v>
      </c>
      <c r="AO127" s="1764"/>
      <c r="AP127" s="1761" t="s">
        <v>5403</v>
      </c>
      <c r="AQ127" s="1761" t="s">
        <v>5404</v>
      </c>
      <c r="AR127" s="1761" t="s">
        <v>5405</v>
      </c>
      <c r="AS127" s="1761" t="s">
        <v>3736</v>
      </c>
      <c r="AT127" s="1761" t="s">
        <v>327</v>
      </c>
      <c r="AU127" s="1763"/>
      <c r="AV127" s="1763"/>
    </row>
    <row r="128" spans="1:48" ht="25" hidden="1">
      <c r="A128" s="1785" t="str">
        <f t="shared" si="11"/>
        <v>גמל</v>
      </c>
      <c r="B128" s="1786">
        <f t="shared" si="12"/>
        <v>12536</v>
      </c>
      <c r="C128" s="1787">
        <v>28946</v>
      </c>
      <c r="D128" s="1786" t="str">
        <f t="shared" si="13"/>
        <v xml:space="preserve">מור השתלמות קרן השתלמות לשכירים ולעצמאים  מניות </v>
      </c>
      <c r="E128" s="1786" t="s">
        <v>3929</v>
      </c>
      <c r="F128" s="1786" t="s">
        <v>2958</v>
      </c>
      <c r="G128" s="1786" t="s">
        <v>2959</v>
      </c>
      <c r="H128" s="1786" t="str">
        <f t="shared" si="14"/>
        <v>פעיל</v>
      </c>
      <c r="I128" s="1788">
        <f t="shared" si="15"/>
        <v>41968.613761574103</v>
      </c>
      <c r="J128" s="1788" t="str">
        <f t="shared" si="16"/>
        <v/>
      </c>
      <c r="K128" s="1786">
        <v>0</v>
      </c>
      <c r="L128" s="1786" t="s">
        <v>1594</v>
      </c>
      <c r="M128" s="1786" t="s">
        <v>1653</v>
      </c>
      <c r="N128" s="1786" t="s">
        <v>1653</v>
      </c>
      <c r="O128" s="1786">
        <v>0</v>
      </c>
      <c r="P128" s="1786"/>
      <c r="Q128" s="1786">
        <v>0</v>
      </c>
      <c r="R128" s="1788"/>
      <c r="S128" s="1786">
        <f t="shared" si="17"/>
        <v>8700</v>
      </c>
      <c r="T128" s="1786" t="str">
        <f t="shared" si="18"/>
        <v>אפ.אמ.אר תפעול</v>
      </c>
      <c r="U128" s="1786" t="str">
        <f t="shared" si="19"/>
        <v xml:space="preserve">מור קרן השתלמות לשכירים ולעצמאים </v>
      </c>
      <c r="V128" s="1786" t="str">
        <f t="shared" si="20"/>
        <v>513834606</v>
      </c>
      <c r="W128" s="1789" t="str">
        <f t="shared" si="21"/>
        <v>מור קופות גמל בע"מ</v>
      </c>
      <c r="AC128" s="1759" t="s">
        <v>346</v>
      </c>
      <c r="AD128" s="1759"/>
      <c r="AE128" s="1760">
        <v>41968.613761574103</v>
      </c>
      <c r="AF128" s="1759" t="s">
        <v>1595</v>
      </c>
      <c r="AG128" s="1759" t="s">
        <v>75</v>
      </c>
      <c r="AH128" s="1759" t="s">
        <v>1594</v>
      </c>
      <c r="AI128" s="1759" t="s">
        <v>5427</v>
      </c>
      <c r="AJ128" s="1759" t="s">
        <v>5428</v>
      </c>
      <c r="AK128" s="1759">
        <v>12536</v>
      </c>
      <c r="AL128" s="1759" t="s">
        <v>5414</v>
      </c>
      <c r="AM128" s="1759">
        <v>8700</v>
      </c>
      <c r="AN128" s="1759" t="s">
        <v>5338</v>
      </c>
      <c r="AO128" s="1764"/>
      <c r="AP128" s="1759" t="s">
        <v>5403</v>
      </c>
      <c r="AQ128" s="1759" t="s">
        <v>5404</v>
      </c>
      <c r="AR128" s="1759" t="s">
        <v>5405</v>
      </c>
      <c r="AS128" s="1759" t="s">
        <v>3736</v>
      </c>
      <c r="AT128" s="1759" t="s">
        <v>327</v>
      </c>
      <c r="AU128" s="1763"/>
      <c r="AV128" s="1763"/>
    </row>
    <row r="129" spans="1:48" ht="25" hidden="1">
      <c r="A129" s="1785" t="str">
        <f t="shared" si="11"/>
        <v>גמל</v>
      </c>
      <c r="B129" s="1786">
        <f t="shared" si="12"/>
        <v>12535</v>
      </c>
      <c r="C129" s="1787">
        <v>28946</v>
      </c>
      <c r="D129" s="1786" t="str">
        <f t="shared" si="13"/>
        <v xml:space="preserve">מור השתלמות קרן השתלמות לשכירים ולעצמאים כללי </v>
      </c>
      <c r="E129" s="1786" t="s">
        <v>3929</v>
      </c>
      <c r="F129" s="1786" t="s">
        <v>2958</v>
      </c>
      <c r="G129" s="1786" t="s">
        <v>2959</v>
      </c>
      <c r="H129" s="1786" t="str">
        <f t="shared" si="14"/>
        <v>פעיל</v>
      </c>
      <c r="I129" s="1788">
        <f t="shared" si="15"/>
        <v>41968.613761574103</v>
      </c>
      <c r="J129" s="1788" t="str">
        <f t="shared" si="16"/>
        <v/>
      </c>
      <c r="K129" s="1786">
        <v>0</v>
      </c>
      <c r="L129" s="1786" t="s">
        <v>1594</v>
      </c>
      <c r="M129" s="1786" t="s">
        <v>1653</v>
      </c>
      <c r="N129" s="1786" t="s">
        <v>1653</v>
      </c>
      <c r="O129" s="1786">
        <v>0</v>
      </c>
      <c r="P129" s="1786"/>
      <c r="Q129" s="1786">
        <v>0</v>
      </c>
      <c r="R129" s="1788"/>
      <c r="S129" s="1786">
        <f t="shared" si="17"/>
        <v>8700</v>
      </c>
      <c r="T129" s="1786" t="str">
        <f t="shared" si="18"/>
        <v>אפ.אמ.אר תפעול</v>
      </c>
      <c r="U129" s="1786" t="str">
        <f t="shared" si="19"/>
        <v xml:space="preserve">מור קרן השתלמות לשכירים ולעצמאים </v>
      </c>
      <c r="V129" s="1786" t="str">
        <f t="shared" si="20"/>
        <v>513834606</v>
      </c>
      <c r="W129" s="1789" t="str">
        <f t="shared" si="21"/>
        <v>מור קופות גמל בע"מ</v>
      </c>
      <c r="AC129" s="1761" t="s">
        <v>346</v>
      </c>
      <c r="AD129" s="1761"/>
      <c r="AE129" s="1762">
        <v>41968.613761574103</v>
      </c>
      <c r="AF129" s="1761" t="s">
        <v>1583</v>
      </c>
      <c r="AG129" s="1761" t="s">
        <v>1583</v>
      </c>
      <c r="AH129" s="1761" t="s">
        <v>1583</v>
      </c>
      <c r="AI129" s="1761" t="s">
        <v>5429</v>
      </c>
      <c r="AJ129" s="1761" t="s">
        <v>5430</v>
      </c>
      <c r="AK129" s="1761">
        <v>12535</v>
      </c>
      <c r="AL129" s="1761" t="s">
        <v>5414</v>
      </c>
      <c r="AM129" s="1761">
        <v>8700</v>
      </c>
      <c r="AN129" s="1761" t="s">
        <v>5338</v>
      </c>
      <c r="AO129" s="1764"/>
      <c r="AP129" s="1761" t="s">
        <v>5403</v>
      </c>
      <c r="AQ129" s="1761" t="s">
        <v>5404</v>
      </c>
      <c r="AR129" s="1761" t="s">
        <v>5405</v>
      </c>
      <c r="AS129" s="1761" t="s">
        <v>3736</v>
      </c>
      <c r="AT129" s="1761" t="s">
        <v>327</v>
      </c>
      <c r="AU129" s="1763"/>
      <c r="AV129" s="1763"/>
    </row>
    <row r="130" spans="1:48" ht="25" hidden="1">
      <c r="A130" s="1785" t="str">
        <f t="shared" si="11"/>
        <v>גמל</v>
      </c>
      <c r="B130" s="1786">
        <f t="shared" si="12"/>
        <v>8703</v>
      </c>
      <c r="C130" s="1787">
        <v>28946</v>
      </c>
      <c r="D130" s="1786" t="str">
        <f t="shared" si="13"/>
        <v>מור השתלמות - מסלול עוקב מדד "שקליות ריבית קבועה ממשלתיות"</v>
      </c>
      <c r="E130" s="1786" t="s">
        <v>3929</v>
      </c>
      <c r="F130" s="1786" t="s">
        <v>2958</v>
      </c>
      <c r="G130" s="1786" t="s">
        <v>2959</v>
      </c>
      <c r="H130" s="1786" t="str">
        <f t="shared" si="14"/>
        <v>פעיל</v>
      </c>
      <c r="I130" s="1788">
        <f t="shared" si="15"/>
        <v>41968.613761574103</v>
      </c>
      <c r="J130" s="1788" t="str">
        <f t="shared" si="16"/>
        <v/>
      </c>
      <c r="K130" s="1786">
        <v>0</v>
      </c>
      <c r="L130" s="1786" t="s">
        <v>1594</v>
      </c>
      <c r="M130" s="1786" t="s">
        <v>1653</v>
      </c>
      <c r="N130" s="1786" t="s">
        <v>1653</v>
      </c>
      <c r="O130" s="1786">
        <v>0</v>
      </c>
      <c r="P130" s="1786"/>
      <c r="Q130" s="1786">
        <v>0</v>
      </c>
      <c r="R130" s="1788"/>
      <c r="S130" s="1786">
        <f t="shared" si="17"/>
        <v>8700</v>
      </c>
      <c r="T130" s="1786" t="str">
        <f t="shared" si="18"/>
        <v>אפ.אמ.אר תפעול</v>
      </c>
      <c r="U130" s="1786" t="str">
        <f t="shared" si="19"/>
        <v xml:space="preserve">מור קרן השתלמות לשכירים ולעצמאים </v>
      </c>
      <c r="V130" s="1786" t="str">
        <f t="shared" si="20"/>
        <v>513834606</v>
      </c>
      <c r="W130" s="1789" t="str">
        <f t="shared" si="21"/>
        <v>מור קופות גמל בע"מ</v>
      </c>
      <c r="AC130" s="1759" t="s">
        <v>346</v>
      </c>
      <c r="AD130" s="1759"/>
      <c r="AE130" s="1760">
        <v>41968.613761574103</v>
      </c>
      <c r="AF130" s="1759" t="s">
        <v>2009</v>
      </c>
      <c r="AG130" s="1759" t="s">
        <v>1653</v>
      </c>
      <c r="AH130" s="1759" t="s">
        <v>1594</v>
      </c>
      <c r="AI130" s="1759" t="s">
        <v>5431</v>
      </c>
      <c r="AJ130" s="1759" t="s">
        <v>5432</v>
      </c>
      <c r="AK130" s="1759">
        <v>8703</v>
      </c>
      <c r="AL130" s="1759" t="s">
        <v>5414</v>
      </c>
      <c r="AM130" s="1759">
        <v>8700</v>
      </c>
      <c r="AN130" s="1759" t="s">
        <v>5338</v>
      </c>
      <c r="AO130" s="1764"/>
      <c r="AP130" s="1759" t="s">
        <v>5403</v>
      </c>
      <c r="AQ130" s="1759" t="s">
        <v>5404</v>
      </c>
      <c r="AR130" s="1759" t="s">
        <v>5405</v>
      </c>
      <c r="AS130" s="1759" t="s">
        <v>3736</v>
      </c>
      <c r="AT130" s="1759" t="s">
        <v>327</v>
      </c>
      <c r="AU130" s="1763"/>
      <c r="AV130" s="1763"/>
    </row>
    <row r="131" spans="1:48" ht="50" hidden="1">
      <c r="A131" s="1785" t="str">
        <f t="shared" si="11"/>
        <v>גמל</v>
      </c>
      <c r="B131" s="1786">
        <f t="shared" si="12"/>
        <v>12531</v>
      </c>
      <c r="C131" s="1787">
        <v>28946</v>
      </c>
      <c r="D131" s="1786" t="str">
        <f t="shared" si="13"/>
        <v xml:space="preserve">אלפא מור קופת גמל לתגמולים ואישית לפיצויים וקופת גמל לא משלמת לקצבה מניות </v>
      </c>
      <c r="E131" s="1786" t="s">
        <v>3929</v>
      </c>
      <c r="F131" s="1786" t="s">
        <v>2958</v>
      </c>
      <c r="G131" s="1786" t="s">
        <v>2959</v>
      </c>
      <c r="H131" s="1786" t="str">
        <f t="shared" si="14"/>
        <v>פעיל</v>
      </c>
      <c r="I131" s="1788">
        <f t="shared" si="15"/>
        <v>41968.606423611098</v>
      </c>
      <c r="J131" s="1788" t="str">
        <f t="shared" si="16"/>
        <v/>
      </c>
      <c r="K131" s="1786">
        <v>0</v>
      </c>
      <c r="L131" s="1786" t="s">
        <v>1594</v>
      </c>
      <c r="M131" s="1786" t="s">
        <v>1653</v>
      </c>
      <c r="N131" s="1786" t="s">
        <v>1653</v>
      </c>
      <c r="O131" s="1786">
        <v>0</v>
      </c>
      <c r="P131" s="1786"/>
      <c r="Q131" s="1786">
        <v>0</v>
      </c>
      <c r="R131" s="1788"/>
      <c r="S131" s="1786">
        <f t="shared" si="17"/>
        <v>8694</v>
      </c>
      <c r="T131" s="1786" t="str">
        <f t="shared" si="18"/>
        <v>אפ.אמ.אר תפעול</v>
      </c>
      <c r="U131" s="1786" t="str">
        <f t="shared" si="19"/>
        <v>אלפא מור קופת גמל לתגמולים ואישית לפיצויים וקופת גמל לא משלמת לקצבה</v>
      </c>
      <c r="V131" s="1786" t="str">
        <f t="shared" si="20"/>
        <v>513834606</v>
      </c>
      <c r="W131" s="1789" t="str">
        <f t="shared" si="21"/>
        <v>מור קופות גמל בע"מ</v>
      </c>
      <c r="AC131" s="1761" t="s">
        <v>346</v>
      </c>
      <c r="AD131" s="1761"/>
      <c r="AE131" s="1762">
        <v>41968.606423611098</v>
      </c>
      <c r="AF131" s="1761" t="s">
        <v>1595</v>
      </c>
      <c r="AG131" s="1761" t="s">
        <v>75</v>
      </c>
      <c r="AH131" s="1761" t="s">
        <v>1594</v>
      </c>
      <c r="AI131" s="1761" t="s">
        <v>5433</v>
      </c>
      <c r="AJ131" s="1761" t="s">
        <v>5434</v>
      </c>
      <c r="AK131" s="1761">
        <v>12531</v>
      </c>
      <c r="AL131" s="1761" t="s">
        <v>5435</v>
      </c>
      <c r="AM131" s="1761">
        <v>8694</v>
      </c>
      <c r="AN131" s="1761" t="s">
        <v>5338</v>
      </c>
      <c r="AO131" s="1764"/>
      <c r="AP131" s="1761" t="s">
        <v>5403</v>
      </c>
      <c r="AQ131" s="1761" t="s">
        <v>5404</v>
      </c>
      <c r="AR131" s="1761" t="s">
        <v>5405</v>
      </c>
      <c r="AS131" s="1761" t="s">
        <v>3736</v>
      </c>
      <c r="AT131" s="1761" t="s">
        <v>327</v>
      </c>
      <c r="AU131" s="1763"/>
      <c r="AV131" s="1763"/>
    </row>
    <row r="132" spans="1:48" ht="50" hidden="1">
      <c r="A132" s="1785" t="str">
        <f t="shared" si="11"/>
        <v>גמל</v>
      </c>
      <c r="B132" s="1786">
        <f t="shared" si="12"/>
        <v>9677</v>
      </c>
      <c r="C132" s="1787">
        <v>28946</v>
      </c>
      <c r="D132" s="1786" t="str">
        <f t="shared" si="13"/>
        <v>אלפא מור קופת גמל לתגמולים ואישית לפיצויים וקופת גמל לא משלמת לקצבה מעורב מחקה מדדים</v>
      </c>
      <c r="E132" s="1786" t="s">
        <v>3929</v>
      </c>
      <c r="F132" s="1786" t="s">
        <v>2958</v>
      </c>
      <c r="G132" s="1786" t="s">
        <v>2959</v>
      </c>
      <c r="H132" s="1786" t="str">
        <f t="shared" si="14"/>
        <v>פעיל</v>
      </c>
      <c r="I132" s="1788">
        <f t="shared" si="15"/>
        <v>41968.606423611098</v>
      </c>
      <c r="J132" s="1788" t="str">
        <f t="shared" si="16"/>
        <v/>
      </c>
      <c r="K132" s="1786">
        <v>0</v>
      </c>
      <c r="L132" s="1786" t="s">
        <v>1594</v>
      </c>
      <c r="M132" s="1786" t="s">
        <v>1653</v>
      </c>
      <c r="N132" s="1786" t="s">
        <v>1653</v>
      </c>
      <c r="O132" s="1786">
        <v>0</v>
      </c>
      <c r="P132" s="1786"/>
      <c r="Q132" s="1786">
        <v>0</v>
      </c>
      <c r="R132" s="1788"/>
      <c r="S132" s="1786">
        <f t="shared" si="17"/>
        <v>8694</v>
      </c>
      <c r="T132" s="1786" t="str">
        <f t="shared" si="18"/>
        <v>אפ.אמ.אר תפעול</v>
      </c>
      <c r="U132" s="1786" t="str">
        <f t="shared" si="19"/>
        <v>אלפא מור קופת גמל לתגמולים ואישית לפיצויים וקופת גמל לא משלמת לקצבה</v>
      </c>
      <c r="V132" s="1786" t="str">
        <f t="shared" si="20"/>
        <v>513834606</v>
      </c>
      <c r="W132" s="1789" t="str">
        <f t="shared" si="21"/>
        <v>מור קופות גמל בע"מ</v>
      </c>
      <c r="AC132" s="1759" t="s">
        <v>346</v>
      </c>
      <c r="AD132" s="1759"/>
      <c r="AE132" s="1760">
        <v>41968.606423611098</v>
      </c>
      <c r="AF132" s="1759" t="s">
        <v>1583</v>
      </c>
      <c r="AG132" s="1759" t="s">
        <v>1583</v>
      </c>
      <c r="AH132" s="1759" t="s">
        <v>1583</v>
      </c>
      <c r="AI132" s="1759" t="s">
        <v>5436</v>
      </c>
      <c r="AJ132" s="1759" t="s">
        <v>5437</v>
      </c>
      <c r="AK132" s="1759">
        <v>9677</v>
      </c>
      <c r="AL132" s="1759" t="s">
        <v>5435</v>
      </c>
      <c r="AM132" s="1759">
        <v>8694</v>
      </c>
      <c r="AN132" s="1759" t="s">
        <v>5338</v>
      </c>
      <c r="AO132" s="1764"/>
      <c r="AP132" s="1759" t="s">
        <v>5403</v>
      </c>
      <c r="AQ132" s="1759" t="s">
        <v>5404</v>
      </c>
      <c r="AR132" s="1759" t="s">
        <v>5405</v>
      </c>
      <c r="AS132" s="1759" t="s">
        <v>3736</v>
      </c>
      <c r="AT132" s="1759" t="s">
        <v>327</v>
      </c>
      <c r="AU132" s="1763"/>
      <c r="AV132" s="1763"/>
    </row>
    <row r="133" spans="1:48" ht="50" hidden="1">
      <c r="A133" s="1785" t="str">
        <f t="shared" si="11"/>
        <v>גמל</v>
      </c>
      <c r="B133" s="1786">
        <f t="shared" si="12"/>
        <v>12533</v>
      </c>
      <c r="C133" s="1787">
        <v>28946</v>
      </c>
      <c r="D133" s="1786" t="str">
        <f t="shared" si="13"/>
        <v>אלפא מור קופת גמל לתגמולים ואישית לפיצויים וקופת גמל לא משלמת לקצבה מדרגות 50-60</v>
      </c>
      <c r="E133" s="1786" t="s">
        <v>3929</v>
      </c>
      <c r="F133" s="1786" t="s">
        <v>2958</v>
      </c>
      <c r="G133" s="1786" t="s">
        <v>2959</v>
      </c>
      <c r="H133" s="1786" t="str">
        <f t="shared" si="14"/>
        <v>פעיל</v>
      </c>
      <c r="I133" s="1788">
        <f t="shared" si="15"/>
        <v>41968.606423611098</v>
      </c>
      <c r="J133" s="1788" t="str">
        <f t="shared" si="16"/>
        <v/>
      </c>
      <c r="K133" s="1786">
        <v>0</v>
      </c>
      <c r="L133" s="1786" t="s">
        <v>1594</v>
      </c>
      <c r="M133" s="1786" t="s">
        <v>1653</v>
      </c>
      <c r="N133" s="1786" t="s">
        <v>1653</v>
      </c>
      <c r="O133" s="1786">
        <v>0</v>
      </c>
      <c r="P133" s="1786"/>
      <c r="Q133" s="1786">
        <v>0</v>
      </c>
      <c r="R133" s="1788"/>
      <c r="S133" s="1786">
        <f t="shared" si="17"/>
        <v>8694</v>
      </c>
      <c r="T133" s="1786" t="str">
        <f t="shared" si="18"/>
        <v>אפ.אמ.אר תפעול</v>
      </c>
      <c r="U133" s="1786" t="str">
        <f t="shared" si="19"/>
        <v>אלפא מור קופת גמל לתגמולים ואישית לפיצויים וקופת גמל לא משלמת לקצבה</v>
      </c>
      <c r="V133" s="1786" t="str">
        <f t="shared" si="20"/>
        <v>513834606</v>
      </c>
      <c r="W133" s="1789" t="str">
        <f t="shared" si="21"/>
        <v>מור קופות גמל בע"מ</v>
      </c>
      <c r="AC133" s="1761" t="s">
        <v>346</v>
      </c>
      <c r="AD133" s="1761"/>
      <c r="AE133" s="1762">
        <v>41968.606423611098</v>
      </c>
      <c r="AF133" s="1761" t="s">
        <v>3932</v>
      </c>
      <c r="AG133" s="1761" t="s">
        <v>3931</v>
      </c>
      <c r="AH133" s="1761" t="s">
        <v>3658</v>
      </c>
      <c r="AI133" s="1761" t="s">
        <v>5438</v>
      </c>
      <c r="AJ133" s="1761" t="s">
        <v>5439</v>
      </c>
      <c r="AK133" s="1761">
        <v>12533</v>
      </c>
      <c r="AL133" s="1761" t="s">
        <v>5435</v>
      </c>
      <c r="AM133" s="1761">
        <v>8694</v>
      </c>
      <c r="AN133" s="1761" t="s">
        <v>5338</v>
      </c>
      <c r="AO133" s="1764"/>
      <c r="AP133" s="1761" t="s">
        <v>5403</v>
      </c>
      <c r="AQ133" s="1761" t="s">
        <v>5404</v>
      </c>
      <c r="AR133" s="1761" t="s">
        <v>5405</v>
      </c>
      <c r="AS133" s="1761" t="s">
        <v>3736</v>
      </c>
      <c r="AT133" s="1761" t="s">
        <v>327</v>
      </c>
      <c r="AU133" s="1763"/>
      <c r="AV133" s="1763"/>
    </row>
    <row r="134" spans="1:48" ht="50" hidden="1">
      <c r="A134" s="1785" t="str">
        <f t="shared" si="11"/>
        <v>גמל</v>
      </c>
      <c r="B134" s="1786">
        <f t="shared" si="12"/>
        <v>12534</v>
      </c>
      <c r="C134" s="1787">
        <v>28946</v>
      </c>
      <c r="D134" s="1786" t="str">
        <f t="shared" si="13"/>
        <v>אלפא מור קופת גמל לתגמולים ואישית לפיצויים וקופת גמל לא משלמת לקצבה מדרגות 60 ומעלה</v>
      </c>
      <c r="E134" s="1786" t="s">
        <v>3929</v>
      </c>
      <c r="F134" s="1786" t="s">
        <v>2958</v>
      </c>
      <c r="G134" s="1786" t="s">
        <v>2959</v>
      </c>
      <c r="H134" s="1786" t="str">
        <f t="shared" si="14"/>
        <v>פעיל</v>
      </c>
      <c r="I134" s="1788">
        <f t="shared" si="15"/>
        <v>41968.606423611098</v>
      </c>
      <c r="J134" s="1788" t="str">
        <f t="shared" si="16"/>
        <v/>
      </c>
      <c r="K134" s="1786">
        <v>0</v>
      </c>
      <c r="L134" s="1786" t="s">
        <v>1594</v>
      </c>
      <c r="M134" s="1786" t="s">
        <v>1653</v>
      </c>
      <c r="N134" s="1786" t="s">
        <v>1653</v>
      </c>
      <c r="O134" s="1786">
        <v>0</v>
      </c>
      <c r="P134" s="1786"/>
      <c r="Q134" s="1786">
        <v>0</v>
      </c>
      <c r="R134" s="1788"/>
      <c r="S134" s="1786">
        <f t="shared" si="17"/>
        <v>8694</v>
      </c>
      <c r="T134" s="1786" t="str">
        <f t="shared" si="18"/>
        <v>אפ.אמ.אר תפעול</v>
      </c>
      <c r="U134" s="1786" t="str">
        <f t="shared" si="19"/>
        <v>אלפא מור קופת גמל לתגמולים ואישית לפיצויים וקופת גמל לא משלמת לקצבה</v>
      </c>
      <c r="V134" s="1786" t="str">
        <f t="shared" si="20"/>
        <v>513834606</v>
      </c>
      <c r="W134" s="1789" t="str">
        <f t="shared" si="21"/>
        <v>מור קופות גמל בע"מ</v>
      </c>
      <c r="AC134" s="1759" t="s">
        <v>346</v>
      </c>
      <c r="AD134" s="1759"/>
      <c r="AE134" s="1760">
        <v>41968.606423611098</v>
      </c>
      <c r="AF134" s="1759" t="s">
        <v>3963</v>
      </c>
      <c r="AG134" s="1759" t="s">
        <v>3931</v>
      </c>
      <c r="AH134" s="1759" t="s">
        <v>3658</v>
      </c>
      <c r="AI134" s="1759" t="s">
        <v>5440</v>
      </c>
      <c r="AJ134" s="1759" t="s">
        <v>5441</v>
      </c>
      <c r="AK134" s="1759">
        <v>12534</v>
      </c>
      <c r="AL134" s="1759" t="s">
        <v>5435</v>
      </c>
      <c r="AM134" s="1759">
        <v>8694</v>
      </c>
      <c r="AN134" s="1759" t="s">
        <v>5338</v>
      </c>
      <c r="AO134" s="1764"/>
      <c r="AP134" s="1759" t="s">
        <v>5403</v>
      </c>
      <c r="AQ134" s="1759" t="s">
        <v>5404</v>
      </c>
      <c r="AR134" s="1759" t="s">
        <v>5405</v>
      </c>
      <c r="AS134" s="1759" t="s">
        <v>3736</v>
      </c>
      <c r="AT134" s="1759" t="s">
        <v>327</v>
      </c>
      <c r="AU134" s="1763"/>
      <c r="AV134" s="1763"/>
    </row>
    <row r="135" spans="1:48" ht="50" hidden="1">
      <c r="A135" s="1785" t="str">
        <f t="shared" si="11"/>
        <v>גמל</v>
      </c>
      <c r="B135" s="1786">
        <f t="shared" si="12"/>
        <v>12957</v>
      </c>
      <c r="C135" s="1787">
        <v>28946</v>
      </c>
      <c r="D135" s="1786" t="str">
        <f t="shared" si="13"/>
        <v>אלפא מור קופת גמל לתגמולים ואישית לפיצויים וקופת גמל לא משלמת לקצבה אג"ח עד 25% במניות</v>
      </c>
      <c r="E135" s="1786" t="s">
        <v>3929</v>
      </c>
      <c r="F135" s="1786" t="s">
        <v>2958</v>
      </c>
      <c r="G135" s="1786" t="s">
        <v>2959</v>
      </c>
      <c r="H135" s="1786" t="str">
        <f t="shared" si="14"/>
        <v>פעיל</v>
      </c>
      <c r="I135" s="1788">
        <f t="shared" si="15"/>
        <v>41968.606423611098</v>
      </c>
      <c r="J135" s="1788" t="str">
        <f t="shared" si="16"/>
        <v/>
      </c>
      <c r="K135" s="1786">
        <v>0</v>
      </c>
      <c r="L135" s="1786" t="s">
        <v>1594</v>
      </c>
      <c r="M135" s="1786" t="s">
        <v>1653</v>
      </c>
      <c r="N135" s="1786" t="s">
        <v>1653</v>
      </c>
      <c r="O135" s="1786">
        <v>0</v>
      </c>
      <c r="P135" s="1786"/>
      <c r="Q135" s="1786">
        <v>0</v>
      </c>
      <c r="R135" s="1788"/>
      <c r="S135" s="1786">
        <f t="shared" si="17"/>
        <v>8694</v>
      </c>
      <c r="T135" s="1786" t="str">
        <f t="shared" si="18"/>
        <v>אפ.אמ.אר תפעול</v>
      </c>
      <c r="U135" s="1786" t="str">
        <f t="shared" si="19"/>
        <v>אלפא מור קופת גמל לתגמולים ואישית לפיצויים וקופת גמל לא משלמת לקצבה</v>
      </c>
      <c r="V135" s="1786" t="str">
        <f t="shared" si="20"/>
        <v>513834606</v>
      </c>
      <c r="W135" s="1789" t="str">
        <f t="shared" si="21"/>
        <v>מור קופות גמל בע"מ</v>
      </c>
      <c r="AC135" s="1761" t="s">
        <v>346</v>
      </c>
      <c r="AD135" s="1761"/>
      <c r="AE135" s="1762">
        <v>41968.606423611098</v>
      </c>
      <c r="AF135" s="1761" t="s">
        <v>3934</v>
      </c>
      <c r="AG135" s="1761" t="s">
        <v>1653</v>
      </c>
      <c r="AH135" s="1761" t="s">
        <v>1594</v>
      </c>
      <c r="AI135" s="1761" t="s">
        <v>5442</v>
      </c>
      <c r="AJ135" s="1761" t="s">
        <v>5443</v>
      </c>
      <c r="AK135" s="1761">
        <v>12957</v>
      </c>
      <c r="AL135" s="1761" t="s">
        <v>5435</v>
      </c>
      <c r="AM135" s="1761">
        <v>8694</v>
      </c>
      <c r="AN135" s="1761" t="s">
        <v>5338</v>
      </c>
      <c r="AO135" s="1764"/>
      <c r="AP135" s="1761" t="s">
        <v>5403</v>
      </c>
      <c r="AQ135" s="1761" t="s">
        <v>5404</v>
      </c>
      <c r="AR135" s="1761" t="s">
        <v>5405</v>
      </c>
      <c r="AS135" s="1761" t="s">
        <v>3736</v>
      </c>
      <c r="AT135" s="1761" t="s">
        <v>327</v>
      </c>
      <c r="AU135" s="1763"/>
      <c r="AV135" s="1763"/>
    </row>
    <row r="136" spans="1:48" ht="50" hidden="1">
      <c r="A136" s="1785" t="str">
        <f t="shared" si="11"/>
        <v>גמל</v>
      </c>
      <c r="B136" s="1786">
        <f t="shared" si="12"/>
        <v>12532</v>
      </c>
      <c r="C136" s="1787">
        <v>28946</v>
      </c>
      <c r="D136" s="1786" t="str">
        <f t="shared" si="13"/>
        <v>אלפא מור קופת גמל לתגמולים ואישית לפיצויים וקופת גמל לא משלמת לקצבה מדרגות עד 50</v>
      </c>
      <c r="E136" s="1786" t="s">
        <v>3929</v>
      </c>
      <c r="F136" s="1786" t="s">
        <v>2958</v>
      </c>
      <c r="G136" s="1786" t="s">
        <v>2959</v>
      </c>
      <c r="H136" s="1786" t="str">
        <f t="shared" si="14"/>
        <v>פעיל</v>
      </c>
      <c r="I136" s="1788">
        <f t="shared" si="15"/>
        <v>41968.606423611098</v>
      </c>
      <c r="J136" s="1788" t="str">
        <f t="shared" si="16"/>
        <v/>
      </c>
      <c r="K136" s="1786">
        <v>0</v>
      </c>
      <c r="L136" s="1786" t="s">
        <v>1594</v>
      </c>
      <c r="M136" s="1786" t="s">
        <v>1653</v>
      </c>
      <c r="N136" s="1786" t="s">
        <v>1653</v>
      </c>
      <c r="O136" s="1786">
        <v>0</v>
      </c>
      <c r="P136" s="1786"/>
      <c r="Q136" s="1786">
        <v>0</v>
      </c>
      <c r="R136" s="1788"/>
      <c r="S136" s="1786">
        <f t="shared" si="17"/>
        <v>8694</v>
      </c>
      <c r="T136" s="1786" t="str">
        <f t="shared" si="18"/>
        <v>אפ.אמ.אר תפעול</v>
      </c>
      <c r="U136" s="1786" t="str">
        <f t="shared" si="19"/>
        <v>אלפא מור קופת גמל לתגמולים ואישית לפיצויים וקופת גמל לא משלמת לקצבה</v>
      </c>
      <c r="V136" s="1786" t="str">
        <f t="shared" si="20"/>
        <v>513834606</v>
      </c>
      <c r="W136" s="1789" t="str">
        <f t="shared" si="21"/>
        <v>מור קופות גמל בע"מ</v>
      </c>
      <c r="AC136" s="1759" t="s">
        <v>346</v>
      </c>
      <c r="AD136" s="1759"/>
      <c r="AE136" s="1760">
        <v>41968.606423611098</v>
      </c>
      <c r="AF136" s="1759" t="s">
        <v>4151</v>
      </c>
      <c r="AG136" s="1759" t="s">
        <v>3931</v>
      </c>
      <c r="AH136" s="1759" t="s">
        <v>3658</v>
      </c>
      <c r="AI136" s="1759" t="s">
        <v>5444</v>
      </c>
      <c r="AJ136" s="1759" t="s">
        <v>5445</v>
      </c>
      <c r="AK136" s="1759">
        <v>12532</v>
      </c>
      <c r="AL136" s="1759" t="s">
        <v>5435</v>
      </c>
      <c r="AM136" s="1759">
        <v>8694</v>
      </c>
      <c r="AN136" s="1759" t="s">
        <v>5338</v>
      </c>
      <c r="AO136" s="1764"/>
      <c r="AP136" s="1759" t="s">
        <v>5403</v>
      </c>
      <c r="AQ136" s="1759" t="s">
        <v>5404</v>
      </c>
      <c r="AR136" s="1759" t="s">
        <v>5405</v>
      </c>
      <c r="AS136" s="1759" t="s">
        <v>3736</v>
      </c>
      <c r="AT136" s="1759" t="s">
        <v>327</v>
      </c>
      <c r="AU136" s="1763"/>
      <c r="AV136" s="1763"/>
    </row>
    <row r="137" spans="1:48" ht="50" hidden="1">
      <c r="A137" s="1785" t="str">
        <f t="shared" si="11"/>
        <v>גמל</v>
      </c>
      <c r="B137" s="1786">
        <f t="shared" si="12"/>
        <v>9452</v>
      </c>
      <c r="C137" s="1787">
        <v>28946</v>
      </c>
      <c r="D137" s="1786" t="str">
        <f t="shared" si="13"/>
        <v>אלפא מור תגמולים -  מסלול מניות בארה"ב העוקב אחר מדד S&amp;P500</v>
      </c>
      <c r="E137" s="1786" t="s">
        <v>3929</v>
      </c>
      <c r="F137" s="1786" t="s">
        <v>2958</v>
      </c>
      <c r="G137" s="1786" t="s">
        <v>2959</v>
      </c>
      <c r="H137" s="1786" t="str">
        <f t="shared" si="14"/>
        <v>פעיל</v>
      </c>
      <c r="I137" s="1788">
        <f t="shared" si="15"/>
        <v>41968.606423611098</v>
      </c>
      <c r="J137" s="1788" t="str">
        <f t="shared" si="16"/>
        <v/>
      </c>
      <c r="K137" s="1786">
        <v>0</v>
      </c>
      <c r="L137" s="1786" t="s">
        <v>1594</v>
      </c>
      <c r="M137" s="1786" t="s">
        <v>1653</v>
      </c>
      <c r="N137" s="1786" t="s">
        <v>1653</v>
      </c>
      <c r="O137" s="1786">
        <v>0</v>
      </c>
      <c r="P137" s="1786"/>
      <c r="Q137" s="1786">
        <v>0</v>
      </c>
      <c r="R137" s="1788"/>
      <c r="S137" s="1786">
        <f t="shared" si="17"/>
        <v>8694</v>
      </c>
      <c r="T137" s="1786" t="str">
        <f t="shared" si="18"/>
        <v>אפ.אמ.אר תפעול</v>
      </c>
      <c r="U137" s="1786" t="str">
        <f t="shared" si="19"/>
        <v>אלפא מור קופת גמל לתגמולים ואישית לפיצויים וקופת גמל לא משלמת לקצבה</v>
      </c>
      <c r="V137" s="1786" t="str">
        <f t="shared" si="20"/>
        <v>513834606</v>
      </c>
      <c r="W137" s="1789" t="str">
        <f t="shared" si="21"/>
        <v>מור קופות גמל בע"מ</v>
      </c>
      <c r="AC137" s="1761" t="s">
        <v>346</v>
      </c>
      <c r="AD137" s="1761"/>
      <c r="AE137" s="1762">
        <v>41968.606423611098</v>
      </c>
      <c r="AF137" s="1761" t="s">
        <v>1948</v>
      </c>
      <c r="AG137" s="1761" t="s">
        <v>75</v>
      </c>
      <c r="AH137" s="1761" t="s">
        <v>1594</v>
      </c>
      <c r="AI137" s="1761" t="s">
        <v>5446</v>
      </c>
      <c r="AJ137" s="1761" t="s">
        <v>5447</v>
      </c>
      <c r="AK137" s="1761">
        <v>9452</v>
      </c>
      <c r="AL137" s="1761" t="s">
        <v>5435</v>
      </c>
      <c r="AM137" s="1761">
        <v>8694</v>
      </c>
      <c r="AN137" s="1761" t="s">
        <v>5338</v>
      </c>
      <c r="AO137" s="1764"/>
      <c r="AP137" s="1761" t="s">
        <v>5403</v>
      </c>
      <c r="AQ137" s="1761" t="s">
        <v>5404</v>
      </c>
      <c r="AR137" s="1761" t="s">
        <v>5405</v>
      </c>
      <c r="AS137" s="1761" t="s">
        <v>3736</v>
      </c>
      <c r="AT137" s="1761" t="s">
        <v>327</v>
      </c>
      <c r="AU137" s="1763"/>
      <c r="AV137" s="1763"/>
    </row>
    <row r="138" spans="1:48" ht="50" hidden="1">
      <c r="A138" s="1785" t="str">
        <f t="shared" si="11"/>
        <v>גמל</v>
      </c>
      <c r="B138" s="1786">
        <f t="shared" si="12"/>
        <v>8699</v>
      </c>
      <c r="C138" s="1787">
        <v>28946</v>
      </c>
      <c r="D138" s="1786" t="str">
        <f t="shared" si="13"/>
        <v>אלפא מור תגמולים - מסלול מזומן</v>
      </c>
      <c r="E138" s="1786" t="s">
        <v>3929</v>
      </c>
      <c r="F138" s="1786" t="s">
        <v>2958</v>
      </c>
      <c r="G138" s="1786" t="s">
        <v>2959</v>
      </c>
      <c r="H138" s="1786" t="str">
        <f t="shared" si="14"/>
        <v>פעיל</v>
      </c>
      <c r="I138" s="1788">
        <f t="shared" si="15"/>
        <v>41968.606423611098</v>
      </c>
      <c r="J138" s="1788" t="str">
        <f t="shared" si="16"/>
        <v/>
      </c>
      <c r="K138" s="1786">
        <v>0</v>
      </c>
      <c r="L138" s="1786" t="s">
        <v>1594</v>
      </c>
      <c r="M138" s="1786" t="s">
        <v>1653</v>
      </c>
      <c r="N138" s="1786" t="s">
        <v>1653</v>
      </c>
      <c r="O138" s="1786">
        <v>0</v>
      </c>
      <c r="P138" s="1786"/>
      <c r="Q138" s="1786">
        <v>0</v>
      </c>
      <c r="R138" s="1788"/>
      <c r="S138" s="1786">
        <f t="shared" si="17"/>
        <v>8694</v>
      </c>
      <c r="T138" s="1786" t="str">
        <f t="shared" si="18"/>
        <v>אפ.אמ.אר תפעול</v>
      </c>
      <c r="U138" s="1786" t="str">
        <f t="shared" si="19"/>
        <v>אלפא מור קופת גמל לתגמולים ואישית לפיצויים וקופת גמל לא משלמת לקצבה</v>
      </c>
      <c r="V138" s="1786" t="str">
        <f t="shared" si="20"/>
        <v>513834606</v>
      </c>
      <c r="W138" s="1789" t="str">
        <f t="shared" si="21"/>
        <v>מור קופות גמל בע"מ</v>
      </c>
      <c r="AC138" s="1759" t="s">
        <v>346</v>
      </c>
      <c r="AD138" s="1759"/>
      <c r="AE138" s="1760">
        <v>41968.606423611098</v>
      </c>
      <c r="AF138" s="1759" t="s">
        <v>2409</v>
      </c>
      <c r="AG138" s="1759" t="s">
        <v>1614</v>
      </c>
      <c r="AH138" s="1759" t="s">
        <v>1594</v>
      </c>
      <c r="AI138" s="1759" t="s">
        <v>5448</v>
      </c>
      <c r="AJ138" s="1759" t="s">
        <v>5449</v>
      </c>
      <c r="AK138" s="1759">
        <v>8699</v>
      </c>
      <c r="AL138" s="1759" t="s">
        <v>5435</v>
      </c>
      <c r="AM138" s="1759">
        <v>8694</v>
      </c>
      <c r="AN138" s="1759" t="s">
        <v>5338</v>
      </c>
      <c r="AO138" s="1764"/>
      <c r="AP138" s="1759" t="s">
        <v>5403</v>
      </c>
      <c r="AQ138" s="1759" t="s">
        <v>5404</v>
      </c>
      <c r="AR138" s="1759" t="s">
        <v>5405</v>
      </c>
      <c r="AS138" s="1759" t="s">
        <v>3736</v>
      </c>
      <c r="AT138" s="1759" t="s">
        <v>327</v>
      </c>
      <c r="AU138" s="1763"/>
      <c r="AV138" s="1763"/>
    </row>
    <row r="139" spans="1:48" ht="50" hidden="1">
      <c r="A139" s="1785" t="str">
        <f t="shared" si="11"/>
        <v>גמל</v>
      </c>
      <c r="B139" s="1786">
        <f t="shared" si="12"/>
        <v>8698</v>
      </c>
      <c r="C139" s="1787">
        <v>28946</v>
      </c>
      <c r="D139" s="1786" t="str">
        <f t="shared" si="13"/>
        <v>אלפא מור תגמולים - מסלול עוקב מדד "תל בונד 20"</v>
      </c>
      <c r="E139" s="1786" t="s">
        <v>3929</v>
      </c>
      <c r="F139" s="1786" t="s">
        <v>2958</v>
      </c>
      <c r="G139" s="1786" t="s">
        <v>2959</v>
      </c>
      <c r="H139" s="1786" t="str">
        <f t="shared" si="14"/>
        <v>פעיל</v>
      </c>
      <c r="I139" s="1788">
        <f t="shared" si="15"/>
        <v>41968.606423611098</v>
      </c>
      <c r="J139" s="1788" t="str">
        <f t="shared" si="16"/>
        <v/>
      </c>
      <c r="K139" s="1786">
        <v>0</v>
      </c>
      <c r="L139" s="1786" t="s">
        <v>1594</v>
      </c>
      <c r="M139" s="1786" t="s">
        <v>1653</v>
      </c>
      <c r="N139" s="1786" t="s">
        <v>1653</v>
      </c>
      <c r="O139" s="1786">
        <v>0</v>
      </c>
      <c r="P139" s="1786"/>
      <c r="Q139" s="1786">
        <v>0</v>
      </c>
      <c r="R139" s="1788"/>
      <c r="S139" s="1786">
        <f t="shared" si="17"/>
        <v>8694</v>
      </c>
      <c r="T139" s="1786" t="str">
        <f t="shared" si="18"/>
        <v>אפ.אמ.אר תפעול</v>
      </c>
      <c r="U139" s="1786" t="str">
        <f t="shared" si="19"/>
        <v>אלפא מור קופת גמל לתגמולים ואישית לפיצויים וקופת גמל לא משלמת לקצבה</v>
      </c>
      <c r="V139" s="1786" t="str">
        <f t="shared" si="20"/>
        <v>513834606</v>
      </c>
      <c r="W139" s="1789" t="str">
        <f t="shared" si="21"/>
        <v>מור קופות גמל בע"מ</v>
      </c>
      <c r="AC139" s="1761" t="s">
        <v>346</v>
      </c>
      <c r="AD139" s="1761"/>
      <c r="AE139" s="1762">
        <v>41968.606423611098</v>
      </c>
      <c r="AF139" s="1761" t="s">
        <v>3010</v>
      </c>
      <c r="AG139" s="1761" t="s">
        <v>1653</v>
      </c>
      <c r="AH139" s="1761" t="s">
        <v>1594</v>
      </c>
      <c r="AI139" s="1761" t="s">
        <v>5450</v>
      </c>
      <c r="AJ139" s="1761" t="s">
        <v>5451</v>
      </c>
      <c r="AK139" s="1761">
        <v>8698</v>
      </c>
      <c r="AL139" s="1761" t="s">
        <v>5435</v>
      </c>
      <c r="AM139" s="1761">
        <v>8694</v>
      </c>
      <c r="AN139" s="1761" t="s">
        <v>5338</v>
      </c>
      <c r="AO139" s="1764"/>
      <c r="AP139" s="1761" t="s">
        <v>5403</v>
      </c>
      <c r="AQ139" s="1761" t="s">
        <v>5404</v>
      </c>
      <c r="AR139" s="1761" t="s">
        <v>5405</v>
      </c>
      <c r="AS139" s="1761" t="s">
        <v>3736</v>
      </c>
      <c r="AT139" s="1761" t="s">
        <v>327</v>
      </c>
      <c r="AU139" s="1763"/>
      <c r="AV139" s="1763"/>
    </row>
    <row r="140" spans="1:48" ht="50" hidden="1">
      <c r="A140" s="1785" t="str">
        <f t="shared" si="11"/>
        <v>גמל</v>
      </c>
      <c r="B140" s="1786">
        <f t="shared" si="12"/>
        <v>8697</v>
      </c>
      <c r="C140" s="1787">
        <v>28946</v>
      </c>
      <c r="D140" s="1786" t="str">
        <f t="shared" si="13"/>
        <v>אלפא מור תגמולים - מסלול עוקב מדד "שקליות ריבית קבועה ממשלתיות"</v>
      </c>
      <c r="E140" s="1786" t="s">
        <v>3929</v>
      </c>
      <c r="F140" s="1786" t="s">
        <v>2958</v>
      </c>
      <c r="G140" s="1786" t="s">
        <v>2959</v>
      </c>
      <c r="H140" s="1786" t="str">
        <f t="shared" si="14"/>
        <v>פעיל</v>
      </c>
      <c r="I140" s="1788">
        <f t="shared" si="15"/>
        <v>41968.606423611098</v>
      </c>
      <c r="J140" s="1788" t="str">
        <f t="shared" si="16"/>
        <v/>
      </c>
      <c r="K140" s="1786">
        <v>0</v>
      </c>
      <c r="L140" s="1786" t="s">
        <v>1594</v>
      </c>
      <c r="M140" s="1786" t="s">
        <v>1653</v>
      </c>
      <c r="N140" s="1786" t="s">
        <v>1653</v>
      </c>
      <c r="O140" s="1786">
        <v>0</v>
      </c>
      <c r="P140" s="1786"/>
      <c r="Q140" s="1786">
        <v>0</v>
      </c>
      <c r="R140" s="1788"/>
      <c r="S140" s="1786">
        <f t="shared" si="17"/>
        <v>8694</v>
      </c>
      <c r="T140" s="1786" t="str">
        <f t="shared" si="18"/>
        <v>אפ.אמ.אר תפעול</v>
      </c>
      <c r="U140" s="1786" t="str">
        <f t="shared" si="19"/>
        <v>אלפא מור קופת גמל לתגמולים ואישית לפיצויים וקופת גמל לא משלמת לקצבה</v>
      </c>
      <c r="V140" s="1786" t="str">
        <f t="shared" si="20"/>
        <v>513834606</v>
      </c>
      <c r="W140" s="1789" t="str">
        <f t="shared" si="21"/>
        <v>מור קופות גמל בע"מ</v>
      </c>
      <c r="AC140" s="1759" t="s">
        <v>346</v>
      </c>
      <c r="AD140" s="1759"/>
      <c r="AE140" s="1760">
        <v>41968.606423611098</v>
      </c>
      <c r="AF140" s="1759" t="s">
        <v>2009</v>
      </c>
      <c r="AG140" s="1759" t="s">
        <v>1653</v>
      </c>
      <c r="AH140" s="1759" t="s">
        <v>1594</v>
      </c>
      <c r="AI140" s="1759" t="s">
        <v>5452</v>
      </c>
      <c r="AJ140" s="1759" t="s">
        <v>5453</v>
      </c>
      <c r="AK140" s="1759">
        <v>8697</v>
      </c>
      <c r="AL140" s="1759" t="s">
        <v>5435</v>
      </c>
      <c r="AM140" s="1759">
        <v>8694</v>
      </c>
      <c r="AN140" s="1759" t="s">
        <v>5338</v>
      </c>
      <c r="AO140" s="1764"/>
      <c r="AP140" s="1759" t="s">
        <v>5403</v>
      </c>
      <c r="AQ140" s="1759" t="s">
        <v>5404</v>
      </c>
      <c r="AR140" s="1759" t="s">
        <v>5405</v>
      </c>
      <c r="AS140" s="1759" t="s">
        <v>3736</v>
      </c>
      <c r="AT140" s="1759" t="s">
        <v>327</v>
      </c>
      <c r="AU140" s="1763"/>
      <c r="AV140" s="1763"/>
    </row>
    <row r="141" spans="1:48" ht="50" hidden="1">
      <c r="A141" s="1785" t="str">
        <f t="shared" si="11"/>
        <v>גמל</v>
      </c>
      <c r="B141" s="1786">
        <f t="shared" si="12"/>
        <v>8696</v>
      </c>
      <c r="C141" s="1787">
        <v>28946</v>
      </c>
      <c r="D141" s="1786" t="str">
        <f t="shared" si="13"/>
        <v>אלפא מור תגמולים - מסלול עוקב מדד "מדדיות ממשלתיות לטווח של 5-10 שנים"</v>
      </c>
      <c r="E141" s="1786" t="s">
        <v>3929</v>
      </c>
      <c r="F141" s="1786" t="s">
        <v>2958</v>
      </c>
      <c r="G141" s="1786" t="s">
        <v>2959</v>
      </c>
      <c r="H141" s="1786" t="str">
        <f t="shared" si="14"/>
        <v>פעיל</v>
      </c>
      <c r="I141" s="1788">
        <f t="shared" si="15"/>
        <v>41968.606423611098</v>
      </c>
      <c r="J141" s="1788" t="str">
        <f t="shared" si="16"/>
        <v/>
      </c>
      <c r="K141" s="1786">
        <v>0</v>
      </c>
      <c r="L141" s="1786" t="s">
        <v>1594</v>
      </c>
      <c r="M141" s="1786" t="s">
        <v>1653</v>
      </c>
      <c r="N141" s="1786" t="s">
        <v>1653</v>
      </c>
      <c r="O141" s="1786">
        <v>0</v>
      </c>
      <c r="P141" s="1786"/>
      <c r="Q141" s="1786">
        <v>0</v>
      </c>
      <c r="R141" s="1788"/>
      <c r="S141" s="1786">
        <f t="shared" si="17"/>
        <v>8694</v>
      </c>
      <c r="T141" s="1786" t="str">
        <f t="shared" si="18"/>
        <v>אפ.אמ.אר תפעול</v>
      </c>
      <c r="U141" s="1786" t="str">
        <f t="shared" si="19"/>
        <v>אלפא מור קופת גמל לתגמולים ואישית לפיצויים וקופת גמל לא משלמת לקצבה</v>
      </c>
      <c r="V141" s="1786" t="str">
        <f t="shared" si="20"/>
        <v>513834606</v>
      </c>
      <c r="W141" s="1789" t="str">
        <f t="shared" si="21"/>
        <v>מור קופות גמל בע"מ</v>
      </c>
      <c r="AC141" s="1761" t="s">
        <v>346</v>
      </c>
      <c r="AD141" s="1761"/>
      <c r="AE141" s="1762">
        <v>41968.606423611098</v>
      </c>
      <c r="AF141" s="1761" t="s">
        <v>2009</v>
      </c>
      <c r="AG141" s="1761" t="s">
        <v>1653</v>
      </c>
      <c r="AH141" s="1761" t="s">
        <v>1594</v>
      </c>
      <c r="AI141" s="1761" t="s">
        <v>5454</v>
      </c>
      <c r="AJ141" s="1761" t="s">
        <v>5455</v>
      </c>
      <c r="AK141" s="1761">
        <v>8696</v>
      </c>
      <c r="AL141" s="1761" t="s">
        <v>5435</v>
      </c>
      <c r="AM141" s="1761">
        <v>8694</v>
      </c>
      <c r="AN141" s="1761" t="s">
        <v>5338</v>
      </c>
      <c r="AO141" s="1764"/>
      <c r="AP141" s="1761" t="s">
        <v>5403</v>
      </c>
      <c r="AQ141" s="1761" t="s">
        <v>5404</v>
      </c>
      <c r="AR141" s="1761" t="s">
        <v>5405</v>
      </c>
      <c r="AS141" s="1761" t="s">
        <v>3736</v>
      </c>
      <c r="AT141" s="1761" t="s">
        <v>327</v>
      </c>
      <c r="AU141" s="1763"/>
      <c r="AV141" s="1763"/>
    </row>
    <row r="142" spans="1:48" ht="50" hidden="1">
      <c r="A142" s="1785" t="str">
        <f t="shared" si="11"/>
        <v>גמל</v>
      </c>
      <c r="B142" s="1786">
        <f t="shared" si="12"/>
        <v>8695</v>
      </c>
      <c r="C142" s="1787">
        <v>28946</v>
      </c>
      <c r="D142" s="1786" t="str">
        <f t="shared" si="13"/>
        <v>אלפא מור תגמולים - מסלול עוקב מדד "מניות תל אביב 35"</v>
      </c>
      <c r="E142" s="1786" t="s">
        <v>3929</v>
      </c>
      <c r="F142" s="1786" t="s">
        <v>2958</v>
      </c>
      <c r="G142" s="1786" t="s">
        <v>2959</v>
      </c>
      <c r="H142" s="1786" t="str">
        <f t="shared" si="14"/>
        <v>פעיל</v>
      </c>
      <c r="I142" s="1788">
        <f t="shared" si="15"/>
        <v>41968.606423611098</v>
      </c>
      <c r="J142" s="1788" t="str">
        <f t="shared" si="16"/>
        <v/>
      </c>
      <c r="K142" s="1786">
        <v>0</v>
      </c>
      <c r="L142" s="1786" t="s">
        <v>1594</v>
      </c>
      <c r="M142" s="1786" t="s">
        <v>1653</v>
      </c>
      <c r="N142" s="1786" t="s">
        <v>1653</v>
      </c>
      <c r="O142" s="1786">
        <v>0</v>
      </c>
      <c r="P142" s="1786"/>
      <c r="Q142" s="1786">
        <v>0</v>
      </c>
      <c r="R142" s="1788"/>
      <c r="S142" s="1786">
        <f t="shared" si="17"/>
        <v>8694</v>
      </c>
      <c r="T142" s="1786" t="str">
        <f t="shared" si="18"/>
        <v>אפ.אמ.אר תפעול</v>
      </c>
      <c r="U142" s="1786" t="str">
        <f t="shared" si="19"/>
        <v>אלפא מור קופת גמל לתגמולים ואישית לפיצויים וקופת גמל לא משלמת לקצבה</v>
      </c>
      <c r="V142" s="1786" t="str">
        <f t="shared" si="20"/>
        <v>513834606</v>
      </c>
      <c r="W142" s="1789" t="str">
        <f t="shared" si="21"/>
        <v>מור קופות גמל בע"מ</v>
      </c>
      <c r="AC142" s="1759" t="s">
        <v>346</v>
      </c>
      <c r="AD142" s="1759"/>
      <c r="AE142" s="1760">
        <v>41968.606423611098</v>
      </c>
      <c r="AF142" s="1759" t="s">
        <v>3672</v>
      </c>
      <c r="AG142" s="1759" t="s">
        <v>75</v>
      </c>
      <c r="AH142" s="1759" t="s">
        <v>1594</v>
      </c>
      <c r="AI142" s="1759" t="s">
        <v>5456</v>
      </c>
      <c r="AJ142" s="1759" t="s">
        <v>5457</v>
      </c>
      <c r="AK142" s="1759">
        <v>8695</v>
      </c>
      <c r="AL142" s="1759" t="s">
        <v>5435</v>
      </c>
      <c r="AM142" s="1759">
        <v>8694</v>
      </c>
      <c r="AN142" s="1759" t="s">
        <v>5338</v>
      </c>
      <c r="AO142" s="1764"/>
      <c r="AP142" s="1759" t="s">
        <v>5403</v>
      </c>
      <c r="AQ142" s="1759" t="s">
        <v>5404</v>
      </c>
      <c r="AR142" s="1759" t="s">
        <v>5405</v>
      </c>
      <c r="AS142" s="1759" t="s">
        <v>3736</v>
      </c>
      <c r="AT142" s="1759" t="s">
        <v>327</v>
      </c>
      <c r="AU142" s="1763"/>
      <c r="AV142" s="1763"/>
    </row>
    <row r="143" spans="1:48" ht="25" hidden="1">
      <c r="A143" s="1785" t="str">
        <f t="shared" si="11"/>
        <v>גמל</v>
      </c>
      <c r="B143" s="1786">
        <f t="shared" si="12"/>
        <v>8716</v>
      </c>
      <c r="C143" s="1787">
        <v>28946</v>
      </c>
      <c r="D143" s="1786" t="str">
        <f t="shared" si="13"/>
        <v>מנורה מבטחים חסכון טופ מסלול הלכה</v>
      </c>
      <c r="E143" s="1786" t="s">
        <v>3929</v>
      </c>
      <c r="F143" s="1786" t="s">
        <v>2958</v>
      </c>
      <c r="G143" s="1786" t="s">
        <v>2959</v>
      </c>
      <c r="H143" s="1786" t="str">
        <f t="shared" si="14"/>
        <v>פעיל</v>
      </c>
      <c r="I143" s="1788">
        <f t="shared" si="15"/>
        <v>42676.657384259299</v>
      </c>
      <c r="J143" s="1788" t="str">
        <f t="shared" si="16"/>
        <v/>
      </c>
      <c r="K143" s="1786">
        <v>0</v>
      </c>
      <c r="L143" s="1786" t="s">
        <v>1594</v>
      </c>
      <c r="M143" s="1786" t="s">
        <v>1653</v>
      </c>
      <c r="N143" s="1786" t="s">
        <v>1653</v>
      </c>
      <c r="O143" s="1786">
        <v>0</v>
      </c>
      <c r="P143" s="1786"/>
      <c r="Q143" s="1786">
        <v>0</v>
      </c>
      <c r="R143" s="1788"/>
      <c r="S143" s="1786">
        <f t="shared" si="17"/>
        <v>8674</v>
      </c>
      <c r="T143" s="1786" t="str">
        <f t="shared" si="18"/>
        <v>לאומי</v>
      </c>
      <c r="U143" s="1786" t="str">
        <f t="shared" si="19"/>
        <v>מנורה מבטחים חסכון טופ</v>
      </c>
      <c r="V143" s="1786" t="str">
        <f t="shared" si="20"/>
        <v>520007469</v>
      </c>
      <c r="W143" s="1789" t="str">
        <f t="shared" si="21"/>
        <v>מנורה מבטחים פנסיה וגמל בע"מ</v>
      </c>
      <c r="AC143" s="1761" t="s">
        <v>346</v>
      </c>
      <c r="AD143" s="1761"/>
      <c r="AE143" s="1762">
        <v>42676.657384259299</v>
      </c>
      <c r="AF143" s="1761" t="s">
        <v>4603</v>
      </c>
      <c r="AG143" s="1761" t="s">
        <v>2029</v>
      </c>
      <c r="AH143" s="1761" t="s">
        <v>2028</v>
      </c>
      <c r="AI143" s="1761" t="s">
        <v>5458</v>
      </c>
      <c r="AJ143" s="1761" t="s">
        <v>5458</v>
      </c>
      <c r="AK143" s="1761">
        <v>8716</v>
      </c>
      <c r="AL143" s="1761" t="s">
        <v>5459</v>
      </c>
      <c r="AM143" s="1761">
        <v>8674</v>
      </c>
      <c r="AN143" s="1761" t="s">
        <v>5305</v>
      </c>
      <c r="AO143" s="1764"/>
      <c r="AP143" s="1761" t="s">
        <v>5377</v>
      </c>
      <c r="AQ143" s="1761" t="s">
        <v>5378</v>
      </c>
      <c r="AR143" s="1761" t="s">
        <v>2971</v>
      </c>
      <c r="AS143" s="1761" t="s">
        <v>396</v>
      </c>
      <c r="AT143" s="1761" t="s">
        <v>327</v>
      </c>
      <c r="AU143" s="1763"/>
      <c r="AV143" s="1763"/>
    </row>
    <row r="144" spans="1:48" ht="25" hidden="1">
      <c r="A144" s="1785" t="str">
        <f t="shared" si="11"/>
        <v>גמל</v>
      </c>
      <c r="B144" s="1786">
        <f t="shared" si="12"/>
        <v>8693</v>
      </c>
      <c r="C144" s="1787">
        <v>28946</v>
      </c>
      <c r="D144" s="1786" t="str">
        <f t="shared" si="13"/>
        <v>מנורה מבטחים חסכון טופ שיקלי טווח קצר</v>
      </c>
      <c r="E144" s="1786" t="s">
        <v>3929</v>
      </c>
      <c r="F144" s="1786" t="s">
        <v>2958</v>
      </c>
      <c r="G144" s="1786" t="s">
        <v>2959</v>
      </c>
      <c r="H144" s="1786" t="str">
        <f t="shared" si="14"/>
        <v>פעיל</v>
      </c>
      <c r="I144" s="1788">
        <f t="shared" si="15"/>
        <v>42676.657384259299</v>
      </c>
      <c r="J144" s="1788" t="str">
        <f t="shared" si="16"/>
        <v/>
      </c>
      <c r="K144" s="1786">
        <v>0</v>
      </c>
      <c r="L144" s="1786" t="s">
        <v>1594</v>
      </c>
      <c r="M144" s="1786" t="s">
        <v>1653</v>
      </c>
      <c r="N144" s="1786" t="s">
        <v>1653</v>
      </c>
      <c r="O144" s="1786">
        <v>0</v>
      </c>
      <c r="P144" s="1786"/>
      <c r="Q144" s="1786">
        <v>0</v>
      </c>
      <c r="R144" s="1788"/>
      <c r="S144" s="1786">
        <f t="shared" si="17"/>
        <v>8674</v>
      </c>
      <c r="T144" s="1786" t="str">
        <f t="shared" si="18"/>
        <v>לאומי</v>
      </c>
      <c r="U144" s="1786" t="str">
        <f t="shared" si="19"/>
        <v>מנורה מבטחים חסכון טופ</v>
      </c>
      <c r="V144" s="1786" t="str">
        <f t="shared" si="20"/>
        <v>520007469</v>
      </c>
      <c r="W144" s="1789" t="str">
        <f t="shared" si="21"/>
        <v>מנורה מבטחים פנסיה וגמל בע"מ</v>
      </c>
      <c r="AC144" s="1759" t="s">
        <v>346</v>
      </c>
      <c r="AD144" s="1759"/>
      <c r="AE144" s="1760">
        <v>42676.657384259299</v>
      </c>
      <c r="AF144" s="1759" t="s">
        <v>1673</v>
      </c>
      <c r="AG144" s="1759" t="s">
        <v>1614</v>
      </c>
      <c r="AH144" s="1759" t="s">
        <v>1594</v>
      </c>
      <c r="AI144" s="1759" t="s">
        <v>5460</v>
      </c>
      <c r="AJ144" s="1759" t="s">
        <v>5460</v>
      </c>
      <c r="AK144" s="1759">
        <v>8693</v>
      </c>
      <c r="AL144" s="1759" t="s">
        <v>5459</v>
      </c>
      <c r="AM144" s="1759">
        <v>8674</v>
      </c>
      <c r="AN144" s="1759" t="s">
        <v>5305</v>
      </c>
      <c r="AO144" s="1764"/>
      <c r="AP144" s="1759" t="s">
        <v>5377</v>
      </c>
      <c r="AQ144" s="1759" t="s">
        <v>5378</v>
      </c>
      <c r="AR144" s="1759" t="s">
        <v>2971</v>
      </c>
      <c r="AS144" s="1759" t="s">
        <v>396</v>
      </c>
      <c r="AT144" s="1759" t="s">
        <v>327</v>
      </c>
      <c r="AU144" s="1763"/>
      <c r="AV144" s="1763"/>
    </row>
    <row r="145" spans="1:48" ht="25" hidden="1">
      <c r="A145" s="1785" t="str">
        <f t="shared" si="11"/>
        <v>גמל</v>
      </c>
      <c r="B145" s="1786">
        <f t="shared" si="12"/>
        <v>8684</v>
      </c>
      <c r="C145" s="1787">
        <v>28946</v>
      </c>
      <c r="D145" s="1786" t="str">
        <f t="shared" si="13"/>
        <v>מנורה מבטחים חסכון טופ פאסיבי מדדי אג"ח עד 25% במדדי מניות</v>
      </c>
      <c r="E145" s="1786" t="s">
        <v>3929</v>
      </c>
      <c r="F145" s="1786" t="s">
        <v>2958</v>
      </c>
      <c r="G145" s="1786" t="s">
        <v>2959</v>
      </c>
      <c r="H145" s="1786" t="str">
        <f t="shared" si="14"/>
        <v>פעיל</v>
      </c>
      <c r="I145" s="1788">
        <f t="shared" si="15"/>
        <v>42676.657384259299</v>
      </c>
      <c r="J145" s="1788" t="str">
        <f t="shared" si="16"/>
        <v/>
      </c>
      <c r="K145" s="1786">
        <v>0</v>
      </c>
      <c r="L145" s="1786" t="s">
        <v>1594</v>
      </c>
      <c r="M145" s="1786" t="s">
        <v>1653</v>
      </c>
      <c r="N145" s="1786" t="s">
        <v>1653</v>
      </c>
      <c r="O145" s="1786">
        <v>0</v>
      </c>
      <c r="P145" s="1786"/>
      <c r="Q145" s="1786">
        <v>0</v>
      </c>
      <c r="R145" s="1788"/>
      <c r="S145" s="1786">
        <f t="shared" si="17"/>
        <v>8674</v>
      </c>
      <c r="T145" s="1786" t="str">
        <f t="shared" si="18"/>
        <v>לאומי</v>
      </c>
      <c r="U145" s="1786" t="str">
        <f t="shared" si="19"/>
        <v>מנורה מבטחים חסכון טופ</v>
      </c>
      <c r="V145" s="1786" t="str">
        <f t="shared" si="20"/>
        <v>520007469</v>
      </c>
      <c r="W145" s="1789" t="str">
        <f t="shared" si="21"/>
        <v>מנורה מבטחים פנסיה וגמל בע"מ</v>
      </c>
      <c r="AC145" s="1761" t="s">
        <v>346</v>
      </c>
      <c r="AD145" s="1761"/>
      <c r="AE145" s="1762">
        <v>42676.657384259299</v>
      </c>
      <c r="AF145" s="1761" t="s">
        <v>4619</v>
      </c>
      <c r="AG145" s="1761" t="s">
        <v>1653</v>
      </c>
      <c r="AH145" s="1761" t="s">
        <v>1594</v>
      </c>
      <c r="AI145" s="1761" t="s">
        <v>5461</v>
      </c>
      <c r="AJ145" s="1761" t="s">
        <v>5462</v>
      </c>
      <c r="AK145" s="1761">
        <v>8684</v>
      </c>
      <c r="AL145" s="1761" t="s">
        <v>5459</v>
      </c>
      <c r="AM145" s="1761">
        <v>8674</v>
      </c>
      <c r="AN145" s="1761" t="s">
        <v>5305</v>
      </c>
      <c r="AO145" s="1764"/>
      <c r="AP145" s="1761" t="s">
        <v>5377</v>
      </c>
      <c r="AQ145" s="1761" t="s">
        <v>5378</v>
      </c>
      <c r="AR145" s="1761" t="s">
        <v>2971</v>
      </c>
      <c r="AS145" s="1761" t="s">
        <v>396</v>
      </c>
      <c r="AT145" s="1761" t="s">
        <v>327</v>
      </c>
      <c r="AU145" s="1763"/>
      <c r="AV145" s="1763"/>
    </row>
    <row r="146" spans="1:48" ht="25" hidden="1">
      <c r="A146" s="1785" t="str">
        <f t="shared" si="11"/>
        <v>גמל</v>
      </c>
      <c r="B146" s="1786">
        <f t="shared" si="12"/>
        <v>8683</v>
      </c>
      <c r="C146" s="1787">
        <v>28946</v>
      </c>
      <c r="D146" s="1786" t="str">
        <f t="shared" si="13"/>
        <v>מנורה מבטחים חסכון טופ פאסיבי - מדדי מניות</v>
      </c>
      <c r="E146" s="1786" t="s">
        <v>3929</v>
      </c>
      <c r="F146" s="1786" t="s">
        <v>2958</v>
      </c>
      <c r="G146" s="1786" t="s">
        <v>2959</v>
      </c>
      <c r="H146" s="1786" t="str">
        <f t="shared" si="14"/>
        <v>פעיל</v>
      </c>
      <c r="I146" s="1788">
        <f t="shared" si="15"/>
        <v>42676.657384259299</v>
      </c>
      <c r="J146" s="1788" t="str">
        <f t="shared" si="16"/>
        <v/>
      </c>
      <c r="K146" s="1786">
        <v>0</v>
      </c>
      <c r="L146" s="1786" t="s">
        <v>1594</v>
      </c>
      <c r="M146" s="1786" t="s">
        <v>1653</v>
      </c>
      <c r="N146" s="1786" t="s">
        <v>1653</v>
      </c>
      <c r="O146" s="1786">
        <v>0</v>
      </c>
      <c r="P146" s="1786"/>
      <c r="Q146" s="1786">
        <v>0</v>
      </c>
      <c r="R146" s="1788"/>
      <c r="S146" s="1786">
        <f t="shared" si="17"/>
        <v>8674</v>
      </c>
      <c r="T146" s="1786" t="str">
        <f t="shared" si="18"/>
        <v>לאומי</v>
      </c>
      <c r="U146" s="1786" t="str">
        <f t="shared" si="19"/>
        <v>מנורה מבטחים חסכון טופ</v>
      </c>
      <c r="V146" s="1786" t="str">
        <f t="shared" si="20"/>
        <v>520007469</v>
      </c>
      <c r="W146" s="1789" t="str">
        <f t="shared" si="21"/>
        <v>מנורה מבטחים פנסיה וגמל בע"מ</v>
      </c>
      <c r="AC146" s="1759" t="s">
        <v>346</v>
      </c>
      <c r="AD146" s="1759"/>
      <c r="AE146" s="1760">
        <v>42676.657384259299</v>
      </c>
      <c r="AF146" s="1759" t="s">
        <v>3959</v>
      </c>
      <c r="AG146" s="1759" t="s">
        <v>75</v>
      </c>
      <c r="AH146" s="1759" t="s">
        <v>1594</v>
      </c>
      <c r="AI146" s="1759" t="s">
        <v>5463</v>
      </c>
      <c r="AJ146" s="1759" t="s">
        <v>5464</v>
      </c>
      <c r="AK146" s="1759">
        <v>8683</v>
      </c>
      <c r="AL146" s="1759" t="s">
        <v>5459</v>
      </c>
      <c r="AM146" s="1759">
        <v>8674</v>
      </c>
      <c r="AN146" s="1759" t="s">
        <v>5305</v>
      </c>
      <c r="AO146" s="1764"/>
      <c r="AP146" s="1759" t="s">
        <v>5377</v>
      </c>
      <c r="AQ146" s="1759" t="s">
        <v>5378</v>
      </c>
      <c r="AR146" s="1759" t="s">
        <v>2971</v>
      </c>
      <c r="AS146" s="1759" t="s">
        <v>396</v>
      </c>
      <c r="AT146" s="1759" t="s">
        <v>327</v>
      </c>
      <c r="AU146" s="1763"/>
      <c r="AV146" s="1763"/>
    </row>
    <row r="147" spans="1:48" ht="25" hidden="1">
      <c r="A147" s="1785" t="str">
        <f t="shared" si="11"/>
        <v>גמל</v>
      </c>
      <c r="B147" s="1786">
        <f t="shared" si="12"/>
        <v>8678</v>
      </c>
      <c r="C147" s="1787">
        <v>28946</v>
      </c>
      <c r="D147" s="1786" t="str">
        <f t="shared" si="13"/>
        <v>מנורה מבטחים חסכון טופ אג"ח</v>
      </c>
      <c r="E147" s="1786" t="s">
        <v>3929</v>
      </c>
      <c r="F147" s="1786" t="s">
        <v>2958</v>
      </c>
      <c r="G147" s="1786" t="s">
        <v>2959</v>
      </c>
      <c r="H147" s="1786" t="str">
        <f t="shared" si="14"/>
        <v>פעיל</v>
      </c>
      <c r="I147" s="1788">
        <f t="shared" si="15"/>
        <v>42676.657384259299</v>
      </c>
      <c r="J147" s="1788" t="str">
        <f t="shared" si="16"/>
        <v/>
      </c>
      <c r="K147" s="1786">
        <v>0</v>
      </c>
      <c r="L147" s="1786" t="s">
        <v>1594</v>
      </c>
      <c r="M147" s="1786" t="s">
        <v>1653</v>
      </c>
      <c r="N147" s="1786" t="s">
        <v>1653</v>
      </c>
      <c r="O147" s="1786">
        <v>0</v>
      </c>
      <c r="P147" s="1786"/>
      <c r="Q147" s="1786">
        <v>0</v>
      </c>
      <c r="R147" s="1788"/>
      <c r="S147" s="1786">
        <f t="shared" si="17"/>
        <v>8674</v>
      </c>
      <c r="T147" s="1786" t="str">
        <f t="shared" si="18"/>
        <v>לאומי</v>
      </c>
      <c r="U147" s="1786" t="str">
        <f t="shared" si="19"/>
        <v>מנורה מבטחים חסכון טופ</v>
      </c>
      <c r="V147" s="1786" t="str">
        <f t="shared" si="20"/>
        <v>520007469</v>
      </c>
      <c r="W147" s="1789" t="str">
        <f t="shared" si="21"/>
        <v>מנורה מבטחים פנסיה וגמל בע"מ</v>
      </c>
      <c r="AC147" s="1761" t="s">
        <v>346</v>
      </c>
      <c r="AD147" s="1761"/>
      <c r="AE147" s="1762">
        <v>42676.657384259299</v>
      </c>
      <c r="AF147" s="1761" t="s">
        <v>1653</v>
      </c>
      <c r="AG147" s="1761" t="s">
        <v>1653</v>
      </c>
      <c r="AH147" s="1761" t="s">
        <v>1594</v>
      </c>
      <c r="AI147" s="1761" t="s">
        <v>5465</v>
      </c>
      <c r="AJ147" s="1761" t="s">
        <v>5465</v>
      </c>
      <c r="AK147" s="1761">
        <v>8678</v>
      </c>
      <c r="AL147" s="1761" t="s">
        <v>5459</v>
      </c>
      <c r="AM147" s="1761">
        <v>8674</v>
      </c>
      <c r="AN147" s="1761" t="s">
        <v>5305</v>
      </c>
      <c r="AO147" s="1764"/>
      <c r="AP147" s="1761" t="s">
        <v>5377</v>
      </c>
      <c r="AQ147" s="1761" t="s">
        <v>5378</v>
      </c>
      <c r="AR147" s="1761" t="s">
        <v>2971</v>
      </c>
      <c r="AS147" s="1761" t="s">
        <v>396</v>
      </c>
      <c r="AT147" s="1761" t="s">
        <v>327</v>
      </c>
      <c r="AU147" s="1763"/>
      <c r="AV147" s="1763"/>
    </row>
    <row r="148" spans="1:48" ht="25" hidden="1">
      <c r="A148" s="1785" t="str">
        <f t="shared" si="11"/>
        <v>גמל</v>
      </c>
      <c r="B148" s="1786">
        <f t="shared" si="12"/>
        <v>8675</v>
      </c>
      <c r="C148" s="1787">
        <v>28946</v>
      </c>
      <c r="D148" s="1786" t="str">
        <f t="shared" si="13"/>
        <v xml:space="preserve">מנורה מבטחים חסכון טופ כללי </v>
      </c>
      <c r="E148" s="1786" t="s">
        <v>3929</v>
      </c>
      <c r="F148" s="1786" t="s">
        <v>2958</v>
      </c>
      <c r="G148" s="1786" t="s">
        <v>2959</v>
      </c>
      <c r="H148" s="1786" t="str">
        <f t="shared" si="14"/>
        <v>פעיל</v>
      </c>
      <c r="I148" s="1788">
        <f t="shared" si="15"/>
        <v>42676.657384259299</v>
      </c>
      <c r="J148" s="1788" t="str">
        <f t="shared" si="16"/>
        <v/>
      </c>
      <c r="K148" s="1786">
        <v>0</v>
      </c>
      <c r="L148" s="1786" t="s">
        <v>1594</v>
      </c>
      <c r="M148" s="1786" t="s">
        <v>1653</v>
      </c>
      <c r="N148" s="1786" t="s">
        <v>1653</v>
      </c>
      <c r="O148" s="1786">
        <v>0</v>
      </c>
      <c r="P148" s="1786"/>
      <c r="Q148" s="1786">
        <v>0</v>
      </c>
      <c r="R148" s="1788"/>
      <c r="S148" s="1786">
        <f t="shared" si="17"/>
        <v>8674</v>
      </c>
      <c r="T148" s="1786" t="str">
        <f t="shared" si="18"/>
        <v>לאומי</v>
      </c>
      <c r="U148" s="1786" t="str">
        <f t="shared" si="19"/>
        <v>מנורה מבטחים חסכון טופ</v>
      </c>
      <c r="V148" s="1786" t="str">
        <f t="shared" si="20"/>
        <v>520007469</v>
      </c>
      <c r="W148" s="1789" t="str">
        <f t="shared" si="21"/>
        <v>מנורה מבטחים פנסיה וגמל בע"מ</v>
      </c>
      <c r="AC148" s="1759" t="s">
        <v>346</v>
      </c>
      <c r="AD148" s="1759"/>
      <c r="AE148" s="1760">
        <v>42676.657384259299</v>
      </c>
      <c r="AF148" s="1759" t="s">
        <v>1583</v>
      </c>
      <c r="AG148" s="1759" t="s">
        <v>1583</v>
      </c>
      <c r="AH148" s="1759" t="s">
        <v>1583</v>
      </c>
      <c r="AI148" s="1759" t="s">
        <v>5466</v>
      </c>
      <c r="AJ148" s="1759" t="s">
        <v>5466</v>
      </c>
      <c r="AK148" s="1759">
        <v>8675</v>
      </c>
      <c r="AL148" s="1759" t="s">
        <v>5459</v>
      </c>
      <c r="AM148" s="1759">
        <v>8674</v>
      </c>
      <c r="AN148" s="1759" t="s">
        <v>5305</v>
      </c>
      <c r="AO148" s="1764"/>
      <c r="AP148" s="1759" t="s">
        <v>5377</v>
      </c>
      <c r="AQ148" s="1759" t="s">
        <v>5378</v>
      </c>
      <c r="AR148" s="1759" t="s">
        <v>2971</v>
      </c>
      <c r="AS148" s="1759" t="s">
        <v>396</v>
      </c>
      <c r="AT148" s="1759" t="s">
        <v>327</v>
      </c>
      <c r="AU148" s="1763"/>
      <c r="AV148" s="1763"/>
    </row>
    <row r="149" spans="1:48" ht="37.5" hidden="1">
      <c r="A149" s="1785" t="str">
        <f t="shared" si="11"/>
        <v>גמל</v>
      </c>
      <c r="B149" s="1786">
        <f t="shared" si="12"/>
        <v>8211</v>
      </c>
      <c r="C149" s="1787">
        <v>28946</v>
      </c>
      <c r="D149" s="1786" t="str">
        <f t="shared" si="13"/>
        <v>הראל גמל להשקעה כללי</v>
      </c>
      <c r="E149" s="1786" t="s">
        <v>3929</v>
      </c>
      <c r="F149" s="1786" t="s">
        <v>2958</v>
      </c>
      <c r="G149" s="1786" t="s">
        <v>2959</v>
      </c>
      <c r="H149" s="1786" t="str">
        <f t="shared" si="14"/>
        <v>פעיל</v>
      </c>
      <c r="I149" s="1788">
        <f t="shared" si="15"/>
        <v>42674.706782407397</v>
      </c>
      <c r="J149" s="1788" t="str">
        <f t="shared" si="16"/>
        <v/>
      </c>
      <c r="K149" s="1786">
        <v>0</v>
      </c>
      <c r="L149" s="1786" t="s">
        <v>1594</v>
      </c>
      <c r="M149" s="1786" t="s">
        <v>1653</v>
      </c>
      <c r="N149" s="1786" t="s">
        <v>1653</v>
      </c>
      <c r="O149" s="1786">
        <v>0</v>
      </c>
      <c r="P149" s="1786"/>
      <c r="Q149" s="1786">
        <v>0</v>
      </c>
      <c r="R149" s="1788"/>
      <c r="S149" s="1786">
        <f t="shared" si="17"/>
        <v>8207</v>
      </c>
      <c r="T149" s="1786" t="str">
        <f t="shared" si="18"/>
        <v>הראל פנסיה</v>
      </c>
      <c r="U149" s="1786" t="str">
        <f t="shared" si="19"/>
        <v>הראל גמל להשקעה</v>
      </c>
      <c r="V149" s="1786" t="str">
        <f t="shared" si="20"/>
        <v>520033986</v>
      </c>
      <c r="W149" s="1789" t="str">
        <f t="shared" si="21"/>
        <v>הראל פנסיה וגמל בע"מ</v>
      </c>
      <c r="AC149" s="1761" t="s">
        <v>346</v>
      </c>
      <c r="AD149" s="1761"/>
      <c r="AE149" s="1762">
        <v>42674.706782407397</v>
      </c>
      <c r="AF149" s="1761" t="s">
        <v>1583</v>
      </c>
      <c r="AG149" s="1761" t="s">
        <v>1583</v>
      </c>
      <c r="AH149" s="1761" t="s">
        <v>1583</v>
      </c>
      <c r="AI149" s="1761" t="s">
        <v>4746</v>
      </c>
      <c r="AJ149" s="1761" t="s">
        <v>4746</v>
      </c>
      <c r="AK149" s="1761">
        <v>8211</v>
      </c>
      <c r="AL149" s="1761" t="s">
        <v>4747</v>
      </c>
      <c r="AM149" s="1761">
        <v>8207</v>
      </c>
      <c r="AN149" s="1761" t="s">
        <v>4168</v>
      </c>
      <c r="AO149" s="1764"/>
      <c r="AP149" s="1761" t="s">
        <v>5396</v>
      </c>
      <c r="AQ149" s="1761" t="s">
        <v>5397</v>
      </c>
      <c r="AR149" s="1761" t="s">
        <v>4588</v>
      </c>
      <c r="AS149" s="1761" t="s">
        <v>405</v>
      </c>
      <c r="AT149" s="1761" t="s">
        <v>327</v>
      </c>
      <c r="AU149" s="1763"/>
      <c r="AV149" s="1763"/>
    </row>
    <row r="150" spans="1:48" ht="37.5" hidden="1">
      <c r="A150" s="1785" t="str">
        <f t="shared" si="11"/>
        <v>גמל</v>
      </c>
      <c r="B150" s="1786">
        <f t="shared" si="12"/>
        <v>8520</v>
      </c>
      <c r="C150" s="1787">
        <v>28946</v>
      </c>
      <c r="D150" s="1786" t="str">
        <f t="shared" si="13"/>
        <v>הראל גמל להשקעה אג"ח עד 10% מניות</v>
      </c>
      <c r="E150" s="1786" t="s">
        <v>3929</v>
      </c>
      <c r="F150" s="1786" t="s">
        <v>2958</v>
      </c>
      <c r="G150" s="1786" t="s">
        <v>2959</v>
      </c>
      <c r="H150" s="1786" t="str">
        <f t="shared" si="14"/>
        <v>פעיל</v>
      </c>
      <c r="I150" s="1788">
        <f t="shared" si="15"/>
        <v>42674.706782407397</v>
      </c>
      <c r="J150" s="1788" t="str">
        <f t="shared" si="16"/>
        <v/>
      </c>
      <c r="K150" s="1786">
        <v>0</v>
      </c>
      <c r="L150" s="1786" t="s">
        <v>1594</v>
      </c>
      <c r="M150" s="1786" t="s">
        <v>1653</v>
      </c>
      <c r="N150" s="1786" t="s">
        <v>1653</v>
      </c>
      <c r="O150" s="1786">
        <v>0</v>
      </c>
      <c r="P150" s="1786"/>
      <c r="Q150" s="1786">
        <v>0</v>
      </c>
      <c r="R150" s="1788"/>
      <c r="S150" s="1786">
        <f t="shared" si="17"/>
        <v>8207</v>
      </c>
      <c r="T150" s="1786" t="str">
        <f t="shared" si="18"/>
        <v>הראל פנסיה</v>
      </c>
      <c r="U150" s="1786" t="str">
        <f t="shared" si="19"/>
        <v>הראל גמל להשקעה</v>
      </c>
      <c r="V150" s="1786" t="str">
        <f t="shared" si="20"/>
        <v>520033986</v>
      </c>
      <c r="W150" s="1789" t="str">
        <f t="shared" si="21"/>
        <v>הראל פנסיה וגמל בע"מ</v>
      </c>
      <c r="AC150" s="1759" t="s">
        <v>346</v>
      </c>
      <c r="AD150" s="1759"/>
      <c r="AE150" s="1760">
        <v>42674.706782407397</v>
      </c>
      <c r="AF150" s="1759" t="s">
        <v>3934</v>
      </c>
      <c r="AG150" s="1759" t="s">
        <v>1653</v>
      </c>
      <c r="AH150" s="1759" t="s">
        <v>1594</v>
      </c>
      <c r="AI150" s="1759" t="s">
        <v>4754</v>
      </c>
      <c r="AJ150" s="1759" t="s">
        <v>4754</v>
      </c>
      <c r="AK150" s="1759">
        <v>8520</v>
      </c>
      <c r="AL150" s="1759" t="s">
        <v>4747</v>
      </c>
      <c r="AM150" s="1759">
        <v>8207</v>
      </c>
      <c r="AN150" s="1759" t="s">
        <v>4168</v>
      </c>
      <c r="AO150" s="1764"/>
      <c r="AP150" s="1759" t="s">
        <v>5396</v>
      </c>
      <c r="AQ150" s="1759" t="s">
        <v>5397</v>
      </c>
      <c r="AR150" s="1759" t="s">
        <v>4588</v>
      </c>
      <c r="AS150" s="1759" t="s">
        <v>405</v>
      </c>
      <c r="AT150" s="1759" t="s">
        <v>327</v>
      </c>
      <c r="AU150" s="1763"/>
      <c r="AV150" s="1763"/>
    </row>
    <row r="151" spans="1:48" ht="37.5" hidden="1">
      <c r="A151" s="1785" t="str">
        <f t="shared" ref="A151:A214" si="22">AT151</f>
        <v>גמל</v>
      </c>
      <c r="B151" s="1786">
        <f t="shared" ref="B151:B214" si="23">AK151</f>
        <v>8523</v>
      </c>
      <c r="C151" s="1787">
        <v>28946</v>
      </c>
      <c r="D151" s="1786" t="str">
        <f t="shared" ref="D151:D214" si="24">AJ151</f>
        <v>הראל גמל להשקעה הלכה</v>
      </c>
      <c r="E151" s="1786" t="s">
        <v>3929</v>
      </c>
      <c r="F151" s="1786" t="s">
        <v>2958</v>
      </c>
      <c r="G151" s="1786" t="s">
        <v>2959</v>
      </c>
      <c r="H151" s="1786" t="str">
        <f t="shared" ref="H151:H214" si="25">AC151</f>
        <v>פעיל</v>
      </c>
      <c r="I151" s="1788">
        <f t="shared" ref="I151:I214" si="26">IF(AE151="","",AE151)</f>
        <v>42674.706782407397</v>
      </c>
      <c r="J151" s="1788" t="str">
        <f t="shared" ref="J151:J214" si="27">IF(AD151="","",AD151)</f>
        <v/>
      </c>
      <c r="K151" s="1786">
        <v>0</v>
      </c>
      <c r="L151" s="1786" t="s">
        <v>1594</v>
      </c>
      <c r="M151" s="1786" t="s">
        <v>1653</v>
      </c>
      <c r="N151" s="1786" t="s">
        <v>1653</v>
      </c>
      <c r="O151" s="1786">
        <v>0</v>
      </c>
      <c r="P151" s="1786"/>
      <c r="Q151" s="1786">
        <v>0</v>
      </c>
      <c r="R151" s="1788"/>
      <c r="S151" s="1786">
        <f t="shared" ref="S151:S214" si="28">AM151</f>
        <v>8207</v>
      </c>
      <c r="T151" s="1786" t="str">
        <f t="shared" ref="T151:T214" si="29">AN151</f>
        <v>הראל פנסיה</v>
      </c>
      <c r="U151" s="1786" t="str">
        <f t="shared" ref="U151:U214" si="30">AL151</f>
        <v>הראל גמל להשקעה</v>
      </c>
      <c r="V151" s="1786" t="str">
        <f t="shared" ref="V151:V214" si="31">AQ151</f>
        <v>520033986</v>
      </c>
      <c r="W151" s="1789" t="str">
        <f t="shared" ref="W151:W214" si="32">AR151</f>
        <v>הראל פנסיה וגמל בע"מ</v>
      </c>
      <c r="AC151" s="1761" t="s">
        <v>346</v>
      </c>
      <c r="AD151" s="1761"/>
      <c r="AE151" s="1762">
        <v>42674.706782407397</v>
      </c>
      <c r="AF151" s="1761" t="s">
        <v>4603</v>
      </c>
      <c r="AG151" s="1761" t="s">
        <v>2029</v>
      </c>
      <c r="AH151" s="1761" t="s">
        <v>2028</v>
      </c>
      <c r="AI151" s="1761" t="s">
        <v>5467</v>
      </c>
      <c r="AJ151" s="1761" t="s">
        <v>5467</v>
      </c>
      <c r="AK151" s="1761">
        <v>8523</v>
      </c>
      <c r="AL151" s="1761" t="s">
        <v>4747</v>
      </c>
      <c r="AM151" s="1761">
        <v>8207</v>
      </c>
      <c r="AN151" s="1761" t="s">
        <v>4168</v>
      </c>
      <c r="AO151" s="1764"/>
      <c r="AP151" s="1761" t="s">
        <v>5396</v>
      </c>
      <c r="AQ151" s="1761" t="s">
        <v>5397</v>
      </c>
      <c r="AR151" s="1761" t="s">
        <v>4588</v>
      </c>
      <c r="AS151" s="1761" t="s">
        <v>405</v>
      </c>
      <c r="AT151" s="1761" t="s">
        <v>327</v>
      </c>
      <c r="AU151" s="1763"/>
      <c r="AV151" s="1763"/>
    </row>
    <row r="152" spans="1:48" ht="37.5" hidden="1">
      <c r="A152" s="1785" t="str">
        <f t="shared" si="22"/>
        <v>גמל</v>
      </c>
      <c r="B152" s="1786">
        <f t="shared" si="23"/>
        <v>8522</v>
      </c>
      <c r="C152" s="1787">
        <v>28946</v>
      </c>
      <c r="D152" s="1786" t="str">
        <f t="shared" si="24"/>
        <v>הראל גמל להשקעה מניות</v>
      </c>
      <c r="E152" s="1786" t="s">
        <v>3929</v>
      </c>
      <c r="F152" s="1786" t="s">
        <v>2958</v>
      </c>
      <c r="G152" s="1786" t="s">
        <v>2959</v>
      </c>
      <c r="H152" s="1786" t="str">
        <f t="shared" si="25"/>
        <v>פעיל</v>
      </c>
      <c r="I152" s="1788">
        <f t="shared" si="26"/>
        <v>42674.706782407397</v>
      </c>
      <c r="J152" s="1788" t="str">
        <f t="shared" si="27"/>
        <v/>
      </c>
      <c r="K152" s="1786">
        <v>0</v>
      </c>
      <c r="L152" s="1786" t="s">
        <v>1594</v>
      </c>
      <c r="M152" s="1786" t="s">
        <v>1653</v>
      </c>
      <c r="N152" s="1786" t="s">
        <v>1653</v>
      </c>
      <c r="O152" s="1786">
        <v>0</v>
      </c>
      <c r="P152" s="1786"/>
      <c r="Q152" s="1786">
        <v>0</v>
      </c>
      <c r="R152" s="1788"/>
      <c r="S152" s="1786">
        <f t="shared" si="28"/>
        <v>8207</v>
      </c>
      <c r="T152" s="1786" t="str">
        <f t="shared" si="29"/>
        <v>הראל פנסיה</v>
      </c>
      <c r="U152" s="1786" t="str">
        <f t="shared" si="30"/>
        <v>הראל גמל להשקעה</v>
      </c>
      <c r="V152" s="1786" t="str">
        <f t="shared" si="31"/>
        <v>520033986</v>
      </c>
      <c r="W152" s="1789" t="str">
        <f t="shared" si="32"/>
        <v>הראל פנסיה וגמל בע"מ</v>
      </c>
      <c r="AC152" s="1759" t="s">
        <v>346</v>
      </c>
      <c r="AD152" s="1759"/>
      <c r="AE152" s="1760">
        <v>42674.706782407397</v>
      </c>
      <c r="AF152" s="1759" t="s">
        <v>1595</v>
      </c>
      <c r="AG152" s="1759" t="s">
        <v>75</v>
      </c>
      <c r="AH152" s="1759" t="s">
        <v>1594</v>
      </c>
      <c r="AI152" s="1759" t="s">
        <v>5468</v>
      </c>
      <c r="AJ152" s="1759" t="s">
        <v>4756</v>
      </c>
      <c r="AK152" s="1759">
        <v>8522</v>
      </c>
      <c r="AL152" s="1759" t="s">
        <v>4747</v>
      </c>
      <c r="AM152" s="1759">
        <v>8207</v>
      </c>
      <c r="AN152" s="1759" t="s">
        <v>4168</v>
      </c>
      <c r="AO152" s="1764"/>
      <c r="AP152" s="1759" t="s">
        <v>5396</v>
      </c>
      <c r="AQ152" s="1759" t="s">
        <v>5397</v>
      </c>
      <c r="AR152" s="1759" t="s">
        <v>4588</v>
      </c>
      <c r="AS152" s="1759" t="s">
        <v>405</v>
      </c>
      <c r="AT152" s="1759" t="s">
        <v>327</v>
      </c>
      <c r="AU152" s="1763"/>
      <c r="AV152" s="1763"/>
    </row>
    <row r="153" spans="1:48" ht="37.5" hidden="1">
      <c r="A153" s="1785" t="str">
        <f t="shared" si="22"/>
        <v>גמל</v>
      </c>
      <c r="B153" s="1786">
        <f t="shared" si="23"/>
        <v>8521</v>
      </c>
      <c r="C153" s="1787">
        <v>28946</v>
      </c>
      <c r="D153" s="1786" t="str">
        <f t="shared" si="24"/>
        <v xml:space="preserve">הראל גמל להשקעה אג"ח עד 20% מניות </v>
      </c>
      <c r="E153" s="1786" t="s">
        <v>3929</v>
      </c>
      <c r="F153" s="1786" t="s">
        <v>2958</v>
      </c>
      <c r="G153" s="1786" t="s">
        <v>2959</v>
      </c>
      <c r="H153" s="1786" t="str">
        <f t="shared" si="25"/>
        <v>פעיל</v>
      </c>
      <c r="I153" s="1788">
        <f t="shared" si="26"/>
        <v>42674.706782407397</v>
      </c>
      <c r="J153" s="1788" t="str">
        <f t="shared" si="27"/>
        <v/>
      </c>
      <c r="K153" s="1786">
        <v>0</v>
      </c>
      <c r="L153" s="1786" t="s">
        <v>1594</v>
      </c>
      <c r="M153" s="1786" t="s">
        <v>1653</v>
      </c>
      <c r="N153" s="1786" t="s">
        <v>1653</v>
      </c>
      <c r="O153" s="1786">
        <v>0</v>
      </c>
      <c r="P153" s="1786"/>
      <c r="Q153" s="1786">
        <v>0</v>
      </c>
      <c r="R153" s="1788"/>
      <c r="S153" s="1786">
        <f t="shared" si="28"/>
        <v>8207</v>
      </c>
      <c r="T153" s="1786" t="str">
        <f t="shared" si="29"/>
        <v>הראל פנסיה</v>
      </c>
      <c r="U153" s="1786" t="str">
        <f t="shared" si="30"/>
        <v>הראל גמל להשקעה</v>
      </c>
      <c r="V153" s="1786" t="str">
        <f t="shared" si="31"/>
        <v>520033986</v>
      </c>
      <c r="W153" s="1789" t="str">
        <f t="shared" si="32"/>
        <v>הראל פנסיה וגמל בע"מ</v>
      </c>
      <c r="AC153" s="1761" t="s">
        <v>346</v>
      </c>
      <c r="AD153" s="1761"/>
      <c r="AE153" s="1762">
        <v>42674.706782407397</v>
      </c>
      <c r="AF153" s="1761" t="s">
        <v>3934</v>
      </c>
      <c r="AG153" s="1761" t="s">
        <v>1653</v>
      </c>
      <c r="AH153" s="1761" t="s">
        <v>1594</v>
      </c>
      <c r="AI153" s="1761" t="s">
        <v>5469</v>
      </c>
      <c r="AJ153" s="1761" t="s">
        <v>4755</v>
      </c>
      <c r="AK153" s="1761">
        <v>8521</v>
      </c>
      <c r="AL153" s="1761" t="s">
        <v>4747</v>
      </c>
      <c r="AM153" s="1761">
        <v>8207</v>
      </c>
      <c r="AN153" s="1761" t="s">
        <v>4168</v>
      </c>
      <c r="AO153" s="1764"/>
      <c r="AP153" s="1761" t="s">
        <v>5396</v>
      </c>
      <c r="AQ153" s="1761" t="s">
        <v>5397</v>
      </c>
      <c r="AR153" s="1761" t="s">
        <v>4588</v>
      </c>
      <c r="AS153" s="1761" t="s">
        <v>405</v>
      </c>
      <c r="AT153" s="1761" t="s">
        <v>327</v>
      </c>
      <c r="AU153" s="1763"/>
      <c r="AV153" s="1763"/>
    </row>
    <row r="154" spans="1:48" ht="25">
      <c r="A154" s="1785" t="str">
        <f t="shared" si="22"/>
        <v>פנסיה</v>
      </c>
      <c r="B154" s="1786">
        <f t="shared" si="23"/>
        <v>8117</v>
      </c>
      <c r="C154" s="1787">
        <v>28946</v>
      </c>
      <c r="D154" s="1786" t="str">
        <f t="shared" si="24"/>
        <v>קרן גמלאות של עורכי-דין בישראל בע"מ כללי כללי</v>
      </c>
      <c r="E154" s="1786" t="s">
        <v>3929</v>
      </c>
      <c r="F154" s="1786" t="s">
        <v>2958</v>
      </c>
      <c r="G154" s="1786" t="s">
        <v>2959</v>
      </c>
      <c r="H154" s="1786" t="str">
        <f t="shared" si="25"/>
        <v>לא פעיל</v>
      </c>
      <c r="I154" s="1788">
        <f t="shared" si="26"/>
        <v>41518.363298611097</v>
      </c>
      <c r="J154" s="1788">
        <f t="shared" si="27"/>
        <v>41632.596956018497</v>
      </c>
      <c r="K154" s="1786">
        <v>0</v>
      </c>
      <c r="L154" s="1786" t="s">
        <v>1594</v>
      </c>
      <c r="M154" s="1786" t="s">
        <v>1653</v>
      </c>
      <c r="N154" s="1786" t="s">
        <v>1653</v>
      </c>
      <c r="O154" s="1786">
        <v>0</v>
      </c>
      <c r="P154" s="1786"/>
      <c r="Q154" s="1786">
        <v>0</v>
      </c>
      <c r="R154" s="1788"/>
      <c r="S154" s="1786">
        <f t="shared" si="28"/>
        <v>8116</v>
      </c>
      <c r="T154" s="1786">
        <f t="shared" si="29"/>
        <v>0</v>
      </c>
      <c r="U154" s="1786" t="str">
        <f t="shared" si="30"/>
        <v>קרן גמלאות של עורכי-דין בישראל בע"מ</v>
      </c>
      <c r="V154" s="1786">
        <f t="shared" si="31"/>
        <v>0</v>
      </c>
      <c r="W154" s="1789" t="str">
        <f t="shared" si="32"/>
        <v>קרן גמלאות של עורכי דין בישראל בע"מ</v>
      </c>
      <c r="AC154" s="1759" t="s">
        <v>1586</v>
      </c>
      <c r="AD154" s="1760">
        <v>41632.596956018497</v>
      </c>
      <c r="AE154" s="1760">
        <v>41518.363298611097</v>
      </c>
      <c r="AF154" s="1759" t="s">
        <v>1583</v>
      </c>
      <c r="AG154" s="1759" t="s">
        <v>1583</v>
      </c>
      <c r="AH154" s="1759" t="s">
        <v>1583</v>
      </c>
      <c r="AI154" s="1759" t="s">
        <v>3724</v>
      </c>
      <c r="AJ154" s="1759" t="s">
        <v>2808</v>
      </c>
      <c r="AK154" s="1759">
        <v>8117</v>
      </c>
      <c r="AL154" s="1759" t="s">
        <v>3725</v>
      </c>
      <c r="AM154" s="1759">
        <v>8116</v>
      </c>
      <c r="AN154" s="1759"/>
      <c r="AO154" s="1764"/>
      <c r="AP154" s="1759"/>
      <c r="AQ154" s="1759"/>
      <c r="AR154" s="1759" t="s">
        <v>2584</v>
      </c>
      <c r="AS154" s="1759" t="s">
        <v>2585</v>
      </c>
      <c r="AT154" s="1759" t="s">
        <v>328</v>
      </c>
      <c r="AU154" s="1763"/>
      <c r="AV154" s="1763"/>
    </row>
    <row r="155" spans="1:48" ht="25" hidden="1">
      <c r="A155" s="1785" t="str">
        <f t="shared" si="22"/>
        <v>גמל</v>
      </c>
      <c r="B155" s="1786">
        <f t="shared" si="23"/>
        <v>7999</v>
      </c>
      <c r="C155" s="1787">
        <v>28946</v>
      </c>
      <c r="D155" s="1786" t="str">
        <f t="shared" si="24"/>
        <v>הלמן-אלדובי להשקעה פאסיבי-כללי</v>
      </c>
      <c r="E155" s="1786" t="s">
        <v>3929</v>
      </c>
      <c r="F155" s="1786" t="s">
        <v>2958</v>
      </c>
      <c r="G155" s="1786" t="s">
        <v>2959</v>
      </c>
      <c r="H155" s="1786" t="str">
        <f t="shared" si="25"/>
        <v>לא פעיל</v>
      </c>
      <c r="I155" s="1788">
        <f t="shared" si="26"/>
        <v>42674.5713888889</v>
      </c>
      <c r="J155" s="1788">
        <f t="shared" si="27"/>
        <v>43563.595972222203</v>
      </c>
      <c r="K155" s="1786">
        <v>0</v>
      </c>
      <c r="L155" s="1786" t="s">
        <v>1594</v>
      </c>
      <c r="M155" s="1786" t="s">
        <v>1653</v>
      </c>
      <c r="N155" s="1786" t="s">
        <v>1653</v>
      </c>
      <c r="O155" s="1786">
        <v>0</v>
      </c>
      <c r="P155" s="1786"/>
      <c r="Q155" s="1786">
        <v>0</v>
      </c>
      <c r="R155" s="1788"/>
      <c r="S155" s="1786">
        <f t="shared" si="28"/>
        <v>7997</v>
      </c>
      <c r="T155" s="1786" t="str">
        <f t="shared" si="29"/>
        <v>בנק מזרחי טפחות בע"מ</v>
      </c>
      <c r="U155" s="1786" t="str">
        <f t="shared" si="30"/>
        <v>הלמן-אלדובי להשקעה</v>
      </c>
      <c r="V155" s="1786" t="str">
        <f t="shared" si="31"/>
        <v>513163105</v>
      </c>
      <c r="W155" s="1789" t="str">
        <f t="shared" si="32"/>
        <v>הלמן - אלדובי קופות גמל ופנסיה בע"מ</v>
      </c>
      <c r="AC155" s="1761" t="s">
        <v>1586</v>
      </c>
      <c r="AD155" s="1762">
        <v>43563.595972222203</v>
      </c>
      <c r="AE155" s="1762">
        <v>42674.5713888889</v>
      </c>
      <c r="AF155" s="1761" t="s">
        <v>3959</v>
      </c>
      <c r="AG155" s="1761" t="s">
        <v>1583</v>
      </c>
      <c r="AH155" s="1761" t="s">
        <v>1583</v>
      </c>
      <c r="AI155" s="1761" t="s">
        <v>4743</v>
      </c>
      <c r="AJ155" s="1761" t="s">
        <v>4743</v>
      </c>
      <c r="AK155" s="1761">
        <v>7999</v>
      </c>
      <c r="AL155" s="1761" t="s">
        <v>4742</v>
      </c>
      <c r="AM155" s="1761">
        <v>7997</v>
      </c>
      <c r="AN155" s="1761" t="s">
        <v>5370</v>
      </c>
      <c r="AO155" s="1764"/>
      <c r="AP155" s="1761" t="s">
        <v>5371</v>
      </c>
      <c r="AQ155" s="1761" t="s">
        <v>5372</v>
      </c>
      <c r="AR155" s="1761" t="s">
        <v>354</v>
      </c>
      <c r="AS155" s="1761" t="s">
        <v>355</v>
      </c>
      <c r="AT155" s="1761" t="s">
        <v>327</v>
      </c>
      <c r="AU155" s="1763"/>
      <c r="AV155" s="1763"/>
    </row>
    <row r="156" spans="1:48" ht="25" hidden="1">
      <c r="A156" s="1785" t="str">
        <f t="shared" si="22"/>
        <v>גמל</v>
      </c>
      <c r="B156" s="1786">
        <f t="shared" si="23"/>
        <v>7998</v>
      </c>
      <c r="C156" s="1787">
        <v>28946</v>
      </c>
      <c r="D156" s="1786" t="str">
        <f t="shared" si="24"/>
        <v>הלמן-אלדובי להשקעה כללי</v>
      </c>
      <c r="E156" s="1786" t="s">
        <v>3929</v>
      </c>
      <c r="F156" s="1786" t="s">
        <v>2958</v>
      </c>
      <c r="G156" s="1786" t="s">
        <v>2959</v>
      </c>
      <c r="H156" s="1786" t="str">
        <f t="shared" si="25"/>
        <v>לא פעיל</v>
      </c>
      <c r="I156" s="1788">
        <f t="shared" si="26"/>
        <v>42674.5713888889</v>
      </c>
      <c r="J156" s="1788">
        <f t="shared" si="27"/>
        <v>43563.594027777799</v>
      </c>
      <c r="K156" s="1786">
        <v>0</v>
      </c>
      <c r="L156" s="1786" t="s">
        <v>1594</v>
      </c>
      <c r="M156" s="1786" t="s">
        <v>1653</v>
      </c>
      <c r="N156" s="1786" t="s">
        <v>1653</v>
      </c>
      <c r="O156" s="1786">
        <v>0</v>
      </c>
      <c r="P156" s="1786"/>
      <c r="Q156" s="1786">
        <v>0</v>
      </c>
      <c r="R156" s="1788"/>
      <c r="S156" s="1786">
        <f t="shared" si="28"/>
        <v>7997</v>
      </c>
      <c r="T156" s="1786" t="str">
        <f t="shared" si="29"/>
        <v>בנק מזרחי טפחות בע"מ</v>
      </c>
      <c r="U156" s="1786" t="str">
        <f t="shared" si="30"/>
        <v>הלמן-אלדובי להשקעה</v>
      </c>
      <c r="V156" s="1786" t="str">
        <f t="shared" si="31"/>
        <v>513163105</v>
      </c>
      <c r="W156" s="1789" t="str">
        <f t="shared" si="32"/>
        <v>הלמן - אלדובי קופות גמל ופנסיה בע"מ</v>
      </c>
      <c r="AC156" s="1759" t="s">
        <v>1586</v>
      </c>
      <c r="AD156" s="1760">
        <v>43563.594027777799</v>
      </c>
      <c r="AE156" s="1760">
        <v>42674.5713888889</v>
      </c>
      <c r="AF156" s="1759" t="s">
        <v>1583</v>
      </c>
      <c r="AG156" s="1759" t="s">
        <v>1583</v>
      </c>
      <c r="AH156" s="1759" t="s">
        <v>1583</v>
      </c>
      <c r="AI156" s="1759" t="s">
        <v>4741</v>
      </c>
      <c r="AJ156" s="1759" t="s">
        <v>4741</v>
      </c>
      <c r="AK156" s="1759">
        <v>7998</v>
      </c>
      <c r="AL156" s="1759" t="s">
        <v>4742</v>
      </c>
      <c r="AM156" s="1759">
        <v>7997</v>
      </c>
      <c r="AN156" s="1759" t="s">
        <v>5370</v>
      </c>
      <c r="AO156" s="1764"/>
      <c r="AP156" s="1759" t="s">
        <v>5371</v>
      </c>
      <c r="AQ156" s="1759" t="s">
        <v>5372</v>
      </c>
      <c r="AR156" s="1759" t="s">
        <v>354</v>
      </c>
      <c r="AS156" s="1759" t="s">
        <v>355</v>
      </c>
      <c r="AT156" s="1759" t="s">
        <v>327</v>
      </c>
      <c r="AU156" s="1763"/>
      <c r="AV156" s="1763"/>
    </row>
    <row r="157" spans="1:48" ht="25" hidden="1">
      <c r="A157" s="1785" t="str">
        <f t="shared" si="22"/>
        <v>גמל</v>
      </c>
      <c r="B157" s="1786">
        <f t="shared" si="23"/>
        <v>8003</v>
      </c>
      <c r="C157" s="1787">
        <v>28946</v>
      </c>
      <c r="D157" s="1786" t="str">
        <f t="shared" si="24"/>
        <v xml:space="preserve">הלמן-אלדובי להשקעה מניות </v>
      </c>
      <c r="E157" s="1786" t="s">
        <v>3929</v>
      </c>
      <c r="F157" s="1786" t="s">
        <v>2958</v>
      </c>
      <c r="G157" s="1786" t="s">
        <v>2959</v>
      </c>
      <c r="H157" s="1786" t="str">
        <f t="shared" si="25"/>
        <v>לא פעיל</v>
      </c>
      <c r="I157" s="1788">
        <f t="shared" si="26"/>
        <v>42674.5713888889</v>
      </c>
      <c r="J157" s="1788">
        <f t="shared" si="27"/>
        <v>43563.597291666701</v>
      </c>
      <c r="K157" s="1786">
        <v>0</v>
      </c>
      <c r="L157" s="1786" t="s">
        <v>1594</v>
      </c>
      <c r="M157" s="1786" t="s">
        <v>1653</v>
      </c>
      <c r="N157" s="1786" t="s">
        <v>1653</v>
      </c>
      <c r="O157" s="1786">
        <v>0</v>
      </c>
      <c r="P157" s="1786"/>
      <c r="Q157" s="1786">
        <v>0</v>
      </c>
      <c r="R157" s="1788"/>
      <c r="S157" s="1786">
        <f t="shared" si="28"/>
        <v>7997</v>
      </c>
      <c r="T157" s="1786" t="str">
        <f t="shared" si="29"/>
        <v>בנק מזרחי טפחות בע"מ</v>
      </c>
      <c r="U157" s="1786" t="str">
        <f t="shared" si="30"/>
        <v>הלמן-אלדובי להשקעה</v>
      </c>
      <c r="V157" s="1786" t="str">
        <f t="shared" si="31"/>
        <v>513163105</v>
      </c>
      <c r="W157" s="1789" t="str">
        <f t="shared" si="32"/>
        <v>הלמן - אלדובי קופות גמל ופנסיה בע"מ</v>
      </c>
      <c r="AC157" s="1761" t="s">
        <v>1586</v>
      </c>
      <c r="AD157" s="1762">
        <v>43563.597291666701</v>
      </c>
      <c r="AE157" s="1762">
        <v>42674.5713888889</v>
      </c>
      <c r="AF157" s="1761" t="s">
        <v>1595</v>
      </c>
      <c r="AG157" s="1761" t="s">
        <v>75</v>
      </c>
      <c r="AH157" s="1761" t="s">
        <v>1594</v>
      </c>
      <c r="AI157" s="1761" t="s">
        <v>4744</v>
      </c>
      <c r="AJ157" s="1761" t="s">
        <v>4744</v>
      </c>
      <c r="AK157" s="1761">
        <v>8003</v>
      </c>
      <c r="AL157" s="1761" t="s">
        <v>4742</v>
      </c>
      <c r="AM157" s="1761">
        <v>7997</v>
      </c>
      <c r="AN157" s="1761" t="s">
        <v>5370</v>
      </c>
      <c r="AO157" s="1764"/>
      <c r="AP157" s="1761" t="s">
        <v>5371</v>
      </c>
      <c r="AQ157" s="1761" t="s">
        <v>5372</v>
      </c>
      <c r="AR157" s="1761" t="s">
        <v>354</v>
      </c>
      <c r="AS157" s="1761" t="s">
        <v>355</v>
      </c>
      <c r="AT157" s="1761" t="s">
        <v>327</v>
      </c>
      <c r="AU157" s="1763"/>
      <c r="AV157" s="1763"/>
    </row>
    <row r="158" spans="1:48" ht="25" hidden="1">
      <c r="A158" s="1785" t="str">
        <f t="shared" si="22"/>
        <v>גמל</v>
      </c>
      <c r="B158" s="1786">
        <f t="shared" si="23"/>
        <v>7991</v>
      </c>
      <c r="C158" s="1787">
        <v>28946</v>
      </c>
      <c r="D158" s="1786" t="str">
        <f t="shared" si="24"/>
        <v xml:space="preserve">כלל גמל לעתיד - קופת גמל להשקעה  מניות </v>
      </c>
      <c r="E158" s="1786" t="s">
        <v>3929</v>
      </c>
      <c r="F158" s="1786" t="s">
        <v>2958</v>
      </c>
      <c r="G158" s="1786" t="s">
        <v>2959</v>
      </c>
      <c r="H158" s="1786" t="str">
        <f t="shared" si="25"/>
        <v>פעיל</v>
      </c>
      <c r="I158" s="1788">
        <f t="shared" si="26"/>
        <v>42673.725451388898</v>
      </c>
      <c r="J158" s="1788" t="str">
        <f t="shared" si="27"/>
        <v/>
      </c>
      <c r="K158" s="1786">
        <v>0</v>
      </c>
      <c r="L158" s="1786" t="s">
        <v>1594</v>
      </c>
      <c r="M158" s="1786" t="s">
        <v>1653</v>
      </c>
      <c r="N158" s="1786" t="s">
        <v>1653</v>
      </c>
      <c r="O158" s="1786">
        <v>0</v>
      </c>
      <c r="P158" s="1786"/>
      <c r="Q158" s="1786">
        <v>0</v>
      </c>
      <c r="R158" s="1788"/>
      <c r="S158" s="1786">
        <f t="shared" si="28"/>
        <v>7987</v>
      </c>
      <c r="T158" s="1786" t="str">
        <f t="shared" si="29"/>
        <v>בנק לאומי בע"מ</v>
      </c>
      <c r="U158" s="1786" t="str">
        <f t="shared" si="30"/>
        <v>כלל גמל לעתיד - קופת גמל להשקעה</v>
      </c>
      <c r="V158" s="1786">
        <f t="shared" si="31"/>
        <v>0</v>
      </c>
      <c r="W158" s="1789" t="str">
        <f t="shared" si="32"/>
        <v>כלל פנסיה וגמל בע"מ</v>
      </c>
      <c r="AC158" s="1759" t="s">
        <v>346</v>
      </c>
      <c r="AD158" s="1759"/>
      <c r="AE158" s="1760">
        <v>42673.725451388898</v>
      </c>
      <c r="AF158" s="1759" t="s">
        <v>1595</v>
      </c>
      <c r="AG158" s="1759" t="s">
        <v>75</v>
      </c>
      <c r="AH158" s="1759" t="s">
        <v>1594</v>
      </c>
      <c r="AI158" s="1759" t="s">
        <v>4734</v>
      </c>
      <c r="AJ158" s="1759" t="s">
        <v>4733</v>
      </c>
      <c r="AK158" s="1759">
        <v>7991</v>
      </c>
      <c r="AL158" s="1759" t="s">
        <v>4728</v>
      </c>
      <c r="AM158" s="1759">
        <v>7987</v>
      </c>
      <c r="AN158" s="1759" t="s">
        <v>5470</v>
      </c>
      <c r="AO158" s="1764"/>
      <c r="AP158" s="1759"/>
      <c r="AQ158" s="1759"/>
      <c r="AR158" s="1759" t="s">
        <v>378</v>
      </c>
      <c r="AS158" s="1759" t="s">
        <v>379</v>
      </c>
      <c r="AT158" s="1759" t="s">
        <v>327</v>
      </c>
      <c r="AU158" s="1763"/>
      <c r="AV158" s="1763"/>
    </row>
    <row r="159" spans="1:48" ht="25" hidden="1">
      <c r="A159" s="1785" t="str">
        <f t="shared" si="22"/>
        <v>גמל</v>
      </c>
      <c r="B159" s="1786">
        <f t="shared" si="23"/>
        <v>7993</v>
      </c>
      <c r="C159" s="1787">
        <v>28946</v>
      </c>
      <c r="D159" s="1786" t="str">
        <f t="shared" si="24"/>
        <v>כלל גמל לעתיד - קופת גמל להשקעה שיקלי טווח קצר</v>
      </c>
      <c r="E159" s="1786" t="s">
        <v>3929</v>
      </c>
      <c r="F159" s="1786" t="s">
        <v>2958</v>
      </c>
      <c r="G159" s="1786" t="s">
        <v>2959</v>
      </c>
      <c r="H159" s="1786" t="str">
        <f t="shared" si="25"/>
        <v>פעיל</v>
      </c>
      <c r="I159" s="1788">
        <f t="shared" si="26"/>
        <v>42673.725451388898</v>
      </c>
      <c r="J159" s="1788" t="str">
        <f t="shared" si="27"/>
        <v/>
      </c>
      <c r="K159" s="1786">
        <v>0</v>
      </c>
      <c r="L159" s="1786" t="s">
        <v>1594</v>
      </c>
      <c r="M159" s="1786" t="s">
        <v>1653</v>
      </c>
      <c r="N159" s="1786" t="s">
        <v>1653</v>
      </c>
      <c r="O159" s="1786">
        <v>0</v>
      </c>
      <c r="P159" s="1786"/>
      <c r="Q159" s="1786">
        <v>0</v>
      </c>
      <c r="R159" s="1788"/>
      <c r="S159" s="1786">
        <f t="shared" si="28"/>
        <v>7987</v>
      </c>
      <c r="T159" s="1786" t="str">
        <f t="shared" si="29"/>
        <v>בנק לאומי בע"מ</v>
      </c>
      <c r="U159" s="1786" t="str">
        <f t="shared" si="30"/>
        <v>כלל גמל לעתיד - קופת גמל להשקעה</v>
      </c>
      <c r="V159" s="1786">
        <f t="shared" si="31"/>
        <v>0</v>
      </c>
      <c r="W159" s="1789" t="str">
        <f t="shared" si="32"/>
        <v>כלל פנסיה וגמל בע"מ</v>
      </c>
      <c r="AC159" s="1761" t="s">
        <v>346</v>
      </c>
      <c r="AD159" s="1759"/>
      <c r="AE159" s="1762">
        <v>42673.725451388898</v>
      </c>
      <c r="AF159" s="1761" t="s">
        <v>1673</v>
      </c>
      <c r="AG159" s="1761" t="s">
        <v>1614</v>
      </c>
      <c r="AH159" s="1761" t="s">
        <v>1594</v>
      </c>
      <c r="AI159" s="1761" t="s">
        <v>4738</v>
      </c>
      <c r="AJ159" s="1761" t="s">
        <v>4737</v>
      </c>
      <c r="AK159" s="1761">
        <v>7993</v>
      </c>
      <c r="AL159" s="1761" t="s">
        <v>4728</v>
      </c>
      <c r="AM159" s="1761">
        <v>7987</v>
      </c>
      <c r="AN159" s="1761" t="s">
        <v>5470</v>
      </c>
      <c r="AO159" s="1764"/>
      <c r="AP159" s="1761"/>
      <c r="AQ159" s="1761"/>
      <c r="AR159" s="1761" t="s">
        <v>378</v>
      </c>
      <c r="AS159" s="1761" t="s">
        <v>379</v>
      </c>
      <c r="AT159" s="1761" t="s">
        <v>327</v>
      </c>
      <c r="AU159" s="1763"/>
      <c r="AV159" s="1763"/>
    </row>
    <row r="160" spans="1:48" ht="25" hidden="1">
      <c r="A160" s="1785" t="str">
        <f t="shared" si="22"/>
        <v>גמל</v>
      </c>
      <c r="B160" s="1786">
        <f t="shared" si="23"/>
        <v>7992</v>
      </c>
      <c r="C160" s="1787">
        <v>28946</v>
      </c>
      <c r="D160" s="1786" t="str">
        <f t="shared" si="24"/>
        <v xml:space="preserve">כלל גמל לעתיד - קופת גמל להשקעה אג"ח עד 15% מניות </v>
      </c>
      <c r="E160" s="1786" t="s">
        <v>3929</v>
      </c>
      <c r="F160" s="1786" t="s">
        <v>2958</v>
      </c>
      <c r="G160" s="1786" t="s">
        <v>2959</v>
      </c>
      <c r="H160" s="1786" t="str">
        <f t="shared" si="25"/>
        <v>פעיל</v>
      </c>
      <c r="I160" s="1788">
        <f t="shared" si="26"/>
        <v>42673.725451388898</v>
      </c>
      <c r="J160" s="1788" t="str">
        <f t="shared" si="27"/>
        <v/>
      </c>
      <c r="K160" s="1786">
        <v>0</v>
      </c>
      <c r="L160" s="1786" t="s">
        <v>1594</v>
      </c>
      <c r="M160" s="1786" t="s">
        <v>1653</v>
      </c>
      <c r="N160" s="1786" t="s">
        <v>1653</v>
      </c>
      <c r="O160" s="1786">
        <v>0</v>
      </c>
      <c r="P160" s="1786"/>
      <c r="Q160" s="1786">
        <v>0</v>
      </c>
      <c r="R160" s="1788"/>
      <c r="S160" s="1786">
        <f t="shared" si="28"/>
        <v>7987</v>
      </c>
      <c r="T160" s="1786" t="str">
        <f t="shared" si="29"/>
        <v>בנק לאומי בע"מ</v>
      </c>
      <c r="U160" s="1786" t="str">
        <f t="shared" si="30"/>
        <v>כלל גמל לעתיד - קופת גמל להשקעה</v>
      </c>
      <c r="V160" s="1786">
        <f t="shared" si="31"/>
        <v>0</v>
      </c>
      <c r="W160" s="1789" t="str">
        <f t="shared" si="32"/>
        <v>כלל פנסיה וגמל בע"מ</v>
      </c>
      <c r="AC160" s="1759" t="s">
        <v>346</v>
      </c>
      <c r="AD160" s="1759"/>
      <c r="AE160" s="1760">
        <v>42673.725451388898</v>
      </c>
      <c r="AF160" s="1759" t="s">
        <v>3934</v>
      </c>
      <c r="AG160" s="1759" t="s">
        <v>1653</v>
      </c>
      <c r="AH160" s="1759" t="s">
        <v>1594</v>
      </c>
      <c r="AI160" s="1759" t="s">
        <v>4736</v>
      </c>
      <c r="AJ160" s="1759" t="s">
        <v>4735</v>
      </c>
      <c r="AK160" s="1759">
        <v>7992</v>
      </c>
      <c r="AL160" s="1759" t="s">
        <v>4728</v>
      </c>
      <c r="AM160" s="1759">
        <v>7987</v>
      </c>
      <c r="AN160" s="1759" t="s">
        <v>5470</v>
      </c>
      <c r="AO160" s="1764"/>
      <c r="AP160" s="1759"/>
      <c r="AQ160" s="1759"/>
      <c r="AR160" s="1759" t="s">
        <v>378</v>
      </c>
      <c r="AS160" s="1759" t="s">
        <v>379</v>
      </c>
      <c r="AT160" s="1759" t="s">
        <v>327</v>
      </c>
      <c r="AU160" s="1763"/>
      <c r="AV160" s="1763"/>
    </row>
    <row r="161" spans="1:48" ht="25" hidden="1">
      <c r="A161" s="1785" t="str">
        <f t="shared" si="22"/>
        <v>גמל</v>
      </c>
      <c r="B161" s="1786">
        <f t="shared" si="23"/>
        <v>7994</v>
      </c>
      <c r="C161" s="1787">
        <v>28946</v>
      </c>
      <c r="D161" s="1786" t="str">
        <f t="shared" si="24"/>
        <v>כלל גמל לעתיד - קופת גמל להשקעה הלכה</v>
      </c>
      <c r="E161" s="1786" t="s">
        <v>3929</v>
      </c>
      <c r="F161" s="1786" t="s">
        <v>2958</v>
      </c>
      <c r="G161" s="1786" t="s">
        <v>2959</v>
      </c>
      <c r="H161" s="1786" t="str">
        <f t="shared" si="25"/>
        <v>פעיל</v>
      </c>
      <c r="I161" s="1788">
        <f t="shared" si="26"/>
        <v>42673.725451388898</v>
      </c>
      <c r="J161" s="1788" t="str">
        <f t="shared" si="27"/>
        <v/>
      </c>
      <c r="K161" s="1786">
        <v>0</v>
      </c>
      <c r="L161" s="1786" t="s">
        <v>1594</v>
      </c>
      <c r="M161" s="1786" t="s">
        <v>1653</v>
      </c>
      <c r="N161" s="1786" t="s">
        <v>1653</v>
      </c>
      <c r="O161" s="1786">
        <v>0</v>
      </c>
      <c r="P161" s="1786"/>
      <c r="Q161" s="1786">
        <v>0</v>
      </c>
      <c r="R161" s="1788"/>
      <c r="S161" s="1786">
        <f t="shared" si="28"/>
        <v>7987</v>
      </c>
      <c r="T161" s="1786" t="str">
        <f t="shared" si="29"/>
        <v>בנק לאומי בע"מ</v>
      </c>
      <c r="U161" s="1786" t="str">
        <f t="shared" si="30"/>
        <v>כלל גמל לעתיד - קופת גמל להשקעה</v>
      </c>
      <c r="V161" s="1786">
        <f t="shared" si="31"/>
        <v>0</v>
      </c>
      <c r="W161" s="1789" t="str">
        <f t="shared" si="32"/>
        <v>כלל פנסיה וגמל בע"מ</v>
      </c>
      <c r="AC161" s="1761" t="s">
        <v>346</v>
      </c>
      <c r="AD161" s="1761"/>
      <c r="AE161" s="1762">
        <v>42673.725451388898</v>
      </c>
      <c r="AF161" s="1761" t="s">
        <v>4603</v>
      </c>
      <c r="AG161" s="1761" t="s">
        <v>2029</v>
      </c>
      <c r="AH161" s="1761" t="s">
        <v>2028</v>
      </c>
      <c r="AI161" s="1761" t="s">
        <v>4740</v>
      </c>
      <c r="AJ161" s="1761" t="s">
        <v>4739</v>
      </c>
      <c r="AK161" s="1761">
        <v>7994</v>
      </c>
      <c r="AL161" s="1761" t="s">
        <v>4728</v>
      </c>
      <c r="AM161" s="1761">
        <v>7987</v>
      </c>
      <c r="AN161" s="1761" t="s">
        <v>5470</v>
      </c>
      <c r="AO161" s="1764"/>
      <c r="AP161" s="1761"/>
      <c r="AQ161" s="1761"/>
      <c r="AR161" s="1761" t="s">
        <v>378</v>
      </c>
      <c r="AS161" s="1761" t="s">
        <v>379</v>
      </c>
      <c r="AT161" s="1761" t="s">
        <v>327</v>
      </c>
      <c r="AU161" s="1763"/>
      <c r="AV161" s="1763"/>
    </row>
    <row r="162" spans="1:48" ht="25" hidden="1">
      <c r="A162" s="1785" t="str">
        <f t="shared" si="22"/>
        <v>גמל</v>
      </c>
      <c r="B162" s="1786">
        <f t="shared" si="23"/>
        <v>7988</v>
      </c>
      <c r="C162" s="1787">
        <v>28946</v>
      </c>
      <c r="D162" s="1786" t="str">
        <f t="shared" si="24"/>
        <v>כלל גמל לעתיד - קופת גמל להשקעה  כללי</v>
      </c>
      <c r="E162" s="1786" t="s">
        <v>3929</v>
      </c>
      <c r="F162" s="1786" t="s">
        <v>2958</v>
      </c>
      <c r="G162" s="1786" t="s">
        <v>2959</v>
      </c>
      <c r="H162" s="1786" t="str">
        <f t="shared" si="25"/>
        <v>פעיל</v>
      </c>
      <c r="I162" s="1788">
        <f t="shared" si="26"/>
        <v>42673.725451388898</v>
      </c>
      <c r="J162" s="1788" t="str">
        <f t="shared" si="27"/>
        <v/>
      </c>
      <c r="K162" s="1786">
        <v>0</v>
      </c>
      <c r="L162" s="1786" t="s">
        <v>1594</v>
      </c>
      <c r="M162" s="1786" t="s">
        <v>1653</v>
      </c>
      <c r="N162" s="1786" t="s">
        <v>1653</v>
      </c>
      <c r="O162" s="1786">
        <v>0</v>
      </c>
      <c r="P162" s="1786"/>
      <c r="Q162" s="1786">
        <v>0</v>
      </c>
      <c r="R162" s="1788"/>
      <c r="S162" s="1786">
        <f t="shared" si="28"/>
        <v>7987</v>
      </c>
      <c r="T162" s="1786" t="str">
        <f t="shared" si="29"/>
        <v>בנק לאומי בע"מ</v>
      </c>
      <c r="U162" s="1786" t="str">
        <f t="shared" si="30"/>
        <v>כלל גמל לעתיד - קופת גמל להשקעה</v>
      </c>
      <c r="V162" s="1786">
        <f t="shared" si="31"/>
        <v>0</v>
      </c>
      <c r="W162" s="1789" t="str">
        <f t="shared" si="32"/>
        <v>כלל פנסיה וגמל בע"מ</v>
      </c>
      <c r="AC162" s="1759" t="s">
        <v>346</v>
      </c>
      <c r="AD162" s="1759"/>
      <c r="AE162" s="1760">
        <v>42673.725451388898</v>
      </c>
      <c r="AF162" s="1759" t="s">
        <v>1583</v>
      </c>
      <c r="AG162" s="1759" t="s">
        <v>1583</v>
      </c>
      <c r="AH162" s="1759" t="s">
        <v>1583</v>
      </c>
      <c r="AI162" s="1759" t="s">
        <v>4727</v>
      </c>
      <c r="AJ162" s="1759" t="s">
        <v>4726</v>
      </c>
      <c r="AK162" s="1759">
        <v>7988</v>
      </c>
      <c r="AL162" s="1759" t="s">
        <v>4728</v>
      </c>
      <c r="AM162" s="1759">
        <v>7987</v>
      </c>
      <c r="AN162" s="1759" t="s">
        <v>5470</v>
      </c>
      <c r="AO162" s="1764"/>
      <c r="AP162" s="1759"/>
      <c r="AQ162" s="1759"/>
      <c r="AR162" s="1759" t="s">
        <v>378</v>
      </c>
      <c r="AS162" s="1759" t="s">
        <v>379</v>
      </c>
      <c r="AT162" s="1759" t="s">
        <v>327</v>
      </c>
      <c r="AU162" s="1763"/>
      <c r="AV162" s="1763"/>
    </row>
    <row r="163" spans="1:48" ht="25" hidden="1">
      <c r="A163" s="1785" t="str">
        <f t="shared" si="22"/>
        <v>גמל</v>
      </c>
      <c r="B163" s="1786">
        <f t="shared" si="23"/>
        <v>7989</v>
      </c>
      <c r="C163" s="1787">
        <v>28946</v>
      </c>
      <c r="D163" s="1786" t="str">
        <f t="shared" si="24"/>
        <v>כלל גמל לעתיד - קופת גמל להשקעה  אג"ח</v>
      </c>
      <c r="E163" s="1786" t="s">
        <v>3929</v>
      </c>
      <c r="F163" s="1786" t="s">
        <v>2958</v>
      </c>
      <c r="G163" s="1786" t="s">
        <v>2959</v>
      </c>
      <c r="H163" s="1786" t="str">
        <f t="shared" si="25"/>
        <v>פעיל</v>
      </c>
      <c r="I163" s="1788">
        <f t="shared" si="26"/>
        <v>42673.725451388898</v>
      </c>
      <c r="J163" s="1788" t="str">
        <f t="shared" si="27"/>
        <v/>
      </c>
      <c r="K163" s="1786">
        <v>0</v>
      </c>
      <c r="L163" s="1786" t="s">
        <v>1594</v>
      </c>
      <c r="M163" s="1786" t="s">
        <v>1653</v>
      </c>
      <c r="N163" s="1786" t="s">
        <v>1653</v>
      </c>
      <c r="O163" s="1786">
        <v>0</v>
      </c>
      <c r="P163" s="1786"/>
      <c r="Q163" s="1786">
        <v>0</v>
      </c>
      <c r="R163" s="1788"/>
      <c r="S163" s="1786">
        <f t="shared" si="28"/>
        <v>7987</v>
      </c>
      <c r="T163" s="1786" t="str">
        <f t="shared" si="29"/>
        <v>בנק לאומי בע"מ</v>
      </c>
      <c r="U163" s="1786" t="str">
        <f t="shared" si="30"/>
        <v>כלל גמל לעתיד - קופת גמל להשקעה</v>
      </c>
      <c r="V163" s="1786">
        <f t="shared" si="31"/>
        <v>0</v>
      </c>
      <c r="W163" s="1789" t="str">
        <f t="shared" si="32"/>
        <v>כלל פנסיה וגמל בע"מ</v>
      </c>
      <c r="AC163" s="1761" t="s">
        <v>346</v>
      </c>
      <c r="AD163" s="1761"/>
      <c r="AE163" s="1762">
        <v>42673.725451388898</v>
      </c>
      <c r="AF163" s="1761" t="s">
        <v>1653</v>
      </c>
      <c r="AG163" s="1761" t="s">
        <v>1653</v>
      </c>
      <c r="AH163" s="1761" t="s">
        <v>1594</v>
      </c>
      <c r="AI163" s="1761" t="s">
        <v>4730</v>
      </c>
      <c r="AJ163" s="1761" t="s">
        <v>4729</v>
      </c>
      <c r="AK163" s="1761">
        <v>7989</v>
      </c>
      <c r="AL163" s="1761" t="s">
        <v>4728</v>
      </c>
      <c r="AM163" s="1761">
        <v>7987</v>
      </c>
      <c r="AN163" s="1761" t="s">
        <v>5470</v>
      </c>
      <c r="AO163" s="1764"/>
      <c r="AP163" s="1761"/>
      <c r="AQ163" s="1761"/>
      <c r="AR163" s="1761" t="s">
        <v>378</v>
      </c>
      <c r="AS163" s="1761" t="s">
        <v>379</v>
      </c>
      <c r="AT163" s="1761" t="s">
        <v>327</v>
      </c>
      <c r="AU163" s="1763"/>
      <c r="AV163" s="1763"/>
    </row>
    <row r="164" spans="1:48" ht="25" hidden="1">
      <c r="A164" s="1785" t="str">
        <f t="shared" si="22"/>
        <v>גמל</v>
      </c>
      <c r="B164" s="1786">
        <f t="shared" si="23"/>
        <v>7990</v>
      </c>
      <c r="C164" s="1787">
        <v>28946</v>
      </c>
      <c r="D164" s="1786" t="str">
        <f t="shared" si="24"/>
        <v>כלל גמל לעתיד - קופת גמל להשקעה אג"ח ממשלתי</v>
      </c>
      <c r="E164" s="1786" t="s">
        <v>3929</v>
      </c>
      <c r="F164" s="1786" t="s">
        <v>2958</v>
      </c>
      <c r="G164" s="1786" t="s">
        <v>2959</v>
      </c>
      <c r="H164" s="1786" t="str">
        <f t="shared" si="25"/>
        <v>פעיל</v>
      </c>
      <c r="I164" s="1788">
        <f t="shared" si="26"/>
        <v>42673.725451388898</v>
      </c>
      <c r="J164" s="1788" t="str">
        <f t="shared" si="27"/>
        <v/>
      </c>
      <c r="K164" s="1786">
        <v>0</v>
      </c>
      <c r="L164" s="1786" t="s">
        <v>1594</v>
      </c>
      <c r="M164" s="1786" t="s">
        <v>1653</v>
      </c>
      <c r="N164" s="1786" t="s">
        <v>1653</v>
      </c>
      <c r="O164" s="1786">
        <v>0</v>
      </c>
      <c r="P164" s="1786"/>
      <c r="Q164" s="1786">
        <v>0</v>
      </c>
      <c r="R164" s="1788"/>
      <c r="S164" s="1786">
        <f t="shared" si="28"/>
        <v>7987</v>
      </c>
      <c r="T164" s="1786" t="str">
        <f t="shared" si="29"/>
        <v>בנק לאומי בע"מ</v>
      </c>
      <c r="U164" s="1786" t="str">
        <f t="shared" si="30"/>
        <v>כלל גמל לעתיד - קופת גמל להשקעה</v>
      </c>
      <c r="V164" s="1786">
        <f t="shared" si="31"/>
        <v>0</v>
      </c>
      <c r="W164" s="1789" t="str">
        <f t="shared" si="32"/>
        <v>כלל פנסיה וגמל בע"מ</v>
      </c>
      <c r="AC164" s="1759" t="s">
        <v>346</v>
      </c>
      <c r="AD164" s="1759"/>
      <c r="AE164" s="1760">
        <v>42673.725451388898</v>
      </c>
      <c r="AF164" s="1759" t="s">
        <v>2009</v>
      </c>
      <c r="AG164" s="1759" t="s">
        <v>1653</v>
      </c>
      <c r="AH164" s="1759" t="s">
        <v>1594</v>
      </c>
      <c r="AI164" s="1759" t="s">
        <v>4732</v>
      </c>
      <c r="AJ164" s="1759" t="s">
        <v>4731</v>
      </c>
      <c r="AK164" s="1759">
        <v>7990</v>
      </c>
      <c r="AL164" s="1759" t="s">
        <v>4728</v>
      </c>
      <c r="AM164" s="1759">
        <v>7987</v>
      </c>
      <c r="AN164" s="1759" t="s">
        <v>5470</v>
      </c>
      <c r="AO164" s="1764"/>
      <c r="AP164" s="1759"/>
      <c r="AQ164" s="1759"/>
      <c r="AR164" s="1759" t="s">
        <v>378</v>
      </c>
      <c r="AS164" s="1759" t="s">
        <v>379</v>
      </c>
      <c r="AT164" s="1759" t="s">
        <v>327</v>
      </c>
      <c r="AU164" s="1763"/>
      <c r="AV164" s="1763"/>
    </row>
    <row r="165" spans="1:48" ht="25" hidden="1">
      <c r="A165" s="1785" t="str">
        <f t="shared" si="22"/>
        <v>גמל</v>
      </c>
      <c r="B165" s="1786">
        <f t="shared" si="23"/>
        <v>11578</v>
      </c>
      <c r="C165" s="1787">
        <v>28946</v>
      </c>
      <c r="D165" s="1786" t="str">
        <f t="shared" si="24"/>
        <v>אי.בי.אי. גמל קופת גמל להשקעה מחקה מדד נדל"ן מניב ישראל</v>
      </c>
      <c r="E165" s="1786" t="s">
        <v>3929</v>
      </c>
      <c r="F165" s="1786" t="s">
        <v>2958</v>
      </c>
      <c r="G165" s="1786" t="s">
        <v>2959</v>
      </c>
      <c r="H165" s="1786" t="str">
        <f t="shared" si="25"/>
        <v>לא פעיל</v>
      </c>
      <c r="I165" s="1788">
        <f t="shared" si="26"/>
        <v>42670.711145833302</v>
      </c>
      <c r="J165" s="1788">
        <f t="shared" si="27"/>
        <v>43481.521840277797</v>
      </c>
      <c r="K165" s="1786">
        <v>0</v>
      </c>
      <c r="L165" s="1786" t="s">
        <v>1594</v>
      </c>
      <c r="M165" s="1786" t="s">
        <v>1653</v>
      </c>
      <c r="N165" s="1786" t="s">
        <v>1653</v>
      </c>
      <c r="O165" s="1786">
        <v>0</v>
      </c>
      <c r="P165" s="1786"/>
      <c r="Q165" s="1786">
        <v>0</v>
      </c>
      <c r="R165" s="1788"/>
      <c r="S165" s="1786">
        <f t="shared" si="28"/>
        <v>7972</v>
      </c>
      <c r="T165" s="1786" t="str">
        <f t="shared" si="29"/>
        <v>בנק מזרחי טפחות בע"מ</v>
      </c>
      <c r="U165" s="1786" t="str">
        <f t="shared" si="30"/>
        <v>הלמן-אלדובי קופת גמל להשקעה</v>
      </c>
      <c r="V165" s="1786" t="str">
        <f t="shared" si="31"/>
        <v>513163105</v>
      </c>
      <c r="W165" s="1789" t="str">
        <f t="shared" si="32"/>
        <v>הלמן - אלדובי קופות גמל ופנסיה בע"מ</v>
      </c>
      <c r="AC165" s="1761" t="s">
        <v>1586</v>
      </c>
      <c r="AD165" s="1762">
        <v>43481.521840277797</v>
      </c>
      <c r="AE165" s="1762">
        <v>42670.711145833302</v>
      </c>
      <c r="AF165" s="1761" t="s">
        <v>4705</v>
      </c>
      <c r="AG165" s="1761" t="s">
        <v>1094</v>
      </c>
      <c r="AH165" s="1761" t="s">
        <v>1594</v>
      </c>
      <c r="AI165" s="1761" t="s">
        <v>5471</v>
      </c>
      <c r="AJ165" s="1761" t="s">
        <v>5472</v>
      </c>
      <c r="AK165" s="1761">
        <v>11578</v>
      </c>
      <c r="AL165" s="1761" t="s">
        <v>5473</v>
      </c>
      <c r="AM165" s="1761">
        <v>7972</v>
      </c>
      <c r="AN165" s="1761" t="s">
        <v>5370</v>
      </c>
      <c r="AO165" s="1764"/>
      <c r="AP165" s="1761" t="s">
        <v>5371</v>
      </c>
      <c r="AQ165" s="1761" t="s">
        <v>5372</v>
      </c>
      <c r="AR165" s="1761" t="s">
        <v>354</v>
      </c>
      <c r="AS165" s="1761" t="s">
        <v>355</v>
      </c>
      <c r="AT165" s="1761" t="s">
        <v>327</v>
      </c>
      <c r="AU165" s="1763"/>
      <c r="AV165" s="1763"/>
    </row>
    <row r="166" spans="1:48" ht="25" hidden="1">
      <c r="A166" s="1785" t="str">
        <f t="shared" si="22"/>
        <v>גמל</v>
      </c>
      <c r="B166" s="1786">
        <f t="shared" si="23"/>
        <v>11411</v>
      </c>
      <c r="C166" s="1787">
        <v>28946</v>
      </c>
      <c r="D166" s="1786" t="str">
        <f t="shared" si="24"/>
        <v>הלמן-אלדובי קופת גמל להשקעה מחקה מדד S&amp;P500</v>
      </c>
      <c r="E166" s="1786" t="s">
        <v>3929</v>
      </c>
      <c r="F166" s="1786" t="s">
        <v>2958</v>
      </c>
      <c r="G166" s="1786" t="s">
        <v>2959</v>
      </c>
      <c r="H166" s="1786" t="str">
        <f t="shared" si="25"/>
        <v>פעיל</v>
      </c>
      <c r="I166" s="1788">
        <f t="shared" si="26"/>
        <v>42670.711145833302</v>
      </c>
      <c r="J166" s="1788" t="str">
        <f t="shared" si="27"/>
        <v/>
      </c>
      <c r="K166" s="1786">
        <v>0</v>
      </c>
      <c r="L166" s="1786" t="s">
        <v>1594</v>
      </c>
      <c r="M166" s="1786" t="s">
        <v>1653</v>
      </c>
      <c r="N166" s="1786" t="s">
        <v>1653</v>
      </c>
      <c r="O166" s="1786">
        <v>0</v>
      </c>
      <c r="P166" s="1786"/>
      <c r="Q166" s="1786">
        <v>0</v>
      </c>
      <c r="R166" s="1788"/>
      <c r="S166" s="1786">
        <f t="shared" si="28"/>
        <v>7972</v>
      </c>
      <c r="T166" s="1786" t="str">
        <f t="shared" si="29"/>
        <v>בנק מזרחי טפחות בע"מ</v>
      </c>
      <c r="U166" s="1786" t="str">
        <f t="shared" si="30"/>
        <v>הלמן-אלדובי קופת גמל להשקעה</v>
      </c>
      <c r="V166" s="1786" t="str">
        <f t="shared" si="31"/>
        <v>513163105</v>
      </c>
      <c r="W166" s="1789" t="str">
        <f t="shared" si="32"/>
        <v>הלמן - אלדובי קופות גמל ופנסיה בע"מ</v>
      </c>
      <c r="AC166" s="1759" t="s">
        <v>346</v>
      </c>
      <c r="AD166" s="1759"/>
      <c r="AE166" s="1760">
        <v>42670.711145833302</v>
      </c>
      <c r="AF166" s="1759" t="s">
        <v>4618</v>
      </c>
      <c r="AG166" s="1759" t="s">
        <v>75</v>
      </c>
      <c r="AH166" s="1759" t="s">
        <v>1594</v>
      </c>
      <c r="AI166" s="1759" t="s">
        <v>5474</v>
      </c>
      <c r="AJ166" s="1759" t="s">
        <v>5475</v>
      </c>
      <c r="AK166" s="1759">
        <v>11411</v>
      </c>
      <c r="AL166" s="1759" t="s">
        <v>5473</v>
      </c>
      <c r="AM166" s="1759">
        <v>7972</v>
      </c>
      <c r="AN166" s="1759" t="s">
        <v>5370</v>
      </c>
      <c r="AO166" s="1764"/>
      <c r="AP166" s="1759" t="s">
        <v>5371</v>
      </c>
      <c r="AQ166" s="1759" t="s">
        <v>5372</v>
      </c>
      <c r="AR166" s="1759" t="s">
        <v>354</v>
      </c>
      <c r="AS166" s="1759" t="s">
        <v>355</v>
      </c>
      <c r="AT166" s="1759" t="s">
        <v>327</v>
      </c>
      <c r="AU166" s="1763"/>
      <c r="AV166" s="1763"/>
    </row>
    <row r="167" spans="1:48" ht="25" hidden="1">
      <c r="A167" s="1785" t="str">
        <f t="shared" si="22"/>
        <v>גמל</v>
      </c>
      <c r="B167" s="1786">
        <f t="shared" si="23"/>
        <v>8004</v>
      </c>
      <c r="C167" s="1787">
        <v>28946</v>
      </c>
      <c r="D167" s="1786" t="str">
        <f t="shared" si="24"/>
        <v>הלמן-אלדובי קופת גמל להשקעה שריעה</v>
      </c>
      <c r="E167" s="1786" t="s">
        <v>3929</v>
      </c>
      <c r="F167" s="1786" t="s">
        <v>2958</v>
      </c>
      <c r="G167" s="1786" t="s">
        <v>2959</v>
      </c>
      <c r="H167" s="1786" t="str">
        <f t="shared" si="25"/>
        <v>פעיל</v>
      </c>
      <c r="I167" s="1788">
        <f t="shared" si="26"/>
        <v>42670.711145833302</v>
      </c>
      <c r="J167" s="1788" t="str">
        <f t="shared" si="27"/>
        <v/>
      </c>
      <c r="K167" s="1786">
        <v>0</v>
      </c>
      <c r="L167" s="1786" t="s">
        <v>1594</v>
      </c>
      <c r="M167" s="1786" t="s">
        <v>1653</v>
      </c>
      <c r="N167" s="1786" t="s">
        <v>1653</v>
      </c>
      <c r="O167" s="1786">
        <v>0</v>
      </c>
      <c r="P167" s="1786"/>
      <c r="Q167" s="1786">
        <v>0</v>
      </c>
      <c r="R167" s="1788"/>
      <c r="S167" s="1786">
        <f t="shared" si="28"/>
        <v>7972</v>
      </c>
      <c r="T167" s="1786" t="str">
        <f t="shared" si="29"/>
        <v>בנק מזרחי טפחות בע"מ</v>
      </c>
      <c r="U167" s="1786" t="str">
        <f t="shared" si="30"/>
        <v>הלמן-אלדובי קופת גמל להשקעה</v>
      </c>
      <c r="V167" s="1786" t="str">
        <f t="shared" si="31"/>
        <v>513163105</v>
      </c>
      <c r="W167" s="1789" t="str">
        <f t="shared" si="32"/>
        <v>הלמן - אלדובי קופות גמל ופנסיה בע"מ</v>
      </c>
      <c r="AC167" s="1761" t="s">
        <v>346</v>
      </c>
      <c r="AD167" s="1759"/>
      <c r="AE167" s="1762">
        <v>42670.711145833302</v>
      </c>
      <c r="AF167" s="1761" t="s">
        <v>4631</v>
      </c>
      <c r="AG167" s="1761" t="s">
        <v>2029</v>
      </c>
      <c r="AH167" s="1761" t="s">
        <v>2028</v>
      </c>
      <c r="AI167" s="1761" t="s">
        <v>4745</v>
      </c>
      <c r="AJ167" s="1761" t="s">
        <v>5476</v>
      </c>
      <c r="AK167" s="1761">
        <v>8004</v>
      </c>
      <c r="AL167" s="1761" t="s">
        <v>5473</v>
      </c>
      <c r="AM167" s="1761">
        <v>7972</v>
      </c>
      <c r="AN167" s="1761" t="s">
        <v>5370</v>
      </c>
      <c r="AO167" s="1764"/>
      <c r="AP167" s="1761" t="s">
        <v>5371</v>
      </c>
      <c r="AQ167" s="1761" t="s">
        <v>5372</v>
      </c>
      <c r="AR167" s="1761" t="s">
        <v>354</v>
      </c>
      <c r="AS167" s="1761" t="s">
        <v>355</v>
      </c>
      <c r="AT167" s="1761" t="s">
        <v>327</v>
      </c>
      <c r="AU167" s="1763"/>
      <c r="AV167" s="1763"/>
    </row>
    <row r="168" spans="1:48" ht="25" hidden="1">
      <c r="A168" s="1785" t="str">
        <f t="shared" si="22"/>
        <v>גמל</v>
      </c>
      <c r="B168" s="1786">
        <f t="shared" si="23"/>
        <v>7976</v>
      </c>
      <c r="C168" s="1787">
        <v>28946</v>
      </c>
      <c r="D168" s="1786" t="str">
        <f t="shared" si="24"/>
        <v xml:space="preserve">הלמן-אלדובי קופת גמל להשקעה פאסיבי - מדדי מניות </v>
      </c>
      <c r="E168" s="1786" t="s">
        <v>3929</v>
      </c>
      <c r="F168" s="1786" t="s">
        <v>2958</v>
      </c>
      <c r="G168" s="1786" t="s">
        <v>2959</v>
      </c>
      <c r="H168" s="1786" t="str">
        <f t="shared" si="25"/>
        <v>פעיל</v>
      </c>
      <c r="I168" s="1788">
        <f t="shared" si="26"/>
        <v>42670.711145833302</v>
      </c>
      <c r="J168" s="1788" t="str">
        <f t="shared" si="27"/>
        <v/>
      </c>
      <c r="K168" s="1786">
        <v>0</v>
      </c>
      <c r="L168" s="1786" t="s">
        <v>1594</v>
      </c>
      <c r="M168" s="1786" t="s">
        <v>1653</v>
      </c>
      <c r="N168" s="1786" t="s">
        <v>1653</v>
      </c>
      <c r="O168" s="1786">
        <v>0</v>
      </c>
      <c r="P168" s="1786"/>
      <c r="Q168" s="1786">
        <v>0</v>
      </c>
      <c r="R168" s="1788"/>
      <c r="S168" s="1786">
        <f t="shared" si="28"/>
        <v>7972</v>
      </c>
      <c r="T168" s="1786" t="str">
        <f t="shared" si="29"/>
        <v>בנק מזרחי טפחות בע"מ</v>
      </c>
      <c r="U168" s="1786" t="str">
        <f t="shared" si="30"/>
        <v>הלמן-אלדובי קופת גמל להשקעה</v>
      </c>
      <c r="V168" s="1786" t="str">
        <f t="shared" si="31"/>
        <v>513163105</v>
      </c>
      <c r="W168" s="1789" t="str">
        <f t="shared" si="32"/>
        <v>הלמן - אלדובי קופות גמל ופנסיה בע"מ</v>
      </c>
      <c r="AC168" s="1759" t="s">
        <v>346</v>
      </c>
      <c r="AD168" s="1759"/>
      <c r="AE168" s="1760">
        <v>42670.711145833302</v>
      </c>
      <c r="AF168" s="1759" t="s">
        <v>3959</v>
      </c>
      <c r="AG168" s="1759" t="s">
        <v>75</v>
      </c>
      <c r="AH168" s="1759" t="s">
        <v>1594</v>
      </c>
      <c r="AI168" s="1759" t="s">
        <v>5477</v>
      </c>
      <c r="AJ168" s="1759" t="s">
        <v>5478</v>
      </c>
      <c r="AK168" s="1759">
        <v>7976</v>
      </c>
      <c r="AL168" s="1759" t="s">
        <v>5473</v>
      </c>
      <c r="AM168" s="1759">
        <v>7972</v>
      </c>
      <c r="AN168" s="1759" t="s">
        <v>5370</v>
      </c>
      <c r="AO168" s="1764"/>
      <c r="AP168" s="1759" t="s">
        <v>5371</v>
      </c>
      <c r="AQ168" s="1759" t="s">
        <v>5372</v>
      </c>
      <c r="AR168" s="1759" t="s">
        <v>354</v>
      </c>
      <c r="AS168" s="1759" t="s">
        <v>355</v>
      </c>
      <c r="AT168" s="1759" t="s">
        <v>327</v>
      </c>
      <c r="AU168" s="1763"/>
      <c r="AV168" s="1763"/>
    </row>
    <row r="169" spans="1:48" ht="25" hidden="1">
      <c r="A169" s="1785" t="str">
        <f t="shared" si="22"/>
        <v>גמל</v>
      </c>
      <c r="B169" s="1786">
        <f t="shared" si="23"/>
        <v>7975</v>
      </c>
      <c r="C169" s="1787">
        <v>28946</v>
      </c>
      <c r="D169" s="1786" t="str">
        <f t="shared" si="24"/>
        <v xml:space="preserve">הלמן-אלדובי קופת גמל להשקעה מניות </v>
      </c>
      <c r="E169" s="1786" t="s">
        <v>3929</v>
      </c>
      <c r="F169" s="1786" t="s">
        <v>2958</v>
      </c>
      <c r="G169" s="1786" t="s">
        <v>2959</v>
      </c>
      <c r="H169" s="1786" t="str">
        <f t="shared" si="25"/>
        <v>פעיל</v>
      </c>
      <c r="I169" s="1788">
        <f t="shared" si="26"/>
        <v>42670.711145833302</v>
      </c>
      <c r="J169" s="1788" t="str">
        <f t="shared" si="27"/>
        <v/>
      </c>
      <c r="K169" s="1786">
        <v>0</v>
      </c>
      <c r="L169" s="1786" t="s">
        <v>1594</v>
      </c>
      <c r="M169" s="1786" t="s">
        <v>1653</v>
      </c>
      <c r="N169" s="1786" t="s">
        <v>1653</v>
      </c>
      <c r="O169" s="1786">
        <v>0</v>
      </c>
      <c r="P169" s="1786"/>
      <c r="Q169" s="1786">
        <v>0</v>
      </c>
      <c r="R169" s="1788"/>
      <c r="S169" s="1786">
        <f t="shared" si="28"/>
        <v>7972</v>
      </c>
      <c r="T169" s="1786" t="str">
        <f t="shared" si="29"/>
        <v>בנק מזרחי טפחות בע"מ</v>
      </c>
      <c r="U169" s="1786" t="str">
        <f t="shared" si="30"/>
        <v>הלמן-אלדובי קופת גמל להשקעה</v>
      </c>
      <c r="V169" s="1786" t="str">
        <f t="shared" si="31"/>
        <v>513163105</v>
      </c>
      <c r="W169" s="1789" t="str">
        <f t="shared" si="32"/>
        <v>הלמן - אלדובי קופות גמל ופנסיה בע"מ</v>
      </c>
      <c r="AC169" s="1761" t="s">
        <v>346</v>
      </c>
      <c r="AD169" s="1761"/>
      <c r="AE169" s="1762">
        <v>42670.711145833302</v>
      </c>
      <c r="AF169" s="1761" t="s">
        <v>1595</v>
      </c>
      <c r="AG169" s="1761" t="s">
        <v>75</v>
      </c>
      <c r="AH169" s="1761" t="s">
        <v>1594</v>
      </c>
      <c r="AI169" s="1761" t="s">
        <v>4744</v>
      </c>
      <c r="AJ169" s="1761" t="s">
        <v>5479</v>
      </c>
      <c r="AK169" s="1761">
        <v>7975</v>
      </c>
      <c r="AL169" s="1761" t="s">
        <v>5473</v>
      </c>
      <c r="AM169" s="1761">
        <v>7972</v>
      </c>
      <c r="AN169" s="1761" t="s">
        <v>5370</v>
      </c>
      <c r="AO169" s="1764"/>
      <c r="AP169" s="1761" t="s">
        <v>5371</v>
      </c>
      <c r="AQ169" s="1761" t="s">
        <v>5372</v>
      </c>
      <c r="AR169" s="1761" t="s">
        <v>354</v>
      </c>
      <c r="AS169" s="1761" t="s">
        <v>355</v>
      </c>
      <c r="AT169" s="1761" t="s">
        <v>327</v>
      </c>
      <c r="AU169" s="1763"/>
      <c r="AV169" s="1763"/>
    </row>
    <row r="170" spans="1:48" ht="25" hidden="1">
      <c r="A170" s="1785" t="str">
        <f t="shared" si="22"/>
        <v>גמל</v>
      </c>
      <c r="B170" s="1786">
        <f t="shared" si="23"/>
        <v>7977</v>
      </c>
      <c r="C170" s="1787">
        <v>28946</v>
      </c>
      <c r="D170" s="1786" t="str">
        <f t="shared" si="24"/>
        <v>הלמן-אלדובי קופת גמל להשקעה פאסיבי - מדדי אג"ח עד 10% במדדי מניות</v>
      </c>
      <c r="E170" s="1786" t="s">
        <v>3929</v>
      </c>
      <c r="F170" s="1786" t="s">
        <v>2958</v>
      </c>
      <c r="G170" s="1786" t="s">
        <v>2959</v>
      </c>
      <c r="H170" s="1786" t="str">
        <f t="shared" si="25"/>
        <v>פעיל</v>
      </c>
      <c r="I170" s="1788">
        <f t="shared" si="26"/>
        <v>42670.711145833302</v>
      </c>
      <c r="J170" s="1788" t="str">
        <f t="shared" si="27"/>
        <v/>
      </c>
      <c r="K170" s="1786">
        <v>0</v>
      </c>
      <c r="L170" s="1786" t="s">
        <v>1594</v>
      </c>
      <c r="M170" s="1786" t="s">
        <v>1653</v>
      </c>
      <c r="N170" s="1786" t="s">
        <v>1653</v>
      </c>
      <c r="O170" s="1786">
        <v>0</v>
      </c>
      <c r="P170" s="1786"/>
      <c r="Q170" s="1786">
        <v>0</v>
      </c>
      <c r="R170" s="1788"/>
      <c r="S170" s="1786">
        <f t="shared" si="28"/>
        <v>7972</v>
      </c>
      <c r="T170" s="1786" t="str">
        <f t="shared" si="29"/>
        <v>בנק מזרחי טפחות בע"מ</v>
      </c>
      <c r="U170" s="1786" t="str">
        <f t="shared" si="30"/>
        <v>הלמן-אלדובי קופת גמל להשקעה</v>
      </c>
      <c r="V170" s="1786" t="str">
        <f t="shared" si="31"/>
        <v>513163105</v>
      </c>
      <c r="W170" s="1789" t="str">
        <f t="shared" si="32"/>
        <v>הלמן - אלדובי קופות גמל ופנסיה בע"מ</v>
      </c>
      <c r="AC170" s="1759" t="s">
        <v>346</v>
      </c>
      <c r="AD170" s="1759"/>
      <c r="AE170" s="1760">
        <v>42670.711145833302</v>
      </c>
      <c r="AF170" s="1759" t="s">
        <v>4619</v>
      </c>
      <c r="AG170" s="1759" t="s">
        <v>1653</v>
      </c>
      <c r="AH170" s="1759" t="s">
        <v>1594</v>
      </c>
      <c r="AI170" s="1759" t="s">
        <v>5480</v>
      </c>
      <c r="AJ170" s="1759" t="s">
        <v>5481</v>
      </c>
      <c r="AK170" s="1759">
        <v>7977</v>
      </c>
      <c r="AL170" s="1759" t="s">
        <v>5473</v>
      </c>
      <c r="AM170" s="1759">
        <v>7972</v>
      </c>
      <c r="AN170" s="1759" t="s">
        <v>5370</v>
      </c>
      <c r="AO170" s="1764"/>
      <c r="AP170" s="1759" t="s">
        <v>5371</v>
      </c>
      <c r="AQ170" s="1759" t="s">
        <v>5372</v>
      </c>
      <c r="AR170" s="1759" t="s">
        <v>354</v>
      </c>
      <c r="AS170" s="1759" t="s">
        <v>355</v>
      </c>
      <c r="AT170" s="1759" t="s">
        <v>327</v>
      </c>
      <c r="AU170" s="1763"/>
      <c r="AV170" s="1763"/>
    </row>
    <row r="171" spans="1:48" ht="25" hidden="1">
      <c r="A171" s="1785" t="str">
        <f t="shared" si="22"/>
        <v>גמל</v>
      </c>
      <c r="B171" s="1786">
        <f t="shared" si="23"/>
        <v>7973</v>
      </c>
      <c r="C171" s="1787">
        <v>28946</v>
      </c>
      <c r="D171" s="1786" t="str">
        <f t="shared" si="24"/>
        <v>הלמן-אלדובי קופת גמל להשקעה כללי</v>
      </c>
      <c r="E171" s="1786" t="s">
        <v>3929</v>
      </c>
      <c r="F171" s="1786" t="s">
        <v>2958</v>
      </c>
      <c r="G171" s="1786" t="s">
        <v>2959</v>
      </c>
      <c r="H171" s="1786" t="str">
        <f t="shared" si="25"/>
        <v>פעיל</v>
      </c>
      <c r="I171" s="1788">
        <f t="shared" si="26"/>
        <v>42670.711145833302</v>
      </c>
      <c r="J171" s="1788" t="str">
        <f t="shared" si="27"/>
        <v/>
      </c>
      <c r="K171" s="1786">
        <v>0</v>
      </c>
      <c r="L171" s="1786" t="s">
        <v>1594</v>
      </c>
      <c r="M171" s="1786" t="s">
        <v>1653</v>
      </c>
      <c r="N171" s="1786" t="s">
        <v>1653</v>
      </c>
      <c r="O171" s="1786">
        <v>0</v>
      </c>
      <c r="P171" s="1786"/>
      <c r="Q171" s="1786">
        <v>0</v>
      </c>
      <c r="R171" s="1788"/>
      <c r="S171" s="1786">
        <f t="shared" si="28"/>
        <v>7972</v>
      </c>
      <c r="T171" s="1786" t="str">
        <f t="shared" si="29"/>
        <v>בנק מזרחי טפחות בע"מ</v>
      </c>
      <c r="U171" s="1786" t="str">
        <f t="shared" si="30"/>
        <v>הלמן-אלדובי קופת גמל להשקעה</v>
      </c>
      <c r="V171" s="1786" t="str">
        <f t="shared" si="31"/>
        <v>513163105</v>
      </c>
      <c r="W171" s="1789" t="str">
        <f t="shared" si="32"/>
        <v>הלמן - אלדובי קופות גמל ופנסיה בע"מ</v>
      </c>
      <c r="AC171" s="1761" t="s">
        <v>346</v>
      </c>
      <c r="AD171" s="1761"/>
      <c r="AE171" s="1762">
        <v>42670.711145833302</v>
      </c>
      <c r="AF171" s="1761" t="s">
        <v>1583</v>
      </c>
      <c r="AG171" s="1761" t="s">
        <v>1583</v>
      </c>
      <c r="AH171" s="1761" t="s">
        <v>1583</v>
      </c>
      <c r="AI171" s="1761" t="s">
        <v>5482</v>
      </c>
      <c r="AJ171" s="1761" t="s">
        <v>5483</v>
      </c>
      <c r="AK171" s="1761">
        <v>7973</v>
      </c>
      <c r="AL171" s="1761" t="s">
        <v>5473</v>
      </c>
      <c r="AM171" s="1761">
        <v>7972</v>
      </c>
      <c r="AN171" s="1761" t="s">
        <v>5370</v>
      </c>
      <c r="AO171" s="1764"/>
      <c r="AP171" s="1761" t="s">
        <v>5371</v>
      </c>
      <c r="AQ171" s="1761" t="s">
        <v>5372</v>
      </c>
      <c r="AR171" s="1761" t="s">
        <v>354</v>
      </c>
      <c r="AS171" s="1761" t="s">
        <v>355</v>
      </c>
      <c r="AT171" s="1761" t="s">
        <v>327</v>
      </c>
      <c r="AU171" s="1763"/>
      <c r="AV171" s="1763"/>
    </row>
    <row r="172" spans="1:48" ht="25" hidden="1">
      <c r="A172" s="1785" t="str">
        <f t="shared" si="22"/>
        <v>גמל</v>
      </c>
      <c r="B172" s="1786">
        <f t="shared" si="23"/>
        <v>7974</v>
      </c>
      <c r="C172" s="1787">
        <v>28946</v>
      </c>
      <c r="D172" s="1786" t="str">
        <f t="shared" si="24"/>
        <v>הלמן-אלדובי קופת גמל להשקעה פאסיבי - כללי</v>
      </c>
      <c r="E172" s="1786" t="s">
        <v>3929</v>
      </c>
      <c r="F172" s="1786" t="s">
        <v>2958</v>
      </c>
      <c r="G172" s="1786" t="s">
        <v>2959</v>
      </c>
      <c r="H172" s="1786" t="str">
        <f t="shared" si="25"/>
        <v>פעיל</v>
      </c>
      <c r="I172" s="1788">
        <f t="shared" si="26"/>
        <v>42670.711145833302</v>
      </c>
      <c r="J172" s="1788" t="str">
        <f t="shared" si="27"/>
        <v/>
      </c>
      <c r="K172" s="1786">
        <v>0</v>
      </c>
      <c r="L172" s="1786" t="s">
        <v>1594</v>
      </c>
      <c r="M172" s="1786" t="s">
        <v>1653</v>
      </c>
      <c r="N172" s="1786" t="s">
        <v>1653</v>
      </c>
      <c r="O172" s="1786">
        <v>0</v>
      </c>
      <c r="P172" s="1786"/>
      <c r="Q172" s="1786">
        <v>0</v>
      </c>
      <c r="R172" s="1788"/>
      <c r="S172" s="1786">
        <f t="shared" si="28"/>
        <v>7972</v>
      </c>
      <c r="T172" s="1786" t="str">
        <f t="shared" si="29"/>
        <v>בנק מזרחי טפחות בע"מ</v>
      </c>
      <c r="U172" s="1786" t="str">
        <f t="shared" si="30"/>
        <v>הלמן-אלדובי קופת גמל להשקעה</v>
      </c>
      <c r="V172" s="1786" t="str">
        <f t="shared" si="31"/>
        <v>513163105</v>
      </c>
      <c r="W172" s="1789" t="str">
        <f t="shared" si="32"/>
        <v>הלמן - אלדובי קופות גמל ופנסיה בע"מ</v>
      </c>
      <c r="AC172" s="1759" t="s">
        <v>346</v>
      </c>
      <c r="AD172" s="1759"/>
      <c r="AE172" s="1760">
        <v>42670.711145833302</v>
      </c>
      <c r="AF172" s="1759" t="s">
        <v>3959</v>
      </c>
      <c r="AG172" s="1759" t="s">
        <v>1583</v>
      </c>
      <c r="AH172" s="1759" t="s">
        <v>1583</v>
      </c>
      <c r="AI172" s="1759" t="s">
        <v>5484</v>
      </c>
      <c r="AJ172" s="1759" t="s">
        <v>5485</v>
      </c>
      <c r="AK172" s="1759">
        <v>7974</v>
      </c>
      <c r="AL172" s="1759" t="s">
        <v>5473</v>
      </c>
      <c r="AM172" s="1759">
        <v>7972</v>
      </c>
      <c r="AN172" s="1759" t="s">
        <v>5370</v>
      </c>
      <c r="AO172" s="1764"/>
      <c r="AP172" s="1759" t="s">
        <v>5371</v>
      </c>
      <c r="AQ172" s="1759" t="s">
        <v>5372</v>
      </c>
      <c r="AR172" s="1759" t="s">
        <v>354</v>
      </c>
      <c r="AS172" s="1759" t="s">
        <v>355</v>
      </c>
      <c r="AT172" s="1759" t="s">
        <v>327</v>
      </c>
      <c r="AU172" s="1763"/>
      <c r="AV172" s="1763"/>
    </row>
    <row r="173" spans="1:48" ht="25" hidden="1">
      <c r="A173" s="1785" t="str">
        <f t="shared" si="22"/>
        <v>גמל</v>
      </c>
      <c r="B173" s="1786">
        <f t="shared" si="23"/>
        <v>11938</v>
      </c>
      <c r="C173" s="1787">
        <v>28946</v>
      </c>
      <c r="D173" s="1786" t="str">
        <f t="shared" si="24"/>
        <v>מור קופות גמל להשקעה כללי פאסיבי</v>
      </c>
      <c r="E173" s="1786" t="s">
        <v>3929</v>
      </c>
      <c r="F173" s="1786" t="s">
        <v>2958</v>
      </c>
      <c r="G173" s="1786" t="s">
        <v>2959</v>
      </c>
      <c r="H173" s="1786" t="str">
        <f t="shared" si="25"/>
        <v>פעיל</v>
      </c>
      <c r="I173" s="1788">
        <f t="shared" si="26"/>
        <v>42670.408888888902</v>
      </c>
      <c r="J173" s="1788" t="str">
        <f t="shared" si="27"/>
        <v/>
      </c>
      <c r="K173" s="1786">
        <v>0</v>
      </c>
      <c r="L173" s="1786" t="s">
        <v>1594</v>
      </c>
      <c r="M173" s="1786" t="s">
        <v>1653</v>
      </c>
      <c r="N173" s="1786" t="s">
        <v>1653</v>
      </c>
      <c r="O173" s="1786">
        <v>0</v>
      </c>
      <c r="P173" s="1786"/>
      <c r="Q173" s="1786">
        <v>0</v>
      </c>
      <c r="R173" s="1788"/>
      <c r="S173" s="1786">
        <f t="shared" si="28"/>
        <v>7956</v>
      </c>
      <c r="T173" s="1786" t="str">
        <f t="shared" si="29"/>
        <v>אפ.אמ.אר תפעול</v>
      </c>
      <c r="U173" s="1786" t="str">
        <f t="shared" si="30"/>
        <v>מור קופת גמל להשקעה</v>
      </c>
      <c r="V173" s="1786" t="str">
        <f t="shared" si="31"/>
        <v>513834606</v>
      </c>
      <c r="W173" s="1789" t="str">
        <f t="shared" si="32"/>
        <v>מור קופות גמל בע"מ</v>
      </c>
      <c r="AC173" s="1761" t="s">
        <v>346</v>
      </c>
      <c r="AD173" s="1761"/>
      <c r="AE173" s="1762">
        <v>42670.408888888902</v>
      </c>
      <c r="AF173" s="1761" t="s">
        <v>3959</v>
      </c>
      <c r="AG173" s="1761" t="s">
        <v>1583</v>
      </c>
      <c r="AH173" s="1761" t="s">
        <v>1583</v>
      </c>
      <c r="AI173" s="1761" t="s">
        <v>5486</v>
      </c>
      <c r="AJ173" s="1761" t="s">
        <v>5486</v>
      </c>
      <c r="AK173" s="1761">
        <v>11938</v>
      </c>
      <c r="AL173" s="1761" t="s">
        <v>5487</v>
      </c>
      <c r="AM173" s="1761">
        <v>7956</v>
      </c>
      <c r="AN173" s="1761" t="s">
        <v>5338</v>
      </c>
      <c r="AO173" s="1764"/>
      <c r="AP173" s="1761" t="s">
        <v>5403</v>
      </c>
      <c r="AQ173" s="1761" t="s">
        <v>5404</v>
      </c>
      <c r="AR173" s="1761" t="s">
        <v>5405</v>
      </c>
      <c r="AS173" s="1761" t="s">
        <v>3736</v>
      </c>
      <c r="AT173" s="1761" t="s">
        <v>327</v>
      </c>
      <c r="AU173" s="1763"/>
      <c r="AV173" s="1763"/>
    </row>
    <row r="174" spans="1:48" ht="25" hidden="1">
      <c r="A174" s="1785" t="str">
        <f t="shared" si="22"/>
        <v>גמל</v>
      </c>
      <c r="B174" s="1786">
        <f t="shared" si="23"/>
        <v>12955</v>
      </c>
      <c r="C174" s="1787">
        <v>28946</v>
      </c>
      <c r="D174" s="1786" t="str">
        <f t="shared" si="24"/>
        <v>מור קופת גמל להשקעה אג"ח עד 25% במניות</v>
      </c>
      <c r="E174" s="1786" t="s">
        <v>3929</v>
      </c>
      <c r="F174" s="1786" t="s">
        <v>2958</v>
      </c>
      <c r="G174" s="1786" t="s">
        <v>2959</v>
      </c>
      <c r="H174" s="1786" t="str">
        <f t="shared" si="25"/>
        <v>פעיל</v>
      </c>
      <c r="I174" s="1788">
        <f t="shared" si="26"/>
        <v>42670.408888888902</v>
      </c>
      <c r="J174" s="1788" t="str">
        <f t="shared" si="27"/>
        <v/>
      </c>
      <c r="K174" s="1786">
        <v>0</v>
      </c>
      <c r="L174" s="1786" t="s">
        <v>1594</v>
      </c>
      <c r="M174" s="1786" t="s">
        <v>1653</v>
      </c>
      <c r="N174" s="1786" t="s">
        <v>1653</v>
      </c>
      <c r="O174" s="1786">
        <v>0</v>
      </c>
      <c r="P174" s="1786"/>
      <c r="Q174" s="1786">
        <v>0</v>
      </c>
      <c r="R174" s="1788"/>
      <c r="S174" s="1786">
        <f t="shared" si="28"/>
        <v>7956</v>
      </c>
      <c r="T174" s="1786" t="str">
        <f t="shared" si="29"/>
        <v>אפ.אמ.אר תפעול</v>
      </c>
      <c r="U174" s="1786" t="str">
        <f t="shared" si="30"/>
        <v>מור קופת גמל להשקעה</v>
      </c>
      <c r="V174" s="1786" t="str">
        <f t="shared" si="31"/>
        <v>513834606</v>
      </c>
      <c r="W174" s="1789" t="str">
        <f t="shared" si="32"/>
        <v>מור קופות גמל בע"מ</v>
      </c>
      <c r="AC174" s="1759" t="s">
        <v>346</v>
      </c>
      <c r="AD174" s="1759"/>
      <c r="AE174" s="1760">
        <v>42670.408888888902</v>
      </c>
      <c r="AF174" s="1759" t="s">
        <v>3934</v>
      </c>
      <c r="AG174" s="1759" t="s">
        <v>1653</v>
      </c>
      <c r="AH174" s="1759" t="s">
        <v>1594</v>
      </c>
      <c r="AI174" s="1759" t="s">
        <v>5488</v>
      </c>
      <c r="AJ174" s="1759" t="s">
        <v>5488</v>
      </c>
      <c r="AK174" s="1759">
        <v>12955</v>
      </c>
      <c r="AL174" s="1759" t="s">
        <v>5487</v>
      </c>
      <c r="AM174" s="1759">
        <v>7956</v>
      </c>
      <c r="AN174" s="1759" t="s">
        <v>5338</v>
      </c>
      <c r="AO174" s="1764"/>
      <c r="AP174" s="1759" t="s">
        <v>5403</v>
      </c>
      <c r="AQ174" s="1759" t="s">
        <v>5404</v>
      </c>
      <c r="AR174" s="1759" t="s">
        <v>5405</v>
      </c>
      <c r="AS174" s="1759" t="s">
        <v>3736</v>
      </c>
      <c r="AT174" s="1759" t="s">
        <v>327</v>
      </c>
      <c r="AU174" s="1763"/>
      <c r="AV174" s="1763"/>
    </row>
    <row r="175" spans="1:48" ht="25" hidden="1">
      <c r="A175" s="1785" t="str">
        <f t="shared" si="22"/>
        <v>גמל</v>
      </c>
      <c r="B175" s="1786">
        <f t="shared" si="23"/>
        <v>12537</v>
      </c>
      <c r="C175" s="1787">
        <v>28946</v>
      </c>
      <c r="D175" s="1786" t="str">
        <f t="shared" si="24"/>
        <v xml:space="preserve">מור קופות גמל להשקעה מניות </v>
      </c>
      <c r="E175" s="1786" t="s">
        <v>3929</v>
      </c>
      <c r="F175" s="1786" t="s">
        <v>2958</v>
      </c>
      <c r="G175" s="1786" t="s">
        <v>2959</v>
      </c>
      <c r="H175" s="1786" t="str">
        <f t="shared" si="25"/>
        <v>פעיל</v>
      </c>
      <c r="I175" s="1788">
        <f t="shared" si="26"/>
        <v>42670.408888888902</v>
      </c>
      <c r="J175" s="1788" t="str">
        <f t="shared" si="27"/>
        <v/>
      </c>
      <c r="K175" s="1786">
        <v>0</v>
      </c>
      <c r="L175" s="1786" t="s">
        <v>1594</v>
      </c>
      <c r="M175" s="1786" t="s">
        <v>1653</v>
      </c>
      <c r="N175" s="1786" t="s">
        <v>1653</v>
      </c>
      <c r="O175" s="1786">
        <v>0</v>
      </c>
      <c r="P175" s="1786"/>
      <c r="Q175" s="1786">
        <v>0</v>
      </c>
      <c r="R175" s="1788"/>
      <c r="S175" s="1786">
        <f t="shared" si="28"/>
        <v>7956</v>
      </c>
      <c r="T175" s="1786" t="str">
        <f t="shared" si="29"/>
        <v>אפ.אמ.אר תפעול</v>
      </c>
      <c r="U175" s="1786" t="str">
        <f t="shared" si="30"/>
        <v>מור קופת גמל להשקעה</v>
      </c>
      <c r="V175" s="1786" t="str">
        <f t="shared" si="31"/>
        <v>513834606</v>
      </c>
      <c r="W175" s="1789" t="str">
        <f t="shared" si="32"/>
        <v>מור קופות גמל בע"מ</v>
      </c>
      <c r="AC175" s="1761" t="s">
        <v>346</v>
      </c>
      <c r="AD175" s="1761"/>
      <c r="AE175" s="1762">
        <v>42670.408888888902</v>
      </c>
      <c r="AF175" s="1761" t="s">
        <v>1595</v>
      </c>
      <c r="AG175" s="1761" t="s">
        <v>75</v>
      </c>
      <c r="AH175" s="1761" t="s">
        <v>1594</v>
      </c>
      <c r="AI175" s="1761" t="s">
        <v>5489</v>
      </c>
      <c r="AJ175" s="1761" t="s">
        <v>5489</v>
      </c>
      <c r="AK175" s="1761">
        <v>12537</v>
      </c>
      <c r="AL175" s="1761" t="s">
        <v>5487</v>
      </c>
      <c r="AM175" s="1761">
        <v>7956</v>
      </c>
      <c r="AN175" s="1761" t="s">
        <v>5338</v>
      </c>
      <c r="AO175" s="1764"/>
      <c r="AP175" s="1761" t="s">
        <v>5403</v>
      </c>
      <c r="AQ175" s="1761" t="s">
        <v>5404</v>
      </c>
      <c r="AR175" s="1761" t="s">
        <v>5405</v>
      </c>
      <c r="AS175" s="1761" t="s">
        <v>3736</v>
      </c>
      <c r="AT175" s="1761" t="s">
        <v>327</v>
      </c>
      <c r="AU175" s="1763"/>
      <c r="AV175" s="1763"/>
    </row>
    <row r="176" spans="1:48" ht="25" hidden="1">
      <c r="A176" s="1785" t="str">
        <f t="shared" si="22"/>
        <v>גמל</v>
      </c>
      <c r="B176" s="1786">
        <f t="shared" si="23"/>
        <v>12538</v>
      </c>
      <c r="C176" s="1787">
        <v>28946</v>
      </c>
      <c r="D176" s="1786" t="str">
        <f t="shared" si="24"/>
        <v xml:space="preserve">מור קופות גמל להשקעה כללי </v>
      </c>
      <c r="E176" s="1786" t="s">
        <v>3929</v>
      </c>
      <c r="F176" s="1786" t="s">
        <v>2958</v>
      </c>
      <c r="G176" s="1786" t="s">
        <v>2959</v>
      </c>
      <c r="H176" s="1786" t="str">
        <f t="shared" si="25"/>
        <v>פעיל</v>
      </c>
      <c r="I176" s="1788">
        <f t="shared" si="26"/>
        <v>42670.408888888902</v>
      </c>
      <c r="J176" s="1788" t="str">
        <f t="shared" si="27"/>
        <v/>
      </c>
      <c r="K176" s="1786">
        <v>0</v>
      </c>
      <c r="L176" s="1786" t="s">
        <v>1594</v>
      </c>
      <c r="M176" s="1786" t="s">
        <v>1653</v>
      </c>
      <c r="N176" s="1786" t="s">
        <v>1653</v>
      </c>
      <c r="O176" s="1786">
        <v>0</v>
      </c>
      <c r="P176" s="1786"/>
      <c r="Q176" s="1786">
        <v>0</v>
      </c>
      <c r="R176" s="1788"/>
      <c r="S176" s="1786">
        <f t="shared" si="28"/>
        <v>7956</v>
      </c>
      <c r="T176" s="1786" t="str">
        <f t="shared" si="29"/>
        <v>אפ.אמ.אר תפעול</v>
      </c>
      <c r="U176" s="1786" t="str">
        <f t="shared" si="30"/>
        <v>מור קופת גמל להשקעה</v>
      </c>
      <c r="V176" s="1786" t="str">
        <f t="shared" si="31"/>
        <v>513834606</v>
      </c>
      <c r="W176" s="1789" t="str">
        <f t="shared" si="32"/>
        <v>מור קופות גמל בע"מ</v>
      </c>
      <c r="AC176" s="1759" t="s">
        <v>346</v>
      </c>
      <c r="AD176" s="1759"/>
      <c r="AE176" s="1760">
        <v>42670.408888888902</v>
      </c>
      <c r="AF176" s="1759" t="s">
        <v>1583</v>
      </c>
      <c r="AG176" s="1759" t="s">
        <v>1583</v>
      </c>
      <c r="AH176" s="1759" t="s">
        <v>1583</v>
      </c>
      <c r="AI176" s="1759" t="s">
        <v>5490</v>
      </c>
      <c r="AJ176" s="1759" t="s">
        <v>5490</v>
      </c>
      <c r="AK176" s="1759">
        <v>12538</v>
      </c>
      <c r="AL176" s="1759" t="s">
        <v>5487</v>
      </c>
      <c r="AM176" s="1759">
        <v>7956</v>
      </c>
      <c r="AN176" s="1759" t="s">
        <v>5338</v>
      </c>
      <c r="AO176" s="1764"/>
      <c r="AP176" s="1759" t="s">
        <v>5403</v>
      </c>
      <c r="AQ176" s="1759" t="s">
        <v>5404</v>
      </c>
      <c r="AR176" s="1759" t="s">
        <v>5405</v>
      </c>
      <c r="AS176" s="1759" t="s">
        <v>3736</v>
      </c>
      <c r="AT176" s="1759" t="s">
        <v>327</v>
      </c>
      <c r="AU176" s="1763"/>
      <c r="AV176" s="1763"/>
    </row>
    <row r="177" spans="1:48" ht="25" hidden="1">
      <c r="A177" s="1785" t="str">
        <f t="shared" si="22"/>
        <v>גמל</v>
      </c>
      <c r="B177" s="1786">
        <f t="shared" si="23"/>
        <v>7963</v>
      </c>
      <c r="C177" s="1787">
        <v>28946</v>
      </c>
      <c r="D177" s="1786" t="str">
        <f t="shared" si="24"/>
        <v>מור קופת גמל להשקעה מסלול כספי</v>
      </c>
      <c r="E177" s="1786" t="s">
        <v>3929</v>
      </c>
      <c r="F177" s="1786" t="s">
        <v>2958</v>
      </c>
      <c r="G177" s="1786" t="s">
        <v>2959</v>
      </c>
      <c r="H177" s="1786" t="str">
        <f t="shared" si="25"/>
        <v>פעיל</v>
      </c>
      <c r="I177" s="1788">
        <f t="shared" si="26"/>
        <v>42670.408888888902</v>
      </c>
      <c r="J177" s="1788" t="str">
        <f t="shared" si="27"/>
        <v/>
      </c>
      <c r="K177" s="1786">
        <v>0</v>
      </c>
      <c r="L177" s="1786" t="s">
        <v>1594</v>
      </c>
      <c r="M177" s="1786" t="s">
        <v>1653</v>
      </c>
      <c r="N177" s="1786" t="s">
        <v>1653</v>
      </c>
      <c r="O177" s="1786">
        <v>0</v>
      </c>
      <c r="P177" s="1786"/>
      <c r="Q177" s="1786">
        <v>0</v>
      </c>
      <c r="R177" s="1788"/>
      <c r="S177" s="1786">
        <f t="shared" si="28"/>
        <v>7956</v>
      </c>
      <c r="T177" s="1786" t="str">
        <f t="shared" si="29"/>
        <v>אפ.אמ.אר תפעול</v>
      </c>
      <c r="U177" s="1786" t="str">
        <f t="shared" si="30"/>
        <v>מור קופת גמל להשקעה</v>
      </c>
      <c r="V177" s="1786" t="str">
        <f t="shared" si="31"/>
        <v>513834606</v>
      </c>
      <c r="W177" s="1789" t="str">
        <f t="shared" si="32"/>
        <v>מור קופות גמל בע"מ</v>
      </c>
      <c r="AC177" s="1761" t="s">
        <v>346</v>
      </c>
      <c r="AD177" s="1761"/>
      <c r="AE177" s="1762">
        <v>42670.408888888902</v>
      </c>
      <c r="AF177" s="1761" t="s">
        <v>2409</v>
      </c>
      <c r="AG177" s="1761" t="s">
        <v>1614</v>
      </c>
      <c r="AH177" s="1761" t="s">
        <v>1594</v>
      </c>
      <c r="AI177" s="1761" t="s">
        <v>5491</v>
      </c>
      <c r="AJ177" s="1761" t="s">
        <v>5491</v>
      </c>
      <c r="AK177" s="1761">
        <v>7963</v>
      </c>
      <c r="AL177" s="1761" t="s">
        <v>5487</v>
      </c>
      <c r="AM177" s="1761">
        <v>7956</v>
      </c>
      <c r="AN177" s="1761" t="s">
        <v>5338</v>
      </c>
      <c r="AO177" s="1764"/>
      <c r="AP177" s="1761" t="s">
        <v>5403</v>
      </c>
      <c r="AQ177" s="1761" t="s">
        <v>5404</v>
      </c>
      <c r="AR177" s="1761" t="s">
        <v>5405</v>
      </c>
      <c r="AS177" s="1761" t="s">
        <v>3736</v>
      </c>
      <c r="AT177" s="1761" t="s">
        <v>327</v>
      </c>
      <c r="AU177" s="1763"/>
      <c r="AV177" s="1763"/>
    </row>
    <row r="178" spans="1:48" ht="37.5" hidden="1">
      <c r="A178" s="1785" t="str">
        <f t="shared" si="22"/>
        <v>גמל</v>
      </c>
      <c r="B178" s="1786">
        <f t="shared" si="23"/>
        <v>7962</v>
      </c>
      <c r="C178" s="1787">
        <v>28946</v>
      </c>
      <c r="D178" s="1786" t="str">
        <f t="shared" si="24"/>
        <v>מור קופת גמל להשקעה מסלול מחקה מדד אג"ח ממשלתי, לא צמודות בריבית קבועה</v>
      </c>
      <c r="E178" s="1786" t="s">
        <v>3929</v>
      </c>
      <c r="F178" s="1786" t="s">
        <v>2958</v>
      </c>
      <c r="G178" s="1786" t="s">
        <v>2959</v>
      </c>
      <c r="H178" s="1786" t="str">
        <f t="shared" si="25"/>
        <v>פעיל</v>
      </c>
      <c r="I178" s="1788">
        <f t="shared" si="26"/>
        <v>42670.408888888902</v>
      </c>
      <c r="J178" s="1788" t="str">
        <f t="shared" si="27"/>
        <v/>
      </c>
      <c r="K178" s="1786">
        <v>0</v>
      </c>
      <c r="L178" s="1786" t="s">
        <v>1594</v>
      </c>
      <c r="M178" s="1786" t="s">
        <v>1653</v>
      </c>
      <c r="N178" s="1786" t="s">
        <v>1653</v>
      </c>
      <c r="O178" s="1786">
        <v>0</v>
      </c>
      <c r="P178" s="1786"/>
      <c r="Q178" s="1786">
        <v>0</v>
      </c>
      <c r="R178" s="1788"/>
      <c r="S178" s="1786">
        <f t="shared" si="28"/>
        <v>7956</v>
      </c>
      <c r="T178" s="1786" t="str">
        <f t="shared" si="29"/>
        <v>אפ.אמ.אר תפעול</v>
      </c>
      <c r="U178" s="1786" t="str">
        <f t="shared" si="30"/>
        <v>מור קופת גמל להשקעה</v>
      </c>
      <c r="V178" s="1786" t="str">
        <f t="shared" si="31"/>
        <v>513834606</v>
      </c>
      <c r="W178" s="1789" t="str">
        <f t="shared" si="32"/>
        <v>מור קופות גמל בע"מ</v>
      </c>
      <c r="AC178" s="1759" t="s">
        <v>346</v>
      </c>
      <c r="AD178" s="1759"/>
      <c r="AE178" s="1760">
        <v>42670.408888888902</v>
      </c>
      <c r="AF178" s="1759" t="s">
        <v>53</v>
      </c>
      <c r="AG178" s="1759" t="s">
        <v>1653</v>
      </c>
      <c r="AH178" s="1759" t="s">
        <v>1594</v>
      </c>
      <c r="AI178" s="1759" t="s">
        <v>5492</v>
      </c>
      <c r="AJ178" s="1759" t="s">
        <v>5492</v>
      </c>
      <c r="AK178" s="1759">
        <v>7962</v>
      </c>
      <c r="AL178" s="1759" t="s">
        <v>5487</v>
      </c>
      <c r="AM178" s="1759">
        <v>7956</v>
      </c>
      <c r="AN178" s="1759" t="s">
        <v>5338</v>
      </c>
      <c r="AO178" s="1764"/>
      <c r="AP178" s="1759" t="s">
        <v>5403</v>
      </c>
      <c r="AQ178" s="1759" t="s">
        <v>5404</v>
      </c>
      <c r="AR178" s="1759" t="s">
        <v>5405</v>
      </c>
      <c r="AS178" s="1759" t="s">
        <v>3736</v>
      </c>
      <c r="AT178" s="1759" t="s">
        <v>327</v>
      </c>
      <c r="AU178" s="1763"/>
      <c r="AV178" s="1763"/>
    </row>
    <row r="179" spans="1:48" ht="37.5" hidden="1">
      <c r="A179" s="1785" t="str">
        <f t="shared" si="22"/>
        <v>גמל</v>
      </c>
      <c r="B179" s="1786">
        <f t="shared" si="23"/>
        <v>7961</v>
      </c>
      <c r="C179" s="1787">
        <v>28946</v>
      </c>
      <c r="D179" s="1786" t="str">
        <f t="shared" si="24"/>
        <v>מור קופת גמל להשקעה מסלול מחקה מדד אג"ח ממשלתי, צמודות מדד ממשלתי לטווח 5-10 שנים</v>
      </c>
      <c r="E179" s="1786" t="s">
        <v>3929</v>
      </c>
      <c r="F179" s="1786" t="s">
        <v>2958</v>
      </c>
      <c r="G179" s="1786" t="s">
        <v>2959</v>
      </c>
      <c r="H179" s="1786" t="str">
        <f t="shared" si="25"/>
        <v>פעיל</v>
      </c>
      <c r="I179" s="1788">
        <f t="shared" si="26"/>
        <v>42670.408888888902</v>
      </c>
      <c r="J179" s="1788" t="str">
        <f t="shared" si="27"/>
        <v/>
      </c>
      <c r="K179" s="1786">
        <v>0</v>
      </c>
      <c r="L179" s="1786" t="s">
        <v>1594</v>
      </c>
      <c r="M179" s="1786" t="s">
        <v>1653</v>
      </c>
      <c r="N179" s="1786" t="s">
        <v>1653</v>
      </c>
      <c r="O179" s="1786">
        <v>0</v>
      </c>
      <c r="P179" s="1786"/>
      <c r="Q179" s="1786">
        <v>0</v>
      </c>
      <c r="R179" s="1788"/>
      <c r="S179" s="1786">
        <f t="shared" si="28"/>
        <v>7956</v>
      </c>
      <c r="T179" s="1786" t="str">
        <f t="shared" si="29"/>
        <v>אפ.אמ.אר תפעול</v>
      </c>
      <c r="U179" s="1786" t="str">
        <f t="shared" si="30"/>
        <v>מור קופת גמל להשקעה</v>
      </c>
      <c r="V179" s="1786" t="str">
        <f t="shared" si="31"/>
        <v>513834606</v>
      </c>
      <c r="W179" s="1789" t="str">
        <f t="shared" si="32"/>
        <v>מור קופות גמל בע"מ</v>
      </c>
      <c r="AC179" s="1761" t="s">
        <v>346</v>
      </c>
      <c r="AD179" s="1761"/>
      <c r="AE179" s="1762">
        <v>42670.408888888902</v>
      </c>
      <c r="AF179" s="1761" t="s">
        <v>3008</v>
      </c>
      <c r="AG179" s="1761" t="s">
        <v>1653</v>
      </c>
      <c r="AH179" s="1761" t="s">
        <v>1594</v>
      </c>
      <c r="AI179" s="1761" t="s">
        <v>5493</v>
      </c>
      <c r="AJ179" s="1761" t="s">
        <v>5493</v>
      </c>
      <c r="AK179" s="1761">
        <v>7961</v>
      </c>
      <c r="AL179" s="1761" t="s">
        <v>5487</v>
      </c>
      <c r="AM179" s="1761">
        <v>7956</v>
      </c>
      <c r="AN179" s="1761" t="s">
        <v>5338</v>
      </c>
      <c r="AO179" s="1764"/>
      <c r="AP179" s="1761" t="s">
        <v>5403</v>
      </c>
      <c r="AQ179" s="1761" t="s">
        <v>5404</v>
      </c>
      <c r="AR179" s="1761" t="s">
        <v>5405</v>
      </c>
      <c r="AS179" s="1761" t="s">
        <v>3736</v>
      </c>
      <c r="AT179" s="1761" t="s">
        <v>327</v>
      </c>
      <c r="AU179" s="1763"/>
      <c r="AV179" s="1763"/>
    </row>
    <row r="180" spans="1:48" ht="25" hidden="1">
      <c r="A180" s="1785" t="str">
        <f t="shared" si="22"/>
        <v>גמל</v>
      </c>
      <c r="B180" s="1786">
        <f t="shared" si="23"/>
        <v>7960</v>
      </c>
      <c r="C180" s="1787">
        <v>28946</v>
      </c>
      <c r="D180" s="1786" t="str">
        <f t="shared" si="24"/>
        <v>מור קופת גמל להשקעה מסלול מחקה מדד תל בונד 20</v>
      </c>
      <c r="E180" s="1786" t="s">
        <v>3929</v>
      </c>
      <c r="F180" s="1786" t="s">
        <v>2958</v>
      </c>
      <c r="G180" s="1786" t="s">
        <v>2959</v>
      </c>
      <c r="H180" s="1786" t="str">
        <f t="shared" si="25"/>
        <v>פעיל</v>
      </c>
      <c r="I180" s="1788">
        <f t="shared" si="26"/>
        <v>42670.408888888902</v>
      </c>
      <c r="J180" s="1788" t="str">
        <f t="shared" si="27"/>
        <v/>
      </c>
      <c r="K180" s="1786">
        <v>0</v>
      </c>
      <c r="L180" s="1786" t="s">
        <v>1594</v>
      </c>
      <c r="M180" s="1786" t="s">
        <v>1653</v>
      </c>
      <c r="N180" s="1786" t="s">
        <v>1653</v>
      </c>
      <c r="O180" s="1786">
        <v>0</v>
      </c>
      <c r="P180" s="1786"/>
      <c r="Q180" s="1786">
        <v>0</v>
      </c>
      <c r="R180" s="1788"/>
      <c r="S180" s="1786">
        <f t="shared" si="28"/>
        <v>7956</v>
      </c>
      <c r="T180" s="1786" t="str">
        <f t="shared" si="29"/>
        <v>אפ.אמ.אר תפעול</v>
      </c>
      <c r="U180" s="1786" t="str">
        <f t="shared" si="30"/>
        <v>מור קופת גמל להשקעה</v>
      </c>
      <c r="V180" s="1786" t="str">
        <f t="shared" si="31"/>
        <v>513834606</v>
      </c>
      <c r="W180" s="1789" t="str">
        <f t="shared" si="32"/>
        <v>מור קופות גמל בע"מ</v>
      </c>
      <c r="AC180" s="1759" t="s">
        <v>346</v>
      </c>
      <c r="AD180" s="1759"/>
      <c r="AE180" s="1760">
        <v>42670.408888888902</v>
      </c>
      <c r="AF180" s="1759" t="s">
        <v>3010</v>
      </c>
      <c r="AG180" s="1759" t="s">
        <v>1653</v>
      </c>
      <c r="AH180" s="1759" t="s">
        <v>1594</v>
      </c>
      <c r="AI180" s="1759" t="s">
        <v>5494</v>
      </c>
      <c r="AJ180" s="1759" t="s">
        <v>5494</v>
      </c>
      <c r="AK180" s="1759">
        <v>7960</v>
      </c>
      <c r="AL180" s="1759" t="s">
        <v>5487</v>
      </c>
      <c r="AM180" s="1759">
        <v>7956</v>
      </c>
      <c r="AN180" s="1759" t="s">
        <v>5338</v>
      </c>
      <c r="AO180" s="1764"/>
      <c r="AP180" s="1759" t="s">
        <v>5403</v>
      </c>
      <c r="AQ180" s="1759" t="s">
        <v>5404</v>
      </c>
      <c r="AR180" s="1759" t="s">
        <v>5405</v>
      </c>
      <c r="AS180" s="1759" t="s">
        <v>3736</v>
      </c>
      <c r="AT180" s="1759" t="s">
        <v>327</v>
      </c>
      <c r="AU180" s="1763"/>
      <c r="AV180" s="1763"/>
    </row>
    <row r="181" spans="1:48" ht="25" hidden="1">
      <c r="A181" s="1785" t="str">
        <f t="shared" si="22"/>
        <v>גמל</v>
      </c>
      <c r="B181" s="1786">
        <f t="shared" si="23"/>
        <v>7959</v>
      </c>
      <c r="C181" s="1787">
        <v>28946</v>
      </c>
      <c r="D181" s="1786" t="str">
        <f t="shared" si="24"/>
        <v>אינטרגמל קופות גמל להשקעה כללי כללי</v>
      </c>
      <c r="E181" s="1786" t="s">
        <v>3929</v>
      </c>
      <c r="F181" s="1786" t="s">
        <v>2958</v>
      </c>
      <c r="G181" s="1786" t="s">
        <v>2959</v>
      </c>
      <c r="H181" s="1786" t="str">
        <f t="shared" si="25"/>
        <v>לא פעיל</v>
      </c>
      <c r="I181" s="1788">
        <f t="shared" si="26"/>
        <v>42670.408888888902</v>
      </c>
      <c r="J181" s="1788">
        <f t="shared" si="27"/>
        <v>42688.346319444398</v>
      </c>
      <c r="K181" s="1786">
        <v>0</v>
      </c>
      <c r="L181" s="1786" t="s">
        <v>1594</v>
      </c>
      <c r="M181" s="1786" t="s">
        <v>1653</v>
      </c>
      <c r="N181" s="1786" t="s">
        <v>1653</v>
      </c>
      <c r="O181" s="1786">
        <v>0</v>
      </c>
      <c r="P181" s="1786"/>
      <c r="Q181" s="1786">
        <v>0</v>
      </c>
      <c r="R181" s="1788"/>
      <c r="S181" s="1786">
        <f t="shared" si="28"/>
        <v>7956</v>
      </c>
      <c r="T181" s="1786" t="str">
        <f t="shared" si="29"/>
        <v>אפ.אמ.אר תפעול</v>
      </c>
      <c r="U181" s="1786" t="str">
        <f t="shared" si="30"/>
        <v>מור קופת גמל להשקעה</v>
      </c>
      <c r="V181" s="1786" t="str">
        <f t="shared" si="31"/>
        <v>513834606</v>
      </c>
      <c r="W181" s="1789" t="str">
        <f t="shared" si="32"/>
        <v>מור קופות גמל בע"מ</v>
      </c>
      <c r="AC181" s="1761" t="s">
        <v>1586</v>
      </c>
      <c r="AD181" s="1762">
        <v>42688.346319444398</v>
      </c>
      <c r="AE181" s="1762">
        <v>42670.408888888902</v>
      </c>
      <c r="AF181" s="1761" t="s">
        <v>1583</v>
      </c>
      <c r="AG181" s="1761" t="s">
        <v>1583</v>
      </c>
      <c r="AH181" s="1761" t="s">
        <v>1583</v>
      </c>
      <c r="AI181" s="1761" t="s">
        <v>4717</v>
      </c>
      <c r="AJ181" s="1761" t="s">
        <v>4717</v>
      </c>
      <c r="AK181" s="1761">
        <v>7959</v>
      </c>
      <c r="AL181" s="1761" t="s">
        <v>5487</v>
      </c>
      <c r="AM181" s="1761">
        <v>7956</v>
      </c>
      <c r="AN181" s="1761" t="s">
        <v>5338</v>
      </c>
      <c r="AO181" s="1764"/>
      <c r="AP181" s="1761" t="s">
        <v>5403</v>
      </c>
      <c r="AQ181" s="1761" t="s">
        <v>5404</v>
      </c>
      <c r="AR181" s="1761" t="s">
        <v>5405</v>
      </c>
      <c r="AS181" s="1761" t="s">
        <v>3736</v>
      </c>
      <c r="AT181" s="1761" t="s">
        <v>327</v>
      </c>
      <c r="AU181" s="1763"/>
      <c r="AV181" s="1763"/>
    </row>
    <row r="182" spans="1:48" ht="25" hidden="1">
      <c r="A182" s="1785" t="str">
        <f t="shared" si="22"/>
        <v>גמל</v>
      </c>
      <c r="B182" s="1786">
        <f t="shared" si="23"/>
        <v>7958</v>
      </c>
      <c r="C182" s="1787">
        <v>28946</v>
      </c>
      <c r="D182" s="1786" t="str">
        <f t="shared" si="24"/>
        <v>מור קופת גמל להשקעה מסלול מחקה מדד S&amp;P500</v>
      </c>
      <c r="E182" s="1786" t="s">
        <v>3929</v>
      </c>
      <c r="F182" s="1786" t="s">
        <v>2958</v>
      </c>
      <c r="G182" s="1786" t="s">
        <v>2959</v>
      </c>
      <c r="H182" s="1786" t="str">
        <f t="shared" si="25"/>
        <v>פעיל</v>
      </c>
      <c r="I182" s="1788">
        <f t="shared" si="26"/>
        <v>42670.408888888902</v>
      </c>
      <c r="J182" s="1788" t="str">
        <f t="shared" si="27"/>
        <v/>
      </c>
      <c r="K182" s="1786">
        <v>0</v>
      </c>
      <c r="L182" s="1786" t="s">
        <v>1594</v>
      </c>
      <c r="M182" s="1786" t="s">
        <v>1653</v>
      </c>
      <c r="N182" s="1786" t="s">
        <v>1653</v>
      </c>
      <c r="O182" s="1786">
        <v>0</v>
      </c>
      <c r="P182" s="1786"/>
      <c r="Q182" s="1786">
        <v>0</v>
      </c>
      <c r="R182" s="1788"/>
      <c r="S182" s="1786">
        <f t="shared" si="28"/>
        <v>7956</v>
      </c>
      <c r="T182" s="1786" t="str">
        <f t="shared" si="29"/>
        <v>אפ.אמ.אר תפעול</v>
      </c>
      <c r="U182" s="1786" t="str">
        <f t="shared" si="30"/>
        <v>מור קופת גמל להשקעה</v>
      </c>
      <c r="V182" s="1786" t="str">
        <f t="shared" si="31"/>
        <v>513834606</v>
      </c>
      <c r="W182" s="1789" t="str">
        <f t="shared" si="32"/>
        <v>מור קופות גמל בע"מ</v>
      </c>
      <c r="AC182" s="1759" t="s">
        <v>346</v>
      </c>
      <c r="AD182" s="1759"/>
      <c r="AE182" s="1760">
        <v>42670.408888888902</v>
      </c>
      <c r="AF182" s="1759" t="s">
        <v>1948</v>
      </c>
      <c r="AG182" s="1759" t="s">
        <v>75</v>
      </c>
      <c r="AH182" s="1759" t="s">
        <v>1594</v>
      </c>
      <c r="AI182" s="1759" t="s">
        <v>5495</v>
      </c>
      <c r="AJ182" s="1759" t="s">
        <v>5495</v>
      </c>
      <c r="AK182" s="1759">
        <v>7958</v>
      </c>
      <c r="AL182" s="1759" t="s">
        <v>5487</v>
      </c>
      <c r="AM182" s="1759">
        <v>7956</v>
      </c>
      <c r="AN182" s="1759" t="s">
        <v>5338</v>
      </c>
      <c r="AO182" s="1764"/>
      <c r="AP182" s="1759" t="s">
        <v>5403</v>
      </c>
      <c r="AQ182" s="1759" t="s">
        <v>5404</v>
      </c>
      <c r="AR182" s="1759" t="s">
        <v>5405</v>
      </c>
      <c r="AS182" s="1759" t="s">
        <v>3736</v>
      </c>
      <c r="AT182" s="1759" t="s">
        <v>327</v>
      </c>
      <c r="AU182" s="1763"/>
      <c r="AV182" s="1763"/>
    </row>
    <row r="183" spans="1:48" ht="25" hidden="1">
      <c r="A183" s="1785" t="str">
        <f t="shared" si="22"/>
        <v>גמל</v>
      </c>
      <c r="B183" s="1786">
        <f t="shared" si="23"/>
        <v>7957</v>
      </c>
      <c r="C183" s="1787">
        <v>28946</v>
      </c>
      <c r="D183" s="1786" t="str">
        <f t="shared" si="24"/>
        <v>מור קופת גמל להשקעה מסלול מחקה מדד ת"א 35</v>
      </c>
      <c r="E183" s="1786" t="s">
        <v>3929</v>
      </c>
      <c r="F183" s="1786" t="s">
        <v>2958</v>
      </c>
      <c r="G183" s="1786" t="s">
        <v>2959</v>
      </c>
      <c r="H183" s="1786" t="str">
        <f t="shared" si="25"/>
        <v>פעיל</v>
      </c>
      <c r="I183" s="1788">
        <f t="shared" si="26"/>
        <v>42670.408888888902</v>
      </c>
      <c r="J183" s="1788" t="str">
        <f t="shared" si="27"/>
        <v/>
      </c>
      <c r="K183" s="1786">
        <v>0</v>
      </c>
      <c r="L183" s="1786" t="s">
        <v>1594</v>
      </c>
      <c r="M183" s="1786" t="s">
        <v>1653</v>
      </c>
      <c r="N183" s="1786" t="s">
        <v>1653</v>
      </c>
      <c r="O183" s="1786">
        <v>0</v>
      </c>
      <c r="P183" s="1786"/>
      <c r="Q183" s="1786">
        <v>0</v>
      </c>
      <c r="R183" s="1788"/>
      <c r="S183" s="1786">
        <f t="shared" si="28"/>
        <v>7956</v>
      </c>
      <c r="T183" s="1786" t="str">
        <f t="shared" si="29"/>
        <v>אפ.אמ.אר תפעול</v>
      </c>
      <c r="U183" s="1786" t="str">
        <f t="shared" si="30"/>
        <v>מור קופת גמל להשקעה</v>
      </c>
      <c r="V183" s="1786" t="str">
        <f t="shared" si="31"/>
        <v>513834606</v>
      </c>
      <c r="W183" s="1789" t="str">
        <f t="shared" si="32"/>
        <v>מור קופות גמל בע"מ</v>
      </c>
      <c r="AC183" s="1761" t="s">
        <v>346</v>
      </c>
      <c r="AD183" s="1759"/>
      <c r="AE183" s="1762">
        <v>42670.408888888902</v>
      </c>
      <c r="AF183" s="1761" t="s">
        <v>3672</v>
      </c>
      <c r="AG183" s="1761" t="s">
        <v>75</v>
      </c>
      <c r="AH183" s="1761" t="s">
        <v>1594</v>
      </c>
      <c r="AI183" s="1761" t="s">
        <v>5496</v>
      </c>
      <c r="AJ183" s="1761" t="s">
        <v>5496</v>
      </c>
      <c r="AK183" s="1761">
        <v>7957</v>
      </c>
      <c r="AL183" s="1761" t="s">
        <v>5487</v>
      </c>
      <c r="AM183" s="1761">
        <v>7956</v>
      </c>
      <c r="AN183" s="1761" t="s">
        <v>5338</v>
      </c>
      <c r="AO183" s="1764"/>
      <c r="AP183" s="1761" t="s">
        <v>5403</v>
      </c>
      <c r="AQ183" s="1761" t="s">
        <v>5404</v>
      </c>
      <c r="AR183" s="1761" t="s">
        <v>5405</v>
      </c>
      <c r="AS183" s="1761" t="s">
        <v>3736</v>
      </c>
      <c r="AT183" s="1761" t="s">
        <v>327</v>
      </c>
      <c r="AU183" s="1763"/>
      <c r="AV183" s="1763"/>
    </row>
    <row r="184" spans="1:48" ht="37.5" hidden="1">
      <c r="A184" s="1785" t="str">
        <f t="shared" si="22"/>
        <v>גמל</v>
      </c>
      <c r="B184" s="1786">
        <f t="shared" si="23"/>
        <v>7937</v>
      </c>
      <c r="C184" s="1787">
        <v>28946</v>
      </c>
      <c r="D184" s="1786" t="str">
        <f t="shared" si="24"/>
        <v>מגדל גמל להשקעה הלכתי הלכה יהודית</v>
      </c>
      <c r="E184" s="1786" t="s">
        <v>3929</v>
      </c>
      <c r="F184" s="1786" t="s">
        <v>2958</v>
      </c>
      <c r="G184" s="1786" t="s">
        <v>2959</v>
      </c>
      <c r="H184" s="1786" t="str">
        <f t="shared" si="25"/>
        <v>פעיל</v>
      </c>
      <c r="I184" s="1788">
        <f t="shared" si="26"/>
        <v>42652.429305555597</v>
      </c>
      <c r="J184" s="1788" t="str">
        <f t="shared" si="27"/>
        <v/>
      </c>
      <c r="K184" s="1786">
        <v>0</v>
      </c>
      <c r="L184" s="1786" t="s">
        <v>1594</v>
      </c>
      <c r="M184" s="1786" t="s">
        <v>1653</v>
      </c>
      <c r="N184" s="1786" t="s">
        <v>1653</v>
      </c>
      <c r="O184" s="1786">
        <v>0</v>
      </c>
      <c r="P184" s="1786"/>
      <c r="Q184" s="1786">
        <v>0</v>
      </c>
      <c r="R184" s="1788"/>
      <c r="S184" s="1786">
        <f t="shared" si="28"/>
        <v>7930</v>
      </c>
      <c r="T184" s="1786" t="str">
        <f t="shared" si="29"/>
        <v>לאומי</v>
      </c>
      <c r="U184" s="1786" t="str">
        <f t="shared" si="30"/>
        <v>מגדל גמל להשקעה</v>
      </c>
      <c r="V184" s="1786" t="str">
        <f t="shared" si="31"/>
        <v>510464803</v>
      </c>
      <c r="W184" s="1789" t="str">
        <f t="shared" si="32"/>
        <v>מגדל מקפת קרנות פנסיה וקופות גמל בע"מ</v>
      </c>
      <c r="AC184" s="1759" t="s">
        <v>346</v>
      </c>
      <c r="AD184" s="1759"/>
      <c r="AE184" s="1760">
        <v>42652.429305555597</v>
      </c>
      <c r="AF184" s="1759" t="s">
        <v>4603</v>
      </c>
      <c r="AG184" s="1759" t="s">
        <v>2029</v>
      </c>
      <c r="AH184" s="1759" t="s">
        <v>2028</v>
      </c>
      <c r="AI184" s="1759" t="s">
        <v>4715</v>
      </c>
      <c r="AJ184" s="1759" t="s">
        <v>4714</v>
      </c>
      <c r="AK184" s="1759">
        <v>7937</v>
      </c>
      <c r="AL184" s="1759" t="s">
        <v>4707</v>
      </c>
      <c r="AM184" s="1759">
        <v>7930</v>
      </c>
      <c r="AN184" s="1759" t="s">
        <v>5305</v>
      </c>
      <c r="AO184" s="1764"/>
      <c r="AP184" s="1759" t="s">
        <v>5382</v>
      </c>
      <c r="AQ184" s="1759" t="s">
        <v>5383</v>
      </c>
      <c r="AR184" s="1759" t="s">
        <v>394</v>
      </c>
      <c r="AS184" s="1759" t="s">
        <v>395</v>
      </c>
      <c r="AT184" s="1759" t="s">
        <v>327</v>
      </c>
      <c r="AU184" s="1763"/>
      <c r="AV184" s="1763"/>
    </row>
    <row r="185" spans="1:48" ht="37.5" hidden="1">
      <c r="A185" s="1785" t="str">
        <f t="shared" si="22"/>
        <v>גמל</v>
      </c>
      <c r="B185" s="1786">
        <f t="shared" si="23"/>
        <v>7935</v>
      </c>
      <c r="C185" s="1787">
        <v>28946</v>
      </c>
      <c r="D185" s="1786" t="str">
        <f t="shared" si="24"/>
        <v>מגדל גמל להשקעה אג"ח עד 10% מניות</v>
      </c>
      <c r="E185" s="1786" t="s">
        <v>3929</v>
      </c>
      <c r="F185" s="1786" t="s">
        <v>2958</v>
      </c>
      <c r="G185" s="1786" t="s">
        <v>2959</v>
      </c>
      <c r="H185" s="1786" t="str">
        <f t="shared" si="25"/>
        <v>פעיל</v>
      </c>
      <c r="I185" s="1788">
        <f t="shared" si="26"/>
        <v>42652.429305555597</v>
      </c>
      <c r="J185" s="1788" t="str">
        <f t="shared" si="27"/>
        <v/>
      </c>
      <c r="K185" s="1786">
        <v>0</v>
      </c>
      <c r="L185" s="1786" t="s">
        <v>1594</v>
      </c>
      <c r="M185" s="1786" t="s">
        <v>1653</v>
      </c>
      <c r="N185" s="1786" t="s">
        <v>1653</v>
      </c>
      <c r="O185" s="1786">
        <v>0</v>
      </c>
      <c r="P185" s="1786"/>
      <c r="Q185" s="1786">
        <v>0</v>
      </c>
      <c r="R185" s="1788"/>
      <c r="S185" s="1786">
        <f t="shared" si="28"/>
        <v>7930</v>
      </c>
      <c r="T185" s="1786" t="str">
        <f t="shared" si="29"/>
        <v>לאומי</v>
      </c>
      <c r="U185" s="1786" t="str">
        <f t="shared" si="30"/>
        <v>מגדל גמל להשקעה</v>
      </c>
      <c r="V185" s="1786" t="str">
        <f t="shared" si="31"/>
        <v>510464803</v>
      </c>
      <c r="W185" s="1789" t="str">
        <f t="shared" si="32"/>
        <v>מגדל מקפת קרנות פנסיה וקופות גמל בע"מ</v>
      </c>
      <c r="AC185" s="1761" t="s">
        <v>346</v>
      </c>
      <c r="AD185" s="1761"/>
      <c r="AE185" s="1762">
        <v>42652.429305555597</v>
      </c>
      <c r="AF185" s="1761" t="s">
        <v>3934</v>
      </c>
      <c r="AG185" s="1761" t="s">
        <v>1653</v>
      </c>
      <c r="AH185" s="1761" t="s">
        <v>1594</v>
      </c>
      <c r="AI185" s="1761" t="s">
        <v>4712</v>
      </c>
      <c r="AJ185" s="1761" t="s">
        <v>4712</v>
      </c>
      <c r="AK185" s="1761">
        <v>7935</v>
      </c>
      <c r="AL185" s="1761" t="s">
        <v>4707</v>
      </c>
      <c r="AM185" s="1761">
        <v>7930</v>
      </c>
      <c r="AN185" s="1761" t="s">
        <v>5305</v>
      </c>
      <c r="AO185" s="1764"/>
      <c r="AP185" s="1761" t="s">
        <v>5382</v>
      </c>
      <c r="AQ185" s="1761" t="s">
        <v>5383</v>
      </c>
      <c r="AR185" s="1761" t="s">
        <v>394</v>
      </c>
      <c r="AS185" s="1761" t="s">
        <v>395</v>
      </c>
      <c r="AT185" s="1761" t="s">
        <v>327</v>
      </c>
      <c r="AU185" s="1763"/>
      <c r="AV185" s="1763"/>
    </row>
    <row r="186" spans="1:48" ht="37.5" hidden="1">
      <c r="A186" s="1785" t="str">
        <f t="shared" si="22"/>
        <v>גמל</v>
      </c>
      <c r="B186" s="1786">
        <f t="shared" si="23"/>
        <v>7931</v>
      </c>
      <c r="C186" s="1787">
        <v>28946</v>
      </c>
      <c r="D186" s="1786" t="str">
        <f t="shared" si="24"/>
        <v>מגדל גמל להשקעה שיקלי טווח קצר</v>
      </c>
      <c r="E186" s="1786" t="s">
        <v>3929</v>
      </c>
      <c r="F186" s="1786" t="s">
        <v>2958</v>
      </c>
      <c r="G186" s="1786" t="s">
        <v>2959</v>
      </c>
      <c r="H186" s="1786" t="str">
        <f t="shared" si="25"/>
        <v>פעיל</v>
      </c>
      <c r="I186" s="1788">
        <f t="shared" si="26"/>
        <v>42652.429305555597</v>
      </c>
      <c r="J186" s="1788" t="str">
        <f t="shared" si="27"/>
        <v/>
      </c>
      <c r="K186" s="1786">
        <v>0</v>
      </c>
      <c r="L186" s="1786" t="s">
        <v>1594</v>
      </c>
      <c r="M186" s="1786" t="s">
        <v>1653</v>
      </c>
      <c r="N186" s="1786" t="s">
        <v>1653</v>
      </c>
      <c r="O186" s="1786">
        <v>0</v>
      </c>
      <c r="P186" s="1786"/>
      <c r="Q186" s="1786">
        <v>0</v>
      </c>
      <c r="R186" s="1788"/>
      <c r="S186" s="1786">
        <f t="shared" si="28"/>
        <v>7930</v>
      </c>
      <c r="T186" s="1786" t="str">
        <f t="shared" si="29"/>
        <v>לאומי</v>
      </c>
      <c r="U186" s="1786" t="str">
        <f t="shared" si="30"/>
        <v>מגדל גמל להשקעה</v>
      </c>
      <c r="V186" s="1786" t="str">
        <f t="shared" si="31"/>
        <v>510464803</v>
      </c>
      <c r="W186" s="1789" t="str">
        <f t="shared" si="32"/>
        <v>מגדל מקפת קרנות פנסיה וקופות גמל בע"מ</v>
      </c>
      <c r="AC186" s="1759" t="s">
        <v>346</v>
      </c>
      <c r="AD186" s="1759"/>
      <c r="AE186" s="1760">
        <v>42652.429305555597</v>
      </c>
      <c r="AF186" s="1759" t="s">
        <v>1673</v>
      </c>
      <c r="AG186" s="1759" t="s">
        <v>1614</v>
      </c>
      <c r="AH186" s="1759" t="s">
        <v>1594</v>
      </c>
      <c r="AI186" s="1759" t="s">
        <v>4706</v>
      </c>
      <c r="AJ186" s="1759" t="s">
        <v>4706</v>
      </c>
      <c r="AK186" s="1759">
        <v>7931</v>
      </c>
      <c r="AL186" s="1759" t="s">
        <v>4707</v>
      </c>
      <c r="AM186" s="1759">
        <v>7930</v>
      </c>
      <c r="AN186" s="1759" t="s">
        <v>5305</v>
      </c>
      <c r="AO186" s="1764"/>
      <c r="AP186" s="1759" t="s">
        <v>5382</v>
      </c>
      <c r="AQ186" s="1759" t="s">
        <v>5383</v>
      </c>
      <c r="AR186" s="1759" t="s">
        <v>394</v>
      </c>
      <c r="AS186" s="1759" t="s">
        <v>395</v>
      </c>
      <c r="AT186" s="1759" t="s">
        <v>327</v>
      </c>
      <c r="AU186" s="1763"/>
      <c r="AV186" s="1763"/>
    </row>
    <row r="187" spans="1:48" ht="37.5" hidden="1">
      <c r="A187" s="1785" t="str">
        <f t="shared" si="22"/>
        <v>גמל</v>
      </c>
      <c r="B187" s="1786">
        <f t="shared" si="23"/>
        <v>7932</v>
      </c>
      <c r="C187" s="1787">
        <v>28946</v>
      </c>
      <c r="D187" s="1786" t="str">
        <f t="shared" si="24"/>
        <v>מגדל גמל להשקעה אג"ח ממשלתי ישראלי</v>
      </c>
      <c r="E187" s="1786" t="s">
        <v>3929</v>
      </c>
      <c r="F187" s="1786" t="s">
        <v>2958</v>
      </c>
      <c r="G187" s="1786" t="s">
        <v>2959</v>
      </c>
      <c r="H187" s="1786" t="str">
        <f t="shared" si="25"/>
        <v>פעיל</v>
      </c>
      <c r="I187" s="1788">
        <f t="shared" si="26"/>
        <v>42652.429305555597</v>
      </c>
      <c r="J187" s="1788" t="str">
        <f t="shared" si="27"/>
        <v/>
      </c>
      <c r="K187" s="1786">
        <v>0</v>
      </c>
      <c r="L187" s="1786" t="s">
        <v>1594</v>
      </c>
      <c r="M187" s="1786" t="s">
        <v>1653</v>
      </c>
      <c r="N187" s="1786" t="s">
        <v>1653</v>
      </c>
      <c r="O187" s="1786">
        <v>0</v>
      </c>
      <c r="P187" s="1786"/>
      <c r="Q187" s="1786">
        <v>0</v>
      </c>
      <c r="R187" s="1788"/>
      <c r="S187" s="1786">
        <f t="shared" si="28"/>
        <v>7930</v>
      </c>
      <c r="T187" s="1786" t="str">
        <f t="shared" si="29"/>
        <v>לאומי</v>
      </c>
      <c r="U187" s="1786" t="str">
        <f t="shared" si="30"/>
        <v>מגדל גמל להשקעה</v>
      </c>
      <c r="V187" s="1786" t="str">
        <f t="shared" si="31"/>
        <v>510464803</v>
      </c>
      <c r="W187" s="1789" t="str">
        <f t="shared" si="32"/>
        <v>מגדל מקפת קרנות פנסיה וקופות גמל בע"מ</v>
      </c>
      <c r="AC187" s="1761" t="s">
        <v>346</v>
      </c>
      <c r="AD187" s="1761"/>
      <c r="AE187" s="1762">
        <v>42652.429305555597</v>
      </c>
      <c r="AF187" s="1761" t="s">
        <v>2009</v>
      </c>
      <c r="AG187" s="1761" t="s">
        <v>1653</v>
      </c>
      <c r="AH187" s="1761" t="s">
        <v>1594</v>
      </c>
      <c r="AI187" s="1761" t="s">
        <v>4708</v>
      </c>
      <c r="AJ187" s="1761" t="s">
        <v>4708</v>
      </c>
      <c r="AK187" s="1761">
        <v>7932</v>
      </c>
      <c r="AL187" s="1761" t="s">
        <v>4707</v>
      </c>
      <c r="AM187" s="1761">
        <v>7930</v>
      </c>
      <c r="AN187" s="1761" t="s">
        <v>5305</v>
      </c>
      <c r="AO187" s="1764"/>
      <c r="AP187" s="1761" t="s">
        <v>5382</v>
      </c>
      <c r="AQ187" s="1761" t="s">
        <v>5383</v>
      </c>
      <c r="AR187" s="1761" t="s">
        <v>394</v>
      </c>
      <c r="AS187" s="1761" t="s">
        <v>395</v>
      </c>
      <c r="AT187" s="1761" t="s">
        <v>327</v>
      </c>
      <c r="AU187" s="1763"/>
      <c r="AV187" s="1763"/>
    </row>
    <row r="188" spans="1:48" ht="37.5" hidden="1">
      <c r="A188" s="1785" t="str">
        <f t="shared" si="22"/>
        <v>גמל</v>
      </c>
      <c r="B188" s="1786">
        <f t="shared" si="23"/>
        <v>7933</v>
      </c>
      <c r="C188" s="1787">
        <v>28946</v>
      </c>
      <c r="D188" s="1786" t="str">
        <f t="shared" si="24"/>
        <v xml:space="preserve">מגדל גמל להשקעה חו"ל </v>
      </c>
      <c r="E188" s="1786" t="s">
        <v>3929</v>
      </c>
      <c r="F188" s="1786" t="s">
        <v>2958</v>
      </c>
      <c r="G188" s="1786" t="s">
        <v>2959</v>
      </c>
      <c r="H188" s="1786" t="str">
        <f t="shared" si="25"/>
        <v>פעיל</v>
      </c>
      <c r="I188" s="1788">
        <f t="shared" si="26"/>
        <v>42652.429305555597</v>
      </c>
      <c r="J188" s="1788" t="str">
        <f t="shared" si="27"/>
        <v/>
      </c>
      <c r="K188" s="1786">
        <v>0</v>
      </c>
      <c r="L188" s="1786" t="s">
        <v>1594</v>
      </c>
      <c r="M188" s="1786" t="s">
        <v>1653</v>
      </c>
      <c r="N188" s="1786" t="s">
        <v>1653</v>
      </c>
      <c r="O188" s="1786">
        <v>0</v>
      </c>
      <c r="P188" s="1786"/>
      <c r="Q188" s="1786">
        <v>0</v>
      </c>
      <c r="R188" s="1788"/>
      <c r="S188" s="1786">
        <f t="shared" si="28"/>
        <v>7930</v>
      </c>
      <c r="T188" s="1786" t="str">
        <f t="shared" si="29"/>
        <v>לאומי</v>
      </c>
      <c r="U188" s="1786" t="str">
        <f t="shared" si="30"/>
        <v>מגדל גמל להשקעה</v>
      </c>
      <c r="V188" s="1786" t="str">
        <f t="shared" si="31"/>
        <v>510464803</v>
      </c>
      <c r="W188" s="1789" t="str">
        <f t="shared" si="32"/>
        <v>מגדל מקפת קרנות פנסיה וקופות גמל בע"מ</v>
      </c>
      <c r="AC188" s="1759" t="s">
        <v>346</v>
      </c>
      <c r="AD188" s="1759"/>
      <c r="AE188" s="1760">
        <v>42652.429305555597</v>
      </c>
      <c r="AF188" s="1759" t="s">
        <v>1948</v>
      </c>
      <c r="AG188" s="1759" t="s">
        <v>1948</v>
      </c>
      <c r="AH188" s="1759" t="s">
        <v>1594</v>
      </c>
      <c r="AI188" s="1759" t="s">
        <v>4709</v>
      </c>
      <c r="AJ188" s="1759" t="s">
        <v>4709</v>
      </c>
      <c r="AK188" s="1759">
        <v>7933</v>
      </c>
      <c r="AL188" s="1759" t="s">
        <v>4707</v>
      </c>
      <c r="AM188" s="1759">
        <v>7930</v>
      </c>
      <c r="AN188" s="1759" t="s">
        <v>5305</v>
      </c>
      <c r="AO188" s="1764"/>
      <c r="AP188" s="1759" t="s">
        <v>5382</v>
      </c>
      <c r="AQ188" s="1759" t="s">
        <v>5383</v>
      </c>
      <c r="AR188" s="1759" t="s">
        <v>394</v>
      </c>
      <c r="AS188" s="1759" t="s">
        <v>395</v>
      </c>
      <c r="AT188" s="1759" t="s">
        <v>327</v>
      </c>
      <c r="AU188" s="1763"/>
      <c r="AV188" s="1763"/>
    </row>
    <row r="189" spans="1:48" ht="37.5" hidden="1">
      <c r="A189" s="1785" t="str">
        <f t="shared" si="22"/>
        <v>גמל</v>
      </c>
      <c r="B189" s="1786">
        <f t="shared" si="23"/>
        <v>7934</v>
      </c>
      <c r="C189" s="1787">
        <v>28946</v>
      </c>
      <c r="D189" s="1786" t="str">
        <f t="shared" si="24"/>
        <v xml:space="preserve">מגדל גמל להשקעה מניות  </v>
      </c>
      <c r="E189" s="1786" t="s">
        <v>3929</v>
      </c>
      <c r="F189" s="1786" t="s">
        <v>2958</v>
      </c>
      <c r="G189" s="1786" t="s">
        <v>2959</v>
      </c>
      <c r="H189" s="1786" t="str">
        <f t="shared" si="25"/>
        <v>פעיל</v>
      </c>
      <c r="I189" s="1788">
        <f t="shared" si="26"/>
        <v>42652.429305555597</v>
      </c>
      <c r="J189" s="1788" t="str">
        <f t="shared" si="27"/>
        <v/>
      </c>
      <c r="K189" s="1786">
        <v>0</v>
      </c>
      <c r="L189" s="1786" t="s">
        <v>1594</v>
      </c>
      <c r="M189" s="1786" t="s">
        <v>1653</v>
      </c>
      <c r="N189" s="1786" t="s">
        <v>1653</v>
      </c>
      <c r="O189" s="1786">
        <v>0</v>
      </c>
      <c r="P189" s="1786"/>
      <c r="Q189" s="1786">
        <v>0</v>
      </c>
      <c r="R189" s="1788"/>
      <c r="S189" s="1786">
        <f t="shared" si="28"/>
        <v>7930</v>
      </c>
      <c r="T189" s="1786" t="str">
        <f t="shared" si="29"/>
        <v>לאומי</v>
      </c>
      <c r="U189" s="1786" t="str">
        <f t="shared" si="30"/>
        <v>מגדל גמל להשקעה</v>
      </c>
      <c r="V189" s="1786" t="str">
        <f t="shared" si="31"/>
        <v>510464803</v>
      </c>
      <c r="W189" s="1789" t="str">
        <f t="shared" si="32"/>
        <v>מגדל מקפת קרנות פנסיה וקופות גמל בע"מ</v>
      </c>
      <c r="AC189" s="1761" t="s">
        <v>346</v>
      </c>
      <c r="AD189" s="1761"/>
      <c r="AE189" s="1762">
        <v>42652.429305555597</v>
      </c>
      <c r="AF189" s="1761" t="s">
        <v>1595</v>
      </c>
      <c r="AG189" s="1761" t="s">
        <v>75</v>
      </c>
      <c r="AH189" s="1761" t="s">
        <v>1594</v>
      </c>
      <c r="AI189" s="1761" t="s">
        <v>4711</v>
      </c>
      <c r="AJ189" s="1761" t="s">
        <v>4710</v>
      </c>
      <c r="AK189" s="1761">
        <v>7934</v>
      </c>
      <c r="AL189" s="1761" t="s">
        <v>4707</v>
      </c>
      <c r="AM189" s="1761">
        <v>7930</v>
      </c>
      <c r="AN189" s="1761" t="s">
        <v>5305</v>
      </c>
      <c r="AO189" s="1764"/>
      <c r="AP189" s="1761" t="s">
        <v>5382</v>
      </c>
      <c r="AQ189" s="1761" t="s">
        <v>5383</v>
      </c>
      <c r="AR189" s="1761" t="s">
        <v>394</v>
      </c>
      <c r="AS189" s="1761" t="s">
        <v>395</v>
      </c>
      <c r="AT189" s="1761" t="s">
        <v>327</v>
      </c>
      <c r="AU189" s="1763"/>
      <c r="AV189" s="1763"/>
    </row>
    <row r="190" spans="1:48" ht="37.5" hidden="1">
      <c r="A190" s="1785" t="str">
        <f t="shared" si="22"/>
        <v>גמל</v>
      </c>
      <c r="B190" s="1786">
        <f t="shared" si="23"/>
        <v>7936</v>
      </c>
      <c r="C190" s="1787">
        <v>28946</v>
      </c>
      <c r="D190" s="1786" t="str">
        <f t="shared" si="24"/>
        <v>מגדל גמל להשקעה כללי</v>
      </c>
      <c r="E190" s="1786" t="s">
        <v>3929</v>
      </c>
      <c r="F190" s="1786" t="s">
        <v>2958</v>
      </c>
      <c r="G190" s="1786" t="s">
        <v>2959</v>
      </c>
      <c r="H190" s="1786" t="str">
        <f t="shared" si="25"/>
        <v>פעיל</v>
      </c>
      <c r="I190" s="1788">
        <f t="shared" si="26"/>
        <v>42652.429305555597</v>
      </c>
      <c r="J190" s="1788" t="str">
        <f t="shared" si="27"/>
        <v/>
      </c>
      <c r="K190" s="1786">
        <v>0</v>
      </c>
      <c r="L190" s="1786" t="s">
        <v>1594</v>
      </c>
      <c r="M190" s="1786" t="s">
        <v>1653</v>
      </c>
      <c r="N190" s="1786" t="s">
        <v>1653</v>
      </c>
      <c r="O190" s="1786">
        <v>0</v>
      </c>
      <c r="P190" s="1786"/>
      <c r="Q190" s="1786">
        <v>0</v>
      </c>
      <c r="R190" s="1788"/>
      <c r="S190" s="1786">
        <f t="shared" si="28"/>
        <v>7930</v>
      </c>
      <c r="T190" s="1786" t="str">
        <f t="shared" si="29"/>
        <v>לאומי</v>
      </c>
      <c r="U190" s="1786" t="str">
        <f t="shared" si="30"/>
        <v>מגדל גמל להשקעה</v>
      </c>
      <c r="V190" s="1786" t="str">
        <f t="shared" si="31"/>
        <v>510464803</v>
      </c>
      <c r="W190" s="1789" t="str">
        <f t="shared" si="32"/>
        <v>מגדל מקפת קרנות פנסיה וקופות גמל בע"מ</v>
      </c>
      <c r="AC190" s="1759" t="s">
        <v>346</v>
      </c>
      <c r="AD190" s="1759"/>
      <c r="AE190" s="1760">
        <v>42652.429305555597</v>
      </c>
      <c r="AF190" s="1759" t="s">
        <v>1583</v>
      </c>
      <c r="AG190" s="1759" t="s">
        <v>1583</v>
      </c>
      <c r="AH190" s="1759" t="s">
        <v>1583</v>
      </c>
      <c r="AI190" s="1759" t="s">
        <v>4713</v>
      </c>
      <c r="AJ190" s="1759" t="s">
        <v>4713</v>
      </c>
      <c r="AK190" s="1759">
        <v>7936</v>
      </c>
      <c r="AL190" s="1759" t="s">
        <v>4707</v>
      </c>
      <c r="AM190" s="1759">
        <v>7930</v>
      </c>
      <c r="AN190" s="1759" t="s">
        <v>5305</v>
      </c>
      <c r="AO190" s="1764"/>
      <c r="AP190" s="1759" t="s">
        <v>5382</v>
      </c>
      <c r="AQ190" s="1759" t="s">
        <v>5383</v>
      </c>
      <c r="AR190" s="1759" t="s">
        <v>394</v>
      </c>
      <c r="AS190" s="1759" t="s">
        <v>395</v>
      </c>
      <c r="AT190" s="1759" t="s">
        <v>327</v>
      </c>
      <c r="AU190" s="1763"/>
      <c r="AV190" s="1763"/>
    </row>
    <row r="191" spans="1:48" ht="25" hidden="1">
      <c r="A191" s="1785" t="str">
        <f t="shared" si="22"/>
        <v>גמל</v>
      </c>
      <c r="B191" s="1786">
        <f t="shared" si="23"/>
        <v>7908</v>
      </c>
      <c r="C191" s="1787">
        <v>28946</v>
      </c>
      <c r="D191" s="1786" t="str">
        <f t="shared" si="24"/>
        <v>אקסלנס גמל להשקעה כללי</v>
      </c>
      <c r="E191" s="1786" t="s">
        <v>3929</v>
      </c>
      <c r="F191" s="1786" t="s">
        <v>2958</v>
      </c>
      <c r="G191" s="1786" t="s">
        <v>2959</v>
      </c>
      <c r="H191" s="1786" t="str">
        <f t="shared" si="25"/>
        <v>פעיל</v>
      </c>
      <c r="I191" s="1788">
        <f t="shared" si="26"/>
        <v>42649.422835648104</v>
      </c>
      <c r="J191" s="1788" t="str">
        <f t="shared" si="27"/>
        <v/>
      </c>
      <c r="K191" s="1786">
        <v>0</v>
      </c>
      <c r="L191" s="1786" t="s">
        <v>1594</v>
      </c>
      <c r="M191" s="1786" t="s">
        <v>1653</v>
      </c>
      <c r="N191" s="1786" t="s">
        <v>1653</v>
      </c>
      <c r="O191" s="1786">
        <v>0</v>
      </c>
      <c r="P191" s="1786"/>
      <c r="Q191" s="1786">
        <v>0</v>
      </c>
      <c r="R191" s="1788"/>
      <c r="S191" s="1786">
        <f t="shared" si="28"/>
        <v>7904</v>
      </c>
      <c r="T191" s="1786" t="str">
        <f t="shared" si="29"/>
        <v>בנק מזרחי טפחות בע"מ</v>
      </c>
      <c r="U191" s="1786" t="str">
        <f t="shared" si="30"/>
        <v>אקסלנס גמל להשקעה</v>
      </c>
      <c r="V191" s="1786" t="str">
        <f t="shared" si="31"/>
        <v>520017450</v>
      </c>
      <c r="W191" s="1789" t="str">
        <f t="shared" si="32"/>
        <v xml:space="preserve">הפניקס אקסלנס פנסיה וגמל בע"מ </v>
      </c>
      <c r="AC191" s="1761" t="s">
        <v>346</v>
      </c>
      <c r="AD191" s="1761"/>
      <c r="AE191" s="1762">
        <v>42649.422835648104</v>
      </c>
      <c r="AF191" s="1761" t="s">
        <v>1583</v>
      </c>
      <c r="AG191" s="1761" t="s">
        <v>1583</v>
      </c>
      <c r="AH191" s="1761" t="s">
        <v>1583</v>
      </c>
      <c r="AI191" s="1761" t="s">
        <v>4704</v>
      </c>
      <c r="AJ191" s="1761" t="s">
        <v>4703</v>
      </c>
      <c r="AK191" s="1761">
        <v>7908</v>
      </c>
      <c r="AL191" s="1761" t="s">
        <v>4639</v>
      </c>
      <c r="AM191" s="1761">
        <v>7904</v>
      </c>
      <c r="AN191" s="1761" t="s">
        <v>5370</v>
      </c>
      <c r="AO191" s="1764"/>
      <c r="AP191" s="1761" t="s">
        <v>5379</v>
      </c>
      <c r="AQ191" s="1761" t="s">
        <v>5380</v>
      </c>
      <c r="AR191" s="1761" t="s">
        <v>5381</v>
      </c>
      <c r="AS191" s="1761" t="s">
        <v>347</v>
      </c>
      <c r="AT191" s="1761" t="s">
        <v>327</v>
      </c>
      <c r="AU191" s="1763"/>
      <c r="AV191" s="1763"/>
    </row>
    <row r="192" spans="1:48" ht="25" hidden="1">
      <c r="A192" s="1785" t="str">
        <f t="shared" si="22"/>
        <v>גמל</v>
      </c>
      <c r="B192" s="1786">
        <f t="shared" si="23"/>
        <v>7909</v>
      </c>
      <c r="C192" s="1787">
        <v>28946</v>
      </c>
      <c r="D192" s="1786" t="str">
        <f t="shared" si="24"/>
        <v>אקסלנס גמל להשקעה כללי פאסיבי</v>
      </c>
      <c r="E192" s="1786" t="s">
        <v>3929</v>
      </c>
      <c r="F192" s="1786" t="s">
        <v>2958</v>
      </c>
      <c r="G192" s="1786" t="s">
        <v>2959</v>
      </c>
      <c r="H192" s="1786" t="str">
        <f t="shared" si="25"/>
        <v>פעיל</v>
      </c>
      <c r="I192" s="1788">
        <f t="shared" si="26"/>
        <v>42649.422835648104</v>
      </c>
      <c r="J192" s="1788" t="str">
        <f t="shared" si="27"/>
        <v/>
      </c>
      <c r="K192" s="1786">
        <v>0</v>
      </c>
      <c r="L192" s="1786" t="s">
        <v>1594</v>
      </c>
      <c r="M192" s="1786" t="s">
        <v>1653</v>
      </c>
      <c r="N192" s="1786" t="s">
        <v>1653</v>
      </c>
      <c r="O192" s="1786">
        <v>0</v>
      </c>
      <c r="P192" s="1786"/>
      <c r="Q192" s="1786">
        <v>0</v>
      </c>
      <c r="R192" s="1788"/>
      <c r="S192" s="1786">
        <f t="shared" si="28"/>
        <v>7904</v>
      </c>
      <c r="T192" s="1786" t="str">
        <f t="shared" si="29"/>
        <v>בנק מזרחי טפחות בע"מ</v>
      </c>
      <c r="U192" s="1786" t="str">
        <f t="shared" si="30"/>
        <v>אקסלנס גמל להשקעה</v>
      </c>
      <c r="V192" s="1786" t="str">
        <f t="shared" si="31"/>
        <v>520017450</v>
      </c>
      <c r="W192" s="1789" t="str">
        <f t="shared" si="32"/>
        <v xml:space="preserve">הפניקס אקסלנס פנסיה וגמל בע"מ </v>
      </c>
      <c r="AC192" s="1759" t="s">
        <v>346</v>
      </c>
      <c r="AD192" s="1759"/>
      <c r="AE192" s="1760">
        <v>42649.422835648104</v>
      </c>
      <c r="AF192" s="1759" t="s">
        <v>3959</v>
      </c>
      <c r="AG192" s="1759" t="s">
        <v>1583</v>
      </c>
      <c r="AH192" s="1759" t="s">
        <v>1583</v>
      </c>
      <c r="AI192" s="1759" t="s">
        <v>4643</v>
      </c>
      <c r="AJ192" s="1759" t="s">
        <v>4643</v>
      </c>
      <c r="AK192" s="1759">
        <v>7909</v>
      </c>
      <c r="AL192" s="1759" t="s">
        <v>4639</v>
      </c>
      <c r="AM192" s="1759">
        <v>7904</v>
      </c>
      <c r="AN192" s="1759" t="s">
        <v>5370</v>
      </c>
      <c r="AO192" s="1764"/>
      <c r="AP192" s="1759" t="s">
        <v>5379</v>
      </c>
      <c r="AQ192" s="1759" t="s">
        <v>5380</v>
      </c>
      <c r="AR192" s="1759" t="s">
        <v>5381</v>
      </c>
      <c r="AS192" s="1759" t="s">
        <v>347</v>
      </c>
      <c r="AT192" s="1759" t="s">
        <v>327</v>
      </c>
      <c r="AU192" s="1763"/>
      <c r="AV192" s="1763"/>
    </row>
    <row r="193" spans="1:48" ht="25" hidden="1">
      <c r="A193" s="1785" t="str">
        <f t="shared" si="22"/>
        <v>גמל</v>
      </c>
      <c r="B193" s="1786">
        <f t="shared" si="23"/>
        <v>7907</v>
      </c>
      <c r="C193" s="1787">
        <v>28946</v>
      </c>
      <c r="D193" s="1786" t="str">
        <f t="shared" si="24"/>
        <v>אקסלנס גמל להשקעה מניות פאסיבי</v>
      </c>
      <c r="E193" s="1786" t="s">
        <v>3929</v>
      </c>
      <c r="F193" s="1786" t="s">
        <v>2958</v>
      </c>
      <c r="G193" s="1786" t="s">
        <v>2959</v>
      </c>
      <c r="H193" s="1786" t="str">
        <f t="shared" si="25"/>
        <v>פעיל</v>
      </c>
      <c r="I193" s="1788">
        <f t="shared" si="26"/>
        <v>42649.422835648104</v>
      </c>
      <c r="J193" s="1788" t="str">
        <f t="shared" si="27"/>
        <v/>
      </c>
      <c r="K193" s="1786">
        <v>0</v>
      </c>
      <c r="L193" s="1786" t="s">
        <v>1594</v>
      </c>
      <c r="M193" s="1786" t="s">
        <v>1653</v>
      </c>
      <c r="N193" s="1786" t="s">
        <v>1653</v>
      </c>
      <c r="O193" s="1786">
        <v>0</v>
      </c>
      <c r="P193" s="1786"/>
      <c r="Q193" s="1786">
        <v>0</v>
      </c>
      <c r="R193" s="1788"/>
      <c r="S193" s="1786">
        <f t="shared" si="28"/>
        <v>7904</v>
      </c>
      <c r="T193" s="1786" t="str">
        <f t="shared" si="29"/>
        <v>בנק מזרחי טפחות בע"מ</v>
      </c>
      <c r="U193" s="1786" t="str">
        <f t="shared" si="30"/>
        <v>אקסלנס גמל להשקעה</v>
      </c>
      <c r="V193" s="1786" t="str">
        <f t="shared" si="31"/>
        <v>520017450</v>
      </c>
      <c r="W193" s="1789" t="str">
        <f t="shared" si="32"/>
        <v xml:space="preserve">הפניקס אקסלנס פנסיה וגמל בע"מ </v>
      </c>
      <c r="AC193" s="1761" t="s">
        <v>346</v>
      </c>
      <c r="AD193" s="1761"/>
      <c r="AE193" s="1762">
        <v>42649.422835648104</v>
      </c>
      <c r="AF193" s="1761" t="s">
        <v>3959</v>
      </c>
      <c r="AG193" s="1761" t="s">
        <v>75</v>
      </c>
      <c r="AH193" s="1761" t="s">
        <v>1594</v>
      </c>
      <c r="AI193" s="1761" t="s">
        <v>4642</v>
      </c>
      <c r="AJ193" s="1761" t="s">
        <v>4642</v>
      </c>
      <c r="AK193" s="1761">
        <v>7907</v>
      </c>
      <c r="AL193" s="1761" t="s">
        <v>4639</v>
      </c>
      <c r="AM193" s="1761">
        <v>7904</v>
      </c>
      <c r="AN193" s="1761" t="s">
        <v>5370</v>
      </c>
      <c r="AO193" s="1764"/>
      <c r="AP193" s="1761" t="s">
        <v>5379</v>
      </c>
      <c r="AQ193" s="1761" t="s">
        <v>5380</v>
      </c>
      <c r="AR193" s="1761" t="s">
        <v>5381</v>
      </c>
      <c r="AS193" s="1761" t="s">
        <v>347</v>
      </c>
      <c r="AT193" s="1761" t="s">
        <v>327</v>
      </c>
      <c r="AU193" s="1763"/>
      <c r="AV193" s="1763"/>
    </row>
    <row r="194" spans="1:48" ht="25" hidden="1">
      <c r="A194" s="1785" t="str">
        <f t="shared" si="22"/>
        <v>גמל</v>
      </c>
      <c r="B194" s="1786">
        <f t="shared" si="23"/>
        <v>13209</v>
      </c>
      <c r="C194" s="1787">
        <v>28946</v>
      </c>
      <c r="D194" s="1786" t="str">
        <f t="shared" si="24"/>
        <v>אקסלנס גמל להשקעה שיקלי טווח קצר</v>
      </c>
      <c r="E194" s="1786" t="s">
        <v>3929</v>
      </c>
      <c r="F194" s="1786" t="s">
        <v>2958</v>
      </c>
      <c r="G194" s="1786" t="s">
        <v>2959</v>
      </c>
      <c r="H194" s="1786" t="str">
        <f t="shared" si="25"/>
        <v>פעיל</v>
      </c>
      <c r="I194" s="1788">
        <f t="shared" si="26"/>
        <v>42649.422835648104</v>
      </c>
      <c r="J194" s="1788" t="str">
        <f t="shared" si="27"/>
        <v/>
      </c>
      <c r="K194" s="1786">
        <v>0</v>
      </c>
      <c r="L194" s="1786" t="s">
        <v>1594</v>
      </c>
      <c r="M194" s="1786" t="s">
        <v>1653</v>
      </c>
      <c r="N194" s="1786" t="s">
        <v>1653</v>
      </c>
      <c r="O194" s="1786">
        <v>0</v>
      </c>
      <c r="P194" s="1786"/>
      <c r="Q194" s="1786">
        <v>0</v>
      </c>
      <c r="R194" s="1788"/>
      <c r="S194" s="1786">
        <f t="shared" si="28"/>
        <v>7904</v>
      </c>
      <c r="T194" s="1786" t="str">
        <f t="shared" si="29"/>
        <v>בנק מזרחי טפחות בע"מ</v>
      </c>
      <c r="U194" s="1786" t="str">
        <f t="shared" si="30"/>
        <v>אקסלנס גמל להשקעה</v>
      </c>
      <c r="V194" s="1786" t="str">
        <f t="shared" si="31"/>
        <v>520017450</v>
      </c>
      <c r="W194" s="1789" t="str">
        <f t="shared" si="32"/>
        <v xml:space="preserve">הפניקס אקסלנס פנסיה וגמל בע"מ </v>
      </c>
      <c r="AC194" s="1759" t="s">
        <v>346</v>
      </c>
      <c r="AD194" s="1759"/>
      <c r="AE194" s="1760">
        <v>42649.422835648104</v>
      </c>
      <c r="AF194" s="1759" t="s">
        <v>1673</v>
      </c>
      <c r="AG194" s="1759" t="s">
        <v>1614</v>
      </c>
      <c r="AH194" s="1759" t="s">
        <v>1594</v>
      </c>
      <c r="AI194" s="1759" t="s">
        <v>4641</v>
      </c>
      <c r="AJ194" s="1759" t="s">
        <v>4641</v>
      </c>
      <c r="AK194" s="1759">
        <v>13209</v>
      </c>
      <c r="AL194" s="1759" t="s">
        <v>4639</v>
      </c>
      <c r="AM194" s="1759">
        <v>7904</v>
      </c>
      <c r="AN194" s="1759" t="s">
        <v>5370</v>
      </c>
      <c r="AO194" s="1764"/>
      <c r="AP194" s="1759" t="s">
        <v>5379</v>
      </c>
      <c r="AQ194" s="1759" t="s">
        <v>5380</v>
      </c>
      <c r="AR194" s="1759" t="s">
        <v>5381</v>
      </c>
      <c r="AS194" s="1759" t="s">
        <v>347</v>
      </c>
      <c r="AT194" s="1759" t="s">
        <v>327</v>
      </c>
      <c r="AU194" s="1763"/>
      <c r="AV194" s="1763"/>
    </row>
    <row r="195" spans="1:48" ht="25" hidden="1">
      <c r="A195" s="1785" t="str">
        <f t="shared" si="22"/>
        <v>גמל</v>
      </c>
      <c r="B195" s="1786">
        <f t="shared" si="23"/>
        <v>7905</v>
      </c>
      <c r="C195" s="1787">
        <v>28946</v>
      </c>
      <c r="D195" s="1786" t="str">
        <f t="shared" si="24"/>
        <v>אקסלנס גמל להשקעה אג"ח ללא מניות</v>
      </c>
      <c r="E195" s="1786" t="s">
        <v>3929</v>
      </c>
      <c r="F195" s="1786" t="s">
        <v>2958</v>
      </c>
      <c r="G195" s="1786" t="s">
        <v>2959</v>
      </c>
      <c r="H195" s="1786" t="str">
        <f t="shared" si="25"/>
        <v>פעיל</v>
      </c>
      <c r="I195" s="1788">
        <f t="shared" si="26"/>
        <v>42649.422835648104</v>
      </c>
      <c r="J195" s="1788" t="str">
        <f t="shared" si="27"/>
        <v/>
      </c>
      <c r="K195" s="1786">
        <v>0</v>
      </c>
      <c r="L195" s="1786" t="s">
        <v>1594</v>
      </c>
      <c r="M195" s="1786" t="s">
        <v>1653</v>
      </c>
      <c r="N195" s="1786" t="s">
        <v>1653</v>
      </c>
      <c r="O195" s="1786">
        <v>0</v>
      </c>
      <c r="P195" s="1786"/>
      <c r="Q195" s="1786">
        <v>0</v>
      </c>
      <c r="R195" s="1788"/>
      <c r="S195" s="1786">
        <f t="shared" si="28"/>
        <v>7904</v>
      </c>
      <c r="T195" s="1786" t="str">
        <f t="shared" si="29"/>
        <v>בנק מזרחי טפחות בע"מ</v>
      </c>
      <c r="U195" s="1786" t="str">
        <f t="shared" si="30"/>
        <v>אקסלנס גמל להשקעה</v>
      </c>
      <c r="V195" s="1786" t="str">
        <f t="shared" si="31"/>
        <v>520017450</v>
      </c>
      <c r="W195" s="1789" t="str">
        <f t="shared" si="32"/>
        <v xml:space="preserve">הפניקס אקסלנס פנסיה וגמל בע"מ </v>
      </c>
      <c r="AC195" s="1761" t="s">
        <v>346</v>
      </c>
      <c r="AD195" s="1761"/>
      <c r="AE195" s="1762">
        <v>42649.422835648104</v>
      </c>
      <c r="AF195" s="1761" t="s">
        <v>1681</v>
      </c>
      <c r="AG195" s="1761" t="s">
        <v>1653</v>
      </c>
      <c r="AH195" s="1761" t="s">
        <v>1594</v>
      </c>
      <c r="AI195" s="1761" t="s">
        <v>4640</v>
      </c>
      <c r="AJ195" s="1761" t="s">
        <v>4640</v>
      </c>
      <c r="AK195" s="1761">
        <v>7905</v>
      </c>
      <c r="AL195" s="1761" t="s">
        <v>4639</v>
      </c>
      <c r="AM195" s="1761">
        <v>7904</v>
      </c>
      <c r="AN195" s="1761" t="s">
        <v>5370</v>
      </c>
      <c r="AO195" s="1764"/>
      <c r="AP195" s="1761" t="s">
        <v>5379</v>
      </c>
      <c r="AQ195" s="1761" t="s">
        <v>5380</v>
      </c>
      <c r="AR195" s="1761" t="s">
        <v>5381</v>
      </c>
      <c r="AS195" s="1761" t="s">
        <v>347</v>
      </c>
      <c r="AT195" s="1761" t="s">
        <v>327</v>
      </c>
      <c r="AU195" s="1763"/>
      <c r="AV195" s="1763"/>
    </row>
    <row r="196" spans="1:48" ht="25" hidden="1">
      <c r="A196" s="1785" t="str">
        <f t="shared" si="22"/>
        <v>גמל</v>
      </c>
      <c r="B196" s="1786">
        <f t="shared" si="23"/>
        <v>7906</v>
      </c>
      <c r="C196" s="1787">
        <v>28946</v>
      </c>
      <c r="D196" s="1786" t="str">
        <f t="shared" si="24"/>
        <v>אקסלנס גמל להשקעה אג"ח עד 15% מניות</v>
      </c>
      <c r="E196" s="1786" t="s">
        <v>3929</v>
      </c>
      <c r="F196" s="1786" t="s">
        <v>2958</v>
      </c>
      <c r="G196" s="1786" t="s">
        <v>2959</v>
      </c>
      <c r="H196" s="1786" t="str">
        <f t="shared" si="25"/>
        <v>פעיל</v>
      </c>
      <c r="I196" s="1788">
        <f t="shared" si="26"/>
        <v>42649.422835648104</v>
      </c>
      <c r="J196" s="1788" t="str">
        <f t="shared" si="27"/>
        <v/>
      </c>
      <c r="K196" s="1786">
        <v>0</v>
      </c>
      <c r="L196" s="1786" t="s">
        <v>1594</v>
      </c>
      <c r="M196" s="1786" t="s">
        <v>1653</v>
      </c>
      <c r="N196" s="1786" t="s">
        <v>1653</v>
      </c>
      <c r="O196" s="1786">
        <v>0</v>
      </c>
      <c r="P196" s="1786"/>
      <c r="Q196" s="1786">
        <v>0</v>
      </c>
      <c r="R196" s="1788"/>
      <c r="S196" s="1786">
        <f t="shared" si="28"/>
        <v>7904</v>
      </c>
      <c r="T196" s="1786" t="str">
        <f t="shared" si="29"/>
        <v>בנק מזרחי טפחות בע"מ</v>
      </c>
      <c r="U196" s="1786" t="str">
        <f t="shared" si="30"/>
        <v>אקסלנס גמל להשקעה</v>
      </c>
      <c r="V196" s="1786" t="str">
        <f t="shared" si="31"/>
        <v>520017450</v>
      </c>
      <c r="W196" s="1789" t="str">
        <f t="shared" si="32"/>
        <v xml:space="preserve">הפניקס אקסלנס פנסיה וגמל בע"מ </v>
      </c>
      <c r="AC196" s="1759" t="s">
        <v>346</v>
      </c>
      <c r="AD196" s="1759"/>
      <c r="AE196" s="1760">
        <v>42649.422835648104</v>
      </c>
      <c r="AF196" s="1759" t="s">
        <v>3934</v>
      </c>
      <c r="AG196" s="1759" t="s">
        <v>1653</v>
      </c>
      <c r="AH196" s="1759" t="s">
        <v>1594</v>
      </c>
      <c r="AI196" s="1759" t="s">
        <v>4702</v>
      </c>
      <c r="AJ196" s="1759" t="s">
        <v>4702</v>
      </c>
      <c r="AK196" s="1759">
        <v>7906</v>
      </c>
      <c r="AL196" s="1759" t="s">
        <v>4639</v>
      </c>
      <c r="AM196" s="1759">
        <v>7904</v>
      </c>
      <c r="AN196" s="1759" t="s">
        <v>5370</v>
      </c>
      <c r="AO196" s="1764"/>
      <c r="AP196" s="1759" t="s">
        <v>5379</v>
      </c>
      <c r="AQ196" s="1759" t="s">
        <v>5380</v>
      </c>
      <c r="AR196" s="1759" t="s">
        <v>5381</v>
      </c>
      <c r="AS196" s="1759" t="s">
        <v>347</v>
      </c>
      <c r="AT196" s="1759" t="s">
        <v>327</v>
      </c>
      <c r="AU196" s="1763"/>
      <c r="AV196" s="1763"/>
    </row>
    <row r="197" spans="1:48" ht="25" hidden="1">
      <c r="A197" s="1785" t="str">
        <f t="shared" si="22"/>
        <v>גמל</v>
      </c>
      <c r="B197" s="1786">
        <f t="shared" si="23"/>
        <v>7895</v>
      </c>
      <c r="C197" s="1787">
        <v>28946</v>
      </c>
      <c r="D197" s="1786" t="str">
        <f t="shared" si="24"/>
        <v>קל קופת גמל להשקעה מדד ללא מניות</v>
      </c>
      <c r="E197" s="1786" t="s">
        <v>3929</v>
      </c>
      <c r="F197" s="1786" t="s">
        <v>2958</v>
      </c>
      <c r="G197" s="1786" t="s">
        <v>2959</v>
      </c>
      <c r="H197" s="1786" t="str">
        <f t="shared" si="25"/>
        <v>פעיל</v>
      </c>
      <c r="I197" s="1788">
        <f t="shared" si="26"/>
        <v>42648.453101851897</v>
      </c>
      <c r="J197" s="1788" t="str">
        <f t="shared" si="27"/>
        <v/>
      </c>
      <c r="K197" s="1786">
        <v>0</v>
      </c>
      <c r="L197" s="1786" t="s">
        <v>1594</v>
      </c>
      <c r="M197" s="1786" t="s">
        <v>1653</v>
      </c>
      <c r="N197" s="1786" t="s">
        <v>1653</v>
      </c>
      <c r="O197" s="1786">
        <v>0</v>
      </c>
      <c r="P197" s="1786"/>
      <c r="Q197" s="1786">
        <v>0</v>
      </c>
      <c r="R197" s="1788"/>
      <c r="S197" s="1786">
        <f t="shared" si="28"/>
        <v>7891</v>
      </c>
      <c r="T197" s="1786" t="str">
        <f t="shared" si="29"/>
        <v>ד.ס.ש ייעוץ ושירותים בע"מ</v>
      </c>
      <c r="U197" s="1786" t="str">
        <f t="shared" si="30"/>
        <v>קל קופת גמל להשקעה</v>
      </c>
      <c r="V197" s="1786" t="str">
        <f t="shared" si="31"/>
        <v>514741552</v>
      </c>
      <c r="W197" s="1789" t="str">
        <f t="shared" si="32"/>
        <v xml:space="preserve">סלייס גמל בע"מ </v>
      </c>
      <c r="AC197" s="1761" t="s">
        <v>346</v>
      </c>
      <c r="AD197" s="1761"/>
      <c r="AE197" s="1762">
        <v>42648.453101851897</v>
      </c>
      <c r="AF197" s="1761" t="s">
        <v>1681</v>
      </c>
      <c r="AG197" s="1761" t="s">
        <v>1094</v>
      </c>
      <c r="AH197" s="1761" t="s">
        <v>1594</v>
      </c>
      <c r="AI197" s="1761" t="s">
        <v>4687</v>
      </c>
      <c r="AJ197" s="1761" t="s">
        <v>4686</v>
      </c>
      <c r="AK197" s="1761">
        <v>7895</v>
      </c>
      <c r="AL197" s="1761" t="s">
        <v>4680</v>
      </c>
      <c r="AM197" s="1761">
        <v>7891</v>
      </c>
      <c r="AN197" s="1761" t="s">
        <v>5393</v>
      </c>
      <c r="AO197" s="1764"/>
      <c r="AP197" s="1761" t="s">
        <v>5339</v>
      </c>
      <c r="AQ197" s="1761" t="s">
        <v>5340</v>
      </c>
      <c r="AR197" s="1761" t="s">
        <v>5341</v>
      </c>
      <c r="AS197" s="1761" t="s">
        <v>2749</v>
      </c>
      <c r="AT197" s="1761" t="s">
        <v>327</v>
      </c>
      <c r="AU197" s="1763"/>
      <c r="AV197" s="1763"/>
    </row>
    <row r="198" spans="1:48" ht="25" hidden="1">
      <c r="A198" s="1785" t="str">
        <f t="shared" si="22"/>
        <v>גמל</v>
      </c>
      <c r="B198" s="1786">
        <f t="shared" si="23"/>
        <v>7894</v>
      </c>
      <c r="C198" s="1787">
        <v>28946</v>
      </c>
      <c r="D198" s="1786" t="str">
        <f t="shared" si="24"/>
        <v>קל קופת גמל להשקעה מדד אג"ח ישראל</v>
      </c>
      <c r="E198" s="1786" t="s">
        <v>3929</v>
      </c>
      <c r="F198" s="1786" t="s">
        <v>2958</v>
      </c>
      <c r="G198" s="1786" t="s">
        <v>2959</v>
      </c>
      <c r="H198" s="1786" t="str">
        <f t="shared" si="25"/>
        <v>פעיל</v>
      </c>
      <c r="I198" s="1788">
        <f t="shared" si="26"/>
        <v>42648.453101851897</v>
      </c>
      <c r="J198" s="1788" t="str">
        <f t="shared" si="27"/>
        <v/>
      </c>
      <c r="K198" s="1786">
        <v>0</v>
      </c>
      <c r="L198" s="1786" t="s">
        <v>1594</v>
      </c>
      <c r="M198" s="1786" t="s">
        <v>1653</v>
      </c>
      <c r="N198" s="1786" t="s">
        <v>1653</v>
      </c>
      <c r="O198" s="1786">
        <v>0</v>
      </c>
      <c r="P198" s="1786"/>
      <c r="Q198" s="1786">
        <v>0</v>
      </c>
      <c r="R198" s="1788"/>
      <c r="S198" s="1786">
        <f t="shared" si="28"/>
        <v>7891</v>
      </c>
      <c r="T198" s="1786" t="str">
        <f t="shared" si="29"/>
        <v>ד.ס.ש ייעוץ ושירותים בע"מ</v>
      </c>
      <c r="U198" s="1786" t="str">
        <f t="shared" si="30"/>
        <v>קל קופת גמל להשקעה</v>
      </c>
      <c r="V198" s="1786" t="str">
        <f t="shared" si="31"/>
        <v>514741552</v>
      </c>
      <c r="W198" s="1789" t="str">
        <f t="shared" si="32"/>
        <v xml:space="preserve">סלייס גמל בע"מ </v>
      </c>
      <c r="AC198" s="1759" t="s">
        <v>346</v>
      </c>
      <c r="AD198" s="1759"/>
      <c r="AE198" s="1760">
        <v>42648.453101851897</v>
      </c>
      <c r="AF198" s="1759" t="s">
        <v>4685</v>
      </c>
      <c r="AG198" s="1759" t="s">
        <v>1094</v>
      </c>
      <c r="AH198" s="1759" t="s">
        <v>1594</v>
      </c>
      <c r="AI198" s="1759" t="s">
        <v>4684</v>
      </c>
      <c r="AJ198" s="1759" t="s">
        <v>4683</v>
      </c>
      <c r="AK198" s="1759">
        <v>7894</v>
      </c>
      <c r="AL198" s="1759" t="s">
        <v>4680</v>
      </c>
      <c r="AM198" s="1759">
        <v>7891</v>
      </c>
      <c r="AN198" s="1759" t="s">
        <v>5393</v>
      </c>
      <c r="AO198" s="1764"/>
      <c r="AP198" s="1759" t="s">
        <v>5339</v>
      </c>
      <c r="AQ198" s="1759" t="s">
        <v>5340</v>
      </c>
      <c r="AR198" s="1759" t="s">
        <v>5341</v>
      </c>
      <c r="AS198" s="1759" t="s">
        <v>2749</v>
      </c>
      <c r="AT198" s="1759" t="s">
        <v>327</v>
      </c>
      <c r="AU198" s="1763"/>
      <c r="AV198" s="1763"/>
    </row>
    <row r="199" spans="1:48" ht="25" hidden="1">
      <c r="A199" s="1785" t="str">
        <f t="shared" si="22"/>
        <v>גמל</v>
      </c>
      <c r="B199" s="1786">
        <f t="shared" si="23"/>
        <v>7893</v>
      </c>
      <c r="C199" s="1787">
        <v>28946</v>
      </c>
      <c r="D199" s="1786" t="str">
        <f t="shared" si="24"/>
        <v>קל קופת גמל להשקעה מדד אג"ח</v>
      </c>
      <c r="E199" s="1786" t="s">
        <v>3929</v>
      </c>
      <c r="F199" s="1786" t="s">
        <v>2958</v>
      </c>
      <c r="G199" s="1786" t="s">
        <v>2959</v>
      </c>
      <c r="H199" s="1786" t="str">
        <f t="shared" si="25"/>
        <v>פעיל</v>
      </c>
      <c r="I199" s="1788">
        <f t="shared" si="26"/>
        <v>42648.453101851897</v>
      </c>
      <c r="J199" s="1788" t="str">
        <f t="shared" si="27"/>
        <v/>
      </c>
      <c r="K199" s="1786">
        <v>0</v>
      </c>
      <c r="L199" s="1786" t="s">
        <v>1594</v>
      </c>
      <c r="M199" s="1786" t="s">
        <v>1653</v>
      </c>
      <c r="N199" s="1786" t="s">
        <v>1653</v>
      </c>
      <c r="O199" s="1786">
        <v>0</v>
      </c>
      <c r="P199" s="1786"/>
      <c r="Q199" s="1786">
        <v>0</v>
      </c>
      <c r="R199" s="1788"/>
      <c r="S199" s="1786">
        <f t="shared" si="28"/>
        <v>7891</v>
      </c>
      <c r="T199" s="1786" t="str">
        <f t="shared" si="29"/>
        <v>ד.ס.ש ייעוץ ושירותים בע"מ</v>
      </c>
      <c r="U199" s="1786" t="str">
        <f t="shared" si="30"/>
        <v>קל קופת גמל להשקעה</v>
      </c>
      <c r="V199" s="1786" t="str">
        <f t="shared" si="31"/>
        <v>514741552</v>
      </c>
      <c r="W199" s="1789" t="str">
        <f t="shared" si="32"/>
        <v xml:space="preserve">סלייס גמל בע"מ </v>
      </c>
      <c r="AC199" s="1761" t="s">
        <v>346</v>
      </c>
      <c r="AD199" s="1761"/>
      <c r="AE199" s="1762">
        <v>42648.453101851897</v>
      </c>
      <c r="AF199" s="1761" t="s">
        <v>1653</v>
      </c>
      <c r="AG199" s="1761" t="s">
        <v>1094</v>
      </c>
      <c r="AH199" s="1761" t="s">
        <v>1594</v>
      </c>
      <c r="AI199" s="1761" t="s">
        <v>4682</v>
      </c>
      <c r="AJ199" s="1761" t="s">
        <v>4681</v>
      </c>
      <c r="AK199" s="1761">
        <v>7893</v>
      </c>
      <c r="AL199" s="1761" t="s">
        <v>4680</v>
      </c>
      <c r="AM199" s="1761">
        <v>7891</v>
      </c>
      <c r="AN199" s="1761" t="s">
        <v>5393</v>
      </c>
      <c r="AO199" s="1764"/>
      <c r="AP199" s="1761" t="s">
        <v>5339</v>
      </c>
      <c r="AQ199" s="1761" t="s">
        <v>5340</v>
      </c>
      <c r="AR199" s="1761" t="s">
        <v>5341</v>
      </c>
      <c r="AS199" s="1761" t="s">
        <v>2749</v>
      </c>
      <c r="AT199" s="1761" t="s">
        <v>327</v>
      </c>
      <c r="AU199" s="1763"/>
      <c r="AV199" s="1763"/>
    </row>
    <row r="200" spans="1:48" ht="25" hidden="1">
      <c r="A200" s="1785" t="str">
        <f t="shared" si="22"/>
        <v>גמל</v>
      </c>
      <c r="B200" s="1786">
        <f t="shared" si="23"/>
        <v>7892</v>
      </c>
      <c r="C200" s="1787">
        <v>28946</v>
      </c>
      <c r="D200" s="1786" t="str">
        <f t="shared" si="24"/>
        <v>קל קופת גמל להשקעה מדד מניות</v>
      </c>
      <c r="E200" s="1786" t="s">
        <v>3929</v>
      </c>
      <c r="F200" s="1786" t="s">
        <v>2958</v>
      </c>
      <c r="G200" s="1786" t="s">
        <v>2959</v>
      </c>
      <c r="H200" s="1786" t="str">
        <f t="shared" si="25"/>
        <v>פעיל</v>
      </c>
      <c r="I200" s="1788">
        <f t="shared" si="26"/>
        <v>42648.453101851897</v>
      </c>
      <c r="J200" s="1788" t="str">
        <f t="shared" si="27"/>
        <v/>
      </c>
      <c r="K200" s="1786">
        <v>0</v>
      </c>
      <c r="L200" s="1786" t="s">
        <v>1594</v>
      </c>
      <c r="M200" s="1786" t="s">
        <v>1653</v>
      </c>
      <c r="N200" s="1786" t="s">
        <v>1653</v>
      </c>
      <c r="O200" s="1786">
        <v>0</v>
      </c>
      <c r="P200" s="1786"/>
      <c r="Q200" s="1786">
        <v>0</v>
      </c>
      <c r="R200" s="1788"/>
      <c r="S200" s="1786">
        <f t="shared" si="28"/>
        <v>7891</v>
      </c>
      <c r="T200" s="1786" t="str">
        <f t="shared" si="29"/>
        <v>ד.ס.ש ייעוץ ושירותים בע"מ</v>
      </c>
      <c r="U200" s="1786" t="str">
        <f t="shared" si="30"/>
        <v>קל קופת גמל להשקעה</v>
      </c>
      <c r="V200" s="1786" t="str">
        <f t="shared" si="31"/>
        <v>514741552</v>
      </c>
      <c r="W200" s="1789" t="str">
        <f t="shared" si="32"/>
        <v xml:space="preserve">סלייס גמל בע"מ </v>
      </c>
      <c r="AC200" s="1759" t="s">
        <v>346</v>
      </c>
      <c r="AD200" s="1759"/>
      <c r="AE200" s="1760">
        <v>42648.453101851897</v>
      </c>
      <c r="AF200" s="1759" t="s">
        <v>75</v>
      </c>
      <c r="AG200" s="1759" t="s">
        <v>1094</v>
      </c>
      <c r="AH200" s="1759" t="s">
        <v>1594</v>
      </c>
      <c r="AI200" s="1759" t="s">
        <v>4679</v>
      </c>
      <c r="AJ200" s="1759" t="s">
        <v>4678</v>
      </c>
      <c r="AK200" s="1759">
        <v>7892</v>
      </c>
      <c r="AL200" s="1759" t="s">
        <v>4680</v>
      </c>
      <c r="AM200" s="1759">
        <v>7891</v>
      </c>
      <c r="AN200" s="1759" t="s">
        <v>5393</v>
      </c>
      <c r="AO200" s="1764"/>
      <c r="AP200" s="1759" t="s">
        <v>5339</v>
      </c>
      <c r="AQ200" s="1759" t="s">
        <v>5340</v>
      </c>
      <c r="AR200" s="1759" t="s">
        <v>5341</v>
      </c>
      <c r="AS200" s="1759" t="s">
        <v>2749</v>
      </c>
      <c r="AT200" s="1759" t="s">
        <v>327</v>
      </c>
      <c r="AU200" s="1763"/>
      <c r="AV200" s="1763"/>
    </row>
    <row r="201" spans="1:48" ht="25" hidden="1">
      <c r="A201" s="1785" t="str">
        <f t="shared" si="22"/>
        <v>גמל</v>
      </c>
      <c r="B201" s="1786">
        <f t="shared" si="23"/>
        <v>7900</v>
      </c>
      <c r="C201" s="1787">
        <v>28946</v>
      </c>
      <c r="D201" s="1786" t="str">
        <f t="shared" si="24"/>
        <v>קל קופת גמל להשקעה כללי כללי</v>
      </c>
      <c r="E201" s="1786" t="s">
        <v>3929</v>
      </c>
      <c r="F201" s="1786" t="s">
        <v>2958</v>
      </c>
      <c r="G201" s="1786" t="s">
        <v>2959</v>
      </c>
      <c r="H201" s="1786" t="str">
        <f t="shared" si="25"/>
        <v>פעיל</v>
      </c>
      <c r="I201" s="1788">
        <f t="shared" si="26"/>
        <v>42648.453101851897</v>
      </c>
      <c r="J201" s="1788" t="str">
        <f t="shared" si="27"/>
        <v/>
      </c>
      <c r="K201" s="1786">
        <v>0</v>
      </c>
      <c r="L201" s="1786" t="s">
        <v>1594</v>
      </c>
      <c r="M201" s="1786" t="s">
        <v>1653</v>
      </c>
      <c r="N201" s="1786" t="s">
        <v>1653</v>
      </c>
      <c r="O201" s="1786">
        <v>0</v>
      </c>
      <c r="P201" s="1786"/>
      <c r="Q201" s="1786">
        <v>0</v>
      </c>
      <c r="R201" s="1788"/>
      <c r="S201" s="1786">
        <f t="shared" si="28"/>
        <v>7891</v>
      </c>
      <c r="T201" s="1786" t="str">
        <f t="shared" si="29"/>
        <v>ד.ס.ש ייעוץ ושירותים בע"מ</v>
      </c>
      <c r="U201" s="1786" t="str">
        <f t="shared" si="30"/>
        <v>קל קופת גמל להשקעה</v>
      </c>
      <c r="V201" s="1786" t="str">
        <f t="shared" si="31"/>
        <v>514741552</v>
      </c>
      <c r="W201" s="1789" t="str">
        <f t="shared" si="32"/>
        <v xml:space="preserve">סלייס גמל בע"מ </v>
      </c>
      <c r="AC201" s="1761" t="s">
        <v>346</v>
      </c>
      <c r="AD201" s="1761"/>
      <c r="AE201" s="1762">
        <v>42648.453101851897</v>
      </c>
      <c r="AF201" s="1761" t="s">
        <v>1583</v>
      </c>
      <c r="AG201" s="1761" t="s">
        <v>1583</v>
      </c>
      <c r="AH201" s="1761" t="s">
        <v>1583</v>
      </c>
      <c r="AI201" s="1761" t="s">
        <v>4697</v>
      </c>
      <c r="AJ201" s="1761" t="s">
        <v>4696</v>
      </c>
      <c r="AK201" s="1761">
        <v>7900</v>
      </c>
      <c r="AL201" s="1761" t="s">
        <v>4680</v>
      </c>
      <c r="AM201" s="1761">
        <v>7891</v>
      </c>
      <c r="AN201" s="1761" t="s">
        <v>5393</v>
      </c>
      <c r="AO201" s="1764"/>
      <c r="AP201" s="1761" t="s">
        <v>5339</v>
      </c>
      <c r="AQ201" s="1761" t="s">
        <v>5340</v>
      </c>
      <c r="AR201" s="1761" t="s">
        <v>5341</v>
      </c>
      <c r="AS201" s="1761" t="s">
        <v>2749</v>
      </c>
      <c r="AT201" s="1761" t="s">
        <v>327</v>
      </c>
      <c r="AU201" s="1763"/>
      <c r="AV201" s="1763"/>
    </row>
    <row r="202" spans="1:48" ht="25" hidden="1">
      <c r="A202" s="1785" t="str">
        <f t="shared" si="22"/>
        <v>גמל</v>
      </c>
      <c r="B202" s="1786">
        <f t="shared" si="23"/>
        <v>7899</v>
      </c>
      <c r="C202" s="1787">
        <v>28946</v>
      </c>
      <c r="D202" s="1786" t="str">
        <f t="shared" si="24"/>
        <v>קל קופת גמל להשקעה אג"ח משולב במניות - פאסיבי</v>
      </c>
      <c r="E202" s="1786" t="s">
        <v>3929</v>
      </c>
      <c r="F202" s="1786" t="s">
        <v>2958</v>
      </c>
      <c r="G202" s="1786" t="s">
        <v>2959</v>
      </c>
      <c r="H202" s="1786" t="str">
        <f t="shared" si="25"/>
        <v>פעיל</v>
      </c>
      <c r="I202" s="1788">
        <f t="shared" si="26"/>
        <v>42648.453101851897</v>
      </c>
      <c r="J202" s="1788" t="str">
        <f t="shared" si="27"/>
        <v/>
      </c>
      <c r="K202" s="1786">
        <v>0</v>
      </c>
      <c r="L202" s="1786" t="s">
        <v>1594</v>
      </c>
      <c r="M202" s="1786" t="s">
        <v>1653</v>
      </c>
      <c r="N202" s="1786" t="s">
        <v>1653</v>
      </c>
      <c r="O202" s="1786">
        <v>0</v>
      </c>
      <c r="P202" s="1786"/>
      <c r="Q202" s="1786">
        <v>0</v>
      </c>
      <c r="R202" s="1788"/>
      <c r="S202" s="1786">
        <f t="shared" si="28"/>
        <v>7891</v>
      </c>
      <c r="T202" s="1786" t="str">
        <f t="shared" si="29"/>
        <v>ד.ס.ש ייעוץ ושירותים בע"מ</v>
      </c>
      <c r="U202" s="1786" t="str">
        <f t="shared" si="30"/>
        <v>קל קופת גמל להשקעה</v>
      </c>
      <c r="V202" s="1786" t="str">
        <f t="shared" si="31"/>
        <v>514741552</v>
      </c>
      <c r="W202" s="1789" t="str">
        <f t="shared" si="32"/>
        <v xml:space="preserve">סלייס גמל בע"מ </v>
      </c>
      <c r="AC202" s="1759" t="s">
        <v>346</v>
      </c>
      <c r="AD202" s="1759"/>
      <c r="AE202" s="1760">
        <v>42648.453101851897</v>
      </c>
      <c r="AF202" s="1759" t="s">
        <v>4619</v>
      </c>
      <c r="AG202" s="1759" t="s">
        <v>1653</v>
      </c>
      <c r="AH202" s="1759" t="s">
        <v>1594</v>
      </c>
      <c r="AI202" s="1759" t="s">
        <v>4695</v>
      </c>
      <c r="AJ202" s="1759" t="s">
        <v>4694</v>
      </c>
      <c r="AK202" s="1759">
        <v>7899</v>
      </c>
      <c r="AL202" s="1759" t="s">
        <v>4680</v>
      </c>
      <c r="AM202" s="1759">
        <v>7891</v>
      </c>
      <c r="AN202" s="1759" t="s">
        <v>5393</v>
      </c>
      <c r="AO202" s="1764"/>
      <c r="AP202" s="1759" t="s">
        <v>5339</v>
      </c>
      <c r="AQ202" s="1759" t="s">
        <v>5340</v>
      </c>
      <c r="AR202" s="1759" t="s">
        <v>5341</v>
      </c>
      <c r="AS202" s="1759" t="s">
        <v>2749</v>
      </c>
      <c r="AT202" s="1759" t="s">
        <v>327</v>
      </c>
      <c r="AU202" s="1763"/>
      <c r="AV202" s="1763"/>
    </row>
    <row r="203" spans="1:48" ht="25" hidden="1">
      <c r="A203" s="1785" t="str">
        <f t="shared" si="22"/>
        <v>גמל</v>
      </c>
      <c r="B203" s="1786">
        <f t="shared" si="23"/>
        <v>7902</v>
      </c>
      <c r="C203" s="1787">
        <v>28946</v>
      </c>
      <c r="D203" s="1786" t="str">
        <f t="shared" si="24"/>
        <v>קל קופת גמל להשקעה אג"ח משולב מניות</v>
      </c>
      <c r="E203" s="1786" t="s">
        <v>3929</v>
      </c>
      <c r="F203" s="1786" t="s">
        <v>2958</v>
      </c>
      <c r="G203" s="1786" t="s">
        <v>2959</v>
      </c>
      <c r="H203" s="1786" t="str">
        <f t="shared" si="25"/>
        <v>פעיל</v>
      </c>
      <c r="I203" s="1788">
        <f t="shared" si="26"/>
        <v>42648.453101851897</v>
      </c>
      <c r="J203" s="1788" t="str">
        <f t="shared" si="27"/>
        <v/>
      </c>
      <c r="K203" s="1786">
        <v>0</v>
      </c>
      <c r="L203" s="1786" t="s">
        <v>1594</v>
      </c>
      <c r="M203" s="1786" t="s">
        <v>1653</v>
      </c>
      <c r="N203" s="1786" t="s">
        <v>1653</v>
      </c>
      <c r="O203" s="1786">
        <v>0</v>
      </c>
      <c r="P203" s="1786"/>
      <c r="Q203" s="1786">
        <v>0</v>
      </c>
      <c r="R203" s="1788"/>
      <c r="S203" s="1786">
        <f t="shared" si="28"/>
        <v>7891</v>
      </c>
      <c r="T203" s="1786" t="str">
        <f t="shared" si="29"/>
        <v>ד.ס.ש ייעוץ ושירותים בע"מ</v>
      </c>
      <c r="U203" s="1786" t="str">
        <f t="shared" si="30"/>
        <v>קל קופת גמל להשקעה</v>
      </c>
      <c r="V203" s="1786" t="str">
        <f t="shared" si="31"/>
        <v>514741552</v>
      </c>
      <c r="W203" s="1789" t="str">
        <f t="shared" si="32"/>
        <v xml:space="preserve">סלייס גמל בע"מ </v>
      </c>
      <c r="AC203" s="1761" t="s">
        <v>346</v>
      </c>
      <c r="AD203" s="1761"/>
      <c r="AE203" s="1762">
        <v>42648.453101851897</v>
      </c>
      <c r="AF203" s="1761" t="s">
        <v>3934</v>
      </c>
      <c r="AG203" s="1761" t="s">
        <v>1653</v>
      </c>
      <c r="AH203" s="1761" t="s">
        <v>1594</v>
      </c>
      <c r="AI203" s="1761" t="s">
        <v>4701</v>
      </c>
      <c r="AJ203" s="1761" t="s">
        <v>4700</v>
      </c>
      <c r="AK203" s="1761">
        <v>7902</v>
      </c>
      <c r="AL203" s="1761" t="s">
        <v>4680</v>
      </c>
      <c r="AM203" s="1761">
        <v>7891</v>
      </c>
      <c r="AN203" s="1761" t="s">
        <v>5393</v>
      </c>
      <c r="AO203" s="1764"/>
      <c r="AP203" s="1761" t="s">
        <v>5339</v>
      </c>
      <c r="AQ203" s="1761" t="s">
        <v>5340</v>
      </c>
      <c r="AR203" s="1761" t="s">
        <v>5341</v>
      </c>
      <c r="AS203" s="1761" t="s">
        <v>2749</v>
      </c>
      <c r="AT203" s="1761" t="s">
        <v>327</v>
      </c>
      <c r="AU203" s="1763"/>
      <c r="AV203" s="1763"/>
    </row>
    <row r="204" spans="1:48" ht="25" hidden="1">
      <c r="A204" s="1785" t="str">
        <f t="shared" si="22"/>
        <v>גמל</v>
      </c>
      <c r="B204" s="1786">
        <f t="shared" si="23"/>
        <v>7896</v>
      </c>
      <c r="C204" s="1787">
        <v>28946</v>
      </c>
      <c r="D204" s="1786" t="str">
        <f t="shared" si="24"/>
        <v>קל קופת גמל להשקעה מדד חו"ל</v>
      </c>
      <c r="E204" s="1786" t="s">
        <v>3929</v>
      </c>
      <c r="F204" s="1786" t="s">
        <v>2958</v>
      </c>
      <c r="G204" s="1786" t="s">
        <v>2959</v>
      </c>
      <c r="H204" s="1786" t="str">
        <f t="shared" si="25"/>
        <v>פעיל</v>
      </c>
      <c r="I204" s="1788">
        <f t="shared" si="26"/>
        <v>42648.453101851897</v>
      </c>
      <c r="J204" s="1788" t="str">
        <f t="shared" si="27"/>
        <v/>
      </c>
      <c r="K204" s="1786">
        <v>0</v>
      </c>
      <c r="L204" s="1786" t="s">
        <v>1594</v>
      </c>
      <c r="M204" s="1786" t="s">
        <v>1653</v>
      </c>
      <c r="N204" s="1786" t="s">
        <v>1653</v>
      </c>
      <c r="O204" s="1786">
        <v>0</v>
      </c>
      <c r="P204" s="1786"/>
      <c r="Q204" s="1786">
        <v>0</v>
      </c>
      <c r="R204" s="1788"/>
      <c r="S204" s="1786">
        <f t="shared" si="28"/>
        <v>7891</v>
      </c>
      <c r="T204" s="1786" t="str">
        <f t="shared" si="29"/>
        <v>ד.ס.ש ייעוץ ושירותים בע"מ</v>
      </c>
      <c r="U204" s="1786" t="str">
        <f t="shared" si="30"/>
        <v>קל קופת גמל להשקעה</v>
      </c>
      <c r="V204" s="1786" t="str">
        <f t="shared" si="31"/>
        <v>514741552</v>
      </c>
      <c r="W204" s="1789" t="str">
        <f t="shared" si="32"/>
        <v xml:space="preserve">סלייס גמל בע"מ </v>
      </c>
      <c r="AC204" s="1759" t="s">
        <v>346</v>
      </c>
      <c r="AD204" s="1759"/>
      <c r="AE204" s="1760">
        <v>42648.453101851897</v>
      </c>
      <c r="AF204" s="1759" t="s">
        <v>1948</v>
      </c>
      <c r="AG204" s="1759" t="s">
        <v>1094</v>
      </c>
      <c r="AH204" s="1759" t="s">
        <v>1594</v>
      </c>
      <c r="AI204" s="1759" t="s">
        <v>4689</v>
      </c>
      <c r="AJ204" s="1759" t="s">
        <v>4688</v>
      </c>
      <c r="AK204" s="1759">
        <v>7896</v>
      </c>
      <c r="AL204" s="1759" t="s">
        <v>4680</v>
      </c>
      <c r="AM204" s="1759">
        <v>7891</v>
      </c>
      <c r="AN204" s="1759" t="s">
        <v>5393</v>
      </c>
      <c r="AO204" s="1764"/>
      <c r="AP204" s="1759" t="s">
        <v>5339</v>
      </c>
      <c r="AQ204" s="1759" t="s">
        <v>5340</v>
      </c>
      <c r="AR204" s="1759" t="s">
        <v>5341</v>
      </c>
      <c r="AS204" s="1759" t="s">
        <v>2749</v>
      </c>
      <c r="AT204" s="1759" t="s">
        <v>327</v>
      </c>
      <c r="AU204" s="1763"/>
      <c r="AV204" s="1763"/>
    </row>
    <row r="205" spans="1:48" ht="25" hidden="1">
      <c r="A205" s="1785" t="str">
        <f t="shared" si="22"/>
        <v>גמל</v>
      </c>
      <c r="B205" s="1786">
        <f t="shared" si="23"/>
        <v>7897</v>
      </c>
      <c r="C205" s="1787">
        <v>28946</v>
      </c>
      <c r="D205" s="1786" t="str">
        <f t="shared" si="24"/>
        <v>קל קופת גמל להשקעה אג"ח ללא מניות</v>
      </c>
      <c r="E205" s="1786" t="s">
        <v>3929</v>
      </c>
      <c r="F205" s="1786" t="s">
        <v>2958</v>
      </c>
      <c r="G205" s="1786" t="s">
        <v>2959</v>
      </c>
      <c r="H205" s="1786" t="str">
        <f t="shared" si="25"/>
        <v>פעיל</v>
      </c>
      <c r="I205" s="1788">
        <f t="shared" si="26"/>
        <v>42648.453101851897</v>
      </c>
      <c r="J205" s="1788" t="str">
        <f t="shared" si="27"/>
        <v/>
      </c>
      <c r="K205" s="1786">
        <v>0</v>
      </c>
      <c r="L205" s="1786" t="s">
        <v>1594</v>
      </c>
      <c r="M205" s="1786" t="s">
        <v>1653</v>
      </c>
      <c r="N205" s="1786" t="s">
        <v>1653</v>
      </c>
      <c r="O205" s="1786">
        <v>0</v>
      </c>
      <c r="P205" s="1786"/>
      <c r="Q205" s="1786">
        <v>0</v>
      </c>
      <c r="R205" s="1788"/>
      <c r="S205" s="1786">
        <f t="shared" si="28"/>
        <v>7891</v>
      </c>
      <c r="T205" s="1786" t="str">
        <f t="shared" si="29"/>
        <v>ד.ס.ש ייעוץ ושירותים בע"מ</v>
      </c>
      <c r="U205" s="1786" t="str">
        <f t="shared" si="30"/>
        <v>קל קופת גמל להשקעה</v>
      </c>
      <c r="V205" s="1786" t="str">
        <f t="shared" si="31"/>
        <v>514741552</v>
      </c>
      <c r="W205" s="1789" t="str">
        <f t="shared" si="32"/>
        <v xml:space="preserve">סלייס גמל בע"מ </v>
      </c>
      <c r="AC205" s="1761" t="s">
        <v>346</v>
      </c>
      <c r="AD205" s="1761"/>
      <c r="AE205" s="1762">
        <v>42648.453101851897</v>
      </c>
      <c r="AF205" s="1761" t="s">
        <v>1681</v>
      </c>
      <c r="AG205" s="1761" t="s">
        <v>1653</v>
      </c>
      <c r="AH205" s="1761" t="s">
        <v>1594</v>
      </c>
      <c r="AI205" s="1761" t="s">
        <v>4691</v>
      </c>
      <c r="AJ205" s="1761" t="s">
        <v>4690</v>
      </c>
      <c r="AK205" s="1761">
        <v>7897</v>
      </c>
      <c r="AL205" s="1761" t="s">
        <v>4680</v>
      </c>
      <c r="AM205" s="1761">
        <v>7891</v>
      </c>
      <c r="AN205" s="1761" t="s">
        <v>5393</v>
      </c>
      <c r="AO205" s="1764"/>
      <c r="AP205" s="1761" t="s">
        <v>5339</v>
      </c>
      <c r="AQ205" s="1761" t="s">
        <v>5340</v>
      </c>
      <c r="AR205" s="1761" t="s">
        <v>5341</v>
      </c>
      <c r="AS205" s="1761" t="s">
        <v>2749</v>
      </c>
      <c r="AT205" s="1761" t="s">
        <v>327</v>
      </c>
      <c r="AU205" s="1763"/>
      <c r="AV205" s="1763"/>
    </row>
    <row r="206" spans="1:48" ht="25" hidden="1">
      <c r="A206" s="1785" t="str">
        <f t="shared" si="22"/>
        <v>גמל</v>
      </c>
      <c r="B206" s="1786">
        <f t="shared" si="23"/>
        <v>7898</v>
      </c>
      <c r="C206" s="1787">
        <v>28946</v>
      </c>
      <c r="D206" s="1786" t="str">
        <f t="shared" si="24"/>
        <v xml:space="preserve">קל קופת גמל להשקעה מניות מניות </v>
      </c>
      <c r="E206" s="1786" t="s">
        <v>3929</v>
      </c>
      <c r="F206" s="1786" t="s">
        <v>2958</v>
      </c>
      <c r="G206" s="1786" t="s">
        <v>2959</v>
      </c>
      <c r="H206" s="1786" t="str">
        <f t="shared" si="25"/>
        <v>פעיל</v>
      </c>
      <c r="I206" s="1788">
        <f t="shared" si="26"/>
        <v>42648.453101851897</v>
      </c>
      <c r="J206" s="1788" t="str">
        <f t="shared" si="27"/>
        <v/>
      </c>
      <c r="K206" s="1786">
        <v>0</v>
      </c>
      <c r="L206" s="1786" t="s">
        <v>1594</v>
      </c>
      <c r="M206" s="1786" t="s">
        <v>1653</v>
      </c>
      <c r="N206" s="1786" t="s">
        <v>1653</v>
      </c>
      <c r="O206" s="1786">
        <v>0</v>
      </c>
      <c r="P206" s="1786"/>
      <c r="Q206" s="1786">
        <v>0</v>
      </c>
      <c r="R206" s="1788"/>
      <c r="S206" s="1786">
        <f t="shared" si="28"/>
        <v>7891</v>
      </c>
      <c r="T206" s="1786" t="str">
        <f t="shared" si="29"/>
        <v>ד.ס.ש ייעוץ ושירותים בע"מ</v>
      </c>
      <c r="U206" s="1786" t="str">
        <f t="shared" si="30"/>
        <v>קל קופת גמל להשקעה</v>
      </c>
      <c r="V206" s="1786" t="str">
        <f t="shared" si="31"/>
        <v>514741552</v>
      </c>
      <c r="W206" s="1789" t="str">
        <f t="shared" si="32"/>
        <v xml:space="preserve">סלייס גמל בע"מ </v>
      </c>
      <c r="AC206" s="1759" t="s">
        <v>346</v>
      </c>
      <c r="AD206" s="1759"/>
      <c r="AE206" s="1760">
        <v>42648.453101851897</v>
      </c>
      <c r="AF206" s="1759" t="s">
        <v>1595</v>
      </c>
      <c r="AG206" s="1759" t="s">
        <v>75</v>
      </c>
      <c r="AH206" s="1759" t="s">
        <v>1594</v>
      </c>
      <c r="AI206" s="1759" t="s">
        <v>4693</v>
      </c>
      <c r="AJ206" s="1759" t="s">
        <v>4692</v>
      </c>
      <c r="AK206" s="1759">
        <v>7898</v>
      </c>
      <c r="AL206" s="1759" t="s">
        <v>4680</v>
      </c>
      <c r="AM206" s="1759">
        <v>7891</v>
      </c>
      <c r="AN206" s="1759" t="s">
        <v>5393</v>
      </c>
      <c r="AO206" s="1764"/>
      <c r="AP206" s="1759" t="s">
        <v>5339</v>
      </c>
      <c r="AQ206" s="1759" t="s">
        <v>5340</v>
      </c>
      <c r="AR206" s="1759" t="s">
        <v>5341</v>
      </c>
      <c r="AS206" s="1759" t="s">
        <v>2749</v>
      </c>
      <c r="AT206" s="1759" t="s">
        <v>327</v>
      </c>
      <c r="AU206" s="1763"/>
      <c r="AV206" s="1763"/>
    </row>
    <row r="207" spans="1:48" ht="25" hidden="1">
      <c r="A207" s="1785" t="str">
        <f t="shared" si="22"/>
        <v>גמל</v>
      </c>
      <c r="B207" s="1786">
        <f t="shared" si="23"/>
        <v>7901</v>
      </c>
      <c r="C207" s="1787">
        <v>28946</v>
      </c>
      <c r="D207" s="1786" t="str">
        <f t="shared" si="24"/>
        <v>קל קופת גמל להשקעה שיקלי כספית</v>
      </c>
      <c r="E207" s="1786" t="s">
        <v>3929</v>
      </c>
      <c r="F207" s="1786" t="s">
        <v>2958</v>
      </c>
      <c r="G207" s="1786" t="s">
        <v>2959</v>
      </c>
      <c r="H207" s="1786" t="str">
        <f t="shared" si="25"/>
        <v>פעיל</v>
      </c>
      <c r="I207" s="1788">
        <f t="shared" si="26"/>
        <v>42648.453101851897</v>
      </c>
      <c r="J207" s="1788" t="str">
        <f t="shared" si="27"/>
        <v/>
      </c>
      <c r="K207" s="1786">
        <v>0</v>
      </c>
      <c r="L207" s="1786" t="s">
        <v>1594</v>
      </c>
      <c r="M207" s="1786" t="s">
        <v>1653</v>
      </c>
      <c r="N207" s="1786" t="s">
        <v>1653</v>
      </c>
      <c r="O207" s="1786">
        <v>0</v>
      </c>
      <c r="P207" s="1786"/>
      <c r="Q207" s="1786">
        <v>0</v>
      </c>
      <c r="R207" s="1788"/>
      <c r="S207" s="1786">
        <f t="shared" si="28"/>
        <v>7891</v>
      </c>
      <c r="T207" s="1786" t="str">
        <f t="shared" si="29"/>
        <v>ד.ס.ש ייעוץ ושירותים בע"מ</v>
      </c>
      <c r="U207" s="1786" t="str">
        <f t="shared" si="30"/>
        <v>קל קופת גמל להשקעה</v>
      </c>
      <c r="V207" s="1786" t="str">
        <f t="shared" si="31"/>
        <v>514741552</v>
      </c>
      <c r="W207" s="1789" t="str">
        <f t="shared" si="32"/>
        <v xml:space="preserve">סלייס גמל בע"מ </v>
      </c>
      <c r="AC207" s="1761" t="s">
        <v>346</v>
      </c>
      <c r="AD207" s="1761"/>
      <c r="AE207" s="1762">
        <v>42648.453101851897</v>
      </c>
      <c r="AF207" s="1761" t="s">
        <v>2409</v>
      </c>
      <c r="AG207" s="1761" t="s">
        <v>1614</v>
      </c>
      <c r="AH207" s="1761" t="s">
        <v>1594</v>
      </c>
      <c r="AI207" s="1761" t="s">
        <v>4699</v>
      </c>
      <c r="AJ207" s="1761" t="s">
        <v>4698</v>
      </c>
      <c r="AK207" s="1761">
        <v>7901</v>
      </c>
      <c r="AL207" s="1761" t="s">
        <v>4680</v>
      </c>
      <c r="AM207" s="1761">
        <v>7891</v>
      </c>
      <c r="AN207" s="1761" t="s">
        <v>5393</v>
      </c>
      <c r="AO207" s="1764"/>
      <c r="AP207" s="1761" t="s">
        <v>5339</v>
      </c>
      <c r="AQ207" s="1761" t="s">
        <v>5340</v>
      </c>
      <c r="AR207" s="1761" t="s">
        <v>5341</v>
      </c>
      <c r="AS207" s="1761" t="s">
        <v>2749</v>
      </c>
      <c r="AT207" s="1761" t="s">
        <v>327</v>
      </c>
      <c r="AU207" s="1763"/>
      <c r="AV207" s="1763"/>
    </row>
    <row r="208" spans="1:48" ht="25" hidden="1">
      <c r="A208" s="1785" t="str">
        <f t="shared" si="22"/>
        <v>גמל</v>
      </c>
      <c r="B208" s="1786">
        <f t="shared" si="23"/>
        <v>7863</v>
      </c>
      <c r="C208" s="1787">
        <v>28946</v>
      </c>
      <c r="D208" s="1786" t="str">
        <f t="shared" si="24"/>
        <v>מיטב דש גמל להשקעה מסלול הלכה</v>
      </c>
      <c r="E208" s="1786" t="s">
        <v>3929</v>
      </c>
      <c r="F208" s="1786" t="s">
        <v>2958</v>
      </c>
      <c r="G208" s="1786" t="s">
        <v>2959</v>
      </c>
      <c r="H208" s="1786" t="str">
        <f t="shared" si="25"/>
        <v>פעיל</v>
      </c>
      <c r="I208" s="1788">
        <f t="shared" si="26"/>
        <v>42593.693043981497</v>
      </c>
      <c r="J208" s="1788" t="str">
        <f t="shared" si="27"/>
        <v/>
      </c>
      <c r="K208" s="1786">
        <v>0</v>
      </c>
      <c r="L208" s="1786" t="s">
        <v>1594</v>
      </c>
      <c r="M208" s="1786" t="s">
        <v>1653</v>
      </c>
      <c r="N208" s="1786" t="s">
        <v>1653</v>
      </c>
      <c r="O208" s="1786">
        <v>0</v>
      </c>
      <c r="P208" s="1786"/>
      <c r="Q208" s="1786">
        <v>0</v>
      </c>
      <c r="R208" s="1788"/>
      <c r="S208" s="1786">
        <f t="shared" si="28"/>
        <v>7857</v>
      </c>
      <c r="T208" s="1786" t="str">
        <f t="shared" si="29"/>
        <v>בנק מזרחי טפחות בע"מ</v>
      </c>
      <c r="U208" s="1786" t="str">
        <f t="shared" si="30"/>
        <v>מיטב דש גמל להשקעה</v>
      </c>
      <c r="V208" s="1786" t="str">
        <f t="shared" si="31"/>
        <v>520043795</v>
      </c>
      <c r="W208" s="1789" t="str">
        <f t="shared" si="32"/>
        <v>מיטב דש גמל ופנסיה בע"מ</v>
      </c>
      <c r="AC208" s="1759" t="s">
        <v>346</v>
      </c>
      <c r="AD208" s="1759"/>
      <c r="AE208" s="1760">
        <v>42593.693043981497</v>
      </c>
      <c r="AF208" s="1759" t="s">
        <v>4603</v>
      </c>
      <c r="AG208" s="1759" t="s">
        <v>2029</v>
      </c>
      <c r="AH208" s="1759" t="s">
        <v>2028</v>
      </c>
      <c r="AI208" s="1759" t="s">
        <v>4675</v>
      </c>
      <c r="AJ208" s="1759" t="s">
        <v>4675</v>
      </c>
      <c r="AK208" s="1759">
        <v>7863</v>
      </c>
      <c r="AL208" s="1759" t="s">
        <v>4671</v>
      </c>
      <c r="AM208" s="1759">
        <v>7857</v>
      </c>
      <c r="AN208" s="1759" t="s">
        <v>5370</v>
      </c>
      <c r="AO208" s="1764"/>
      <c r="AP208" s="1759" t="s">
        <v>5373</v>
      </c>
      <c r="AQ208" s="1759" t="s">
        <v>5374</v>
      </c>
      <c r="AR208" s="1759" t="s">
        <v>2899</v>
      </c>
      <c r="AS208" s="1759" t="s">
        <v>349</v>
      </c>
      <c r="AT208" s="1759" t="s">
        <v>327</v>
      </c>
      <c r="AU208" s="1763"/>
      <c r="AV208" s="1763"/>
    </row>
    <row r="209" spans="1:48" ht="25" hidden="1">
      <c r="A209" s="1785" t="str">
        <f t="shared" si="22"/>
        <v>גמל</v>
      </c>
      <c r="B209" s="1786">
        <f t="shared" si="23"/>
        <v>7867</v>
      </c>
      <c r="C209" s="1787">
        <v>28946</v>
      </c>
      <c r="D209" s="1786" t="str">
        <f t="shared" si="24"/>
        <v>מיטב דש גמל להשקעה מסלול פאסיבי - מדדי מניות</v>
      </c>
      <c r="E209" s="1786" t="s">
        <v>3929</v>
      </c>
      <c r="F209" s="1786" t="s">
        <v>2958</v>
      </c>
      <c r="G209" s="1786" t="s">
        <v>2959</v>
      </c>
      <c r="H209" s="1786" t="str">
        <f t="shared" si="25"/>
        <v>פעיל</v>
      </c>
      <c r="I209" s="1788">
        <f t="shared" si="26"/>
        <v>42593.693043981497</v>
      </c>
      <c r="J209" s="1788" t="str">
        <f t="shared" si="27"/>
        <v/>
      </c>
      <c r="K209" s="1786">
        <v>0</v>
      </c>
      <c r="L209" s="1786" t="s">
        <v>1594</v>
      </c>
      <c r="M209" s="1786" t="s">
        <v>1653</v>
      </c>
      <c r="N209" s="1786" t="s">
        <v>1653</v>
      </c>
      <c r="O209" s="1786">
        <v>0</v>
      </c>
      <c r="P209" s="1786"/>
      <c r="Q209" s="1786">
        <v>0</v>
      </c>
      <c r="R209" s="1788"/>
      <c r="S209" s="1786">
        <f t="shared" si="28"/>
        <v>7857</v>
      </c>
      <c r="T209" s="1786" t="str">
        <f t="shared" si="29"/>
        <v>בנק מזרחי טפחות בע"מ</v>
      </c>
      <c r="U209" s="1786" t="str">
        <f t="shared" si="30"/>
        <v>מיטב דש גמל להשקעה</v>
      </c>
      <c r="V209" s="1786" t="str">
        <f t="shared" si="31"/>
        <v>520043795</v>
      </c>
      <c r="W209" s="1789" t="str">
        <f t="shared" si="32"/>
        <v>מיטב דש גמל ופנסיה בע"מ</v>
      </c>
      <c r="AC209" s="1761" t="s">
        <v>346</v>
      </c>
      <c r="AD209" s="1761"/>
      <c r="AE209" s="1762">
        <v>42593.693043981497</v>
      </c>
      <c r="AF209" s="1761" t="s">
        <v>3959</v>
      </c>
      <c r="AG209" s="1761" t="s">
        <v>75</v>
      </c>
      <c r="AH209" s="1761" t="s">
        <v>1594</v>
      </c>
      <c r="AI209" s="1761" t="s">
        <v>4676</v>
      </c>
      <c r="AJ209" s="1761" t="s">
        <v>4676</v>
      </c>
      <c r="AK209" s="1761">
        <v>7867</v>
      </c>
      <c r="AL209" s="1761" t="s">
        <v>4671</v>
      </c>
      <c r="AM209" s="1761">
        <v>7857</v>
      </c>
      <c r="AN209" s="1761" t="s">
        <v>5370</v>
      </c>
      <c r="AO209" s="1764"/>
      <c r="AP209" s="1761" t="s">
        <v>5373</v>
      </c>
      <c r="AQ209" s="1761" t="s">
        <v>5374</v>
      </c>
      <c r="AR209" s="1761" t="s">
        <v>2899</v>
      </c>
      <c r="AS209" s="1761" t="s">
        <v>349</v>
      </c>
      <c r="AT209" s="1761" t="s">
        <v>327</v>
      </c>
      <c r="AU209" s="1763"/>
      <c r="AV209" s="1763"/>
    </row>
    <row r="210" spans="1:48" ht="25" hidden="1">
      <c r="A210" s="1785" t="str">
        <f t="shared" si="22"/>
        <v>גמל</v>
      </c>
      <c r="B210" s="1786">
        <f t="shared" si="23"/>
        <v>7867</v>
      </c>
      <c r="C210" s="1787">
        <v>28946</v>
      </c>
      <c r="D210" s="1786" t="str">
        <f t="shared" si="24"/>
        <v>מיטב דש גמל להשקעה מסלול פאסיבי - מדדי מניות</v>
      </c>
      <c r="E210" s="1786" t="s">
        <v>3929</v>
      </c>
      <c r="F210" s="1786" t="s">
        <v>2958</v>
      </c>
      <c r="G210" s="1786" t="s">
        <v>2959</v>
      </c>
      <c r="H210" s="1786" t="str">
        <f t="shared" si="25"/>
        <v>פעיל</v>
      </c>
      <c r="I210" s="1788">
        <f t="shared" si="26"/>
        <v>42593.693043981497</v>
      </c>
      <c r="J210" s="1788" t="str">
        <f t="shared" si="27"/>
        <v/>
      </c>
      <c r="K210" s="1786">
        <v>0</v>
      </c>
      <c r="L210" s="1786" t="s">
        <v>1594</v>
      </c>
      <c r="M210" s="1786" t="s">
        <v>1653</v>
      </c>
      <c r="N210" s="1786" t="s">
        <v>1653</v>
      </c>
      <c r="O210" s="1786">
        <v>0</v>
      </c>
      <c r="P210" s="1786"/>
      <c r="Q210" s="1786">
        <v>0</v>
      </c>
      <c r="R210" s="1788"/>
      <c r="S210" s="1786">
        <f t="shared" si="28"/>
        <v>7857</v>
      </c>
      <c r="T210" s="1786" t="str">
        <f t="shared" si="29"/>
        <v>בנק מזרחי טפחות בע"מ</v>
      </c>
      <c r="U210" s="1786" t="str">
        <f t="shared" si="30"/>
        <v>מיטב דש גמל להשקעה</v>
      </c>
      <c r="V210" s="1786" t="str">
        <f t="shared" si="31"/>
        <v>520043795</v>
      </c>
      <c r="W210" s="1789" t="str">
        <f t="shared" si="32"/>
        <v>מיטב דש גמל ופנסיה בע"מ</v>
      </c>
      <c r="AC210" s="1759" t="s">
        <v>346</v>
      </c>
      <c r="AD210" s="1759"/>
      <c r="AE210" s="1760">
        <v>42593.693043981497</v>
      </c>
      <c r="AF210" s="1759" t="s">
        <v>3959</v>
      </c>
      <c r="AG210" s="1759" t="s">
        <v>75</v>
      </c>
      <c r="AH210" s="1759" t="s">
        <v>1594</v>
      </c>
      <c r="AI210" s="1759" t="s">
        <v>4676</v>
      </c>
      <c r="AJ210" s="1759" t="s">
        <v>4676</v>
      </c>
      <c r="AK210" s="1759">
        <v>7867</v>
      </c>
      <c r="AL210" s="1759" t="s">
        <v>4671</v>
      </c>
      <c r="AM210" s="1759">
        <v>7857</v>
      </c>
      <c r="AN210" s="1759" t="s">
        <v>5370</v>
      </c>
      <c r="AO210" s="1764"/>
      <c r="AP210" s="1759" t="s">
        <v>5373</v>
      </c>
      <c r="AQ210" s="1759" t="s">
        <v>5374</v>
      </c>
      <c r="AR210" s="1759" t="s">
        <v>2899</v>
      </c>
      <c r="AS210" s="1759" t="s">
        <v>349</v>
      </c>
      <c r="AT210" s="1759" t="s">
        <v>327</v>
      </c>
      <c r="AU210" s="1763"/>
      <c r="AV210" s="1763"/>
    </row>
    <row r="211" spans="1:48" ht="25" hidden="1">
      <c r="A211" s="1785" t="str">
        <f t="shared" si="22"/>
        <v>גמל</v>
      </c>
      <c r="B211" s="1786">
        <f t="shared" si="23"/>
        <v>7863</v>
      </c>
      <c r="C211" s="1787">
        <v>28946</v>
      </c>
      <c r="D211" s="1786" t="str">
        <f t="shared" si="24"/>
        <v>מיטב דש גמל להשקעה מסלול הלכה</v>
      </c>
      <c r="E211" s="1786" t="s">
        <v>3929</v>
      </c>
      <c r="F211" s="1786" t="s">
        <v>2958</v>
      </c>
      <c r="G211" s="1786" t="s">
        <v>2959</v>
      </c>
      <c r="H211" s="1786" t="str">
        <f t="shared" si="25"/>
        <v>פעיל</v>
      </c>
      <c r="I211" s="1788">
        <f t="shared" si="26"/>
        <v>42593.693043981497</v>
      </c>
      <c r="J211" s="1788" t="str">
        <f t="shared" si="27"/>
        <v/>
      </c>
      <c r="K211" s="1786">
        <v>0</v>
      </c>
      <c r="L211" s="1786" t="s">
        <v>1594</v>
      </c>
      <c r="M211" s="1786" t="s">
        <v>1653</v>
      </c>
      <c r="N211" s="1786" t="s">
        <v>1653</v>
      </c>
      <c r="O211" s="1786">
        <v>0</v>
      </c>
      <c r="P211" s="1786"/>
      <c r="Q211" s="1786">
        <v>0</v>
      </c>
      <c r="R211" s="1788"/>
      <c r="S211" s="1786">
        <f t="shared" si="28"/>
        <v>7857</v>
      </c>
      <c r="T211" s="1786" t="str">
        <f t="shared" si="29"/>
        <v>בנק מזרחי טפחות בע"מ</v>
      </c>
      <c r="U211" s="1786" t="str">
        <f t="shared" si="30"/>
        <v>מיטב דש גמל להשקעה</v>
      </c>
      <c r="V211" s="1786" t="str">
        <f t="shared" si="31"/>
        <v>520043795</v>
      </c>
      <c r="W211" s="1789" t="str">
        <f t="shared" si="32"/>
        <v>מיטב דש גמל ופנסיה בע"מ</v>
      </c>
      <c r="AC211" s="1761" t="s">
        <v>346</v>
      </c>
      <c r="AD211" s="1761"/>
      <c r="AE211" s="1762">
        <v>42593.693043981497</v>
      </c>
      <c r="AF211" s="1761" t="s">
        <v>4603</v>
      </c>
      <c r="AG211" s="1761" t="s">
        <v>2029</v>
      </c>
      <c r="AH211" s="1761" t="s">
        <v>2028</v>
      </c>
      <c r="AI211" s="1761" t="s">
        <v>4675</v>
      </c>
      <c r="AJ211" s="1761" t="s">
        <v>4675</v>
      </c>
      <c r="AK211" s="1761">
        <v>7863</v>
      </c>
      <c r="AL211" s="1761" t="s">
        <v>4671</v>
      </c>
      <c r="AM211" s="1761">
        <v>7857</v>
      </c>
      <c r="AN211" s="1761" t="s">
        <v>5370</v>
      </c>
      <c r="AO211" s="1764"/>
      <c r="AP211" s="1761" t="s">
        <v>5373</v>
      </c>
      <c r="AQ211" s="1761" t="s">
        <v>5374</v>
      </c>
      <c r="AR211" s="1761" t="s">
        <v>2899</v>
      </c>
      <c r="AS211" s="1761" t="s">
        <v>349</v>
      </c>
      <c r="AT211" s="1761" t="s">
        <v>327</v>
      </c>
      <c r="AU211" s="1763"/>
      <c r="AV211" s="1763"/>
    </row>
    <row r="212" spans="1:48" ht="25" hidden="1">
      <c r="A212" s="1785" t="str">
        <f t="shared" si="22"/>
        <v>גמל</v>
      </c>
      <c r="B212" s="1786">
        <f t="shared" si="23"/>
        <v>7862</v>
      </c>
      <c r="C212" s="1787">
        <v>28946</v>
      </c>
      <c r="D212" s="1786" t="str">
        <f t="shared" si="24"/>
        <v xml:space="preserve">מיטב דש גמל להשקעה מסלול אג"ח </v>
      </c>
      <c r="E212" s="1786" t="s">
        <v>3929</v>
      </c>
      <c r="F212" s="1786" t="s">
        <v>2958</v>
      </c>
      <c r="G212" s="1786" t="s">
        <v>2959</v>
      </c>
      <c r="H212" s="1786" t="str">
        <f t="shared" si="25"/>
        <v>פעיל</v>
      </c>
      <c r="I212" s="1788">
        <f t="shared" si="26"/>
        <v>42593.693043981497</v>
      </c>
      <c r="J212" s="1788" t="str">
        <f t="shared" si="27"/>
        <v/>
      </c>
      <c r="K212" s="1786">
        <v>0</v>
      </c>
      <c r="L212" s="1786" t="s">
        <v>1594</v>
      </c>
      <c r="M212" s="1786" t="s">
        <v>1653</v>
      </c>
      <c r="N212" s="1786" t="s">
        <v>1653</v>
      </c>
      <c r="O212" s="1786">
        <v>0</v>
      </c>
      <c r="P212" s="1786"/>
      <c r="Q212" s="1786">
        <v>0</v>
      </c>
      <c r="R212" s="1788"/>
      <c r="S212" s="1786">
        <f t="shared" si="28"/>
        <v>7857</v>
      </c>
      <c r="T212" s="1786" t="str">
        <f t="shared" si="29"/>
        <v>בנק מזרחי טפחות בע"מ</v>
      </c>
      <c r="U212" s="1786" t="str">
        <f t="shared" si="30"/>
        <v>מיטב דש גמל להשקעה</v>
      </c>
      <c r="V212" s="1786" t="str">
        <f t="shared" si="31"/>
        <v>520043795</v>
      </c>
      <c r="W212" s="1789" t="str">
        <f t="shared" si="32"/>
        <v>מיטב דש גמל ופנסיה בע"מ</v>
      </c>
      <c r="AC212" s="1759" t="s">
        <v>346</v>
      </c>
      <c r="AD212" s="1759"/>
      <c r="AE212" s="1760">
        <v>42593.693043981497</v>
      </c>
      <c r="AF212" s="1759" t="s">
        <v>1681</v>
      </c>
      <c r="AG212" s="1759" t="s">
        <v>1653</v>
      </c>
      <c r="AH212" s="1759" t="s">
        <v>1594</v>
      </c>
      <c r="AI212" s="1759" t="s">
        <v>4674</v>
      </c>
      <c r="AJ212" s="1759" t="s">
        <v>4674</v>
      </c>
      <c r="AK212" s="1759">
        <v>7862</v>
      </c>
      <c r="AL212" s="1759" t="s">
        <v>4671</v>
      </c>
      <c r="AM212" s="1759">
        <v>7857</v>
      </c>
      <c r="AN212" s="1759" t="s">
        <v>5370</v>
      </c>
      <c r="AO212" s="1764"/>
      <c r="AP212" s="1759" t="s">
        <v>5373</v>
      </c>
      <c r="AQ212" s="1759" t="s">
        <v>5374</v>
      </c>
      <c r="AR212" s="1759" t="s">
        <v>2899</v>
      </c>
      <c r="AS212" s="1759" t="s">
        <v>349</v>
      </c>
      <c r="AT212" s="1759" t="s">
        <v>327</v>
      </c>
      <c r="AU212" s="1763"/>
      <c r="AV212" s="1763"/>
    </row>
    <row r="213" spans="1:48" ht="25" hidden="1">
      <c r="A213" s="1785" t="str">
        <f t="shared" si="22"/>
        <v>גמל</v>
      </c>
      <c r="B213" s="1786">
        <f t="shared" si="23"/>
        <v>7862</v>
      </c>
      <c r="C213" s="1787">
        <v>28946</v>
      </c>
      <c r="D213" s="1786" t="str">
        <f t="shared" si="24"/>
        <v xml:space="preserve">מיטב דש גמל להשקעה מסלול אג"ח </v>
      </c>
      <c r="E213" s="1786" t="s">
        <v>3929</v>
      </c>
      <c r="F213" s="1786" t="s">
        <v>2958</v>
      </c>
      <c r="G213" s="1786" t="s">
        <v>2959</v>
      </c>
      <c r="H213" s="1786" t="str">
        <f t="shared" si="25"/>
        <v>פעיל</v>
      </c>
      <c r="I213" s="1788">
        <f t="shared" si="26"/>
        <v>42593.693043981497</v>
      </c>
      <c r="J213" s="1788" t="str">
        <f t="shared" si="27"/>
        <v/>
      </c>
      <c r="K213" s="1786">
        <v>0</v>
      </c>
      <c r="L213" s="1786" t="s">
        <v>1594</v>
      </c>
      <c r="M213" s="1786" t="s">
        <v>1653</v>
      </c>
      <c r="N213" s="1786" t="s">
        <v>1653</v>
      </c>
      <c r="O213" s="1786">
        <v>0</v>
      </c>
      <c r="P213" s="1786"/>
      <c r="Q213" s="1786">
        <v>0</v>
      </c>
      <c r="R213" s="1788"/>
      <c r="S213" s="1786">
        <f t="shared" si="28"/>
        <v>7857</v>
      </c>
      <c r="T213" s="1786" t="str">
        <f t="shared" si="29"/>
        <v>בנק מזרחי טפחות בע"מ</v>
      </c>
      <c r="U213" s="1786" t="str">
        <f t="shared" si="30"/>
        <v>מיטב דש גמל להשקעה</v>
      </c>
      <c r="V213" s="1786" t="str">
        <f t="shared" si="31"/>
        <v>520043795</v>
      </c>
      <c r="W213" s="1789" t="str">
        <f t="shared" si="32"/>
        <v>מיטב דש גמל ופנסיה בע"מ</v>
      </c>
      <c r="AC213" s="1761" t="s">
        <v>346</v>
      </c>
      <c r="AD213" s="1761"/>
      <c r="AE213" s="1762">
        <v>42593.693043981497</v>
      </c>
      <c r="AF213" s="1761" t="s">
        <v>1681</v>
      </c>
      <c r="AG213" s="1761" t="s">
        <v>1653</v>
      </c>
      <c r="AH213" s="1761" t="s">
        <v>1594</v>
      </c>
      <c r="AI213" s="1761" t="s">
        <v>4674</v>
      </c>
      <c r="AJ213" s="1761" t="s">
        <v>4674</v>
      </c>
      <c r="AK213" s="1761">
        <v>7862</v>
      </c>
      <c r="AL213" s="1761" t="s">
        <v>4671</v>
      </c>
      <c r="AM213" s="1761">
        <v>7857</v>
      </c>
      <c r="AN213" s="1761" t="s">
        <v>5370</v>
      </c>
      <c r="AO213" s="1764"/>
      <c r="AP213" s="1761" t="s">
        <v>5373</v>
      </c>
      <c r="AQ213" s="1761" t="s">
        <v>5374</v>
      </c>
      <c r="AR213" s="1761" t="s">
        <v>2899</v>
      </c>
      <c r="AS213" s="1761" t="s">
        <v>349</v>
      </c>
      <c r="AT213" s="1761" t="s">
        <v>327</v>
      </c>
      <c r="AU213" s="1763"/>
      <c r="AV213" s="1763"/>
    </row>
    <row r="214" spans="1:48" ht="25" hidden="1">
      <c r="A214" s="1785" t="str">
        <f t="shared" si="22"/>
        <v>גמל</v>
      </c>
      <c r="B214" s="1786">
        <f t="shared" si="23"/>
        <v>7861</v>
      </c>
      <c r="C214" s="1787">
        <v>28946</v>
      </c>
      <c r="D214" s="1786" t="str">
        <f t="shared" si="24"/>
        <v>מיטב דש גמל להשקעה מסלול שיקלי טווח קצר</v>
      </c>
      <c r="E214" s="1786" t="s">
        <v>3929</v>
      </c>
      <c r="F214" s="1786" t="s">
        <v>2958</v>
      </c>
      <c r="G214" s="1786" t="s">
        <v>2959</v>
      </c>
      <c r="H214" s="1786" t="str">
        <f t="shared" si="25"/>
        <v>פעיל</v>
      </c>
      <c r="I214" s="1788">
        <f t="shared" si="26"/>
        <v>42593.693043981497</v>
      </c>
      <c r="J214" s="1788" t="str">
        <f t="shared" si="27"/>
        <v/>
      </c>
      <c r="K214" s="1786">
        <v>0</v>
      </c>
      <c r="L214" s="1786" t="s">
        <v>1594</v>
      </c>
      <c r="M214" s="1786" t="s">
        <v>1653</v>
      </c>
      <c r="N214" s="1786" t="s">
        <v>1653</v>
      </c>
      <c r="O214" s="1786">
        <v>0</v>
      </c>
      <c r="P214" s="1786"/>
      <c r="Q214" s="1786">
        <v>0</v>
      </c>
      <c r="R214" s="1788"/>
      <c r="S214" s="1786">
        <f t="shared" si="28"/>
        <v>7857</v>
      </c>
      <c r="T214" s="1786" t="str">
        <f t="shared" si="29"/>
        <v>בנק מזרחי טפחות בע"מ</v>
      </c>
      <c r="U214" s="1786" t="str">
        <f t="shared" si="30"/>
        <v>מיטב דש גמל להשקעה</v>
      </c>
      <c r="V214" s="1786" t="str">
        <f t="shared" si="31"/>
        <v>520043795</v>
      </c>
      <c r="W214" s="1789" t="str">
        <f t="shared" si="32"/>
        <v>מיטב דש גמל ופנסיה בע"מ</v>
      </c>
      <c r="AC214" s="1759" t="s">
        <v>346</v>
      </c>
      <c r="AD214" s="1759"/>
      <c r="AE214" s="1760">
        <v>42593.693043981497</v>
      </c>
      <c r="AF214" s="1759" t="s">
        <v>1673</v>
      </c>
      <c r="AG214" s="1759" t="s">
        <v>1614</v>
      </c>
      <c r="AH214" s="1759" t="s">
        <v>1594</v>
      </c>
      <c r="AI214" s="1759" t="s">
        <v>4673</v>
      </c>
      <c r="AJ214" s="1759" t="s">
        <v>4673</v>
      </c>
      <c r="AK214" s="1759">
        <v>7861</v>
      </c>
      <c r="AL214" s="1759" t="s">
        <v>4671</v>
      </c>
      <c r="AM214" s="1759">
        <v>7857</v>
      </c>
      <c r="AN214" s="1759" t="s">
        <v>5370</v>
      </c>
      <c r="AO214" s="1764"/>
      <c r="AP214" s="1759" t="s">
        <v>5373</v>
      </c>
      <c r="AQ214" s="1759" t="s">
        <v>5374</v>
      </c>
      <c r="AR214" s="1759" t="s">
        <v>2899</v>
      </c>
      <c r="AS214" s="1759" t="s">
        <v>349</v>
      </c>
      <c r="AT214" s="1759" t="s">
        <v>327</v>
      </c>
      <c r="AU214" s="1763"/>
      <c r="AV214" s="1763"/>
    </row>
    <row r="215" spans="1:48" ht="25" hidden="1">
      <c r="A215" s="1785" t="str">
        <f t="shared" ref="A215:A278" si="33">AT215</f>
        <v>גמל</v>
      </c>
      <c r="B215" s="1786">
        <f t="shared" ref="B215:B278" si="34">AK215</f>
        <v>7861</v>
      </c>
      <c r="C215" s="1787">
        <v>28946</v>
      </c>
      <c r="D215" s="1786" t="str">
        <f t="shared" ref="D215:D278" si="35">AJ215</f>
        <v>מיטב דש גמל להשקעה מסלול שיקלי טווח קצר</v>
      </c>
      <c r="E215" s="1786" t="s">
        <v>3929</v>
      </c>
      <c r="F215" s="1786" t="s">
        <v>2958</v>
      </c>
      <c r="G215" s="1786" t="s">
        <v>2959</v>
      </c>
      <c r="H215" s="1786" t="str">
        <f t="shared" ref="H215:H278" si="36">AC215</f>
        <v>פעיל</v>
      </c>
      <c r="I215" s="1788">
        <f t="shared" ref="I215:I278" si="37">IF(AE215="","",AE215)</f>
        <v>42593.693043981497</v>
      </c>
      <c r="J215" s="1788" t="str">
        <f t="shared" ref="J215:J278" si="38">IF(AD215="","",AD215)</f>
        <v/>
      </c>
      <c r="K215" s="1786">
        <v>0</v>
      </c>
      <c r="L215" s="1786" t="s">
        <v>1594</v>
      </c>
      <c r="M215" s="1786" t="s">
        <v>1653</v>
      </c>
      <c r="N215" s="1786" t="s">
        <v>1653</v>
      </c>
      <c r="O215" s="1786">
        <v>0</v>
      </c>
      <c r="P215" s="1786"/>
      <c r="Q215" s="1786">
        <v>0</v>
      </c>
      <c r="R215" s="1788"/>
      <c r="S215" s="1786">
        <f t="shared" ref="S215:S278" si="39">AM215</f>
        <v>7857</v>
      </c>
      <c r="T215" s="1786" t="str">
        <f t="shared" ref="T215:T278" si="40">AN215</f>
        <v>בנק מזרחי טפחות בע"מ</v>
      </c>
      <c r="U215" s="1786" t="str">
        <f t="shared" ref="U215:U278" si="41">AL215</f>
        <v>מיטב דש גמל להשקעה</v>
      </c>
      <c r="V215" s="1786" t="str">
        <f t="shared" ref="V215:V278" si="42">AQ215</f>
        <v>520043795</v>
      </c>
      <c r="W215" s="1789" t="str">
        <f t="shared" ref="W215:W278" si="43">AR215</f>
        <v>מיטב דש גמל ופנסיה בע"מ</v>
      </c>
      <c r="AC215" s="1761" t="s">
        <v>346</v>
      </c>
      <c r="AD215" s="1761"/>
      <c r="AE215" s="1762">
        <v>42593.693043981497</v>
      </c>
      <c r="AF215" s="1761" t="s">
        <v>1673</v>
      </c>
      <c r="AG215" s="1761" t="s">
        <v>1614</v>
      </c>
      <c r="AH215" s="1761" t="s">
        <v>1594</v>
      </c>
      <c r="AI215" s="1761" t="s">
        <v>4673</v>
      </c>
      <c r="AJ215" s="1761" t="s">
        <v>4673</v>
      </c>
      <c r="AK215" s="1761">
        <v>7861</v>
      </c>
      <c r="AL215" s="1761" t="s">
        <v>4671</v>
      </c>
      <c r="AM215" s="1761">
        <v>7857</v>
      </c>
      <c r="AN215" s="1761" t="s">
        <v>5370</v>
      </c>
      <c r="AO215" s="1764"/>
      <c r="AP215" s="1761" t="s">
        <v>5373</v>
      </c>
      <c r="AQ215" s="1761" t="s">
        <v>5374</v>
      </c>
      <c r="AR215" s="1761" t="s">
        <v>2899</v>
      </c>
      <c r="AS215" s="1761" t="s">
        <v>349</v>
      </c>
      <c r="AT215" s="1761" t="s">
        <v>327</v>
      </c>
      <c r="AU215" s="1763"/>
      <c r="AV215" s="1763"/>
    </row>
    <row r="216" spans="1:48" ht="25" hidden="1">
      <c r="A216" s="1785" t="str">
        <f t="shared" si="33"/>
        <v>גמל</v>
      </c>
      <c r="B216" s="1786">
        <f t="shared" si="34"/>
        <v>7860</v>
      </c>
      <c r="C216" s="1787">
        <v>28946</v>
      </c>
      <c r="D216" s="1786" t="str">
        <f t="shared" si="35"/>
        <v xml:space="preserve">מיטב דש גמל להשקעה מסלול מניות </v>
      </c>
      <c r="E216" s="1786" t="s">
        <v>3929</v>
      </c>
      <c r="F216" s="1786" t="s">
        <v>2958</v>
      </c>
      <c r="G216" s="1786" t="s">
        <v>2959</v>
      </c>
      <c r="H216" s="1786" t="str">
        <f t="shared" si="36"/>
        <v>פעיל</v>
      </c>
      <c r="I216" s="1788">
        <f t="shared" si="37"/>
        <v>42593.693043981497</v>
      </c>
      <c r="J216" s="1788" t="str">
        <f t="shared" si="38"/>
        <v/>
      </c>
      <c r="K216" s="1786">
        <v>0</v>
      </c>
      <c r="L216" s="1786" t="s">
        <v>1594</v>
      </c>
      <c r="M216" s="1786" t="s">
        <v>1653</v>
      </c>
      <c r="N216" s="1786" t="s">
        <v>1653</v>
      </c>
      <c r="O216" s="1786">
        <v>0</v>
      </c>
      <c r="P216" s="1786"/>
      <c r="Q216" s="1786">
        <v>0</v>
      </c>
      <c r="R216" s="1788"/>
      <c r="S216" s="1786">
        <f t="shared" si="39"/>
        <v>7857</v>
      </c>
      <c r="T216" s="1786" t="str">
        <f t="shared" si="40"/>
        <v>בנק מזרחי טפחות בע"מ</v>
      </c>
      <c r="U216" s="1786" t="str">
        <f t="shared" si="41"/>
        <v>מיטב דש גמל להשקעה</v>
      </c>
      <c r="V216" s="1786" t="str">
        <f t="shared" si="42"/>
        <v>520043795</v>
      </c>
      <c r="W216" s="1789" t="str">
        <f t="shared" si="43"/>
        <v>מיטב דש גמל ופנסיה בע"מ</v>
      </c>
      <c r="AC216" s="1759" t="s">
        <v>346</v>
      </c>
      <c r="AD216" s="1759"/>
      <c r="AE216" s="1760">
        <v>42593.693043981497</v>
      </c>
      <c r="AF216" s="1759" t="s">
        <v>1595</v>
      </c>
      <c r="AG216" s="1759" t="s">
        <v>75</v>
      </c>
      <c r="AH216" s="1759" t="s">
        <v>1594</v>
      </c>
      <c r="AI216" s="1759" t="s">
        <v>4672</v>
      </c>
      <c r="AJ216" s="1759" t="s">
        <v>4672</v>
      </c>
      <c r="AK216" s="1759">
        <v>7860</v>
      </c>
      <c r="AL216" s="1759" t="s">
        <v>4671</v>
      </c>
      <c r="AM216" s="1759">
        <v>7857</v>
      </c>
      <c r="AN216" s="1759" t="s">
        <v>5370</v>
      </c>
      <c r="AO216" s="1764"/>
      <c r="AP216" s="1759" t="s">
        <v>5373</v>
      </c>
      <c r="AQ216" s="1759" t="s">
        <v>5374</v>
      </c>
      <c r="AR216" s="1759" t="s">
        <v>2899</v>
      </c>
      <c r="AS216" s="1759" t="s">
        <v>349</v>
      </c>
      <c r="AT216" s="1759" t="s">
        <v>327</v>
      </c>
      <c r="AU216" s="1763"/>
      <c r="AV216" s="1763"/>
    </row>
    <row r="217" spans="1:48" ht="25" hidden="1">
      <c r="A217" s="1785" t="str">
        <f t="shared" si="33"/>
        <v>גמל</v>
      </c>
      <c r="B217" s="1786">
        <f t="shared" si="34"/>
        <v>7860</v>
      </c>
      <c r="C217" s="1787">
        <v>28946</v>
      </c>
      <c r="D217" s="1786" t="str">
        <f t="shared" si="35"/>
        <v xml:space="preserve">מיטב דש גמל להשקעה מסלול מניות </v>
      </c>
      <c r="E217" s="1786" t="s">
        <v>3929</v>
      </c>
      <c r="F217" s="1786" t="s">
        <v>2958</v>
      </c>
      <c r="G217" s="1786" t="s">
        <v>2959</v>
      </c>
      <c r="H217" s="1786" t="str">
        <f t="shared" si="36"/>
        <v>פעיל</v>
      </c>
      <c r="I217" s="1788">
        <f t="shared" si="37"/>
        <v>42593.693043981497</v>
      </c>
      <c r="J217" s="1788" t="str">
        <f t="shared" si="38"/>
        <v/>
      </c>
      <c r="K217" s="1786">
        <v>0</v>
      </c>
      <c r="L217" s="1786" t="s">
        <v>1594</v>
      </c>
      <c r="M217" s="1786" t="s">
        <v>1653</v>
      </c>
      <c r="N217" s="1786" t="s">
        <v>1653</v>
      </c>
      <c r="O217" s="1786">
        <v>0</v>
      </c>
      <c r="P217" s="1786"/>
      <c r="Q217" s="1786">
        <v>0</v>
      </c>
      <c r="R217" s="1788"/>
      <c r="S217" s="1786">
        <f t="shared" si="39"/>
        <v>7857</v>
      </c>
      <c r="T217" s="1786" t="str">
        <f t="shared" si="40"/>
        <v>בנק מזרחי טפחות בע"מ</v>
      </c>
      <c r="U217" s="1786" t="str">
        <f t="shared" si="41"/>
        <v>מיטב דש גמל להשקעה</v>
      </c>
      <c r="V217" s="1786" t="str">
        <f t="shared" si="42"/>
        <v>520043795</v>
      </c>
      <c r="W217" s="1789" t="str">
        <f t="shared" si="43"/>
        <v>מיטב דש גמל ופנסיה בע"מ</v>
      </c>
      <c r="AC217" s="1761" t="s">
        <v>346</v>
      </c>
      <c r="AD217" s="1761"/>
      <c r="AE217" s="1762">
        <v>42593.693043981497</v>
      </c>
      <c r="AF217" s="1761" t="s">
        <v>1595</v>
      </c>
      <c r="AG217" s="1761" t="s">
        <v>75</v>
      </c>
      <c r="AH217" s="1761" t="s">
        <v>1594</v>
      </c>
      <c r="AI217" s="1761" t="s">
        <v>4672</v>
      </c>
      <c r="AJ217" s="1761" t="s">
        <v>4672</v>
      </c>
      <c r="AK217" s="1761">
        <v>7860</v>
      </c>
      <c r="AL217" s="1761" t="s">
        <v>4671</v>
      </c>
      <c r="AM217" s="1761">
        <v>7857</v>
      </c>
      <c r="AN217" s="1761" t="s">
        <v>5370</v>
      </c>
      <c r="AO217" s="1764"/>
      <c r="AP217" s="1761" t="s">
        <v>5373</v>
      </c>
      <c r="AQ217" s="1761" t="s">
        <v>5374</v>
      </c>
      <c r="AR217" s="1761" t="s">
        <v>2899</v>
      </c>
      <c r="AS217" s="1761" t="s">
        <v>349</v>
      </c>
      <c r="AT217" s="1761" t="s">
        <v>327</v>
      </c>
      <c r="AU217" s="1763"/>
      <c r="AV217" s="1763"/>
    </row>
    <row r="218" spans="1:48" ht="25" hidden="1">
      <c r="A218" s="1785" t="str">
        <f t="shared" si="33"/>
        <v>גמל</v>
      </c>
      <c r="B218" s="1786">
        <f t="shared" si="34"/>
        <v>7981</v>
      </c>
      <c r="C218" s="1787">
        <v>28946</v>
      </c>
      <c r="D218" s="1786" t="str">
        <f t="shared" si="35"/>
        <v>מיטב דש גמל להשקעה אג"ח עד 10% מניות</v>
      </c>
      <c r="E218" s="1786" t="s">
        <v>3929</v>
      </c>
      <c r="F218" s="1786" t="s">
        <v>2958</v>
      </c>
      <c r="G218" s="1786" t="s">
        <v>2959</v>
      </c>
      <c r="H218" s="1786" t="str">
        <f t="shared" si="36"/>
        <v>פעיל</v>
      </c>
      <c r="I218" s="1788">
        <f t="shared" si="37"/>
        <v>42593.693043981497</v>
      </c>
      <c r="J218" s="1788" t="str">
        <f t="shared" si="38"/>
        <v/>
      </c>
      <c r="K218" s="1786">
        <v>0</v>
      </c>
      <c r="L218" s="1786" t="s">
        <v>1594</v>
      </c>
      <c r="M218" s="1786" t="s">
        <v>1653</v>
      </c>
      <c r="N218" s="1786" t="s">
        <v>1653</v>
      </c>
      <c r="O218" s="1786">
        <v>0</v>
      </c>
      <c r="P218" s="1786"/>
      <c r="Q218" s="1786">
        <v>0</v>
      </c>
      <c r="R218" s="1788"/>
      <c r="S218" s="1786">
        <f t="shared" si="39"/>
        <v>7857</v>
      </c>
      <c r="T218" s="1786" t="str">
        <f t="shared" si="40"/>
        <v>בנק מזרחי טפחות בע"מ</v>
      </c>
      <c r="U218" s="1786" t="str">
        <f t="shared" si="41"/>
        <v>מיטב דש גמל להשקעה</v>
      </c>
      <c r="V218" s="1786" t="str">
        <f t="shared" si="42"/>
        <v>520043795</v>
      </c>
      <c r="W218" s="1789" t="str">
        <f t="shared" si="43"/>
        <v>מיטב דש גמל ופנסיה בע"מ</v>
      </c>
      <c r="AC218" s="1759" t="s">
        <v>346</v>
      </c>
      <c r="AD218" s="1759"/>
      <c r="AE218" s="1760">
        <v>42593.693043981497</v>
      </c>
      <c r="AF218" s="1759" t="s">
        <v>3934</v>
      </c>
      <c r="AG218" s="1759" t="s">
        <v>1653</v>
      </c>
      <c r="AH218" s="1759" t="s">
        <v>1594</v>
      </c>
      <c r="AI218" s="1759" t="s">
        <v>4723</v>
      </c>
      <c r="AJ218" s="1759" t="s">
        <v>4723</v>
      </c>
      <c r="AK218" s="1759">
        <v>7981</v>
      </c>
      <c r="AL218" s="1759" t="s">
        <v>4671</v>
      </c>
      <c r="AM218" s="1759">
        <v>7857</v>
      </c>
      <c r="AN218" s="1759" t="s">
        <v>5370</v>
      </c>
      <c r="AO218" s="1764"/>
      <c r="AP218" s="1759" t="s">
        <v>5373</v>
      </c>
      <c r="AQ218" s="1759" t="s">
        <v>5374</v>
      </c>
      <c r="AR218" s="1759" t="s">
        <v>2899</v>
      </c>
      <c r="AS218" s="1759" t="s">
        <v>349</v>
      </c>
      <c r="AT218" s="1759" t="s">
        <v>327</v>
      </c>
      <c r="AU218" s="1763"/>
      <c r="AV218" s="1763"/>
    </row>
    <row r="219" spans="1:48" ht="25" hidden="1">
      <c r="A219" s="1785" t="str">
        <f t="shared" si="33"/>
        <v>גמל</v>
      </c>
      <c r="B219" s="1786">
        <f t="shared" si="34"/>
        <v>7981</v>
      </c>
      <c r="C219" s="1787">
        <v>28946</v>
      </c>
      <c r="D219" s="1786" t="str">
        <f t="shared" si="35"/>
        <v>מיטב דש גמל להשקעה אג"ח עד 10% מניות</v>
      </c>
      <c r="E219" s="1786" t="s">
        <v>3929</v>
      </c>
      <c r="F219" s="1786" t="s">
        <v>2958</v>
      </c>
      <c r="G219" s="1786" t="s">
        <v>2959</v>
      </c>
      <c r="H219" s="1786" t="str">
        <f t="shared" si="36"/>
        <v>פעיל</v>
      </c>
      <c r="I219" s="1788">
        <f t="shared" si="37"/>
        <v>42593.693043981497</v>
      </c>
      <c r="J219" s="1788" t="str">
        <f t="shared" si="38"/>
        <v/>
      </c>
      <c r="K219" s="1786">
        <v>0</v>
      </c>
      <c r="L219" s="1786" t="s">
        <v>1594</v>
      </c>
      <c r="M219" s="1786" t="s">
        <v>1653</v>
      </c>
      <c r="N219" s="1786" t="s">
        <v>1653</v>
      </c>
      <c r="O219" s="1786">
        <v>0</v>
      </c>
      <c r="P219" s="1786"/>
      <c r="Q219" s="1786">
        <v>0</v>
      </c>
      <c r="R219" s="1788"/>
      <c r="S219" s="1786">
        <f t="shared" si="39"/>
        <v>7857</v>
      </c>
      <c r="T219" s="1786" t="str">
        <f t="shared" si="40"/>
        <v>בנק מזרחי טפחות בע"מ</v>
      </c>
      <c r="U219" s="1786" t="str">
        <f t="shared" si="41"/>
        <v>מיטב דש גמל להשקעה</v>
      </c>
      <c r="V219" s="1786" t="str">
        <f t="shared" si="42"/>
        <v>520043795</v>
      </c>
      <c r="W219" s="1789" t="str">
        <f t="shared" si="43"/>
        <v>מיטב דש גמל ופנסיה בע"מ</v>
      </c>
      <c r="AC219" s="1761" t="s">
        <v>346</v>
      </c>
      <c r="AD219" s="1761"/>
      <c r="AE219" s="1762">
        <v>42593.693043981497</v>
      </c>
      <c r="AF219" s="1761" t="s">
        <v>3934</v>
      </c>
      <c r="AG219" s="1761" t="s">
        <v>1653</v>
      </c>
      <c r="AH219" s="1761" t="s">
        <v>1594</v>
      </c>
      <c r="AI219" s="1761" t="s">
        <v>4723</v>
      </c>
      <c r="AJ219" s="1761" t="s">
        <v>4723</v>
      </c>
      <c r="AK219" s="1761">
        <v>7981</v>
      </c>
      <c r="AL219" s="1761" t="s">
        <v>4671</v>
      </c>
      <c r="AM219" s="1761">
        <v>7857</v>
      </c>
      <c r="AN219" s="1761" t="s">
        <v>5370</v>
      </c>
      <c r="AO219" s="1764"/>
      <c r="AP219" s="1761" t="s">
        <v>5373</v>
      </c>
      <c r="AQ219" s="1761" t="s">
        <v>5374</v>
      </c>
      <c r="AR219" s="1761" t="s">
        <v>2899</v>
      </c>
      <c r="AS219" s="1761" t="s">
        <v>349</v>
      </c>
      <c r="AT219" s="1761" t="s">
        <v>327</v>
      </c>
      <c r="AU219" s="1763"/>
      <c r="AV219" s="1763"/>
    </row>
    <row r="220" spans="1:48" ht="25" hidden="1">
      <c r="A220" s="1785" t="str">
        <f t="shared" si="33"/>
        <v>גמל</v>
      </c>
      <c r="B220" s="1786">
        <f t="shared" si="34"/>
        <v>7979</v>
      </c>
      <c r="C220" s="1787">
        <v>28946</v>
      </c>
      <c r="D220" s="1786" t="str">
        <f t="shared" si="35"/>
        <v xml:space="preserve">מיטב דש גמל להשקעה מסלול פאסיבי - כללי </v>
      </c>
      <c r="E220" s="1786" t="s">
        <v>3929</v>
      </c>
      <c r="F220" s="1786" t="s">
        <v>2958</v>
      </c>
      <c r="G220" s="1786" t="s">
        <v>2959</v>
      </c>
      <c r="H220" s="1786" t="str">
        <f t="shared" si="36"/>
        <v>פעיל</v>
      </c>
      <c r="I220" s="1788">
        <f t="shared" si="37"/>
        <v>42593.693043981497</v>
      </c>
      <c r="J220" s="1788" t="str">
        <f t="shared" si="38"/>
        <v/>
      </c>
      <c r="K220" s="1786">
        <v>0</v>
      </c>
      <c r="L220" s="1786" t="s">
        <v>1594</v>
      </c>
      <c r="M220" s="1786" t="s">
        <v>1653</v>
      </c>
      <c r="N220" s="1786" t="s">
        <v>1653</v>
      </c>
      <c r="O220" s="1786">
        <v>0</v>
      </c>
      <c r="P220" s="1786"/>
      <c r="Q220" s="1786">
        <v>0</v>
      </c>
      <c r="R220" s="1788"/>
      <c r="S220" s="1786">
        <f t="shared" si="39"/>
        <v>7857</v>
      </c>
      <c r="T220" s="1786" t="str">
        <f t="shared" si="40"/>
        <v>בנק מזרחי טפחות בע"מ</v>
      </c>
      <c r="U220" s="1786" t="str">
        <f t="shared" si="41"/>
        <v>מיטב דש גמל להשקעה</v>
      </c>
      <c r="V220" s="1786" t="str">
        <f t="shared" si="42"/>
        <v>520043795</v>
      </c>
      <c r="W220" s="1789" t="str">
        <f t="shared" si="43"/>
        <v>מיטב דש גמל ופנסיה בע"מ</v>
      </c>
      <c r="AC220" s="1759" t="s">
        <v>346</v>
      </c>
      <c r="AD220" s="1759"/>
      <c r="AE220" s="1760">
        <v>42593.693043981497</v>
      </c>
      <c r="AF220" s="1759" t="s">
        <v>3959</v>
      </c>
      <c r="AG220" s="1759" t="s">
        <v>1583</v>
      </c>
      <c r="AH220" s="1759" t="s">
        <v>1583</v>
      </c>
      <c r="AI220" s="1759" t="s">
        <v>4720</v>
      </c>
      <c r="AJ220" s="1759" t="s">
        <v>4719</v>
      </c>
      <c r="AK220" s="1759">
        <v>7979</v>
      </c>
      <c r="AL220" s="1759" t="s">
        <v>4671</v>
      </c>
      <c r="AM220" s="1759">
        <v>7857</v>
      </c>
      <c r="AN220" s="1759" t="s">
        <v>5370</v>
      </c>
      <c r="AO220" s="1764"/>
      <c r="AP220" s="1759" t="s">
        <v>5373</v>
      </c>
      <c r="AQ220" s="1759" t="s">
        <v>5374</v>
      </c>
      <c r="AR220" s="1759" t="s">
        <v>2899</v>
      </c>
      <c r="AS220" s="1759" t="s">
        <v>349</v>
      </c>
      <c r="AT220" s="1759" t="s">
        <v>327</v>
      </c>
      <c r="AU220" s="1763"/>
      <c r="AV220" s="1763"/>
    </row>
    <row r="221" spans="1:48" ht="25" hidden="1">
      <c r="A221" s="1785" t="str">
        <f t="shared" si="33"/>
        <v>גמל</v>
      </c>
      <c r="B221" s="1786">
        <f t="shared" si="34"/>
        <v>7980</v>
      </c>
      <c r="C221" s="1787">
        <v>28946</v>
      </c>
      <c r="D221" s="1786" t="str">
        <f t="shared" si="35"/>
        <v>מיטב דש גמל להשקעה מסלול אג"ח עד 20% במניות</v>
      </c>
      <c r="E221" s="1786" t="s">
        <v>3929</v>
      </c>
      <c r="F221" s="1786" t="s">
        <v>2958</v>
      </c>
      <c r="G221" s="1786" t="s">
        <v>2959</v>
      </c>
      <c r="H221" s="1786" t="str">
        <f t="shared" si="36"/>
        <v>פעיל</v>
      </c>
      <c r="I221" s="1788">
        <f t="shared" si="37"/>
        <v>42593.693043981497</v>
      </c>
      <c r="J221" s="1788" t="str">
        <f t="shared" si="38"/>
        <v/>
      </c>
      <c r="K221" s="1786">
        <v>0</v>
      </c>
      <c r="L221" s="1786" t="s">
        <v>1594</v>
      </c>
      <c r="M221" s="1786" t="s">
        <v>1653</v>
      </c>
      <c r="N221" s="1786" t="s">
        <v>1653</v>
      </c>
      <c r="O221" s="1786">
        <v>0</v>
      </c>
      <c r="P221" s="1786"/>
      <c r="Q221" s="1786">
        <v>0</v>
      </c>
      <c r="R221" s="1788"/>
      <c r="S221" s="1786">
        <f t="shared" si="39"/>
        <v>7857</v>
      </c>
      <c r="T221" s="1786" t="str">
        <f t="shared" si="40"/>
        <v>בנק מזרחי טפחות בע"מ</v>
      </c>
      <c r="U221" s="1786" t="str">
        <f t="shared" si="41"/>
        <v>מיטב דש גמל להשקעה</v>
      </c>
      <c r="V221" s="1786" t="str">
        <f t="shared" si="42"/>
        <v>520043795</v>
      </c>
      <c r="W221" s="1789" t="str">
        <f t="shared" si="43"/>
        <v>מיטב דש גמל ופנסיה בע"מ</v>
      </c>
      <c r="AC221" s="1761" t="s">
        <v>346</v>
      </c>
      <c r="AD221" s="1761"/>
      <c r="AE221" s="1762">
        <v>42593.693043981497</v>
      </c>
      <c r="AF221" s="1761" t="s">
        <v>3934</v>
      </c>
      <c r="AG221" s="1761" t="s">
        <v>1653</v>
      </c>
      <c r="AH221" s="1761" t="s">
        <v>1594</v>
      </c>
      <c r="AI221" s="1761" t="s">
        <v>4722</v>
      </c>
      <c r="AJ221" s="1761" t="s">
        <v>4721</v>
      </c>
      <c r="AK221" s="1761">
        <v>7980</v>
      </c>
      <c r="AL221" s="1761" t="s">
        <v>4671</v>
      </c>
      <c r="AM221" s="1761">
        <v>7857</v>
      </c>
      <c r="AN221" s="1761" t="s">
        <v>5370</v>
      </c>
      <c r="AO221" s="1764"/>
      <c r="AP221" s="1761" t="s">
        <v>5373</v>
      </c>
      <c r="AQ221" s="1761" t="s">
        <v>5374</v>
      </c>
      <c r="AR221" s="1761" t="s">
        <v>2899</v>
      </c>
      <c r="AS221" s="1761" t="s">
        <v>349</v>
      </c>
      <c r="AT221" s="1761" t="s">
        <v>327</v>
      </c>
      <c r="AU221" s="1763"/>
      <c r="AV221" s="1763"/>
    </row>
    <row r="222" spans="1:48" ht="25" hidden="1">
      <c r="A222" s="1785" t="str">
        <f t="shared" si="33"/>
        <v>גמל</v>
      </c>
      <c r="B222" s="1786">
        <f t="shared" si="34"/>
        <v>7980</v>
      </c>
      <c r="C222" s="1787">
        <v>28946</v>
      </c>
      <c r="D222" s="1786" t="str">
        <f t="shared" si="35"/>
        <v>מיטב דש גמל להשקעה מסלול אג"ח עד 20% במניות</v>
      </c>
      <c r="E222" s="1786" t="s">
        <v>3929</v>
      </c>
      <c r="F222" s="1786" t="s">
        <v>2958</v>
      </c>
      <c r="G222" s="1786" t="s">
        <v>2959</v>
      </c>
      <c r="H222" s="1786" t="str">
        <f t="shared" si="36"/>
        <v>פעיל</v>
      </c>
      <c r="I222" s="1788">
        <f t="shared" si="37"/>
        <v>42593.693043981497</v>
      </c>
      <c r="J222" s="1788" t="str">
        <f t="shared" si="38"/>
        <v/>
      </c>
      <c r="K222" s="1786">
        <v>0</v>
      </c>
      <c r="L222" s="1786" t="s">
        <v>1594</v>
      </c>
      <c r="M222" s="1786" t="s">
        <v>1653</v>
      </c>
      <c r="N222" s="1786" t="s">
        <v>1653</v>
      </c>
      <c r="O222" s="1786">
        <v>0</v>
      </c>
      <c r="P222" s="1786"/>
      <c r="Q222" s="1786">
        <v>0</v>
      </c>
      <c r="R222" s="1788"/>
      <c r="S222" s="1786">
        <f t="shared" si="39"/>
        <v>7857</v>
      </c>
      <c r="T222" s="1786" t="str">
        <f t="shared" si="40"/>
        <v>בנק מזרחי טפחות בע"מ</v>
      </c>
      <c r="U222" s="1786" t="str">
        <f t="shared" si="41"/>
        <v>מיטב דש גמל להשקעה</v>
      </c>
      <c r="V222" s="1786" t="str">
        <f t="shared" si="42"/>
        <v>520043795</v>
      </c>
      <c r="W222" s="1789" t="str">
        <f t="shared" si="43"/>
        <v>מיטב דש גמל ופנסיה בע"מ</v>
      </c>
      <c r="AC222" s="1759" t="s">
        <v>346</v>
      </c>
      <c r="AD222" s="1759"/>
      <c r="AE222" s="1760">
        <v>42593.693043981497</v>
      </c>
      <c r="AF222" s="1759" t="s">
        <v>3934</v>
      </c>
      <c r="AG222" s="1759" t="s">
        <v>1653</v>
      </c>
      <c r="AH222" s="1759" t="s">
        <v>1594</v>
      </c>
      <c r="AI222" s="1759" t="s">
        <v>4722</v>
      </c>
      <c r="AJ222" s="1759" t="s">
        <v>4721</v>
      </c>
      <c r="AK222" s="1759">
        <v>7980</v>
      </c>
      <c r="AL222" s="1759" t="s">
        <v>4671</v>
      </c>
      <c r="AM222" s="1759">
        <v>7857</v>
      </c>
      <c r="AN222" s="1759" t="s">
        <v>5370</v>
      </c>
      <c r="AO222" s="1764"/>
      <c r="AP222" s="1759" t="s">
        <v>5373</v>
      </c>
      <c r="AQ222" s="1759" t="s">
        <v>5374</v>
      </c>
      <c r="AR222" s="1759" t="s">
        <v>2899</v>
      </c>
      <c r="AS222" s="1759" t="s">
        <v>349</v>
      </c>
      <c r="AT222" s="1759" t="s">
        <v>327</v>
      </c>
      <c r="AU222" s="1763"/>
      <c r="AV222" s="1763"/>
    </row>
    <row r="223" spans="1:48" ht="25" hidden="1">
      <c r="A223" s="1785" t="str">
        <f t="shared" si="33"/>
        <v>גמל</v>
      </c>
      <c r="B223" s="1786">
        <f t="shared" si="34"/>
        <v>7979</v>
      </c>
      <c r="C223" s="1787">
        <v>28946</v>
      </c>
      <c r="D223" s="1786" t="str">
        <f t="shared" si="35"/>
        <v xml:space="preserve">מיטב דש גמל להשקעה מסלול פאסיבי - כללי </v>
      </c>
      <c r="E223" s="1786" t="s">
        <v>3929</v>
      </c>
      <c r="F223" s="1786" t="s">
        <v>2958</v>
      </c>
      <c r="G223" s="1786" t="s">
        <v>2959</v>
      </c>
      <c r="H223" s="1786" t="str">
        <f t="shared" si="36"/>
        <v>פעיל</v>
      </c>
      <c r="I223" s="1788">
        <f t="shared" si="37"/>
        <v>42593.693043981497</v>
      </c>
      <c r="J223" s="1788" t="str">
        <f t="shared" si="38"/>
        <v/>
      </c>
      <c r="K223" s="1786">
        <v>0</v>
      </c>
      <c r="L223" s="1786" t="s">
        <v>1594</v>
      </c>
      <c r="M223" s="1786" t="s">
        <v>1653</v>
      </c>
      <c r="N223" s="1786" t="s">
        <v>1653</v>
      </c>
      <c r="O223" s="1786">
        <v>0</v>
      </c>
      <c r="P223" s="1786"/>
      <c r="Q223" s="1786">
        <v>0</v>
      </c>
      <c r="R223" s="1788"/>
      <c r="S223" s="1786">
        <f t="shared" si="39"/>
        <v>7857</v>
      </c>
      <c r="T223" s="1786" t="str">
        <f t="shared" si="40"/>
        <v>בנק מזרחי טפחות בע"מ</v>
      </c>
      <c r="U223" s="1786" t="str">
        <f t="shared" si="41"/>
        <v>מיטב דש גמל להשקעה</v>
      </c>
      <c r="V223" s="1786" t="str">
        <f t="shared" si="42"/>
        <v>520043795</v>
      </c>
      <c r="W223" s="1789" t="str">
        <f t="shared" si="43"/>
        <v>מיטב דש גמל ופנסיה בע"מ</v>
      </c>
      <c r="AC223" s="1761" t="s">
        <v>346</v>
      </c>
      <c r="AD223" s="1761"/>
      <c r="AE223" s="1762">
        <v>42593.693043981497</v>
      </c>
      <c r="AF223" s="1761" t="s">
        <v>3959</v>
      </c>
      <c r="AG223" s="1761" t="s">
        <v>1583</v>
      </c>
      <c r="AH223" s="1761" t="s">
        <v>1583</v>
      </c>
      <c r="AI223" s="1761" t="s">
        <v>4720</v>
      </c>
      <c r="AJ223" s="1761" t="s">
        <v>4719</v>
      </c>
      <c r="AK223" s="1761">
        <v>7979</v>
      </c>
      <c r="AL223" s="1761" t="s">
        <v>4671</v>
      </c>
      <c r="AM223" s="1761">
        <v>7857</v>
      </c>
      <c r="AN223" s="1761" t="s">
        <v>5370</v>
      </c>
      <c r="AO223" s="1764"/>
      <c r="AP223" s="1761" t="s">
        <v>5373</v>
      </c>
      <c r="AQ223" s="1761" t="s">
        <v>5374</v>
      </c>
      <c r="AR223" s="1761" t="s">
        <v>2899</v>
      </c>
      <c r="AS223" s="1761" t="s">
        <v>349</v>
      </c>
      <c r="AT223" s="1761" t="s">
        <v>327</v>
      </c>
      <c r="AU223" s="1763"/>
      <c r="AV223" s="1763"/>
    </row>
    <row r="224" spans="1:48" ht="25" hidden="1">
      <c r="A224" s="1785" t="str">
        <f t="shared" si="33"/>
        <v>גמל</v>
      </c>
      <c r="B224" s="1786">
        <f t="shared" si="34"/>
        <v>7978</v>
      </c>
      <c r="C224" s="1787">
        <v>28946</v>
      </c>
      <c r="D224" s="1786" t="str">
        <f t="shared" si="35"/>
        <v xml:space="preserve">מיטב דש גמל להשקעה מסלול כללי </v>
      </c>
      <c r="E224" s="1786" t="s">
        <v>3929</v>
      </c>
      <c r="F224" s="1786" t="s">
        <v>2958</v>
      </c>
      <c r="G224" s="1786" t="s">
        <v>2959</v>
      </c>
      <c r="H224" s="1786" t="str">
        <f t="shared" si="36"/>
        <v>פעיל</v>
      </c>
      <c r="I224" s="1788">
        <f t="shared" si="37"/>
        <v>42593.693043981497</v>
      </c>
      <c r="J224" s="1788" t="str">
        <f t="shared" si="38"/>
        <v/>
      </c>
      <c r="K224" s="1786">
        <v>0</v>
      </c>
      <c r="L224" s="1786" t="s">
        <v>1594</v>
      </c>
      <c r="M224" s="1786" t="s">
        <v>1653</v>
      </c>
      <c r="N224" s="1786" t="s">
        <v>1653</v>
      </c>
      <c r="O224" s="1786">
        <v>0</v>
      </c>
      <c r="P224" s="1786"/>
      <c r="Q224" s="1786">
        <v>0</v>
      </c>
      <c r="R224" s="1788"/>
      <c r="S224" s="1786">
        <f t="shared" si="39"/>
        <v>7857</v>
      </c>
      <c r="T224" s="1786" t="str">
        <f t="shared" si="40"/>
        <v>בנק מזרחי טפחות בע"מ</v>
      </c>
      <c r="U224" s="1786" t="str">
        <f t="shared" si="41"/>
        <v>מיטב דש גמל להשקעה</v>
      </c>
      <c r="V224" s="1786" t="str">
        <f t="shared" si="42"/>
        <v>520043795</v>
      </c>
      <c r="W224" s="1789" t="str">
        <f t="shared" si="43"/>
        <v>מיטב דש גמל ופנסיה בע"מ</v>
      </c>
      <c r="AC224" s="1759" t="s">
        <v>346</v>
      </c>
      <c r="AD224" s="1759"/>
      <c r="AE224" s="1760">
        <v>42593.693043981497</v>
      </c>
      <c r="AF224" s="1759" t="s">
        <v>1583</v>
      </c>
      <c r="AG224" s="1759" t="s">
        <v>1583</v>
      </c>
      <c r="AH224" s="1759" t="s">
        <v>1583</v>
      </c>
      <c r="AI224" s="1759" t="s">
        <v>4718</v>
      </c>
      <c r="AJ224" s="1759" t="s">
        <v>4718</v>
      </c>
      <c r="AK224" s="1759">
        <v>7978</v>
      </c>
      <c r="AL224" s="1759" t="s">
        <v>4671</v>
      </c>
      <c r="AM224" s="1759">
        <v>7857</v>
      </c>
      <c r="AN224" s="1759" t="s">
        <v>5370</v>
      </c>
      <c r="AO224" s="1764"/>
      <c r="AP224" s="1759" t="s">
        <v>5373</v>
      </c>
      <c r="AQ224" s="1759" t="s">
        <v>5374</v>
      </c>
      <c r="AR224" s="1759" t="s">
        <v>2899</v>
      </c>
      <c r="AS224" s="1759" t="s">
        <v>349</v>
      </c>
      <c r="AT224" s="1759" t="s">
        <v>327</v>
      </c>
      <c r="AU224" s="1763"/>
      <c r="AV224" s="1763"/>
    </row>
    <row r="225" spans="1:48" ht="25" hidden="1">
      <c r="A225" s="1785" t="str">
        <f t="shared" si="33"/>
        <v>גמל</v>
      </c>
      <c r="B225" s="1786">
        <f t="shared" si="34"/>
        <v>7978</v>
      </c>
      <c r="C225" s="1787">
        <v>28946</v>
      </c>
      <c r="D225" s="1786" t="str">
        <f t="shared" si="35"/>
        <v xml:space="preserve">מיטב דש גמל להשקעה מסלול כללי </v>
      </c>
      <c r="E225" s="1786" t="s">
        <v>3929</v>
      </c>
      <c r="F225" s="1786" t="s">
        <v>2958</v>
      </c>
      <c r="G225" s="1786" t="s">
        <v>2959</v>
      </c>
      <c r="H225" s="1786" t="str">
        <f t="shared" si="36"/>
        <v>פעיל</v>
      </c>
      <c r="I225" s="1788">
        <f t="shared" si="37"/>
        <v>42593.693043981497</v>
      </c>
      <c r="J225" s="1788" t="str">
        <f t="shared" si="38"/>
        <v/>
      </c>
      <c r="K225" s="1786">
        <v>0</v>
      </c>
      <c r="L225" s="1786" t="s">
        <v>1594</v>
      </c>
      <c r="M225" s="1786" t="s">
        <v>1653</v>
      </c>
      <c r="N225" s="1786" t="s">
        <v>1653</v>
      </c>
      <c r="O225" s="1786">
        <v>0</v>
      </c>
      <c r="P225" s="1786"/>
      <c r="Q225" s="1786">
        <v>0</v>
      </c>
      <c r="R225" s="1788"/>
      <c r="S225" s="1786">
        <f t="shared" si="39"/>
        <v>7857</v>
      </c>
      <c r="T225" s="1786" t="str">
        <f t="shared" si="40"/>
        <v>בנק מזרחי טפחות בע"מ</v>
      </c>
      <c r="U225" s="1786" t="str">
        <f t="shared" si="41"/>
        <v>מיטב דש גמל להשקעה</v>
      </c>
      <c r="V225" s="1786" t="str">
        <f t="shared" si="42"/>
        <v>520043795</v>
      </c>
      <c r="W225" s="1789" t="str">
        <f t="shared" si="43"/>
        <v>מיטב דש גמל ופנסיה בע"מ</v>
      </c>
      <c r="AC225" s="1761" t="s">
        <v>346</v>
      </c>
      <c r="AD225" s="1761"/>
      <c r="AE225" s="1762">
        <v>42593.693043981497</v>
      </c>
      <c r="AF225" s="1761" t="s">
        <v>1583</v>
      </c>
      <c r="AG225" s="1761" t="s">
        <v>1583</v>
      </c>
      <c r="AH225" s="1761" t="s">
        <v>1583</v>
      </c>
      <c r="AI225" s="1761" t="s">
        <v>4718</v>
      </c>
      <c r="AJ225" s="1761" t="s">
        <v>4718</v>
      </c>
      <c r="AK225" s="1761">
        <v>7978</v>
      </c>
      <c r="AL225" s="1761" t="s">
        <v>4671</v>
      </c>
      <c r="AM225" s="1761">
        <v>7857</v>
      </c>
      <c r="AN225" s="1761" t="s">
        <v>5370</v>
      </c>
      <c r="AO225" s="1764"/>
      <c r="AP225" s="1761" t="s">
        <v>5373</v>
      </c>
      <c r="AQ225" s="1761" t="s">
        <v>5374</v>
      </c>
      <c r="AR225" s="1761" t="s">
        <v>2899</v>
      </c>
      <c r="AS225" s="1761" t="s">
        <v>349</v>
      </c>
      <c r="AT225" s="1761" t="s">
        <v>327</v>
      </c>
      <c r="AU225" s="1763"/>
      <c r="AV225" s="1763"/>
    </row>
    <row r="226" spans="1:48" ht="37.5" hidden="1">
      <c r="A226" s="1785" t="str">
        <f t="shared" si="33"/>
        <v>גמל</v>
      </c>
      <c r="B226" s="1786">
        <f t="shared" si="34"/>
        <v>7836</v>
      </c>
      <c r="C226" s="1787">
        <v>28946</v>
      </c>
      <c r="D226" s="1786" t="str">
        <f t="shared" si="35"/>
        <v xml:space="preserve">אנליסט מסלולית - קופת גמל להשקעה מניות </v>
      </c>
      <c r="E226" s="1786" t="s">
        <v>3929</v>
      </c>
      <c r="F226" s="1786" t="s">
        <v>2958</v>
      </c>
      <c r="G226" s="1786" t="s">
        <v>2959</v>
      </c>
      <c r="H226" s="1786" t="str">
        <f t="shared" si="36"/>
        <v>פעיל</v>
      </c>
      <c r="I226" s="1788">
        <f t="shared" si="37"/>
        <v>42589.740104166704</v>
      </c>
      <c r="J226" s="1788" t="str">
        <f t="shared" si="38"/>
        <v/>
      </c>
      <c r="K226" s="1786">
        <v>0</v>
      </c>
      <c r="L226" s="1786" t="s">
        <v>1594</v>
      </c>
      <c r="M226" s="1786" t="s">
        <v>1653</v>
      </c>
      <c r="N226" s="1786" t="s">
        <v>1653</v>
      </c>
      <c r="O226" s="1786">
        <v>0</v>
      </c>
      <c r="P226" s="1786"/>
      <c r="Q226" s="1786">
        <v>0</v>
      </c>
      <c r="R226" s="1788"/>
      <c r="S226" s="1786">
        <f t="shared" si="39"/>
        <v>7833</v>
      </c>
      <c r="T226" s="1786" t="str">
        <f t="shared" si="40"/>
        <v>הבנק הבינלאומי הראשון</v>
      </c>
      <c r="U226" s="1786" t="str">
        <f t="shared" si="41"/>
        <v>אנליסט מסלולית - קופת גמל להשקעה</v>
      </c>
      <c r="V226" s="1786" t="str">
        <f t="shared" si="42"/>
        <v>520041963</v>
      </c>
      <c r="W226" s="1789" t="str">
        <f t="shared" si="43"/>
        <v>אנליסט קופות גמל בע"מ</v>
      </c>
      <c r="AC226" s="1759" t="s">
        <v>346</v>
      </c>
      <c r="AD226" s="1759"/>
      <c r="AE226" s="1760">
        <v>42589.740104166704</v>
      </c>
      <c r="AF226" s="1759" t="s">
        <v>1595</v>
      </c>
      <c r="AG226" s="1759" t="s">
        <v>75</v>
      </c>
      <c r="AH226" s="1759" t="s">
        <v>1594</v>
      </c>
      <c r="AI226" s="1759" t="s">
        <v>4661</v>
      </c>
      <c r="AJ226" s="1759" t="s">
        <v>4660</v>
      </c>
      <c r="AK226" s="1759">
        <v>7836</v>
      </c>
      <c r="AL226" s="1759" t="s">
        <v>4659</v>
      </c>
      <c r="AM226" s="1759">
        <v>7833</v>
      </c>
      <c r="AN226" s="1759" t="s">
        <v>5384</v>
      </c>
      <c r="AO226" s="1764"/>
      <c r="AP226" s="1759" t="s">
        <v>5387</v>
      </c>
      <c r="AQ226" s="1759" t="s">
        <v>5388</v>
      </c>
      <c r="AR226" s="1759" t="s">
        <v>360</v>
      </c>
      <c r="AS226" s="1759" t="s">
        <v>361</v>
      </c>
      <c r="AT226" s="1759" t="s">
        <v>327</v>
      </c>
      <c r="AU226" s="1763"/>
      <c r="AV226" s="1763"/>
    </row>
    <row r="227" spans="1:48" ht="37.5" hidden="1">
      <c r="A227" s="1785" t="str">
        <f t="shared" si="33"/>
        <v>גמל</v>
      </c>
      <c r="B227" s="1786">
        <f t="shared" si="34"/>
        <v>7834</v>
      </c>
      <c r="C227" s="1787">
        <v>28946</v>
      </c>
      <c r="D227" s="1786" t="str">
        <f t="shared" si="35"/>
        <v xml:space="preserve">אנליסט מסלולית - קופת גמל להשקעה כללי </v>
      </c>
      <c r="E227" s="1786" t="s">
        <v>3929</v>
      </c>
      <c r="F227" s="1786" t="s">
        <v>2958</v>
      </c>
      <c r="G227" s="1786" t="s">
        <v>2959</v>
      </c>
      <c r="H227" s="1786" t="str">
        <f t="shared" si="36"/>
        <v>פעיל</v>
      </c>
      <c r="I227" s="1788">
        <f t="shared" si="37"/>
        <v>42589.740104166704</v>
      </c>
      <c r="J227" s="1788" t="str">
        <f t="shared" si="38"/>
        <v/>
      </c>
      <c r="K227" s="1786">
        <v>0</v>
      </c>
      <c r="L227" s="1786" t="s">
        <v>1594</v>
      </c>
      <c r="M227" s="1786" t="s">
        <v>1653</v>
      </c>
      <c r="N227" s="1786" t="s">
        <v>1653</v>
      </c>
      <c r="O227" s="1786">
        <v>0</v>
      </c>
      <c r="P227" s="1786"/>
      <c r="Q227" s="1786">
        <v>0</v>
      </c>
      <c r="R227" s="1788"/>
      <c r="S227" s="1786">
        <f t="shared" si="39"/>
        <v>7833</v>
      </c>
      <c r="T227" s="1786" t="str">
        <f t="shared" si="40"/>
        <v>הבנק הבינלאומי הראשון</v>
      </c>
      <c r="U227" s="1786" t="str">
        <f t="shared" si="41"/>
        <v>אנליסט מסלולית - קופת גמל להשקעה</v>
      </c>
      <c r="V227" s="1786" t="str">
        <f t="shared" si="42"/>
        <v>520041963</v>
      </c>
      <c r="W227" s="1789" t="str">
        <f t="shared" si="43"/>
        <v>אנליסט קופות גמל בע"מ</v>
      </c>
      <c r="AC227" s="1761" t="s">
        <v>346</v>
      </c>
      <c r="AD227" s="1761"/>
      <c r="AE227" s="1762">
        <v>42589.740104166704</v>
      </c>
      <c r="AF227" s="1761" t="s">
        <v>1583</v>
      </c>
      <c r="AG227" s="1761" t="s">
        <v>1583</v>
      </c>
      <c r="AH227" s="1761" t="s">
        <v>1583</v>
      </c>
      <c r="AI227" s="1761" t="s">
        <v>4658</v>
      </c>
      <c r="AJ227" s="1761" t="s">
        <v>4657</v>
      </c>
      <c r="AK227" s="1761">
        <v>7834</v>
      </c>
      <c r="AL227" s="1761" t="s">
        <v>4659</v>
      </c>
      <c r="AM227" s="1761">
        <v>7833</v>
      </c>
      <c r="AN227" s="1761" t="s">
        <v>5384</v>
      </c>
      <c r="AO227" s="1764"/>
      <c r="AP227" s="1761" t="s">
        <v>5387</v>
      </c>
      <c r="AQ227" s="1761" t="s">
        <v>5388</v>
      </c>
      <c r="AR227" s="1761" t="s">
        <v>360</v>
      </c>
      <c r="AS227" s="1761" t="s">
        <v>361</v>
      </c>
      <c r="AT227" s="1761" t="s">
        <v>327</v>
      </c>
      <c r="AU227" s="1763"/>
      <c r="AV227" s="1763"/>
    </row>
    <row r="228" spans="1:48" ht="37.5" hidden="1">
      <c r="A228" s="1785" t="str">
        <f t="shared" si="33"/>
        <v>גמל</v>
      </c>
      <c r="B228" s="1786">
        <f t="shared" si="34"/>
        <v>7986</v>
      </c>
      <c r="C228" s="1787">
        <v>28946</v>
      </c>
      <c r="D228" s="1786" t="str">
        <f t="shared" si="35"/>
        <v>אנליסט מסלולית - קופת גמל להשקעה אג"ח עד 20% במניות</v>
      </c>
      <c r="E228" s="1786" t="s">
        <v>3929</v>
      </c>
      <c r="F228" s="1786" t="s">
        <v>2958</v>
      </c>
      <c r="G228" s="1786" t="s">
        <v>2959</v>
      </c>
      <c r="H228" s="1786" t="str">
        <f t="shared" si="36"/>
        <v>פעיל</v>
      </c>
      <c r="I228" s="1788">
        <f t="shared" si="37"/>
        <v>42589.740104166704</v>
      </c>
      <c r="J228" s="1788" t="str">
        <f t="shared" si="38"/>
        <v/>
      </c>
      <c r="K228" s="1786">
        <v>0</v>
      </c>
      <c r="L228" s="1786" t="s">
        <v>1594</v>
      </c>
      <c r="M228" s="1786" t="s">
        <v>1653</v>
      </c>
      <c r="N228" s="1786" t="s">
        <v>1653</v>
      </c>
      <c r="O228" s="1786">
        <v>0</v>
      </c>
      <c r="P228" s="1786"/>
      <c r="Q228" s="1786">
        <v>0</v>
      </c>
      <c r="R228" s="1788"/>
      <c r="S228" s="1786">
        <f t="shared" si="39"/>
        <v>7833</v>
      </c>
      <c r="T228" s="1786" t="str">
        <f t="shared" si="40"/>
        <v>הבנק הבינלאומי הראשון</v>
      </c>
      <c r="U228" s="1786" t="str">
        <f t="shared" si="41"/>
        <v>אנליסט מסלולית - קופת גמל להשקעה</v>
      </c>
      <c r="V228" s="1786" t="str">
        <f t="shared" si="42"/>
        <v>520041963</v>
      </c>
      <c r="W228" s="1789" t="str">
        <f t="shared" si="43"/>
        <v>אנליסט קופות גמל בע"מ</v>
      </c>
      <c r="AC228" s="1759" t="s">
        <v>346</v>
      </c>
      <c r="AD228" s="1759"/>
      <c r="AE228" s="1760">
        <v>42589.740104166704</v>
      </c>
      <c r="AF228" s="1759" t="s">
        <v>3934</v>
      </c>
      <c r="AG228" s="1759" t="s">
        <v>1653</v>
      </c>
      <c r="AH228" s="1759" t="s">
        <v>1594</v>
      </c>
      <c r="AI228" s="1759" t="s">
        <v>4725</v>
      </c>
      <c r="AJ228" s="1759" t="s">
        <v>4724</v>
      </c>
      <c r="AK228" s="1759">
        <v>7986</v>
      </c>
      <c r="AL228" s="1759" t="s">
        <v>4659</v>
      </c>
      <c r="AM228" s="1759">
        <v>7833</v>
      </c>
      <c r="AN228" s="1759" t="s">
        <v>5384</v>
      </c>
      <c r="AO228" s="1764"/>
      <c r="AP228" s="1759" t="s">
        <v>5387</v>
      </c>
      <c r="AQ228" s="1759" t="s">
        <v>5388</v>
      </c>
      <c r="AR228" s="1759" t="s">
        <v>360</v>
      </c>
      <c r="AS228" s="1759" t="s">
        <v>361</v>
      </c>
      <c r="AT228" s="1759" t="s">
        <v>327</v>
      </c>
      <c r="AU228" s="1763"/>
      <c r="AV228" s="1763"/>
    </row>
    <row r="229" spans="1:48" ht="37.5" hidden="1">
      <c r="A229" s="1785" t="str">
        <f t="shared" si="33"/>
        <v>גמל</v>
      </c>
      <c r="B229" s="1786">
        <f t="shared" si="34"/>
        <v>7837</v>
      </c>
      <c r="C229" s="1787">
        <v>28946</v>
      </c>
      <c r="D229" s="1786" t="str">
        <f t="shared" si="35"/>
        <v xml:space="preserve">אנליסט מסלולית - קופת גמל להשקעה אג"ח </v>
      </c>
      <c r="E229" s="1786" t="s">
        <v>3929</v>
      </c>
      <c r="F229" s="1786" t="s">
        <v>2958</v>
      </c>
      <c r="G229" s="1786" t="s">
        <v>2959</v>
      </c>
      <c r="H229" s="1786" t="str">
        <f t="shared" si="36"/>
        <v>פעיל</v>
      </c>
      <c r="I229" s="1788">
        <f t="shared" si="37"/>
        <v>42589.740104166704</v>
      </c>
      <c r="J229" s="1788" t="str">
        <f t="shared" si="38"/>
        <v/>
      </c>
      <c r="K229" s="1786">
        <v>0</v>
      </c>
      <c r="L229" s="1786" t="s">
        <v>1594</v>
      </c>
      <c r="M229" s="1786" t="s">
        <v>1653</v>
      </c>
      <c r="N229" s="1786" t="s">
        <v>1653</v>
      </c>
      <c r="O229" s="1786">
        <v>0</v>
      </c>
      <c r="P229" s="1786"/>
      <c r="Q229" s="1786">
        <v>0</v>
      </c>
      <c r="R229" s="1788"/>
      <c r="S229" s="1786">
        <f t="shared" si="39"/>
        <v>7833</v>
      </c>
      <c r="T229" s="1786" t="str">
        <f t="shared" si="40"/>
        <v>הבנק הבינלאומי הראשון</v>
      </c>
      <c r="U229" s="1786" t="str">
        <f t="shared" si="41"/>
        <v>אנליסט מסלולית - קופת גמל להשקעה</v>
      </c>
      <c r="V229" s="1786" t="str">
        <f t="shared" si="42"/>
        <v>520041963</v>
      </c>
      <c r="W229" s="1789" t="str">
        <f t="shared" si="43"/>
        <v>אנליסט קופות גמל בע"מ</v>
      </c>
      <c r="AC229" s="1761" t="s">
        <v>346</v>
      </c>
      <c r="AD229" s="1761"/>
      <c r="AE229" s="1762">
        <v>42589.740104166704</v>
      </c>
      <c r="AF229" s="1761" t="s">
        <v>1653</v>
      </c>
      <c r="AG229" s="1761" t="s">
        <v>1653</v>
      </c>
      <c r="AH229" s="1761" t="s">
        <v>1594</v>
      </c>
      <c r="AI229" s="1761" t="s">
        <v>4663</v>
      </c>
      <c r="AJ229" s="1761" t="s">
        <v>4662</v>
      </c>
      <c r="AK229" s="1761">
        <v>7837</v>
      </c>
      <c r="AL229" s="1761" t="s">
        <v>4659</v>
      </c>
      <c r="AM229" s="1761">
        <v>7833</v>
      </c>
      <c r="AN229" s="1761" t="s">
        <v>5384</v>
      </c>
      <c r="AO229" s="1764"/>
      <c r="AP229" s="1761" t="s">
        <v>5387</v>
      </c>
      <c r="AQ229" s="1761" t="s">
        <v>5388</v>
      </c>
      <c r="AR229" s="1761" t="s">
        <v>360</v>
      </c>
      <c r="AS229" s="1761" t="s">
        <v>361</v>
      </c>
      <c r="AT229" s="1761" t="s">
        <v>327</v>
      </c>
      <c r="AU229" s="1763"/>
      <c r="AV229" s="1763"/>
    </row>
    <row r="230" spans="1:48" ht="37.5" hidden="1">
      <c r="A230" s="1785" t="str">
        <f t="shared" si="33"/>
        <v>גמל</v>
      </c>
      <c r="B230" s="1786">
        <f t="shared" si="34"/>
        <v>7839</v>
      </c>
      <c r="C230" s="1787">
        <v>28946</v>
      </c>
      <c r="D230" s="1786" t="str">
        <f t="shared" si="35"/>
        <v>אנליסט מסלולית - קופת גמל להשקעה שיקלי טווח קצר</v>
      </c>
      <c r="E230" s="1786" t="s">
        <v>3929</v>
      </c>
      <c r="F230" s="1786" t="s">
        <v>2958</v>
      </c>
      <c r="G230" s="1786" t="s">
        <v>2959</v>
      </c>
      <c r="H230" s="1786" t="str">
        <f t="shared" si="36"/>
        <v>פעיל</v>
      </c>
      <c r="I230" s="1788">
        <f t="shared" si="37"/>
        <v>42589.740104166704</v>
      </c>
      <c r="J230" s="1788" t="str">
        <f t="shared" si="38"/>
        <v/>
      </c>
      <c r="K230" s="1786">
        <v>0</v>
      </c>
      <c r="L230" s="1786" t="s">
        <v>1594</v>
      </c>
      <c r="M230" s="1786" t="s">
        <v>1653</v>
      </c>
      <c r="N230" s="1786" t="s">
        <v>1653</v>
      </c>
      <c r="O230" s="1786">
        <v>0</v>
      </c>
      <c r="P230" s="1786"/>
      <c r="Q230" s="1786">
        <v>0</v>
      </c>
      <c r="R230" s="1788"/>
      <c r="S230" s="1786">
        <f t="shared" si="39"/>
        <v>7833</v>
      </c>
      <c r="T230" s="1786" t="str">
        <f t="shared" si="40"/>
        <v>הבנק הבינלאומי הראשון</v>
      </c>
      <c r="U230" s="1786" t="str">
        <f t="shared" si="41"/>
        <v>אנליסט מסלולית - קופת גמל להשקעה</v>
      </c>
      <c r="V230" s="1786" t="str">
        <f t="shared" si="42"/>
        <v>520041963</v>
      </c>
      <c r="W230" s="1789" t="str">
        <f t="shared" si="43"/>
        <v>אנליסט קופות גמל בע"מ</v>
      </c>
      <c r="AC230" s="1759" t="s">
        <v>346</v>
      </c>
      <c r="AD230" s="1759"/>
      <c r="AE230" s="1760">
        <v>42589.740104166704</v>
      </c>
      <c r="AF230" s="1759" t="s">
        <v>1673</v>
      </c>
      <c r="AG230" s="1759" t="s">
        <v>1614</v>
      </c>
      <c r="AH230" s="1759" t="s">
        <v>1594</v>
      </c>
      <c r="AI230" s="1759" t="s">
        <v>4665</v>
      </c>
      <c r="AJ230" s="1759" t="s">
        <v>4664</v>
      </c>
      <c r="AK230" s="1759">
        <v>7839</v>
      </c>
      <c r="AL230" s="1759" t="s">
        <v>4659</v>
      </c>
      <c r="AM230" s="1759">
        <v>7833</v>
      </c>
      <c r="AN230" s="1759" t="s">
        <v>5384</v>
      </c>
      <c r="AO230" s="1764"/>
      <c r="AP230" s="1759" t="s">
        <v>5387</v>
      </c>
      <c r="AQ230" s="1759" t="s">
        <v>5388</v>
      </c>
      <c r="AR230" s="1759" t="s">
        <v>360</v>
      </c>
      <c r="AS230" s="1759" t="s">
        <v>361</v>
      </c>
      <c r="AT230" s="1759" t="s">
        <v>327</v>
      </c>
      <c r="AU230" s="1763"/>
      <c r="AV230" s="1763"/>
    </row>
    <row r="231" spans="1:48" ht="37.5" hidden="1">
      <c r="A231" s="1785" t="str">
        <f t="shared" si="33"/>
        <v>גמל</v>
      </c>
      <c r="B231" s="1786">
        <f t="shared" si="34"/>
        <v>7842</v>
      </c>
      <c r="C231" s="1787">
        <v>28946</v>
      </c>
      <c r="D231" s="1786" t="str">
        <f t="shared" si="35"/>
        <v xml:space="preserve">אנליסט מסלולית - קופת גמל להשקעה חו"ל </v>
      </c>
      <c r="E231" s="1786" t="s">
        <v>3929</v>
      </c>
      <c r="F231" s="1786" t="s">
        <v>2958</v>
      </c>
      <c r="G231" s="1786" t="s">
        <v>2959</v>
      </c>
      <c r="H231" s="1786" t="str">
        <f t="shared" si="36"/>
        <v>פעיל</v>
      </c>
      <c r="I231" s="1788">
        <f t="shared" si="37"/>
        <v>42589.740104166704</v>
      </c>
      <c r="J231" s="1788" t="str">
        <f t="shared" si="38"/>
        <v/>
      </c>
      <c r="K231" s="1786">
        <v>0</v>
      </c>
      <c r="L231" s="1786" t="s">
        <v>1594</v>
      </c>
      <c r="M231" s="1786" t="s">
        <v>1653</v>
      </c>
      <c r="N231" s="1786" t="s">
        <v>1653</v>
      </c>
      <c r="O231" s="1786">
        <v>0</v>
      </c>
      <c r="P231" s="1786"/>
      <c r="Q231" s="1786">
        <v>0</v>
      </c>
      <c r="R231" s="1788"/>
      <c r="S231" s="1786">
        <f t="shared" si="39"/>
        <v>7833</v>
      </c>
      <c r="T231" s="1786" t="str">
        <f t="shared" si="40"/>
        <v>הבנק הבינלאומי הראשון</v>
      </c>
      <c r="U231" s="1786" t="str">
        <f t="shared" si="41"/>
        <v>אנליסט מסלולית - קופת גמל להשקעה</v>
      </c>
      <c r="V231" s="1786" t="str">
        <f t="shared" si="42"/>
        <v>520041963</v>
      </c>
      <c r="W231" s="1789" t="str">
        <f t="shared" si="43"/>
        <v>אנליסט קופות גמל בע"מ</v>
      </c>
      <c r="AC231" s="1761" t="s">
        <v>346</v>
      </c>
      <c r="AD231" s="1761"/>
      <c r="AE231" s="1762">
        <v>42589.740104166704</v>
      </c>
      <c r="AF231" s="1761" t="s">
        <v>1948</v>
      </c>
      <c r="AG231" s="1761" t="s">
        <v>1948</v>
      </c>
      <c r="AH231" s="1761" t="s">
        <v>1594</v>
      </c>
      <c r="AI231" s="1761" t="s">
        <v>4667</v>
      </c>
      <c r="AJ231" s="1761" t="s">
        <v>4666</v>
      </c>
      <c r="AK231" s="1761">
        <v>7842</v>
      </c>
      <c r="AL231" s="1761" t="s">
        <v>4659</v>
      </c>
      <c r="AM231" s="1761">
        <v>7833</v>
      </c>
      <c r="AN231" s="1761" t="s">
        <v>5384</v>
      </c>
      <c r="AO231" s="1764"/>
      <c r="AP231" s="1761" t="s">
        <v>5387</v>
      </c>
      <c r="AQ231" s="1761" t="s">
        <v>5388</v>
      </c>
      <c r="AR231" s="1761" t="s">
        <v>360</v>
      </c>
      <c r="AS231" s="1761" t="s">
        <v>361</v>
      </c>
      <c r="AT231" s="1761" t="s">
        <v>327</v>
      </c>
      <c r="AU231" s="1763"/>
      <c r="AV231" s="1763"/>
    </row>
    <row r="232" spans="1:48" ht="37.5" hidden="1">
      <c r="A232" s="1785" t="str">
        <f t="shared" si="33"/>
        <v>גמל</v>
      </c>
      <c r="B232" s="1786">
        <f t="shared" si="34"/>
        <v>7843</v>
      </c>
      <c r="C232" s="1787">
        <v>28946</v>
      </c>
      <c r="D232" s="1786" t="str">
        <f t="shared" si="35"/>
        <v xml:space="preserve">אנליסט מסלולית - קופת גמל להשקעה פאסיבי- כללי </v>
      </c>
      <c r="E232" s="1786" t="s">
        <v>3929</v>
      </c>
      <c r="F232" s="1786" t="s">
        <v>2958</v>
      </c>
      <c r="G232" s="1786" t="s">
        <v>2959</v>
      </c>
      <c r="H232" s="1786" t="str">
        <f t="shared" si="36"/>
        <v>פעיל</v>
      </c>
      <c r="I232" s="1788">
        <f t="shared" si="37"/>
        <v>42589.740104166704</v>
      </c>
      <c r="J232" s="1788" t="str">
        <f t="shared" si="38"/>
        <v/>
      </c>
      <c r="K232" s="1786">
        <v>0</v>
      </c>
      <c r="L232" s="1786" t="s">
        <v>1594</v>
      </c>
      <c r="M232" s="1786" t="s">
        <v>1653</v>
      </c>
      <c r="N232" s="1786" t="s">
        <v>1653</v>
      </c>
      <c r="O232" s="1786">
        <v>0</v>
      </c>
      <c r="P232" s="1786"/>
      <c r="Q232" s="1786">
        <v>0</v>
      </c>
      <c r="R232" s="1788"/>
      <c r="S232" s="1786">
        <f t="shared" si="39"/>
        <v>7833</v>
      </c>
      <c r="T232" s="1786" t="str">
        <f t="shared" si="40"/>
        <v>הבנק הבינלאומי הראשון</v>
      </c>
      <c r="U232" s="1786" t="str">
        <f t="shared" si="41"/>
        <v>אנליסט מסלולית - קופת גמל להשקעה</v>
      </c>
      <c r="V232" s="1786" t="str">
        <f t="shared" si="42"/>
        <v>520041963</v>
      </c>
      <c r="W232" s="1789" t="str">
        <f t="shared" si="43"/>
        <v>אנליסט קופות גמל בע"מ</v>
      </c>
      <c r="AC232" s="1759" t="s">
        <v>346</v>
      </c>
      <c r="AD232" s="1759"/>
      <c r="AE232" s="1760">
        <v>42589.740104166704</v>
      </c>
      <c r="AF232" s="1759" t="s">
        <v>3959</v>
      </c>
      <c r="AG232" s="1759" t="s">
        <v>1583</v>
      </c>
      <c r="AH232" s="1759" t="s">
        <v>1583</v>
      </c>
      <c r="AI232" s="1759" t="s">
        <v>4669</v>
      </c>
      <c r="AJ232" s="1759" t="s">
        <v>4668</v>
      </c>
      <c r="AK232" s="1759">
        <v>7843</v>
      </c>
      <c r="AL232" s="1759" t="s">
        <v>4659</v>
      </c>
      <c r="AM232" s="1759">
        <v>7833</v>
      </c>
      <c r="AN232" s="1759" t="s">
        <v>5384</v>
      </c>
      <c r="AO232" s="1764"/>
      <c r="AP232" s="1759" t="s">
        <v>5387</v>
      </c>
      <c r="AQ232" s="1759" t="s">
        <v>5388</v>
      </c>
      <c r="AR232" s="1759" t="s">
        <v>360</v>
      </c>
      <c r="AS232" s="1759" t="s">
        <v>361</v>
      </c>
      <c r="AT232" s="1759" t="s">
        <v>327</v>
      </c>
      <c r="AU232" s="1763"/>
      <c r="AV232" s="1763"/>
    </row>
    <row r="233" spans="1:48" ht="25" hidden="1">
      <c r="A233" s="1785" t="str">
        <f t="shared" si="33"/>
        <v>גמל</v>
      </c>
      <c r="B233" s="1786">
        <f t="shared" si="34"/>
        <v>7800</v>
      </c>
      <c r="C233" s="1787">
        <v>28946</v>
      </c>
      <c r="D233" s="1786" t="str">
        <f t="shared" si="35"/>
        <v>אלטשולר שחם חיסכון פלוס אג"ח עד 15% במניות</v>
      </c>
      <c r="E233" s="1786" t="s">
        <v>3929</v>
      </c>
      <c r="F233" s="1786" t="s">
        <v>2958</v>
      </c>
      <c r="G233" s="1786" t="s">
        <v>2959</v>
      </c>
      <c r="H233" s="1786" t="str">
        <f t="shared" si="36"/>
        <v>פעיל</v>
      </c>
      <c r="I233" s="1788">
        <f t="shared" si="37"/>
        <v>42565.584085648101</v>
      </c>
      <c r="J233" s="1788" t="str">
        <f t="shared" si="38"/>
        <v/>
      </c>
      <c r="K233" s="1786">
        <v>0</v>
      </c>
      <c r="L233" s="1786" t="s">
        <v>1594</v>
      </c>
      <c r="M233" s="1786" t="s">
        <v>1653</v>
      </c>
      <c r="N233" s="1786" t="s">
        <v>1653</v>
      </c>
      <c r="O233" s="1786">
        <v>0</v>
      </c>
      <c r="P233" s="1786"/>
      <c r="Q233" s="1786">
        <v>0</v>
      </c>
      <c r="R233" s="1788"/>
      <c r="S233" s="1786">
        <f t="shared" si="39"/>
        <v>7797</v>
      </c>
      <c r="T233" s="1786" t="str">
        <f t="shared" si="40"/>
        <v>לאומי</v>
      </c>
      <c r="U233" s="1786" t="str">
        <f t="shared" si="41"/>
        <v>אלטשולר שחם חיסכון פלוס</v>
      </c>
      <c r="V233" s="1786" t="str">
        <f t="shared" si="42"/>
        <v>511446551</v>
      </c>
      <c r="W233" s="1789" t="str">
        <f t="shared" si="43"/>
        <v>אלטשולר שחם גמל ופנסיה בע"מ</v>
      </c>
      <c r="AC233" s="1761" t="s">
        <v>346</v>
      </c>
      <c r="AD233" s="1761"/>
      <c r="AE233" s="1762">
        <v>42565.584085648101</v>
      </c>
      <c r="AF233" s="1761" t="s">
        <v>3934</v>
      </c>
      <c r="AG233" s="1761" t="s">
        <v>1653</v>
      </c>
      <c r="AH233" s="1761" t="s">
        <v>1594</v>
      </c>
      <c r="AI233" s="1761" t="s">
        <v>4647</v>
      </c>
      <c r="AJ233" s="1761" t="s">
        <v>4647</v>
      </c>
      <c r="AK233" s="1761">
        <v>7800</v>
      </c>
      <c r="AL233" s="1761" t="s">
        <v>4645</v>
      </c>
      <c r="AM233" s="1761">
        <v>7797</v>
      </c>
      <c r="AN233" s="1761" t="s">
        <v>5305</v>
      </c>
      <c r="AO233" s="1764"/>
      <c r="AP233" s="1761" t="s">
        <v>5375</v>
      </c>
      <c r="AQ233" s="1761" t="s">
        <v>5376</v>
      </c>
      <c r="AR233" s="1761" t="s">
        <v>2963</v>
      </c>
      <c r="AS233" s="1761" t="s">
        <v>523</v>
      </c>
      <c r="AT233" s="1761" t="s">
        <v>327</v>
      </c>
      <c r="AU233" s="1763"/>
      <c r="AV233" s="1763"/>
    </row>
    <row r="234" spans="1:48" ht="25" hidden="1">
      <c r="A234" s="1785" t="str">
        <f t="shared" si="33"/>
        <v>גמל</v>
      </c>
      <c r="B234" s="1786">
        <f t="shared" si="34"/>
        <v>7799</v>
      </c>
      <c r="C234" s="1787">
        <v>28946</v>
      </c>
      <c r="D234" s="1786" t="str">
        <f t="shared" si="35"/>
        <v xml:space="preserve">אלטשולר שחם חיסכון פלוס מניות </v>
      </c>
      <c r="E234" s="1786" t="s">
        <v>3929</v>
      </c>
      <c r="F234" s="1786" t="s">
        <v>2958</v>
      </c>
      <c r="G234" s="1786" t="s">
        <v>2959</v>
      </c>
      <c r="H234" s="1786" t="str">
        <f t="shared" si="36"/>
        <v>פעיל</v>
      </c>
      <c r="I234" s="1788">
        <f t="shared" si="37"/>
        <v>42565.584085648101</v>
      </c>
      <c r="J234" s="1788" t="str">
        <f t="shared" si="38"/>
        <v/>
      </c>
      <c r="K234" s="1786">
        <v>0</v>
      </c>
      <c r="L234" s="1786" t="s">
        <v>1594</v>
      </c>
      <c r="M234" s="1786" t="s">
        <v>1653</v>
      </c>
      <c r="N234" s="1786" t="s">
        <v>1653</v>
      </c>
      <c r="O234" s="1786">
        <v>0</v>
      </c>
      <c r="P234" s="1786"/>
      <c r="Q234" s="1786">
        <v>0</v>
      </c>
      <c r="R234" s="1788"/>
      <c r="S234" s="1786">
        <f t="shared" si="39"/>
        <v>7797</v>
      </c>
      <c r="T234" s="1786" t="str">
        <f t="shared" si="40"/>
        <v>לאומי</v>
      </c>
      <c r="U234" s="1786" t="str">
        <f t="shared" si="41"/>
        <v>אלטשולר שחם חיסכון פלוס</v>
      </c>
      <c r="V234" s="1786" t="str">
        <f t="shared" si="42"/>
        <v>511446551</v>
      </c>
      <c r="W234" s="1789" t="str">
        <f t="shared" si="43"/>
        <v>אלטשולר שחם גמל ופנסיה בע"מ</v>
      </c>
      <c r="AC234" s="1759" t="s">
        <v>346</v>
      </c>
      <c r="AD234" s="1759"/>
      <c r="AE234" s="1760">
        <v>42565.584085648101</v>
      </c>
      <c r="AF234" s="1759" t="s">
        <v>1595</v>
      </c>
      <c r="AG234" s="1759" t="s">
        <v>75</v>
      </c>
      <c r="AH234" s="1759" t="s">
        <v>1594</v>
      </c>
      <c r="AI234" s="1759" t="s">
        <v>4646</v>
      </c>
      <c r="AJ234" s="1759" t="s">
        <v>4646</v>
      </c>
      <c r="AK234" s="1759">
        <v>7799</v>
      </c>
      <c r="AL234" s="1759" t="s">
        <v>4645</v>
      </c>
      <c r="AM234" s="1759">
        <v>7797</v>
      </c>
      <c r="AN234" s="1759" t="s">
        <v>5305</v>
      </c>
      <c r="AO234" s="1764"/>
      <c r="AP234" s="1759" t="s">
        <v>5375</v>
      </c>
      <c r="AQ234" s="1759" t="s">
        <v>5376</v>
      </c>
      <c r="AR234" s="1759" t="s">
        <v>2963</v>
      </c>
      <c r="AS234" s="1759" t="s">
        <v>523</v>
      </c>
      <c r="AT234" s="1759" t="s">
        <v>327</v>
      </c>
      <c r="AU234" s="1763"/>
      <c r="AV234" s="1763"/>
    </row>
    <row r="235" spans="1:48" ht="25" hidden="1">
      <c r="A235" s="1785" t="str">
        <f t="shared" si="33"/>
        <v>גמל</v>
      </c>
      <c r="B235" s="1786">
        <f t="shared" si="34"/>
        <v>7798</v>
      </c>
      <c r="C235" s="1787">
        <v>28946</v>
      </c>
      <c r="D235" s="1786" t="str">
        <f t="shared" si="35"/>
        <v>אלטשולר שחם חיסכון פלוס כללי</v>
      </c>
      <c r="E235" s="1786" t="s">
        <v>3929</v>
      </c>
      <c r="F235" s="1786" t="s">
        <v>2958</v>
      </c>
      <c r="G235" s="1786" t="s">
        <v>2959</v>
      </c>
      <c r="H235" s="1786" t="str">
        <f t="shared" si="36"/>
        <v>פעיל</v>
      </c>
      <c r="I235" s="1788">
        <f t="shared" si="37"/>
        <v>42565.584085648101</v>
      </c>
      <c r="J235" s="1788" t="str">
        <f t="shared" si="38"/>
        <v/>
      </c>
      <c r="K235" s="1786">
        <v>0</v>
      </c>
      <c r="L235" s="1786" t="s">
        <v>1594</v>
      </c>
      <c r="M235" s="1786" t="s">
        <v>1653</v>
      </c>
      <c r="N235" s="1786" t="s">
        <v>1653</v>
      </c>
      <c r="O235" s="1786">
        <v>0</v>
      </c>
      <c r="P235" s="1786"/>
      <c r="Q235" s="1786">
        <v>0</v>
      </c>
      <c r="R235" s="1788"/>
      <c r="S235" s="1786">
        <f t="shared" si="39"/>
        <v>7797</v>
      </c>
      <c r="T235" s="1786" t="str">
        <f t="shared" si="40"/>
        <v>לאומי</v>
      </c>
      <c r="U235" s="1786" t="str">
        <f t="shared" si="41"/>
        <v>אלטשולר שחם חיסכון פלוס</v>
      </c>
      <c r="V235" s="1786" t="str">
        <f t="shared" si="42"/>
        <v>511446551</v>
      </c>
      <c r="W235" s="1789" t="str">
        <f t="shared" si="43"/>
        <v>אלטשולר שחם גמל ופנסיה בע"מ</v>
      </c>
      <c r="AC235" s="1761" t="s">
        <v>346</v>
      </c>
      <c r="AD235" s="1761"/>
      <c r="AE235" s="1762">
        <v>42565.584085648101</v>
      </c>
      <c r="AF235" s="1761" t="s">
        <v>1583</v>
      </c>
      <c r="AG235" s="1761" t="s">
        <v>1583</v>
      </c>
      <c r="AH235" s="1761" t="s">
        <v>1583</v>
      </c>
      <c r="AI235" s="1761" t="s">
        <v>4644</v>
      </c>
      <c r="AJ235" s="1761" t="s">
        <v>4644</v>
      </c>
      <c r="AK235" s="1761">
        <v>7798</v>
      </c>
      <c r="AL235" s="1761" t="s">
        <v>4645</v>
      </c>
      <c r="AM235" s="1761">
        <v>7797</v>
      </c>
      <c r="AN235" s="1761" t="s">
        <v>5305</v>
      </c>
      <c r="AO235" s="1764"/>
      <c r="AP235" s="1761" t="s">
        <v>5375</v>
      </c>
      <c r="AQ235" s="1761" t="s">
        <v>5376</v>
      </c>
      <c r="AR235" s="1761" t="s">
        <v>2963</v>
      </c>
      <c r="AS235" s="1761" t="s">
        <v>523</v>
      </c>
      <c r="AT235" s="1761" t="s">
        <v>327</v>
      </c>
      <c r="AU235" s="1763"/>
      <c r="AV235" s="1763"/>
    </row>
    <row r="236" spans="1:48" ht="25" hidden="1">
      <c r="A236" s="1785" t="str">
        <f t="shared" si="33"/>
        <v>גמל</v>
      </c>
      <c r="B236" s="1786">
        <f t="shared" si="34"/>
        <v>12257</v>
      </c>
      <c r="C236" s="1787">
        <v>28946</v>
      </c>
      <c r="D236" s="1786" t="str">
        <f t="shared" si="35"/>
        <v>אלטשולר שחם חיסכון פלוס הלכה</v>
      </c>
      <c r="E236" s="1786" t="s">
        <v>3929</v>
      </c>
      <c r="F236" s="1786" t="s">
        <v>2958</v>
      </c>
      <c r="G236" s="1786" t="s">
        <v>2959</v>
      </c>
      <c r="H236" s="1786" t="str">
        <f t="shared" si="36"/>
        <v>פעיל</v>
      </c>
      <c r="I236" s="1788">
        <f t="shared" si="37"/>
        <v>42565.584085648101</v>
      </c>
      <c r="J236" s="1788" t="str">
        <f t="shared" si="38"/>
        <v/>
      </c>
      <c r="K236" s="1786">
        <v>0</v>
      </c>
      <c r="L236" s="1786" t="s">
        <v>1594</v>
      </c>
      <c r="M236" s="1786" t="s">
        <v>1653</v>
      </c>
      <c r="N236" s="1786" t="s">
        <v>1653</v>
      </c>
      <c r="O236" s="1786">
        <v>0</v>
      </c>
      <c r="P236" s="1786"/>
      <c r="Q236" s="1786">
        <v>0</v>
      </c>
      <c r="R236" s="1788"/>
      <c r="S236" s="1786">
        <f t="shared" si="39"/>
        <v>7797</v>
      </c>
      <c r="T236" s="1786" t="str">
        <f t="shared" si="40"/>
        <v>לאומי</v>
      </c>
      <c r="U236" s="1786" t="str">
        <f t="shared" si="41"/>
        <v>אלטשולר שחם חיסכון פלוס</v>
      </c>
      <c r="V236" s="1786" t="str">
        <f t="shared" si="42"/>
        <v>511446551</v>
      </c>
      <c r="W236" s="1789" t="str">
        <f t="shared" si="43"/>
        <v>אלטשולר שחם גמל ופנסיה בע"מ</v>
      </c>
      <c r="AC236" s="1759" t="s">
        <v>346</v>
      </c>
      <c r="AD236" s="1759"/>
      <c r="AE236" s="1760">
        <v>42565.584085648101</v>
      </c>
      <c r="AF236" s="1759" t="s">
        <v>4603</v>
      </c>
      <c r="AG236" s="1759" t="s">
        <v>2029</v>
      </c>
      <c r="AH236" s="1759" t="s">
        <v>2028</v>
      </c>
      <c r="AI236" s="1759" t="s">
        <v>5497</v>
      </c>
      <c r="AJ236" s="1759" t="s">
        <v>5497</v>
      </c>
      <c r="AK236" s="1759">
        <v>12257</v>
      </c>
      <c r="AL236" s="1759" t="s">
        <v>4645</v>
      </c>
      <c r="AM236" s="1759">
        <v>7797</v>
      </c>
      <c r="AN236" s="1759" t="s">
        <v>5305</v>
      </c>
      <c r="AO236" s="1764"/>
      <c r="AP236" s="1759" t="s">
        <v>5375</v>
      </c>
      <c r="AQ236" s="1759" t="s">
        <v>5376</v>
      </c>
      <c r="AR236" s="1759" t="s">
        <v>2963</v>
      </c>
      <c r="AS236" s="1759" t="s">
        <v>523</v>
      </c>
      <c r="AT236" s="1759" t="s">
        <v>327</v>
      </c>
      <c r="AU236" s="1763"/>
      <c r="AV236" s="1763"/>
    </row>
    <row r="237" spans="1:48" ht="25" hidden="1">
      <c r="A237" s="1785" t="str">
        <f t="shared" si="33"/>
        <v>גמל</v>
      </c>
      <c r="B237" s="1786">
        <f t="shared" si="34"/>
        <v>7802</v>
      </c>
      <c r="C237" s="1787">
        <v>28946</v>
      </c>
      <c r="D237" s="1786" t="str">
        <f t="shared" si="35"/>
        <v>אלטשולר שחם חיסכון פלוס כספי</v>
      </c>
      <c r="E237" s="1786" t="s">
        <v>3929</v>
      </c>
      <c r="F237" s="1786" t="s">
        <v>2958</v>
      </c>
      <c r="G237" s="1786" t="s">
        <v>2959</v>
      </c>
      <c r="H237" s="1786" t="str">
        <f t="shared" si="36"/>
        <v>פעיל</v>
      </c>
      <c r="I237" s="1788">
        <f t="shared" si="37"/>
        <v>42565.584085648101</v>
      </c>
      <c r="J237" s="1788" t="str">
        <f t="shared" si="38"/>
        <v/>
      </c>
      <c r="K237" s="1786">
        <v>0</v>
      </c>
      <c r="L237" s="1786" t="s">
        <v>1594</v>
      </c>
      <c r="M237" s="1786" t="s">
        <v>1653</v>
      </c>
      <c r="N237" s="1786" t="s">
        <v>1653</v>
      </c>
      <c r="O237" s="1786">
        <v>0</v>
      </c>
      <c r="P237" s="1786"/>
      <c r="Q237" s="1786">
        <v>0</v>
      </c>
      <c r="R237" s="1788"/>
      <c r="S237" s="1786">
        <f t="shared" si="39"/>
        <v>7797</v>
      </c>
      <c r="T237" s="1786" t="str">
        <f t="shared" si="40"/>
        <v>לאומי</v>
      </c>
      <c r="U237" s="1786" t="str">
        <f t="shared" si="41"/>
        <v>אלטשולר שחם חיסכון פלוס</v>
      </c>
      <c r="V237" s="1786" t="str">
        <f t="shared" si="42"/>
        <v>511446551</v>
      </c>
      <c r="W237" s="1789" t="str">
        <f t="shared" si="43"/>
        <v>אלטשולר שחם גמל ופנסיה בע"מ</v>
      </c>
      <c r="AC237" s="1761" t="s">
        <v>346</v>
      </c>
      <c r="AD237" s="1761"/>
      <c r="AE237" s="1762">
        <v>42565.584085648101</v>
      </c>
      <c r="AF237" s="1761" t="s">
        <v>2409</v>
      </c>
      <c r="AG237" s="1761" t="s">
        <v>1614</v>
      </c>
      <c r="AH237" s="1761" t="s">
        <v>1594</v>
      </c>
      <c r="AI237" s="1761" t="s">
        <v>4649</v>
      </c>
      <c r="AJ237" s="1761" t="s">
        <v>4649</v>
      </c>
      <c r="AK237" s="1761">
        <v>7802</v>
      </c>
      <c r="AL237" s="1761" t="s">
        <v>4645</v>
      </c>
      <c r="AM237" s="1761">
        <v>7797</v>
      </c>
      <c r="AN237" s="1761" t="s">
        <v>5305</v>
      </c>
      <c r="AO237" s="1764"/>
      <c r="AP237" s="1761" t="s">
        <v>5375</v>
      </c>
      <c r="AQ237" s="1761" t="s">
        <v>5376</v>
      </c>
      <c r="AR237" s="1761" t="s">
        <v>2963</v>
      </c>
      <c r="AS237" s="1761" t="s">
        <v>523</v>
      </c>
      <c r="AT237" s="1761" t="s">
        <v>327</v>
      </c>
      <c r="AU237" s="1763"/>
      <c r="AV237" s="1763"/>
    </row>
    <row r="238" spans="1:48" ht="25" hidden="1">
      <c r="A238" s="1785" t="str">
        <f t="shared" si="33"/>
        <v>גמל</v>
      </c>
      <c r="B238" s="1786">
        <f t="shared" si="34"/>
        <v>7801</v>
      </c>
      <c r="C238" s="1787">
        <v>28946</v>
      </c>
      <c r="D238" s="1786" t="str">
        <f t="shared" si="35"/>
        <v>אלטשולר שחם חיסכון פלוס אג"ח ללא מניות</v>
      </c>
      <c r="E238" s="1786" t="s">
        <v>3929</v>
      </c>
      <c r="F238" s="1786" t="s">
        <v>2958</v>
      </c>
      <c r="G238" s="1786" t="s">
        <v>2959</v>
      </c>
      <c r="H238" s="1786" t="str">
        <f t="shared" si="36"/>
        <v>פעיל</v>
      </c>
      <c r="I238" s="1788">
        <f t="shared" si="37"/>
        <v>42565.584085648101</v>
      </c>
      <c r="J238" s="1788" t="str">
        <f t="shared" si="38"/>
        <v/>
      </c>
      <c r="K238" s="1786">
        <v>0</v>
      </c>
      <c r="L238" s="1786" t="s">
        <v>1594</v>
      </c>
      <c r="M238" s="1786" t="s">
        <v>1653</v>
      </c>
      <c r="N238" s="1786" t="s">
        <v>1653</v>
      </c>
      <c r="O238" s="1786">
        <v>0</v>
      </c>
      <c r="P238" s="1786"/>
      <c r="Q238" s="1786">
        <v>0</v>
      </c>
      <c r="R238" s="1788"/>
      <c r="S238" s="1786">
        <f t="shared" si="39"/>
        <v>7797</v>
      </c>
      <c r="T238" s="1786" t="str">
        <f t="shared" si="40"/>
        <v>לאומי</v>
      </c>
      <c r="U238" s="1786" t="str">
        <f t="shared" si="41"/>
        <v>אלטשולר שחם חיסכון פלוס</v>
      </c>
      <c r="V238" s="1786" t="str">
        <f t="shared" si="42"/>
        <v>511446551</v>
      </c>
      <c r="W238" s="1789" t="str">
        <f t="shared" si="43"/>
        <v>אלטשולר שחם גמל ופנסיה בע"מ</v>
      </c>
      <c r="AC238" s="1759" t="s">
        <v>346</v>
      </c>
      <c r="AD238" s="1759"/>
      <c r="AE238" s="1760">
        <v>42565.584085648101</v>
      </c>
      <c r="AF238" s="1759" t="s">
        <v>1681</v>
      </c>
      <c r="AG238" s="1759" t="s">
        <v>1653</v>
      </c>
      <c r="AH238" s="1759" t="s">
        <v>1594</v>
      </c>
      <c r="AI238" s="1759" t="s">
        <v>4648</v>
      </c>
      <c r="AJ238" s="1759" t="s">
        <v>4648</v>
      </c>
      <c r="AK238" s="1759">
        <v>7801</v>
      </c>
      <c r="AL238" s="1759" t="s">
        <v>4645</v>
      </c>
      <c r="AM238" s="1759">
        <v>7797</v>
      </c>
      <c r="AN238" s="1759" t="s">
        <v>5305</v>
      </c>
      <c r="AO238" s="1764"/>
      <c r="AP238" s="1759" t="s">
        <v>5375</v>
      </c>
      <c r="AQ238" s="1759" t="s">
        <v>5376</v>
      </c>
      <c r="AR238" s="1759" t="s">
        <v>2963</v>
      </c>
      <c r="AS238" s="1759" t="s">
        <v>523</v>
      </c>
      <c r="AT238" s="1759" t="s">
        <v>327</v>
      </c>
      <c r="AU238" s="1763"/>
      <c r="AV238" s="1763"/>
    </row>
    <row r="239" spans="1:48" ht="25" hidden="1">
      <c r="A239" s="1785" t="str">
        <f t="shared" si="33"/>
        <v>גמל</v>
      </c>
      <c r="B239" s="1786">
        <f t="shared" si="34"/>
        <v>7815</v>
      </c>
      <c r="C239" s="1787">
        <v>28946</v>
      </c>
      <c r="D239" s="1786" t="str">
        <f t="shared" si="35"/>
        <v>פסגות NEXT גמל להשקעה אג"ח קונצרני</v>
      </c>
      <c r="E239" s="1786" t="s">
        <v>3929</v>
      </c>
      <c r="F239" s="1786" t="s">
        <v>2958</v>
      </c>
      <c r="G239" s="1786" t="s">
        <v>2959</v>
      </c>
      <c r="H239" s="1786" t="str">
        <f t="shared" si="36"/>
        <v>פעיל</v>
      </c>
      <c r="I239" s="1788">
        <f t="shared" si="37"/>
        <v>42536.717719907399</v>
      </c>
      <c r="J239" s="1788" t="str">
        <f t="shared" si="38"/>
        <v/>
      </c>
      <c r="K239" s="1786">
        <v>0</v>
      </c>
      <c r="L239" s="1786" t="s">
        <v>1594</v>
      </c>
      <c r="M239" s="1786" t="s">
        <v>1653</v>
      </c>
      <c r="N239" s="1786" t="s">
        <v>1653</v>
      </c>
      <c r="O239" s="1786">
        <v>0</v>
      </c>
      <c r="P239" s="1786"/>
      <c r="Q239" s="1786">
        <v>0</v>
      </c>
      <c r="R239" s="1788"/>
      <c r="S239" s="1786">
        <f t="shared" si="39"/>
        <v>7723</v>
      </c>
      <c r="T239" s="1786" t="str">
        <f t="shared" si="40"/>
        <v>מלם גמל ופנסיה בע"מ</v>
      </c>
      <c r="U239" s="1786" t="str">
        <f t="shared" si="41"/>
        <v>פסגות NEXT גמל להשקעה</v>
      </c>
      <c r="V239" s="1786" t="str">
        <f t="shared" si="42"/>
        <v>513767079</v>
      </c>
      <c r="W239" s="1789" t="str">
        <f t="shared" si="43"/>
        <v>פסגות קופות גמל ופנסיה בע"מ</v>
      </c>
      <c r="AC239" s="1761" t="s">
        <v>346</v>
      </c>
      <c r="AD239" s="1761"/>
      <c r="AE239" s="1762">
        <v>42536.717719907399</v>
      </c>
      <c r="AF239" s="1761" t="s">
        <v>3010</v>
      </c>
      <c r="AG239" s="1761" t="s">
        <v>1653</v>
      </c>
      <c r="AH239" s="1761" t="s">
        <v>1594</v>
      </c>
      <c r="AI239" s="1761" t="s">
        <v>5498</v>
      </c>
      <c r="AJ239" s="1761" t="s">
        <v>5498</v>
      </c>
      <c r="AK239" s="1761">
        <v>7815</v>
      </c>
      <c r="AL239" s="1761" t="s">
        <v>5499</v>
      </c>
      <c r="AM239" s="1761">
        <v>7723</v>
      </c>
      <c r="AN239" s="1761" t="s">
        <v>5500</v>
      </c>
      <c r="AO239" s="1764"/>
      <c r="AP239" s="1761" t="s">
        <v>5365</v>
      </c>
      <c r="AQ239" s="1761" t="s">
        <v>5366</v>
      </c>
      <c r="AR239" s="1761" t="s">
        <v>351</v>
      </c>
      <c r="AS239" s="1761" t="s">
        <v>352</v>
      </c>
      <c r="AT239" s="1761" t="s">
        <v>327</v>
      </c>
      <c r="AU239" s="1763"/>
      <c r="AV239" s="1763"/>
    </row>
    <row r="240" spans="1:48" ht="25" hidden="1">
      <c r="A240" s="1785" t="str">
        <f t="shared" si="33"/>
        <v>גמל</v>
      </c>
      <c r="B240" s="1786">
        <f t="shared" si="34"/>
        <v>7814</v>
      </c>
      <c r="C240" s="1787">
        <v>28946</v>
      </c>
      <c r="D240" s="1786" t="str">
        <f t="shared" si="35"/>
        <v>פסגות NEXT גמל להשקעה אג"ח עד 10% מניות</v>
      </c>
      <c r="E240" s="1786" t="s">
        <v>3929</v>
      </c>
      <c r="F240" s="1786" t="s">
        <v>2958</v>
      </c>
      <c r="G240" s="1786" t="s">
        <v>2959</v>
      </c>
      <c r="H240" s="1786" t="str">
        <f t="shared" si="36"/>
        <v>פעיל</v>
      </c>
      <c r="I240" s="1788">
        <f t="shared" si="37"/>
        <v>42536.717719907399</v>
      </c>
      <c r="J240" s="1788" t="str">
        <f t="shared" si="38"/>
        <v/>
      </c>
      <c r="K240" s="1786">
        <v>0</v>
      </c>
      <c r="L240" s="1786" t="s">
        <v>1594</v>
      </c>
      <c r="M240" s="1786" t="s">
        <v>1653</v>
      </c>
      <c r="N240" s="1786" t="s">
        <v>1653</v>
      </c>
      <c r="O240" s="1786">
        <v>0</v>
      </c>
      <c r="P240" s="1786"/>
      <c r="Q240" s="1786">
        <v>0</v>
      </c>
      <c r="R240" s="1788"/>
      <c r="S240" s="1786">
        <f t="shared" si="39"/>
        <v>7723</v>
      </c>
      <c r="T240" s="1786" t="str">
        <f t="shared" si="40"/>
        <v>מלם גמל ופנסיה בע"מ</v>
      </c>
      <c r="U240" s="1786" t="str">
        <f t="shared" si="41"/>
        <v>פסגות NEXT גמל להשקעה</v>
      </c>
      <c r="V240" s="1786" t="str">
        <f t="shared" si="42"/>
        <v>513767079</v>
      </c>
      <c r="W240" s="1789" t="str">
        <f t="shared" si="43"/>
        <v>פסגות קופות גמל ופנסיה בע"מ</v>
      </c>
      <c r="AC240" s="1759" t="s">
        <v>346</v>
      </c>
      <c r="AD240" s="1759"/>
      <c r="AE240" s="1760">
        <v>42536.717719907399</v>
      </c>
      <c r="AF240" s="1759" t="s">
        <v>3934</v>
      </c>
      <c r="AG240" s="1759" t="s">
        <v>1653</v>
      </c>
      <c r="AH240" s="1759" t="s">
        <v>1594</v>
      </c>
      <c r="AI240" s="1759" t="s">
        <v>5501</v>
      </c>
      <c r="AJ240" s="1759" t="s">
        <v>5501</v>
      </c>
      <c r="AK240" s="1759">
        <v>7814</v>
      </c>
      <c r="AL240" s="1759" t="s">
        <v>5499</v>
      </c>
      <c r="AM240" s="1759">
        <v>7723</v>
      </c>
      <c r="AN240" s="1759" t="s">
        <v>5500</v>
      </c>
      <c r="AO240" s="1764"/>
      <c r="AP240" s="1759" t="s">
        <v>5365</v>
      </c>
      <c r="AQ240" s="1759" t="s">
        <v>5366</v>
      </c>
      <c r="AR240" s="1759" t="s">
        <v>351</v>
      </c>
      <c r="AS240" s="1759" t="s">
        <v>352</v>
      </c>
      <c r="AT240" s="1759" t="s">
        <v>327</v>
      </c>
      <c r="AU240" s="1763"/>
      <c r="AV240" s="1763"/>
    </row>
    <row r="241" spans="1:48" ht="25" hidden="1">
      <c r="A241" s="1785" t="str">
        <f t="shared" si="33"/>
        <v>גמל</v>
      </c>
      <c r="B241" s="1786">
        <f t="shared" si="34"/>
        <v>7812</v>
      </c>
      <c r="C241" s="1787">
        <v>28946</v>
      </c>
      <c r="D241" s="1786" t="str">
        <f t="shared" si="35"/>
        <v xml:space="preserve">פסגות NEXT גמל להשקעה אג"ח </v>
      </c>
      <c r="E241" s="1786" t="s">
        <v>3929</v>
      </c>
      <c r="F241" s="1786" t="s">
        <v>2958</v>
      </c>
      <c r="G241" s="1786" t="s">
        <v>2959</v>
      </c>
      <c r="H241" s="1786" t="str">
        <f t="shared" si="36"/>
        <v>פעיל</v>
      </c>
      <c r="I241" s="1788">
        <f t="shared" si="37"/>
        <v>42536.717719907399</v>
      </c>
      <c r="J241" s="1788" t="str">
        <f t="shared" si="38"/>
        <v/>
      </c>
      <c r="K241" s="1786">
        <v>0</v>
      </c>
      <c r="L241" s="1786" t="s">
        <v>1594</v>
      </c>
      <c r="M241" s="1786" t="s">
        <v>1653</v>
      </c>
      <c r="N241" s="1786" t="s">
        <v>1653</v>
      </c>
      <c r="O241" s="1786">
        <v>0</v>
      </c>
      <c r="P241" s="1786"/>
      <c r="Q241" s="1786">
        <v>0</v>
      </c>
      <c r="R241" s="1788"/>
      <c r="S241" s="1786">
        <f t="shared" si="39"/>
        <v>7723</v>
      </c>
      <c r="T241" s="1786" t="str">
        <f t="shared" si="40"/>
        <v>מלם גמל ופנסיה בע"מ</v>
      </c>
      <c r="U241" s="1786" t="str">
        <f t="shared" si="41"/>
        <v>פסגות NEXT גמל להשקעה</v>
      </c>
      <c r="V241" s="1786" t="str">
        <f t="shared" si="42"/>
        <v>513767079</v>
      </c>
      <c r="W241" s="1789" t="str">
        <f t="shared" si="43"/>
        <v>פסגות קופות גמל ופנסיה בע"מ</v>
      </c>
      <c r="AC241" s="1761" t="s">
        <v>346</v>
      </c>
      <c r="AD241" s="1761"/>
      <c r="AE241" s="1762">
        <v>42536.717719907399</v>
      </c>
      <c r="AF241" s="1761" t="s">
        <v>1653</v>
      </c>
      <c r="AG241" s="1761" t="s">
        <v>1653</v>
      </c>
      <c r="AH241" s="1761" t="s">
        <v>1594</v>
      </c>
      <c r="AI241" s="1761" t="s">
        <v>5502</v>
      </c>
      <c r="AJ241" s="1761" t="s">
        <v>5503</v>
      </c>
      <c r="AK241" s="1761">
        <v>7812</v>
      </c>
      <c r="AL241" s="1761" t="s">
        <v>5499</v>
      </c>
      <c r="AM241" s="1761">
        <v>7723</v>
      </c>
      <c r="AN241" s="1761" t="s">
        <v>5500</v>
      </c>
      <c r="AO241" s="1764"/>
      <c r="AP241" s="1761" t="s">
        <v>5365</v>
      </c>
      <c r="AQ241" s="1761" t="s">
        <v>5366</v>
      </c>
      <c r="AR241" s="1761" t="s">
        <v>351</v>
      </c>
      <c r="AS241" s="1761" t="s">
        <v>352</v>
      </c>
      <c r="AT241" s="1761" t="s">
        <v>327</v>
      </c>
      <c r="AU241" s="1763"/>
      <c r="AV241" s="1763"/>
    </row>
    <row r="242" spans="1:48" ht="25" hidden="1">
      <c r="A242" s="1785" t="str">
        <f t="shared" si="33"/>
        <v>גמל</v>
      </c>
      <c r="B242" s="1786">
        <f t="shared" si="34"/>
        <v>7811</v>
      </c>
      <c r="C242" s="1787">
        <v>28946</v>
      </c>
      <c r="D242" s="1786" t="str">
        <f t="shared" si="35"/>
        <v xml:space="preserve">פסגות NEXT גמל להשקעה מניות </v>
      </c>
      <c r="E242" s="1786" t="s">
        <v>3929</v>
      </c>
      <c r="F242" s="1786" t="s">
        <v>2958</v>
      </c>
      <c r="G242" s="1786" t="s">
        <v>2959</v>
      </c>
      <c r="H242" s="1786" t="str">
        <f t="shared" si="36"/>
        <v>פעיל</v>
      </c>
      <c r="I242" s="1788">
        <f t="shared" si="37"/>
        <v>42536.717719907399</v>
      </c>
      <c r="J242" s="1788" t="str">
        <f t="shared" si="38"/>
        <v/>
      </c>
      <c r="K242" s="1786">
        <v>0</v>
      </c>
      <c r="L242" s="1786" t="s">
        <v>1594</v>
      </c>
      <c r="M242" s="1786" t="s">
        <v>1653</v>
      </c>
      <c r="N242" s="1786" t="s">
        <v>1653</v>
      </c>
      <c r="O242" s="1786">
        <v>0</v>
      </c>
      <c r="P242" s="1786"/>
      <c r="Q242" s="1786">
        <v>0</v>
      </c>
      <c r="R242" s="1788"/>
      <c r="S242" s="1786">
        <f t="shared" si="39"/>
        <v>7723</v>
      </c>
      <c r="T242" s="1786" t="str">
        <f t="shared" si="40"/>
        <v>מלם גמל ופנסיה בע"מ</v>
      </c>
      <c r="U242" s="1786" t="str">
        <f t="shared" si="41"/>
        <v>פסגות NEXT גמל להשקעה</v>
      </c>
      <c r="V242" s="1786" t="str">
        <f t="shared" si="42"/>
        <v>513767079</v>
      </c>
      <c r="W242" s="1789" t="str">
        <f t="shared" si="43"/>
        <v>פסגות קופות גמל ופנסיה בע"מ</v>
      </c>
      <c r="AC242" s="1759" t="s">
        <v>346</v>
      </c>
      <c r="AD242" s="1759"/>
      <c r="AE242" s="1760">
        <v>42536.717719907399</v>
      </c>
      <c r="AF242" s="1759" t="s">
        <v>1595</v>
      </c>
      <c r="AG242" s="1759" t="s">
        <v>75</v>
      </c>
      <c r="AH242" s="1759" t="s">
        <v>1594</v>
      </c>
      <c r="AI242" s="1759" t="s">
        <v>5504</v>
      </c>
      <c r="AJ242" s="1759" t="s">
        <v>5505</v>
      </c>
      <c r="AK242" s="1759">
        <v>7811</v>
      </c>
      <c r="AL242" s="1759" t="s">
        <v>5499</v>
      </c>
      <c r="AM242" s="1759">
        <v>7723</v>
      </c>
      <c r="AN242" s="1759" t="s">
        <v>5500</v>
      </c>
      <c r="AO242" s="1764"/>
      <c r="AP242" s="1759" t="s">
        <v>5365</v>
      </c>
      <c r="AQ242" s="1759" t="s">
        <v>5366</v>
      </c>
      <c r="AR242" s="1759" t="s">
        <v>351</v>
      </c>
      <c r="AS242" s="1759" t="s">
        <v>352</v>
      </c>
      <c r="AT242" s="1759" t="s">
        <v>327</v>
      </c>
      <c r="AU242" s="1763"/>
      <c r="AV242" s="1763"/>
    </row>
    <row r="243" spans="1:48" ht="25" hidden="1">
      <c r="A243" s="1785" t="str">
        <f t="shared" si="33"/>
        <v>גמל</v>
      </c>
      <c r="B243" s="1786">
        <f t="shared" si="34"/>
        <v>7810</v>
      </c>
      <c r="C243" s="1787">
        <v>28946</v>
      </c>
      <c r="D243" s="1786" t="str">
        <f t="shared" si="35"/>
        <v>פסגות NEXT גמל להשקעה כללי</v>
      </c>
      <c r="E243" s="1786" t="s">
        <v>3929</v>
      </c>
      <c r="F243" s="1786" t="s">
        <v>2958</v>
      </c>
      <c r="G243" s="1786" t="s">
        <v>2959</v>
      </c>
      <c r="H243" s="1786" t="str">
        <f t="shared" si="36"/>
        <v>פעיל</v>
      </c>
      <c r="I243" s="1788">
        <f t="shared" si="37"/>
        <v>42536.717719907399</v>
      </c>
      <c r="J243" s="1788" t="str">
        <f t="shared" si="38"/>
        <v/>
      </c>
      <c r="K243" s="1786">
        <v>0</v>
      </c>
      <c r="L243" s="1786" t="s">
        <v>1594</v>
      </c>
      <c r="M243" s="1786" t="s">
        <v>1653</v>
      </c>
      <c r="N243" s="1786" t="s">
        <v>1653</v>
      </c>
      <c r="O243" s="1786">
        <v>0</v>
      </c>
      <c r="P243" s="1786"/>
      <c r="Q243" s="1786">
        <v>0</v>
      </c>
      <c r="R243" s="1788"/>
      <c r="S243" s="1786">
        <f t="shared" si="39"/>
        <v>7723</v>
      </c>
      <c r="T243" s="1786" t="str">
        <f t="shared" si="40"/>
        <v>מלם גמל ופנסיה בע"מ</v>
      </c>
      <c r="U243" s="1786" t="str">
        <f t="shared" si="41"/>
        <v>פסגות NEXT גמל להשקעה</v>
      </c>
      <c r="V243" s="1786" t="str">
        <f t="shared" si="42"/>
        <v>513767079</v>
      </c>
      <c r="W243" s="1789" t="str">
        <f t="shared" si="43"/>
        <v>פסגות קופות גמל ופנסיה בע"מ</v>
      </c>
      <c r="AC243" s="1761" t="s">
        <v>346</v>
      </c>
      <c r="AD243" s="1761"/>
      <c r="AE243" s="1762">
        <v>42536.717719907399</v>
      </c>
      <c r="AF243" s="1761" t="s">
        <v>1583</v>
      </c>
      <c r="AG243" s="1761" t="s">
        <v>1583</v>
      </c>
      <c r="AH243" s="1761" t="s">
        <v>1583</v>
      </c>
      <c r="AI243" s="1761" t="s">
        <v>5506</v>
      </c>
      <c r="AJ243" s="1761" t="s">
        <v>5506</v>
      </c>
      <c r="AK243" s="1761">
        <v>7810</v>
      </c>
      <c r="AL243" s="1761" t="s">
        <v>5499</v>
      </c>
      <c r="AM243" s="1761">
        <v>7723</v>
      </c>
      <c r="AN243" s="1761" t="s">
        <v>5500</v>
      </c>
      <c r="AO243" s="1764"/>
      <c r="AP243" s="1761" t="s">
        <v>5365</v>
      </c>
      <c r="AQ243" s="1761" t="s">
        <v>5366</v>
      </c>
      <c r="AR243" s="1761" t="s">
        <v>351</v>
      </c>
      <c r="AS243" s="1761" t="s">
        <v>352</v>
      </c>
      <c r="AT243" s="1761" t="s">
        <v>327</v>
      </c>
      <c r="AU243" s="1763"/>
      <c r="AV243" s="1763"/>
    </row>
    <row r="244" spans="1:48" ht="25" hidden="1">
      <c r="A244" s="1785" t="str">
        <f t="shared" si="33"/>
        <v>גמל</v>
      </c>
      <c r="B244" s="1786">
        <f t="shared" si="34"/>
        <v>7813</v>
      </c>
      <c r="C244" s="1787">
        <v>28946</v>
      </c>
      <c r="D244" s="1786" t="str">
        <f t="shared" si="35"/>
        <v xml:space="preserve">פסגות NEXT גמל להשקעה חו"ל </v>
      </c>
      <c r="E244" s="1786" t="s">
        <v>3929</v>
      </c>
      <c r="F244" s="1786" t="s">
        <v>2958</v>
      </c>
      <c r="G244" s="1786" t="s">
        <v>2959</v>
      </c>
      <c r="H244" s="1786" t="str">
        <f t="shared" si="36"/>
        <v>פעיל</v>
      </c>
      <c r="I244" s="1788">
        <f t="shared" si="37"/>
        <v>42536.717719907399</v>
      </c>
      <c r="J244" s="1788" t="str">
        <f t="shared" si="38"/>
        <v/>
      </c>
      <c r="K244" s="1786">
        <v>0</v>
      </c>
      <c r="L244" s="1786" t="s">
        <v>1594</v>
      </c>
      <c r="M244" s="1786" t="s">
        <v>1653</v>
      </c>
      <c r="N244" s="1786" t="s">
        <v>1653</v>
      </c>
      <c r="O244" s="1786">
        <v>0</v>
      </c>
      <c r="P244" s="1786"/>
      <c r="Q244" s="1786">
        <v>0</v>
      </c>
      <c r="R244" s="1788"/>
      <c r="S244" s="1786">
        <f t="shared" si="39"/>
        <v>7723</v>
      </c>
      <c r="T244" s="1786" t="str">
        <f t="shared" si="40"/>
        <v>מלם גמל ופנסיה בע"מ</v>
      </c>
      <c r="U244" s="1786" t="str">
        <f t="shared" si="41"/>
        <v>פסגות NEXT גמל להשקעה</v>
      </c>
      <c r="V244" s="1786" t="str">
        <f t="shared" si="42"/>
        <v>513767079</v>
      </c>
      <c r="W244" s="1789" t="str">
        <f t="shared" si="43"/>
        <v>פסגות קופות גמל ופנסיה בע"מ</v>
      </c>
      <c r="AC244" s="1759" t="s">
        <v>346</v>
      </c>
      <c r="AD244" s="1759"/>
      <c r="AE244" s="1760">
        <v>42536.717719907399</v>
      </c>
      <c r="AF244" s="1759" t="s">
        <v>1948</v>
      </c>
      <c r="AG244" s="1759" t="s">
        <v>1948</v>
      </c>
      <c r="AH244" s="1759" t="s">
        <v>1594</v>
      </c>
      <c r="AI244" s="1759" t="s">
        <v>5507</v>
      </c>
      <c r="AJ244" s="1759" t="s">
        <v>5507</v>
      </c>
      <c r="AK244" s="1759">
        <v>7813</v>
      </c>
      <c r="AL244" s="1759" t="s">
        <v>5499</v>
      </c>
      <c r="AM244" s="1759">
        <v>7723</v>
      </c>
      <c r="AN244" s="1759" t="s">
        <v>5500</v>
      </c>
      <c r="AO244" s="1764"/>
      <c r="AP244" s="1759" t="s">
        <v>5365</v>
      </c>
      <c r="AQ244" s="1759" t="s">
        <v>5366</v>
      </c>
      <c r="AR244" s="1759" t="s">
        <v>351</v>
      </c>
      <c r="AS244" s="1759" t="s">
        <v>352</v>
      </c>
      <c r="AT244" s="1759" t="s">
        <v>327</v>
      </c>
      <c r="AU244" s="1763"/>
      <c r="AV244" s="1763"/>
    </row>
    <row r="245" spans="1:48" ht="25" hidden="1">
      <c r="A245" s="1785" t="str">
        <f t="shared" si="33"/>
        <v>גמל</v>
      </c>
      <c r="B245" s="1786">
        <f t="shared" si="34"/>
        <v>2275</v>
      </c>
      <c r="C245" s="1787">
        <v>28946</v>
      </c>
      <c r="D245" s="1786" t="str">
        <f t="shared" si="35"/>
        <v>יונט השתלמות בניהול אישי</v>
      </c>
      <c r="E245" s="1786" t="s">
        <v>3929</v>
      </c>
      <c r="F245" s="1786" t="s">
        <v>2958</v>
      </c>
      <c r="G245" s="1786" t="s">
        <v>2959</v>
      </c>
      <c r="H245" s="1786" t="str">
        <f t="shared" si="36"/>
        <v>לא פעיל</v>
      </c>
      <c r="I245" s="1788">
        <f t="shared" si="37"/>
        <v>41416</v>
      </c>
      <c r="J245" s="1788">
        <f t="shared" si="38"/>
        <v>42571.501643518503</v>
      </c>
      <c r="K245" s="1786">
        <v>0</v>
      </c>
      <c r="L245" s="1786" t="s">
        <v>1594</v>
      </c>
      <c r="M245" s="1786" t="s">
        <v>1653</v>
      </c>
      <c r="N245" s="1786" t="s">
        <v>1653</v>
      </c>
      <c r="O245" s="1786">
        <v>0</v>
      </c>
      <c r="P245" s="1786"/>
      <c r="Q245" s="1786">
        <v>0</v>
      </c>
      <c r="R245" s="1788"/>
      <c r="S245" s="1786">
        <f t="shared" si="39"/>
        <v>2275</v>
      </c>
      <c r="T245" s="1786">
        <f t="shared" si="40"/>
        <v>0</v>
      </c>
      <c r="U245" s="1786" t="str">
        <f t="shared" si="41"/>
        <v>יונט השתלמות בניהול אישי</v>
      </c>
      <c r="V245" s="1786">
        <f t="shared" si="42"/>
        <v>0</v>
      </c>
      <c r="W245" s="1789" t="str">
        <f t="shared" si="43"/>
        <v>יונט ניהול קופות גמל בע"מ</v>
      </c>
      <c r="AC245" s="1761" t="s">
        <v>1586</v>
      </c>
      <c r="AD245" s="1762">
        <v>42571.501643518503</v>
      </c>
      <c r="AE245" s="1762">
        <v>41416</v>
      </c>
      <c r="AF245" s="1761" t="s">
        <v>3719</v>
      </c>
      <c r="AG245" s="1761" t="s">
        <v>3719</v>
      </c>
      <c r="AH245" s="1761" t="s">
        <v>3719</v>
      </c>
      <c r="AI245" s="1761" t="s">
        <v>2924</v>
      </c>
      <c r="AJ245" s="1761" t="s">
        <v>2924</v>
      </c>
      <c r="AK245" s="1761">
        <v>2275</v>
      </c>
      <c r="AL245" s="1761" t="s">
        <v>2924</v>
      </c>
      <c r="AM245" s="1761">
        <v>2275</v>
      </c>
      <c r="AN245" s="1761"/>
      <c r="AO245" s="1764"/>
      <c r="AP245" s="1761"/>
      <c r="AQ245" s="1761"/>
      <c r="AR245" s="1761" t="s">
        <v>2923</v>
      </c>
      <c r="AS245" s="1761" t="s">
        <v>2748</v>
      </c>
      <c r="AT245" s="1761" t="s">
        <v>327</v>
      </c>
      <c r="AU245" s="1763"/>
      <c r="AV245" s="1763"/>
    </row>
    <row r="246" spans="1:48" ht="25" hidden="1">
      <c r="A246" s="1785" t="str">
        <f t="shared" si="33"/>
        <v>גמל</v>
      </c>
      <c r="B246" s="1786">
        <f t="shared" si="34"/>
        <v>2273</v>
      </c>
      <c r="C246" s="1787">
        <v>28946</v>
      </c>
      <c r="D246" s="1786" t="str">
        <f t="shared" si="35"/>
        <v>יונט גמל בניהול אישי</v>
      </c>
      <c r="E246" s="1786" t="s">
        <v>3929</v>
      </c>
      <c r="F246" s="1786" t="s">
        <v>2958</v>
      </c>
      <c r="G246" s="1786" t="s">
        <v>2959</v>
      </c>
      <c r="H246" s="1786" t="str">
        <f t="shared" si="36"/>
        <v>לא פעיל</v>
      </c>
      <c r="I246" s="1788">
        <f t="shared" si="37"/>
        <v>41416</v>
      </c>
      <c r="J246" s="1788">
        <f t="shared" si="38"/>
        <v>42571.501099537003</v>
      </c>
      <c r="K246" s="1786">
        <v>0</v>
      </c>
      <c r="L246" s="1786" t="s">
        <v>1594</v>
      </c>
      <c r="M246" s="1786" t="s">
        <v>1653</v>
      </c>
      <c r="N246" s="1786" t="s">
        <v>1653</v>
      </c>
      <c r="O246" s="1786">
        <v>0</v>
      </c>
      <c r="P246" s="1786"/>
      <c r="Q246" s="1786">
        <v>0</v>
      </c>
      <c r="R246" s="1788"/>
      <c r="S246" s="1786">
        <f t="shared" si="39"/>
        <v>2273</v>
      </c>
      <c r="T246" s="1786">
        <f t="shared" si="40"/>
        <v>0</v>
      </c>
      <c r="U246" s="1786" t="str">
        <f t="shared" si="41"/>
        <v>יונט גמל בניהול אישי</v>
      </c>
      <c r="V246" s="1786">
        <f t="shared" si="42"/>
        <v>0</v>
      </c>
      <c r="W246" s="1789" t="str">
        <f t="shared" si="43"/>
        <v>יונט ניהול קופות גמל בע"מ</v>
      </c>
      <c r="AC246" s="1759" t="s">
        <v>1586</v>
      </c>
      <c r="AD246" s="1760">
        <v>42571.501099537003</v>
      </c>
      <c r="AE246" s="1760">
        <v>41416</v>
      </c>
      <c r="AF246" s="1759"/>
      <c r="AG246" s="1759"/>
      <c r="AH246" s="1759" t="s">
        <v>2513</v>
      </c>
      <c r="AI246" s="1759" t="s">
        <v>3722</v>
      </c>
      <c r="AJ246" s="1759" t="s">
        <v>2922</v>
      </c>
      <c r="AK246" s="1759">
        <v>2273</v>
      </c>
      <c r="AL246" s="1759" t="s">
        <v>2922</v>
      </c>
      <c r="AM246" s="1759">
        <v>2273</v>
      </c>
      <c r="AN246" s="1759"/>
      <c r="AO246" s="1764"/>
      <c r="AP246" s="1759"/>
      <c r="AQ246" s="1759"/>
      <c r="AR246" s="1759" t="s">
        <v>2923</v>
      </c>
      <c r="AS246" s="1759" t="s">
        <v>2748</v>
      </c>
      <c r="AT246" s="1759" t="s">
        <v>327</v>
      </c>
      <c r="AU246" s="1763"/>
      <c r="AV246" s="1763"/>
    </row>
    <row r="247" spans="1:48" ht="37.5" hidden="1">
      <c r="A247" s="1785" t="str">
        <f t="shared" si="33"/>
        <v>גמל</v>
      </c>
      <c r="B247" s="1786">
        <f t="shared" si="34"/>
        <v>2248</v>
      </c>
      <c r="C247" s="1787">
        <v>28946</v>
      </c>
      <c r="D247" s="1786" t="str">
        <f t="shared" si="35"/>
        <v>השתלמות שיטת הפניקס אג"ח ממשלתי בריבית קבועה 2-5 ש</v>
      </c>
      <c r="E247" s="1786" t="s">
        <v>3929</v>
      </c>
      <c r="F247" s="1786" t="s">
        <v>2958</v>
      </c>
      <c r="G247" s="1786" t="s">
        <v>2959</v>
      </c>
      <c r="H247" s="1786" t="str">
        <f t="shared" si="36"/>
        <v>לא פעיל</v>
      </c>
      <c r="I247" s="1788">
        <f t="shared" si="37"/>
        <v>41302</v>
      </c>
      <c r="J247" s="1788">
        <f t="shared" si="38"/>
        <v>42572.624016203699</v>
      </c>
      <c r="K247" s="1786">
        <v>0</v>
      </c>
      <c r="L247" s="1786" t="s">
        <v>1594</v>
      </c>
      <c r="M247" s="1786" t="s">
        <v>1653</v>
      </c>
      <c r="N247" s="1786" t="s">
        <v>1653</v>
      </c>
      <c r="O247" s="1786">
        <v>0</v>
      </c>
      <c r="P247" s="1786"/>
      <c r="Q247" s="1786">
        <v>0</v>
      </c>
      <c r="R247" s="1788"/>
      <c r="S247" s="1786">
        <f t="shared" si="39"/>
        <v>2248</v>
      </c>
      <c r="T247" s="1786">
        <f t="shared" si="40"/>
        <v>0</v>
      </c>
      <c r="U247" s="1786" t="str">
        <f t="shared" si="41"/>
        <v>השתלמות שיטת הפניקס אג"ח ממשלתי בריבית קבועה 2-5 ש</v>
      </c>
      <c r="V247" s="1786">
        <f t="shared" si="42"/>
        <v>0</v>
      </c>
      <c r="W247" s="1789" t="str">
        <f t="shared" si="43"/>
        <v>הפניקס פנסיה בע"מ</v>
      </c>
      <c r="AC247" s="1761" t="s">
        <v>1586</v>
      </c>
      <c r="AD247" s="1762">
        <v>42572.624016203699</v>
      </c>
      <c r="AE247" s="1762">
        <v>41302</v>
      </c>
      <c r="AF247" s="1761" t="s">
        <v>3719</v>
      </c>
      <c r="AG247" s="1761" t="s">
        <v>3719</v>
      </c>
      <c r="AH247" s="1761" t="s">
        <v>3719</v>
      </c>
      <c r="AI247" s="1761" t="s">
        <v>2909</v>
      </c>
      <c r="AJ247" s="1761" t="s">
        <v>2909</v>
      </c>
      <c r="AK247" s="1761">
        <v>2248</v>
      </c>
      <c r="AL247" s="1761" t="s">
        <v>2909</v>
      </c>
      <c r="AM247" s="1761">
        <v>2248</v>
      </c>
      <c r="AN247" s="1761"/>
      <c r="AO247" s="1764"/>
      <c r="AP247" s="1761"/>
      <c r="AQ247" s="1761"/>
      <c r="AR247" s="1761" t="s">
        <v>5508</v>
      </c>
      <c r="AS247" s="1761" t="s">
        <v>402</v>
      </c>
      <c r="AT247" s="1761" t="s">
        <v>327</v>
      </c>
      <c r="AU247" s="1763"/>
      <c r="AV247" s="1763"/>
    </row>
    <row r="248" spans="1:48" ht="37.5" hidden="1">
      <c r="A248" s="1785" t="str">
        <f t="shared" si="33"/>
        <v>גמל</v>
      </c>
      <c r="B248" s="1786">
        <f t="shared" si="34"/>
        <v>2246</v>
      </c>
      <c r="C248" s="1787">
        <v>28946</v>
      </c>
      <c r="D248" s="1786" t="str">
        <f t="shared" si="35"/>
        <v>תגמולים שיטת הפניקס אג"ח ממשלתי בריבית קבועה 2-5 ש</v>
      </c>
      <c r="E248" s="1786" t="s">
        <v>3929</v>
      </c>
      <c r="F248" s="1786" t="s">
        <v>2958</v>
      </c>
      <c r="G248" s="1786" t="s">
        <v>2959</v>
      </c>
      <c r="H248" s="1786" t="str">
        <f t="shared" si="36"/>
        <v>לא פעיל</v>
      </c>
      <c r="I248" s="1788">
        <f t="shared" si="37"/>
        <v>41302</v>
      </c>
      <c r="J248" s="1788">
        <f t="shared" si="38"/>
        <v>42572.602094907401</v>
      </c>
      <c r="K248" s="1786">
        <v>0</v>
      </c>
      <c r="L248" s="1786" t="s">
        <v>1594</v>
      </c>
      <c r="M248" s="1786" t="s">
        <v>1653</v>
      </c>
      <c r="N248" s="1786" t="s">
        <v>1653</v>
      </c>
      <c r="O248" s="1786">
        <v>0</v>
      </c>
      <c r="P248" s="1786"/>
      <c r="Q248" s="1786">
        <v>0</v>
      </c>
      <c r="R248" s="1788"/>
      <c r="S248" s="1786">
        <f t="shared" si="39"/>
        <v>2246</v>
      </c>
      <c r="T248" s="1786">
        <f t="shared" si="40"/>
        <v>0</v>
      </c>
      <c r="U248" s="1786" t="str">
        <f t="shared" si="41"/>
        <v>תגמולים שיטת הפניקס אג"ח ממשלתי בריבית קבועה 2-5 ש</v>
      </c>
      <c r="V248" s="1786">
        <f t="shared" si="42"/>
        <v>0</v>
      </c>
      <c r="W248" s="1789" t="str">
        <f t="shared" si="43"/>
        <v>הפניקס פנסיה בע"מ</v>
      </c>
      <c r="AC248" s="1759" t="s">
        <v>1586</v>
      </c>
      <c r="AD248" s="1760">
        <v>42572.602094907401</v>
      </c>
      <c r="AE248" s="1760">
        <v>41302</v>
      </c>
      <c r="AF248" s="1759" t="s">
        <v>3719</v>
      </c>
      <c r="AG248" s="1759" t="s">
        <v>3719</v>
      </c>
      <c r="AH248" s="1759" t="s">
        <v>3719</v>
      </c>
      <c r="AI248" s="1759" t="s">
        <v>2908</v>
      </c>
      <c r="AJ248" s="1759" t="s">
        <v>2908</v>
      </c>
      <c r="AK248" s="1759">
        <v>2246</v>
      </c>
      <c r="AL248" s="1759" t="s">
        <v>2908</v>
      </c>
      <c r="AM248" s="1759">
        <v>2246</v>
      </c>
      <c r="AN248" s="1759"/>
      <c r="AO248" s="1764"/>
      <c r="AP248" s="1759"/>
      <c r="AQ248" s="1759"/>
      <c r="AR248" s="1759" t="s">
        <v>5508</v>
      </c>
      <c r="AS248" s="1759" t="s">
        <v>402</v>
      </c>
      <c r="AT248" s="1759" t="s">
        <v>327</v>
      </c>
      <c r="AU248" s="1763"/>
      <c r="AV248" s="1763"/>
    </row>
    <row r="249" spans="1:48" ht="37.5" hidden="1">
      <c r="A249" s="1785" t="str">
        <f t="shared" si="33"/>
        <v>גמל</v>
      </c>
      <c r="B249" s="1786">
        <f t="shared" si="34"/>
        <v>2247</v>
      </c>
      <c r="C249" s="1787">
        <v>28946</v>
      </c>
      <c r="D249" s="1786" t="str">
        <f t="shared" si="35"/>
        <v>תגמולים שיטת הפניקס אג"ח ממשלתי בריבית קבועה 2-5 ש</v>
      </c>
      <c r="E249" s="1786" t="s">
        <v>3929</v>
      </c>
      <c r="F249" s="1786" t="s">
        <v>2958</v>
      </c>
      <c r="G249" s="1786" t="s">
        <v>2959</v>
      </c>
      <c r="H249" s="1786" t="str">
        <f t="shared" si="36"/>
        <v>לא פעיל</v>
      </c>
      <c r="I249" s="1788">
        <f t="shared" si="37"/>
        <v>41302</v>
      </c>
      <c r="J249" s="1788">
        <f t="shared" si="38"/>
        <v>41302.338310185201</v>
      </c>
      <c r="K249" s="1786">
        <v>0</v>
      </c>
      <c r="L249" s="1786" t="s">
        <v>1594</v>
      </c>
      <c r="M249" s="1786" t="s">
        <v>1653</v>
      </c>
      <c r="N249" s="1786" t="s">
        <v>1653</v>
      </c>
      <c r="O249" s="1786">
        <v>0</v>
      </c>
      <c r="P249" s="1786"/>
      <c r="Q249" s="1786">
        <v>0</v>
      </c>
      <c r="R249" s="1788"/>
      <c r="S249" s="1786">
        <f t="shared" si="39"/>
        <v>2246</v>
      </c>
      <c r="T249" s="1786">
        <f t="shared" si="40"/>
        <v>0</v>
      </c>
      <c r="U249" s="1786" t="str">
        <f t="shared" si="41"/>
        <v>תגמולים שיטת הפניקס אג"ח ממשלתי בריבית קבועה 2-5 ש</v>
      </c>
      <c r="V249" s="1786">
        <f t="shared" si="42"/>
        <v>0</v>
      </c>
      <c r="W249" s="1789" t="str">
        <f t="shared" si="43"/>
        <v>הפניקס פנסיה בע"מ</v>
      </c>
      <c r="AC249" s="1761" t="s">
        <v>1586</v>
      </c>
      <c r="AD249" s="1762">
        <v>41302.338310185201</v>
      </c>
      <c r="AE249" s="1762">
        <v>41302</v>
      </c>
      <c r="AF249" s="1761" t="s">
        <v>1583</v>
      </c>
      <c r="AG249" s="1761" t="s">
        <v>1583</v>
      </c>
      <c r="AH249" s="1761" t="s">
        <v>1583</v>
      </c>
      <c r="AI249" s="1761" t="s">
        <v>2908</v>
      </c>
      <c r="AJ249" s="1761" t="s">
        <v>2908</v>
      </c>
      <c r="AK249" s="1761">
        <v>2247</v>
      </c>
      <c r="AL249" s="1761" t="s">
        <v>2908</v>
      </c>
      <c r="AM249" s="1761">
        <v>2246</v>
      </c>
      <c r="AN249" s="1761"/>
      <c r="AO249" s="1764"/>
      <c r="AP249" s="1761"/>
      <c r="AQ249" s="1761"/>
      <c r="AR249" s="1761" t="s">
        <v>5508</v>
      </c>
      <c r="AS249" s="1761" t="s">
        <v>402</v>
      </c>
      <c r="AT249" s="1761" t="s">
        <v>327</v>
      </c>
      <c r="AU249" s="1763"/>
      <c r="AV249" s="1763"/>
    </row>
    <row r="250" spans="1:48" ht="25" hidden="1">
      <c r="A250" s="1785" t="str">
        <f t="shared" si="33"/>
        <v>גמל</v>
      </c>
      <c r="B250" s="1786">
        <f t="shared" si="34"/>
        <v>2236</v>
      </c>
      <c r="C250" s="1787">
        <v>28946</v>
      </c>
      <c r="D250" s="1786" t="str">
        <f t="shared" si="35"/>
        <v>איי.אר.איי ישראל השתלמות בניהול אישי</v>
      </c>
      <c r="E250" s="1786" t="s">
        <v>3929</v>
      </c>
      <c r="F250" s="1786" t="s">
        <v>2958</v>
      </c>
      <c r="G250" s="1786" t="s">
        <v>2959</v>
      </c>
      <c r="H250" s="1786" t="str">
        <f t="shared" si="36"/>
        <v>פעיל</v>
      </c>
      <c r="I250" s="1788">
        <f t="shared" si="37"/>
        <v>41179</v>
      </c>
      <c r="J250" s="1788" t="str">
        <f t="shared" si="38"/>
        <v/>
      </c>
      <c r="K250" s="1786">
        <v>0</v>
      </c>
      <c r="L250" s="1786" t="s">
        <v>1594</v>
      </c>
      <c r="M250" s="1786" t="s">
        <v>1653</v>
      </c>
      <c r="N250" s="1786" t="s">
        <v>1653</v>
      </c>
      <c r="O250" s="1786">
        <v>0</v>
      </c>
      <c r="P250" s="1786"/>
      <c r="Q250" s="1786">
        <v>0</v>
      </c>
      <c r="R250" s="1788"/>
      <c r="S250" s="1786">
        <f t="shared" si="39"/>
        <v>2236</v>
      </c>
      <c r="T250" s="1786" t="str">
        <f t="shared" si="40"/>
        <v>ד.ס.ש ייעוץ ושירותים בע"מ</v>
      </c>
      <c r="U250" s="1786" t="str">
        <f t="shared" si="41"/>
        <v>איי.אר.איי ישראל השתלמות בניהול אישי</v>
      </c>
      <c r="V250" s="1786" t="str">
        <f t="shared" si="42"/>
        <v>514741552</v>
      </c>
      <c r="W250" s="1789" t="str">
        <f t="shared" si="43"/>
        <v xml:space="preserve">סלייס גמל בע"מ </v>
      </c>
      <c r="AC250" s="1759" t="s">
        <v>346</v>
      </c>
      <c r="AD250" s="1759"/>
      <c r="AE250" s="1760">
        <v>41179</v>
      </c>
      <c r="AF250" s="1759"/>
      <c r="AG250" s="1759"/>
      <c r="AH250" s="1759" t="s">
        <v>2513</v>
      </c>
      <c r="AI250" s="1759" t="s">
        <v>3713</v>
      </c>
      <c r="AJ250" s="1759" t="s">
        <v>3713</v>
      </c>
      <c r="AK250" s="1759">
        <v>2236</v>
      </c>
      <c r="AL250" s="1759" t="s">
        <v>3713</v>
      </c>
      <c r="AM250" s="1759">
        <v>2236</v>
      </c>
      <c r="AN250" s="1759" t="s">
        <v>5393</v>
      </c>
      <c r="AO250" s="1764"/>
      <c r="AP250" s="1759" t="s">
        <v>5339</v>
      </c>
      <c r="AQ250" s="1759" t="s">
        <v>5340</v>
      </c>
      <c r="AR250" s="1759" t="s">
        <v>5341</v>
      </c>
      <c r="AS250" s="1759" t="s">
        <v>2749</v>
      </c>
      <c r="AT250" s="1759" t="s">
        <v>327</v>
      </c>
      <c r="AU250" s="1763"/>
      <c r="AV250" s="1763"/>
    </row>
    <row r="251" spans="1:48" ht="25" hidden="1">
      <c r="A251" s="1785" t="str">
        <f t="shared" si="33"/>
        <v>גמל</v>
      </c>
      <c r="B251" s="1786">
        <f t="shared" si="34"/>
        <v>2235</v>
      </c>
      <c r="C251" s="1787">
        <v>28946</v>
      </c>
      <c r="D251" s="1786" t="str">
        <f t="shared" si="35"/>
        <v>איי.אר.איי ישראל גמל בניהול אישי</v>
      </c>
      <c r="E251" s="1786" t="s">
        <v>3929</v>
      </c>
      <c r="F251" s="1786" t="s">
        <v>2958</v>
      </c>
      <c r="G251" s="1786" t="s">
        <v>2959</v>
      </c>
      <c r="H251" s="1786" t="str">
        <f t="shared" si="36"/>
        <v>פעיל</v>
      </c>
      <c r="I251" s="1788">
        <f t="shared" si="37"/>
        <v>41179</v>
      </c>
      <c r="J251" s="1788" t="str">
        <f t="shared" si="38"/>
        <v/>
      </c>
      <c r="K251" s="1786">
        <v>0</v>
      </c>
      <c r="L251" s="1786" t="s">
        <v>1594</v>
      </c>
      <c r="M251" s="1786" t="s">
        <v>1653</v>
      </c>
      <c r="N251" s="1786" t="s">
        <v>1653</v>
      </c>
      <c r="O251" s="1786">
        <v>0</v>
      </c>
      <c r="P251" s="1786"/>
      <c r="Q251" s="1786">
        <v>0</v>
      </c>
      <c r="R251" s="1788"/>
      <c r="S251" s="1786">
        <f t="shared" si="39"/>
        <v>2235</v>
      </c>
      <c r="T251" s="1786" t="str">
        <f t="shared" si="40"/>
        <v>ד.ס.ש ייעוץ ושירותים בע"מ</v>
      </c>
      <c r="U251" s="1786" t="str">
        <f t="shared" si="41"/>
        <v>איי.אר.איי ישראל גמל בניהול אישי</v>
      </c>
      <c r="V251" s="1786" t="str">
        <f t="shared" si="42"/>
        <v>514741552</v>
      </c>
      <c r="W251" s="1789" t="str">
        <f t="shared" si="43"/>
        <v xml:space="preserve">סלייס גמל בע"מ </v>
      </c>
      <c r="AC251" s="1761" t="s">
        <v>346</v>
      </c>
      <c r="AD251" s="1759"/>
      <c r="AE251" s="1762">
        <v>41179</v>
      </c>
      <c r="AF251" s="1761"/>
      <c r="AG251" s="1761"/>
      <c r="AH251" s="1761" t="s">
        <v>2513</v>
      </c>
      <c r="AI251" s="1761" t="s">
        <v>3712</v>
      </c>
      <c r="AJ251" s="1761" t="s">
        <v>3712</v>
      </c>
      <c r="AK251" s="1761">
        <v>2235</v>
      </c>
      <c r="AL251" s="1761" t="s">
        <v>3712</v>
      </c>
      <c r="AM251" s="1761">
        <v>2235</v>
      </c>
      <c r="AN251" s="1761" t="s">
        <v>5393</v>
      </c>
      <c r="AO251" s="1764"/>
      <c r="AP251" s="1761" t="s">
        <v>5339</v>
      </c>
      <c r="AQ251" s="1761" t="s">
        <v>5340</v>
      </c>
      <c r="AR251" s="1761" t="s">
        <v>5341</v>
      </c>
      <c r="AS251" s="1761" t="s">
        <v>2749</v>
      </c>
      <c r="AT251" s="1761" t="s">
        <v>327</v>
      </c>
      <c r="AU251" s="1763"/>
      <c r="AV251" s="1763"/>
    </row>
    <row r="252" spans="1:48" ht="37.5" hidden="1">
      <c r="A252" s="1785" t="str">
        <f t="shared" si="33"/>
        <v>גמל</v>
      </c>
      <c r="B252" s="1786">
        <f t="shared" si="34"/>
        <v>2131</v>
      </c>
      <c r="C252" s="1787">
        <v>28946</v>
      </c>
      <c r="D252" s="1786" t="str">
        <f t="shared" si="35"/>
        <v>השתלמות שיטת הפניקס סל עוקב ליבור דולר ארה"ב לחודש</v>
      </c>
      <c r="E252" s="1786" t="s">
        <v>3929</v>
      </c>
      <c r="F252" s="1786" t="s">
        <v>2958</v>
      </c>
      <c r="G252" s="1786" t="s">
        <v>2959</v>
      </c>
      <c r="H252" s="1786" t="str">
        <f t="shared" si="36"/>
        <v>לא פעיל</v>
      </c>
      <c r="I252" s="1788">
        <f t="shared" si="37"/>
        <v>41112</v>
      </c>
      <c r="J252" s="1788">
        <f t="shared" si="38"/>
        <v>42578.541747685202</v>
      </c>
      <c r="K252" s="1786">
        <v>0</v>
      </c>
      <c r="L252" s="1786" t="s">
        <v>1594</v>
      </c>
      <c r="M252" s="1786" t="s">
        <v>1653</v>
      </c>
      <c r="N252" s="1786" t="s">
        <v>1653</v>
      </c>
      <c r="O252" s="1786">
        <v>0</v>
      </c>
      <c r="P252" s="1786"/>
      <c r="Q252" s="1786">
        <v>0</v>
      </c>
      <c r="R252" s="1788"/>
      <c r="S252" s="1786">
        <f t="shared" si="39"/>
        <v>2131</v>
      </c>
      <c r="T252" s="1786">
        <f t="shared" si="40"/>
        <v>0</v>
      </c>
      <c r="U252" s="1786" t="str">
        <f t="shared" si="41"/>
        <v>השתלמות שיטת הפניקס סל עוקב ליבור דולר ארה"ב לחודש</v>
      </c>
      <c r="V252" s="1786">
        <f t="shared" si="42"/>
        <v>0</v>
      </c>
      <c r="W252" s="1789" t="str">
        <f t="shared" si="43"/>
        <v>הפניקס פנסיה בע"מ</v>
      </c>
      <c r="AC252" s="1759" t="s">
        <v>1586</v>
      </c>
      <c r="AD252" s="1760">
        <v>42578.541747685202</v>
      </c>
      <c r="AE252" s="1760">
        <v>41112</v>
      </c>
      <c r="AF252" s="1759" t="s">
        <v>1583</v>
      </c>
      <c r="AG252" s="1759" t="s">
        <v>1583</v>
      </c>
      <c r="AH252" s="1759" t="s">
        <v>1583</v>
      </c>
      <c r="AI252" s="1759" t="s">
        <v>2582</v>
      </c>
      <c r="AJ252" s="1759" t="s">
        <v>2582</v>
      </c>
      <c r="AK252" s="1759">
        <v>2131</v>
      </c>
      <c r="AL252" s="1759" t="s">
        <v>2582</v>
      </c>
      <c r="AM252" s="1759">
        <v>2131</v>
      </c>
      <c r="AN252" s="1759"/>
      <c r="AO252" s="1764"/>
      <c r="AP252" s="1759"/>
      <c r="AQ252" s="1759"/>
      <c r="AR252" s="1759" t="s">
        <v>5508</v>
      </c>
      <c r="AS252" s="1759" t="s">
        <v>402</v>
      </c>
      <c r="AT252" s="1759" t="s">
        <v>327</v>
      </c>
      <c r="AU252" s="1763"/>
      <c r="AV252" s="1763"/>
    </row>
    <row r="253" spans="1:48" ht="37.5" hidden="1">
      <c r="A253" s="1785" t="str">
        <f t="shared" si="33"/>
        <v>גמל</v>
      </c>
      <c r="B253" s="1786">
        <f t="shared" si="34"/>
        <v>2130</v>
      </c>
      <c r="C253" s="1787">
        <v>28946</v>
      </c>
      <c r="D253" s="1786" t="str">
        <f t="shared" si="35"/>
        <v xml:space="preserve">השתלמות שיטת הפניקס סל עוקב מדד IBoxx $ Liquid </v>
      </c>
      <c r="E253" s="1786" t="s">
        <v>3929</v>
      </c>
      <c r="F253" s="1786" t="s">
        <v>2958</v>
      </c>
      <c r="G253" s="1786" t="s">
        <v>2959</v>
      </c>
      <c r="H253" s="1786" t="str">
        <f t="shared" si="36"/>
        <v>לא פעיל</v>
      </c>
      <c r="I253" s="1788">
        <f t="shared" si="37"/>
        <v>41112</v>
      </c>
      <c r="J253" s="1788">
        <f t="shared" si="38"/>
        <v>42572.621157407397</v>
      </c>
      <c r="K253" s="1786">
        <v>0</v>
      </c>
      <c r="L253" s="1786" t="s">
        <v>1594</v>
      </c>
      <c r="M253" s="1786" t="s">
        <v>1653</v>
      </c>
      <c r="N253" s="1786" t="s">
        <v>1653</v>
      </c>
      <c r="O253" s="1786">
        <v>0</v>
      </c>
      <c r="P253" s="1786"/>
      <c r="Q253" s="1786">
        <v>0</v>
      </c>
      <c r="R253" s="1788"/>
      <c r="S253" s="1786">
        <f t="shared" si="39"/>
        <v>2130</v>
      </c>
      <c r="T253" s="1786">
        <f t="shared" si="40"/>
        <v>0</v>
      </c>
      <c r="U253" s="1786" t="str">
        <f t="shared" si="41"/>
        <v xml:space="preserve">השתלמות שיטת הפניקס סל עוקב מדד IBoxx $ Liquid </v>
      </c>
      <c r="V253" s="1786">
        <f t="shared" si="42"/>
        <v>0</v>
      </c>
      <c r="W253" s="1789" t="str">
        <f t="shared" si="43"/>
        <v>הפניקס פנסיה בע"מ</v>
      </c>
      <c r="AC253" s="1761" t="s">
        <v>1586</v>
      </c>
      <c r="AD253" s="1762">
        <v>42572.621157407397</v>
      </c>
      <c r="AE253" s="1762">
        <v>41112</v>
      </c>
      <c r="AF253" s="1761" t="s">
        <v>1583</v>
      </c>
      <c r="AG253" s="1761" t="s">
        <v>1583</v>
      </c>
      <c r="AH253" s="1761" t="s">
        <v>1583</v>
      </c>
      <c r="AI253" s="1761" t="s">
        <v>2581</v>
      </c>
      <c r="AJ253" s="1761" t="s">
        <v>2581</v>
      </c>
      <c r="AK253" s="1761">
        <v>2130</v>
      </c>
      <c r="AL253" s="1761" t="s">
        <v>2581</v>
      </c>
      <c r="AM253" s="1761">
        <v>2130</v>
      </c>
      <c r="AN253" s="1761"/>
      <c r="AO253" s="1764"/>
      <c r="AP253" s="1761"/>
      <c r="AQ253" s="1761"/>
      <c r="AR253" s="1761" t="s">
        <v>5508</v>
      </c>
      <c r="AS253" s="1761" t="s">
        <v>402</v>
      </c>
      <c r="AT253" s="1761" t="s">
        <v>327</v>
      </c>
      <c r="AU253" s="1763"/>
      <c r="AV253" s="1763"/>
    </row>
    <row r="254" spans="1:48" ht="25" hidden="1">
      <c r="A254" s="1785" t="str">
        <f t="shared" si="33"/>
        <v>גמל</v>
      </c>
      <c r="B254" s="1786">
        <f t="shared" si="34"/>
        <v>2129</v>
      </c>
      <c r="C254" s="1787">
        <v>28946</v>
      </c>
      <c r="D254" s="1786" t="str">
        <f t="shared" si="35"/>
        <v>השתלמות שיטת הפניקס סל עוקב מדד J.P.Morgan</v>
      </c>
      <c r="E254" s="1786" t="s">
        <v>3929</v>
      </c>
      <c r="F254" s="1786" t="s">
        <v>2958</v>
      </c>
      <c r="G254" s="1786" t="s">
        <v>2959</v>
      </c>
      <c r="H254" s="1786" t="str">
        <f t="shared" si="36"/>
        <v>לא פעיל</v>
      </c>
      <c r="I254" s="1788">
        <f t="shared" si="37"/>
        <v>41112</v>
      </c>
      <c r="J254" s="1788">
        <f t="shared" si="38"/>
        <v>42572.620219907403</v>
      </c>
      <c r="K254" s="1786">
        <v>0</v>
      </c>
      <c r="L254" s="1786" t="s">
        <v>1594</v>
      </c>
      <c r="M254" s="1786" t="s">
        <v>1653</v>
      </c>
      <c r="N254" s="1786" t="s">
        <v>1653</v>
      </c>
      <c r="O254" s="1786">
        <v>0</v>
      </c>
      <c r="P254" s="1786"/>
      <c r="Q254" s="1786">
        <v>0</v>
      </c>
      <c r="R254" s="1788"/>
      <c r="S254" s="1786">
        <f t="shared" si="39"/>
        <v>2129</v>
      </c>
      <c r="T254" s="1786">
        <f t="shared" si="40"/>
        <v>0</v>
      </c>
      <c r="U254" s="1786" t="str">
        <f t="shared" si="41"/>
        <v>השתלמות שיטת הפניקס סל עוקב מדד J.P.Morgan</v>
      </c>
      <c r="V254" s="1786">
        <f t="shared" si="42"/>
        <v>0</v>
      </c>
      <c r="W254" s="1789" t="str">
        <f t="shared" si="43"/>
        <v>הפניקס פנסיה בע"מ</v>
      </c>
      <c r="AC254" s="1759" t="s">
        <v>1586</v>
      </c>
      <c r="AD254" s="1760">
        <v>42572.620219907403</v>
      </c>
      <c r="AE254" s="1760">
        <v>41112</v>
      </c>
      <c r="AF254" s="1759" t="s">
        <v>1583</v>
      </c>
      <c r="AG254" s="1759" t="s">
        <v>1583</v>
      </c>
      <c r="AH254" s="1759" t="s">
        <v>1583</v>
      </c>
      <c r="AI254" s="1759" t="s">
        <v>2580</v>
      </c>
      <c r="AJ254" s="1759" t="s">
        <v>2580</v>
      </c>
      <c r="AK254" s="1759">
        <v>2129</v>
      </c>
      <c r="AL254" s="1759" t="s">
        <v>2580</v>
      </c>
      <c r="AM254" s="1759">
        <v>2129</v>
      </c>
      <c r="AN254" s="1759"/>
      <c r="AO254" s="1764"/>
      <c r="AP254" s="1759"/>
      <c r="AQ254" s="1759"/>
      <c r="AR254" s="1759" t="s">
        <v>5508</v>
      </c>
      <c r="AS254" s="1759" t="s">
        <v>402</v>
      </c>
      <c r="AT254" s="1759" t="s">
        <v>327</v>
      </c>
      <c r="AU254" s="1763"/>
      <c r="AV254" s="1763"/>
    </row>
    <row r="255" spans="1:48" ht="37.5" hidden="1">
      <c r="A255" s="1785" t="str">
        <f t="shared" si="33"/>
        <v>גמל</v>
      </c>
      <c r="B255" s="1786">
        <f t="shared" si="34"/>
        <v>2128</v>
      </c>
      <c r="C255" s="1787">
        <v>28946</v>
      </c>
      <c r="D255" s="1786" t="str">
        <f t="shared" si="35"/>
        <v xml:space="preserve">השתלמות שיטת הפניקס סל עוקב מדד Barclays capital </v>
      </c>
      <c r="E255" s="1786" t="s">
        <v>3929</v>
      </c>
      <c r="F255" s="1786" t="s">
        <v>2958</v>
      </c>
      <c r="G255" s="1786" t="s">
        <v>2959</v>
      </c>
      <c r="H255" s="1786" t="str">
        <f t="shared" si="36"/>
        <v>לא פעיל</v>
      </c>
      <c r="I255" s="1788">
        <f t="shared" si="37"/>
        <v>41112</v>
      </c>
      <c r="J255" s="1788">
        <f t="shared" si="38"/>
        <v>42572.619108796302</v>
      </c>
      <c r="K255" s="1786">
        <v>0</v>
      </c>
      <c r="L255" s="1786" t="s">
        <v>1594</v>
      </c>
      <c r="M255" s="1786" t="s">
        <v>1653</v>
      </c>
      <c r="N255" s="1786" t="s">
        <v>1653</v>
      </c>
      <c r="O255" s="1786">
        <v>0</v>
      </c>
      <c r="P255" s="1786"/>
      <c r="Q255" s="1786">
        <v>0</v>
      </c>
      <c r="R255" s="1788"/>
      <c r="S255" s="1786">
        <f t="shared" si="39"/>
        <v>2128</v>
      </c>
      <c r="T255" s="1786">
        <f t="shared" si="40"/>
        <v>0</v>
      </c>
      <c r="U255" s="1786" t="str">
        <f t="shared" si="41"/>
        <v xml:space="preserve">השתלמות שיטת הפניקס סל עוקב מדד Barclays capital </v>
      </c>
      <c r="V255" s="1786">
        <f t="shared" si="42"/>
        <v>0</v>
      </c>
      <c r="W255" s="1789" t="str">
        <f t="shared" si="43"/>
        <v>הפניקס פנסיה בע"מ</v>
      </c>
      <c r="AC255" s="1761" t="s">
        <v>1586</v>
      </c>
      <c r="AD255" s="1762">
        <v>42572.619108796302</v>
      </c>
      <c r="AE255" s="1762">
        <v>41112</v>
      </c>
      <c r="AF255" s="1761" t="s">
        <v>1583</v>
      </c>
      <c r="AG255" s="1761" t="s">
        <v>1583</v>
      </c>
      <c r="AH255" s="1761" t="s">
        <v>1583</v>
      </c>
      <c r="AI255" s="1761" t="s">
        <v>2579</v>
      </c>
      <c r="AJ255" s="1761" t="s">
        <v>2579</v>
      </c>
      <c r="AK255" s="1761">
        <v>2128</v>
      </c>
      <c r="AL255" s="1761" t="s">
        <v>2579</v>
      </c>
      <c r="AM255" s="1761">
        <v>2128</v>
      </c>
      <c r="AN255" s="1761"/>
      <c r="AO255" s="1764"/>
      <c r="AP255" s="1761"/>
      <c r="AQ255" s="1761"/>
      <c r="AR255" s="1761" t="s">
        <v>5508</v>
      </c>
      <c r="AS255" s="1761" t="s">
        <v>402</v>
      </c>
      <c r="AT255" s="1761" t="s">
        <v>327</v>
      </c>
      <c r="AU255" s="1763"/>
      <c r="AV255" s="1763"/>
    </row>
    <row r="256" spans="1:48" ht="25" hidden="1">
      <c r="A256" s="1785" t="str">
        <f t="shared" si="33"/>
        <v>גמל</v>
      </c>
      <c r="B256" s="1786">
        <f t="shared" si="34"/>
        <v>2127</v>
      </c>
      <c r="C256" s="1787">
        <v>28946</v>
      </c>
      <c r="D256" s="1786" t="str">
        <f t="shared" si="35"/>
        <v>השתלמות שיטת הפניקס סל עוקב תל בונד שקלי</v>
      </c>
      <c r="E256" s="1786" t="s">
        <v>3929</v>
      </c>
      <c r="F256" s="1786" t="s">
        <v>2958</v>
      </c>
      <c r="G256" s="1786" t="s">
        <v>2959</v>
      </c>
      <c r="H256" s="1786" t="str">
        <f t="shared" si="36"/>
        <v>לא פעיל</v>
      </c>
      <c r="I256" s="1788">
        <f t="shared" si="37"/>
        <v>41112</v>
      </c>
      <c r="J256" s="1788">
        <f t="shared" si="38"/>
        <v>42572.615682870397</v>
      </c>
      <c r="K256" s="1786">
        <v>0</v>
      </c>
      <c r="L256" s="1786" t="s">
        <v>1594</v>
      </c>
      <c r="M256" s="1786" t="s">
        <v>1653</v>
      </c>
      <c r="N256" s="1786" t="s">
        <v>1653</v>
      </c>
      <c r="O256" s="1786">
        <v>0</v>
      </c>
      <c r="P256" s="1786"/>
      <c r="Q256" s="1786">
        <v>0</v>
      </c>
      <c r="R256" s="1788"/>
      <c r="S256" s="1786">
        <f t="shared" si="39"/>
        <v>2127</v>
      </c>
      <c r="T256" s="1786">
        <f t="shared" si="40"/>
        <v>0</v>
      </c>
      <c r="U256" s="1786" t="str">
        <f t="shared" si="41"/>
        <v>השתלמות שיטת הפניקס סל עוקב תל בונד שקלי</v>
      </c>
      <c r="V256" s="1786">
        <f t="shared" si="42"/>
        <v>0</v>
      </c>
      <c r="W256" s="1789" t="str">
        <f t="shared" si="43"/>
        <v>הפניקס פנסיה בע"מ</v>
      </c>
      <c r="AC256" s="1759" t="s">
        <v>1586</v>
      </c>
      <c r="AD256" s="1760">
        <v>42572.615682870397</v>
      </c>
      <c r="AE256" s="1760">
        <v>41112</v>
      </c>
      <c r="AF256" s="1759" t="s">
        <v>1583</v>
      </c>
      <c r="AG256" s="1759" t="s">
        <v>1583</v>
      </c>
      <c r="AH256" s="1759" t="s">
        <v>1583</v>
      </c>
      <c r="AI256" s="1759" t="s">
        <v>2578</v>
      </c>
      <c r="AJ256" s="1759" t="s">
        <v>2578</v>
      </c>
      <c r="AK256" s="1759">
        <v>2127</v>
      </c>
      <c r="AL256" s="1759" t="s">
        <v>2578</v>
      </c>
      <c r="AM256" s="1759">
        <v>2127</v>
      </c>
      <c r="AN256" s="1759"/>
      <c r="AO256" s="1764"/>
      <c r="AP256" s="1759"/>
      <c r="AQ256" s="1759"/>
      <c r="AR256" s="1759" t="s">
        <v>5508</v>
      </c>
      <c r="AS256" s="1759" t="s">
        <v>402</v>
      </c>
      <c r="AT256" s="1759" t="s">
        <v>327</v>
      </c>
      <c r="AU256" s="1763"/>
      <c r="AV256" s="1763"/>
    </row>
    <row r="257" spans="1:48" ht="25" hidden="1">
      <c r="A257" s="1785" t="str">
        <f t="shared" si="33"/>
        <v>גמל</v>
      </c>
      <c r="B257" s="1786">
        <f t="shared" si="34"/>
        <v>2126</v>
      </c>
      <c r="C257" s="1787">
        <v>28946</v>
      </c>
      <c r="D257" s="1786" t="str">
        <f t="shared" si="35"/>
        <v>השתלמות שיטת הפניקס סל עוקב מדד ת"א 25</v>
      </c>
      <c r="E257" s="1786" t="s">
        <v>3929</v>
      </c>
      <c r="F257" s="1786" t="s">
        <v>2958</v>
      </c>
      <c r="G257" s="1786" t="s">
        <v>2959</v>
      </c>
      <c r="H257" s="1786" t="str">
        <f t="shared" si="36"/>
        <v>לא פעיל</v>
      </c>
      <c r="I257" s="1788">
        <f t="shared" si="37"/>
        <v>41112</v>
      </c>
      <c r="J257" s="1788">
        <f t="shared" si="38"/>
        <v>42572.622696759303</v>
      </c>
      <c r="K257" s="1786">
        <v>0</v>
      </c>
      <c r="L257" s="1786" t="s">
        <v>1594</v>
      </c>
      <c r="M257" s="1786" t="s">
        <v>1653</v>
      </c>
      <c r="N257" s="1786" t="s">
        <v>1653</v>
      </c>
      <c r="O257" s="1786">
        <v>0</v>
      </c>
      <c r="P257" s="1786"/>
      <c r="Q257" s="1786">
        <v>0</v>
      </c>
      <c r="R257" s="1788"/>
      <c r="S257" s="1786">
        <f t="shared" si="39"/>
        <v>2126</v>
      </c>
      <c r="T257" s="1786">
        <f t="shared" si="40"/>
        <v>0</v>
      </c>
      <c r="U257" s="1786" t="str">
        <f t="shared" si="41"/>
        <v>השתלמות שיטת הפניקס סל עוקב מדד ת"א 25</v>
      </c>
      <c r="V257" s="1786">
        <f t="shared" si="42"/>
        <v>0</v>
      </c>
      <c r="W257" s="1789" t="str">
        <f t="shared" si="43"/>
        <v>הפניקס פנסיה בע"מ</v>
      </c>
      <c r="AC257" s="1761" t="s">
        <v>1586</v>
      </c>
      <c r="AD257" s="1762">
        <v>42572.622696759303</v>
      </c>
      <c r="AE257" s="1762">
        <v>41112</v>
      </c>
      <c r="AF257" s="1761" t="s">
        <v>1583</v>
      </c>
      <c r="AG257" s="1761" t="s">
        <v>1583</v>
      </c>
      <c r="AH257" s="1761" t="s">
        <v>1583</v>
      </c>
      <c r="AI257" s="1761" t="s">
        <v>2577</v>
      </c>
      <c r="AJ257" s="1761" t="s">
        <v>2577</v>
      </c>
      <c r="AK257" s="1761">
        <v>2126</v>
      </c>
      <c r="AL257" s="1761" t="s">
        <v>2577</v>
      </c>
      <c r="AM257" s="1761">
        <v>2126</v>
      </c>
      <c r="AN257" s="1761"/>
      <c r="AO257" s="1764"/>
      <c r="AP257" s="1761"/>
      <c r="AQ257" s="1761"/>
      <c r="AR257" s="1761" t="s">
        <v>5508</v>
      </c>
      <c r="AS257" s="1761" t="s">
        <v>402</v>
      </c>
      <c r="AT257" s="1761" t="s">
        <v>327</v>
      </c>
      <c r="AU257" s="1763"/>
      <c r="AV257" s="1763"/>
    </row>
    <row r="258" spans="1:48" ht="37.5" hidden="1">
      <c r="A258" s="1785" t="str">
        <f t="shared" si="33"/>
        <v>גמל</v>
      </c>
      <c r="B258" s="1786">
        <f t="shared" si="34"/>
        <v>2125</v>
      </c>
      <c r="C258" s="1787">
        <v>28946</v>
      </c>
      <c r="D258" s="1786" t="str">
        <f t="shared" si="35"/>
        <v>השתלמות שיטת הפניקס אגח ממשלתי שקלי ריבית קבועה +5</v>
      </c>
      <c r="E258" s="1786" t="s">
        <v>3929</v>
      </c>
      <c r="F258" s="1786" t="s">
        <v>2958</v>
      </c>
      <c r="G258" s="1786" t="s">
        <v>2959</v>
      </c>
      <c r="H258" s="1786" t="str">
        <f t="shared" si="36"/>
        <v>לא פעיל</v>
      </c>
      <c r="I258" s="1788">
        <f t="shared" si="37"/>
        <v>41112</v>
      </c>
      <c r="J258" s="1788">
        <f t="shared" si="38"/>
        <v>42572.613993055602</v>
      </c>
      <c r="K258" s="1786">
        <v>0</v>
      </c>
      <c r="L258" s="1786" t="s">
        <v>1594</v>
      </c>
      <c r="M258" s="1786" t="s">
        <v>1653</v>
      </c>
      <c r="N258" s="1786" t="s">
        <v>1653</v>
      </c>
      <c r="O258" s="1786">
        <v>0</v>
      </c>
      <c r="P258" s="1786"/>
      <c r="Q258" s="1786">
        <v>0</v>
      </c>
      <c r="R258" s="1788"/>
      <c r="S258" s="1786">
        <f t="shared" si="39"/>
        <v>2125</v>
      </c>
      <c r="T258" s="1786">
        <f t="shared" si="40"/>
        <v>0</v>
      </c>
      <c r="U258" s="1786" t="str">
        <f t="shared" si="41"/>
        <v>השתלמות שיטת הפניקס אגח ממשלתי שקלי ריבית קבועה +5</v>
      </c>
      <c r="V258" s="1786">
        <f t="shared" si="42"/>
        <v>0</v>
      </c>
      <c r="W258" s="1789" t="str">
        <f t="shared" si="43"/>
        <v>הפניקס פנסיה בע"מ</v>
      </c>
      <c r="AC258" s="1759" t="s">
        <v>1586</v>
      </c>
      <c r="AD258" s="1760">
        <v>42572.613993055602</v>
      </c>
      <c r="AE258" s="1760">
        <v>41112</v>
      </c>
      <c r="AF258" s="1759" t="s">
        <v>1583</v>
      </c>
      <c r="AG258" s="1759" t="s">
        <v>1583</v>
      </c>
      <c r="AH258" s="1759" t="s">
        <v>1583</v>
      </c>
      <c r="AI258" s="1759" t="s">
        <v>2576</v>
      </c>
      <c r="AJ258" s="1759" t="s">
        <v>2576</v>
      </c>
      <c r="AK258" s="1759">
        <v>2125</v>
      </c>
      <c r="AL258" s="1759" t="s">
        <v>2576</v>
      </c>
      <c r="AM258" s="1759">
        <v>2125</v>
      </c>
      <c r="AN258" s="1759"/>
      <c r="AO258" s="1764"/>
      <c r="AP258" s="1759"/>
      <c r="AQ258" s="1759"/>
      <c r="AR258" s="1759" t="s">
        <v>5508</v>
      </c>
      <c r="AS258" s="1759" t="s">
        <v>402</v>
      </c>
      <c r="AT258" s="1759" t="s">
        <v>327</v>
      </c>
      <c r="AU258" s="1763"/>
      <c r="AV258" s="1763"/>
    </row>
    <row r="259" spans="1:48" ht="37.5" hidden="1">
      <c r="A259" s="1785" t="str">
        <f t="shared" si="33"/>
        <v>גמל</v>
      </c>
      <c r="B259" s="1786">
        <f t="shared" si="34"/>
        <v>2124</v>
      </c>
      <c r="C259" s="1787">
        <v>28946</v>
      </c>
      <c r="D259" s="1786" t="str">
        <f t="shared" si="35"/>
        <v>השתלמות שיטת הפניקס סל עוקב מדד ממשלתי צמוד 5-10</v>
      </c>
      <c r="E259" s="1786" t="s">
        <v>3929</v>
      </c>
      <c r="F259" s="1786" t="s">
        <v>2958</v>
      </c>
      <c r="G259" s="1786" t="s">
        <v>2959</v>
      </c>
      <c r="H259" s="1786" t="str">
        <f t="shared" si="36"/>
        <v>לא פעיל</v>
      </c>
      <c r="I259" s="1788">
        <f t="shared" si="37"/>
        <v>41112</v>
      </c>
      <c r="J259" s="1788">
        <f t="shared" si="38"/>
        <v>42572.610729166699</v>
      </c>
      <c r="K259" s="1786">
        <v>0</v>
      </c>
      <c r="L259" s="1786" t="s">
        <v>1594</v>
      </c>
      <c r="M259" s="1786" t="s">
        <v>1653</v>
      </c>
      <c r="N259" s="1786" t="s">
        <v>1653</v>
      </c>
      <c r="O259" s="1786">
        <v>0</v>
      </c>
      <c r="P259" s="1786"/>
      <c r="Q259" s="1786">
        <v>0</v>
      </c>
      <c r="R259" s="1788"/>
      <c r="S259" s="1786">
        <f t="shared" si="39"/>
        <v>2124</v>
      </c>
      <c r="T259" s="1786">
        <f t="shared" si="40"/>
        <v>0</v>
      </c>
      <c r="U259" s="1786" t="str">
        <f t="shared" si="41"/>
        <v>השתלמות שיטת הפניקס סל עוקב מדד ממשלתי צמוד 5-10</v>
      </c>
      <c r="V259" s="1786">
        <f t="shared" si="42"/>
        <v>0</v>
      </c>
      <c r="W259" s="1789" t="str">
        <f t="shared" si="43"/>
        <v>הפניקס פנסיה בע"מ</v>
      </c>
      <c r="AC259" s="1761" t="s">
        <v>1586</v>
      </c>
      <c r="AD259" s="1762">
        <v>42572.610729166699</v>
      </c>
      <c r="AE259" s="1762">
        <v>41112</v>
      </c>
      <c r="AF259" s="1761" t="s">
        <v>1583</v>
      </c>
      <c r="AG259" s="1761" t="s">
        <v>1583</v>
      </c>
      <c r="AH259" s="1761" t="s">
        <v>1583</v>
      </c>
      <c r="AI259" s="1761" t="s">
        <v>2575</v>
      </c>
      <c r="AJ259" s="1761" t="s">
        <v>2575</v>
      </c>
      <c r="AK259" s="1761">
        <v>2124</v>
      </c>
      <c r="AL259" s="1761" t="s">
        <v>2575</v>
      </c>
      <c r="AM259" s="1761">
        <v>2124</v>
      </c>
      <c r="AN259" s="1761"/>
      <c r="AO259" s="1764"/>
      <c r="AP259" s="1761"/>
      <c r="AQ259" s="1761"/>
      <c r="AR259" s="1761" t="s">
        <v>5508</v>
      </c>
      <c r="AS259" s="1761" t="s">
        <v>402</v>
      </c>
      <c r="AT259" s="1761" t="s">
        <v>327</v>
      </c>
      <c r="AU259" s="1763"/>
      <c r="AV259" s="1763"/>
    </row>
    <row r="260" spans="1:48" ht="37.5" hidden="1">
      <c r="A260" s="1785" t="str">
        <f t="shared" si="33"/>
        <v>גמל</v>
      </c>
      <c r="B260" s="1786">
        <f t="shared" si="34"/>
        <v>2123</v>
      </c>
      <c r="C260" s="1787">
        <v>28946</v>
      </c>
      <c r="D260" s="1786" t="str">
        <f t="shared" si="35"/>
        <v>תגמולים שיטת הפניקס סל עוקב ליבור דולר ארה"ב לחודש</v>
      </c>
      <c r="E260" s="1786" t="s">
        <v>3929</v>
      </c>
      <c r="F260" s="1786" t="s">
        <v>2958</v>
      </c>
      <c r="G260" s="1786" t="s">
        <v>2959</v>
      </c>
      <c r="H260" s="1786" t="str">
        <f t="shared" si="36"/>
        <v>לא פעיל</v>
      </c>
      <c r="I260" s="1788">
        <f t="shared" si="37"/>
        <v>41112</v>
      </c>
      <c r="J260" s="1788">
        <f t="shared" si="38"/>
        <v>42572.600694444402</v>
      </c>
      <c r="K260" s="1786">
        <v>0</v>
      </c>
      <c r="L260" s="1786" t="s">
        <v>1594</v>
      </c>
      <c r="M260" s="1786" t="s">
        <v>1653</v>
      </c>
      <c r="N260" s="1786" t="s">
        <v>1653</v>
      </c>
      <c r="O260" s="1786">
        <v>0</v>
      </c>
      <c r="P260" s="1786"/>
      <c r="Q260" s="1786">
        <v>0</v>
      </c>
      <c r="R260" s="1788"/>
      <c r="S260" s="1786">
        <f t="shared" si="39"/>
        <v>2123</v>
      </c>
      <c r="T260" s="1786">
        <f t="shared" si="40"/>
        <v>0</v>
      </c>
      <c r="U260" s="1786" t="str">
        <f t="shared" si="41"/>
        <v>תגמולים שיטת הפניקס סל עוקב ליבור דולר ארה"ב לחודש</v>
      </c>
      <c r="V260" s="1786">
        <f t="shared" si="42"/>
        <v>0</v>
      </c>
      <c r="W260" s="1789" t="str">
        <f t="shared" si="43"/>
        <v>הפניקס פנסיה בע"מ</v>
      </c>
      <c r="AC260" s="1759" t="s">
        <v>1586</v>
      </c>
      <c r="AD260" s="1760">
        <v>42572.600694444402</v>
      </c>
      <c r="AE260" s="1760">
        <v>41112</v>
      </c>
      <c r="AF260" s="1759" t="s">
        <v>1583</v>
      </c>
      <c r="AG260" s="1759" t="s">
        <v>1583</v>
      </c>
      <c r="AH260" s="1759" t="s">
        <v>1583</v>
      </c>
      <c r="AI260" s="1759" t="s">
        <v>2574</v>
      </c>
      <c r="AJ260" s="1759" t="s">
        <v>2574</v>
      </c>
      <c r="AK260" s="1759">
        <v>2123</v>
      </c>
      <c r="AL260" s="1759" t="s">
        <v>2574</v>
      </c>
      <c r="AM260" s="1759">
        <v>2123</v>
      </c>
      <c r="AN260" s="1759"/>
      <c r="AO260" s="1764"/>
      <c r="AP260" s="1759"/>
      <c r="AQ260" s="1759"/>
      <c r="AR260" s="1759" t="s">
        <v>5508</v>
      </c>
      <c r="AS260" s="1759" t="s">
        <v>402</v>
      </c>
      <c r="AT260" s="1759" t="s">
        <v>327</v>
      </c>
      <c r="AU260" s="1763"/>
      <c r="AV260" s="1763"/>
    </row>
    <row r="261" spans="1:48" ht="25" hidden="1">
      <c r="A261" s="1785" t="str">
        <f t="shared" si="33"/>
        <v>גמל</v>
      </c>
      <c r="B261" s="1786">
        <f t="shared" si="34"/>
        <v>2122</v>
      </c>
      <c r="C261" s="1787">
        <v>28946</v>
      </c>
      <c r="D261" s="1786" t="str">
        <f t="shared" si="35"/>
        <v xml:space="preserve">תגמולים שיטת הפניקס סל עוקב מדד IBoxx $ Liquid </v>
      </c>
      <c r="E261" s="1786" t="s">
        <v>3929</v>
      </c>
      <c r="F261" s="1786" t="s">
        <v>2958</v>
      </c>
      <c r="G261" s="1786" t="s">
        <v>2959</v>
      </c>
      <c r="H261" s="1786" t="str">
        <f t="shared" si="36"/>
        <v>לא פעיל</v>
      </c>
      <c r="I261" s="1788">
        <f t="shared" si="37"/>
        <v>41112</v>
      </c>
      <c r="J261" s="1788">
        <f t="shared" si="38"/>
        <v>42572.599247685197</v>
      </c>
      <c r="K261" s="1786">
        <v>0</v>
      </c>
      <c r="L261" s="1786" t="s">
        <v>1594</v>
      </c>
      <c r="M261" s="1786" t="s">
        <v>1653</v>
      </c>
      <c r="N261" s="1786" t="s">
        <v>1653</v>
      </c>
      <c r="O261" s="1786">
        <v>0</v>
      </c>
      <c r="P261" s="1786"/>
      <c r="Q261" s="1786">
        <v>0</v>
      </c>
      <c r="R261" s="1788"/>
      <c r="S261" s="1786">
        <f t="shared" si="39"/>
        <v>2122</v>
      </c>
      <c r="T261" s="1786">
        <f t="shared" si="40"/>
        <v>0</v>
      </c>
      <c r="U261" s="1786" t="str">
        <f t="shared" si="41"/>
        <v xml:space="preserve">תגמולים שיטת הפניקס סל עוקב מדד IBoxx $ Liquid </v>
      </c>
      <c r="V261" s="1786">
        <f t="shared" si="42"/>
        <v>0</v>
      </c>
      <c r="W261" s="1789" t="str">
        <f t="shared" si="43"/>
        <v>הפניקס פנסיה בע"מ</v>
      </c>
      <c r="AC261" s="1761" t="s">
        <v>1586</v>
      </c>
      <c r="AD261" s="1762">
        <v>42572.599247685197</v>
      </c>
      <c r="AE261" s="1762">
        <v>41112</v>
      </c>
      <c r="AF261" s="1761" t="s">
        <v>1583</v>
      </c>
      <c r="AG261" s="1761" t="s">
        <v>1583</v>
      </c>
      <c r="AH261" s="1761" t="s">
        <v>1583</v>
      </c>
      <c r="AI261" s="1761" t="s">
        <v>2573</v>
      </c>
      <c r="AJ261" s="1761" t="s">
        <v>2573</v>
      </c>
      <c r="AK261" s="1761">
        <v>2122</v>
      </c>
      <c r="AL261" s="1761" t="s">
        <v>2573</v>
      </c>
      <c r="AM261" s="1761">
        <v>2122</v>
      </c>
      <c r="AN261" s="1761"/>
      <c r="AO261" s="1764"/>
      <c r="AP261" s="1761"/>
      <c r="AQ261" s="1761"/>
      <c r="AR261" s="1761" t="s">
        <v>5508</v>
      </c>
      <c r="AS261" s="1761" t="s">
        <v>402</v>
      </c>
      <c r="AT261" s="1761" t="s">
        <v>327</v>
      </c>
      <c r="AU261" s="1763"/>
      <c r="AV261" s="1763"/>
    </row>
    <row r="262" spans="1:48" ht="25" hidden="1">
      <c r="A262" s="1785" t="str">
        <f t="shared" si="33"/>
        <v>גמל</v>
      </c>
      <c r="B262" s="1786">
        <f t="shared" si="34"/>
        <v>2121</v>
      </c>
      <c r="C262" s="1787">
        <v>28946</v>
      </c>
      <c r="D262" s="1786" t="str">
        <f t="shared" si="35"/>
        <v>תגמולים שיטת הפניקס סל עוקב מדד J.P.Morgan</v>
      </c>
      <c r="E262" s="1786" t="s">
        <v>3929</v>
      </c>
      <c r="F262" s="1786" t="s">
        <v>2958</v>
      </c>
      <c r="G262" s="1786" t="s">
        <v>2959</v>
      </c>
      <c r="H262" s="1786" t="str">
        <f t="shared" si="36"/>
        <v>לא פעיל</v>
      </c>
      <c r="I262" s="1788">
        <f t="shared" si="37"/>
        <v>41112</v>
      </c>
      <c r="J262" s="1788">
        <f t="shared" si="38"/>
        <v>42572.598726851902</v>
      </c>
      <c r="K262" s="1786">
        <v>0</v>
      </c>
      <c r="L262" s="1786" t="s">
        <v>1594</v>
      </c>
      <c r="M262" s="1786" t="s">
        <v>1653</v>
      </c>
      <c r="N262" s="1786" t="s">
        <v>1653</v>
      </c>
      <c r="O262" s="1786">
        <v>0</v>
      </c>
      <c r="P262" s="1786"/>
      <c r="Q262" s="1786">
        <v>0</v>
      </c>
      <c r="R262" s="1788"/>
      <c r="S262" s="1786">
        <f t="shared" si="39"/>
        <v>2121</v>
      </c>
      <c r="T262" s="1786">
        <f t="shared" si="40"/>
        <v>0</v>
      </c>
      <c r="U262" s="1786" t="str">
        <f t="shared" si="41"/>
        <v>תגמולים שיטת הפניקס סל עוקב מדד J.P.Morgan</v>
      </c>
      <c r="V262" s="1786">
        <f t="shared" si="42"/>
        <v>0</v>
      </c>
      <c r="W262" s="1789" t="str">
        <f t="shared" si="43"/>
        <v>הפניקס פנסיה בע"מ</v>
      </c>
      <c r="AC262" s="1759" t="s">
        <v>1586</v>
      </c>
      <c r="AD262" s="1760">
        <v>42572.598726851902</v>
      </c>
      <c r="AE262" s="1760">
        <v>41112</v>
      </c>
      <c r="AF262" s="1759" t="s">
        <v>1583</v>
      </c>
      <c r="AG262" s="1759" t="s">
        <v>1583</v>
      </c>
      <c r="AH262" s="1759" t="s">
        <v>1583</v>
      </c>
      <c r="AI262" s="1759" t="s">
        <v>2572</v>
      </c>
      <c r="AJ262" s="1759" t="s">
        <v>2572</v>
      </c>
      <c r="AK262" s="1759">
        <v>2121</v>
      </c>
      <c r="AL262" s="1759" t="s">
        <v>2572</v>
      </c>
      <c r="AM262" s="1759">
        <v>2121</v>
      </c>
      <c r="AN262" s="1759"/>
      <c r="AO262" s="1764"/>
      <c r="AP262" s="1759"/>
      <c r="AQ262" s="1759"/>
      <c r="AR262" s="1759" t="s">
        <v>5508</v>
      </c>
      <c r="AS262" s="1759" t="s">
        <v>402</v>
      </c>
      <c r="AT262" s="1759" t="s">
        <v>327</v>
      </c>
      <c r="AU262" s="1763"/>
      <c r="AV262" s="1763"/>
    </row>
    <row r="263" spans="1:48" ht="25" hidden="1">
      <c r="A263" s="1785" t="str">
        <f t="shared" si="33"/>
        <v>גמל</v>
      </c>
      <c r="B263" s="1786">
        <f t="shared" si="34"/>
        <v>2120</v>
      </c>
      <c r="C263" s="1787">
        <v>28946</v>
      </c>
      <c r="D263" s="1786" t="str">
        <f t="shared" si="35"/>
        <v xml:space="preserve">תגמולים שיטת הפניקס סל עוקב מדד Barclays capital </v>
      </c>
      <c r="E263" s="1786" t="s">
        <v>3929</v>
      </c>
      <c r="F263" s="1786" t="s">
        <v>2958</v>
      </c>
      <c r="G263" s="1786" t="s">
        <v>2959</v>
      </c>
      <c r="H263" s="1786" t="str">
        <f t="shared" si="36"/>
        <v>לא פעיל</v>
      </c>
      <c r="I263" s="1788">
        <f t="shared" si="37"/>
        <v>41112</v>
      </c>
      <c r="J263" s="1788">
        <f t="shared" si="38"/>
        <v>42572.588530092602</v>
      </c>
      <c r="K263" s="1786">
        <v>0</v>
      </c>
      <c r="L263" s="1786" t="s">
        <v>1594</v>
      </c>
      <c r="M263" s="1786" t="s">
        <v>1653</v>
      </c>
      <c r="N263" s="1786" t="s">
        <v>1653</v>
      </c>
      <c r="O263" s="1786">
        <v>0</v>
      </c>
      <c r="P263" s="1786"/>
      <c r="Q263" s="1786">
        <v>0</v>
      </c>
      <c r="R263" s="1788"/>
      <c r="S263" s="1786">
        <f t="shared" si="39"/>
        <v>2120</v>
      </c>
      <c r="T263" s="1786">
        <f t="shared" si="40"/>
        <v>0</v>
      </c>
      <c r="U263" s="1786" t="str">
        <f t="shared" si="41"/>
        <v xml:space="preserve">תגמולים שיטת הפניקס סל עוקב מדד Barclays capital </v>
      </c>
      <c r="V263" s="1786">
        <f t="shared" si="42"/>
        <v>0</v>
      </c>
      <c r="W263" s="1789" t="str">
        <f t="shared" si="43"/>
        <v>הפניקס פנסיה בע"מ</v>
      </c>
      <c r="AC263" s="1761" t="s">
        <v>1586</v>
      </c>
      <c r="AD263" s="1762">
        <v>42572.588530092602</v>
      </c>
      <c r="AE263" s="1762">
        <v>41112</v>
      </c>
      <c r="AF263" s="1761" t="s">
        <v>1583</v>
      </c>
      <c r="AG263" s="1761" t="s">
        <v>1583</v>
      </c>
      <c r="AH263" s="1761" t="s">
        <v>1583</v>
      </c>
      <c r="AI263" s="1761" t="s">
        <v>2571</v>
      </c>
      <c r="AJ263" s="1761" t="s">
        <v>2571</v>
      </c>
      <c r="AK263" s="1761">
        <v>2120</v>
      </c>
      <c r="AL263" s="1761" t="s">
        <v>2571</v>
      </c>
      <c r="AM263" s="1761">
        <v>2120</v>
      </c>
      <c r="AN263" s="1761"/>
      <c r="AO263" s="1764"/>
      <c r="AP263" s="1761"/>
      <c r="AQ263" s="1761"/>
      <c r="AR263" s="1761" t="s">
        <v>5508</v>
      </c>
      <c r="AS263" s="1761" t="s">
        <v>402</v>
      </c>
      <c r="AT263" s="1761" t="s">
        <v>327</v>
      </c>
      <c r="AU263" s="1763"/>
      <c r="AV263" s="1763"/>
    </row>
    <row r="264" spans="1:48" ht="25" hidden="1">
      <c r="A264" s="1785" t="str">
        <f t="shared" si="33"/>
        <v>גמל</v>
      </c>
      <c r="B264" s="1786">
        <f t="shared" si="34"/>
        <v>2119</v>
      </c>
      <c r="C264" s="1787">
        <v>28946</v>
      </c>
      <c r="D264" s="1786" t="str">
        <f t="shared" si="35"/>
        <v>תגמולים שיטת הפניקס סל עוקב תל בונד שקלי</v>
      </c>
      <c r="E264" s="1786" t="s">
        <v>3929</v>
      </c>
      <c r="F264" s="1786" t="s">
        <v>2958</v>
      </c>
      <c r="G264" s="1786" t="s">
        <v>2959</v>
      </c>
      <c r="H264" s="1786" t="str">
        <f t="shared" si="36"/>
        <v>לא פעיל</v>
      </c>
      <c r="I264" s="1788">
        <f t="shared" si="37"/>
        <v>41112</v>
      </c>
      <c r="J264" s="1788">
        <f t="shared" si="38"/>
        <v>42572.586365740703</v>
      </c>
      <c r="K264" s="1786">
        <v>0</v>
      </c>
      <c r="L264" s="1786" t="s">
        <v>1594</v>
      </c>
      <c r="M264" s="1786" t="s">
        <v>1653</v>
      </c>
      <c r="N264" s="1786" t="s">
        <v>1653</v>
      </c>
      <c r="O264" s="1786">
        <v>0</v>
      </c>
      <c r="P264" s="1786"/>
      <c r="Q264" s="1786">
        <v>0</v>
      </c>
      <c r="R264" s="1788"/>
      <c r="S264" s="1786">
        <f t="shared" si="39"/>
        <v>2119</v>
      </c>
      <c r="T264" s="1786">
        <f t="shared" si="40"/>
        <v>0</v>
      </c>
      <c r="U264" s="1786" t="str">
        <f t="shared" si="41"/>
        <v>תגמולים שיטת הפניקס סל עוקב תל בונד שקלי</v>
      </c>
      <c r="V264" s="1786">
        <f t="shared" si="42"/>
        <v>0</v>
      </c>
      <c r="W264" s="1789" t="str">
        <f t="shared" si="43"/>
        <v>הפניקס פנסיה בע"מ</v>
      </c>
      <c r="AC264" s="1759" t="s">
        <v>1586</v>
      </c>
      <c r="AD264" s="1760">
        <v>42572.586365740703</v>
      </c>
      <c r="AE264" s="1760">
        <v>41112</v>
      </c>
      <c r="AF264" s="1759" t="s">
        <v>1583</v>
      </c>
      <c r="AG264" s="1759" t="s">
        <v>1583</v>
      </c>
      <c r="AH264" s="1759" t="s">
        <v>1583</v>
      </c>
      <c r="AI264" s="1759" t="s">
        <v>2570</v>
      </c>
      <c r="AJ264" s="1759" t="s">
        <v>2570</v>
      </c>
      <c r="AK264" s="1759">
        <v>2119</v>
      </c>
      <c r="AL264" s="1759" t="s">
        <v>2570</v>
      </c>
      <c r="AM264" s="1759">
        <v>2119</v>
      </c>
      <c r="AN264" s="1759"/>
      <c r="AO264" s="1764"/>
      <c r="AP264" s="1759"/>
      <c r="AQ264" s="1759"/>
      <c r="AR264" s="1759" t="s">
        <v>5508</v>
      </c>
      <c r="AS264" s="1759" t="s">
        <v>402</v>
      </c>
      <c r="AT264" s="1759" t="s">
        <v>327</v>
      </c>
      <c r="AU264" s="1763"/>
      <c r="AV264" s="1763"/>
    </row>
    <row r="265" spans="1:48" ht="37.5" hidden="1">
      <c r="A265" s="1785" t="str">
        <f t="shared" si="33"/>
        <v>גמל</v>
      </c>
      <c r="B265" s="1786">
        <f t="shared" si="34"/>
        <v>2118</v>
      </c>
      <c r="C265" s="1787">
        <v>28946</v>
      </c>
      <c r="D265" s="1786" t="str">
        <f t="shared" si="35"/>
        <v>תגמולים שיטת הפניקס אגח ממשלתי שקלי ריבית קבועה +5</v>
      </c>
      <c r="E265" s="1786" t="s">
        <v>3929</v>
      </c>
      <c r="F265" s="1786" t="s">
        <v>2958</v>
      </c>
      <c r="G265" s="1786" t="s">
        <v>2959</v>
      </c>
      <c r="H265" s="1786" t="str">
        <f t="shared" si="36"/>
        <v>לא פעיל</v>
      </c>
      <c r="I265" s="1788">
        <f t="shared" si="37"/>
        <v>41112</v>
      </c>
      <c r="J265" s="1788">
        <f t="shared" si="38"/>
        <v>42572.585879629602</v>
      </c>
      <c r="K265" s="1786">
        <v>0</v>
      </c>
      <c r="L265" s="1786" t="s">
        <v>1594</v>
      </c>
      <c r="M265" s="1786" t="s">
        <v>1653</v>
      </c>
      <c r="N265" s="1786" t="s">
        <v>1653</v>
      </c>
      <c r="O265" s="1786">
        <v>0</v>
      </c>
      <c r="P265" s="1786"/>
      <c r="Q265" s="1786">
        <v>0</v>
      </c>
      <c r="R265" s="1788"/>
      <c r="S265" s="1786">
        <f t="shared" si="39"/>
        <v>2118</v>
      </c>
      <c r="T265" s="1786">
        <f t="shared" si="40"/>
        <v>0</v>
      </c>
      <c r="U265" s="1786" t="str">
        <f t="shared" si="41"/>
        <v>תגמולים שיטת הפניקס אגח ממשלתי שקלי ריבית קבועה +5</v>
      </c>
      <c r="V265" s="1786">
        <f t="shared" si="42"/>
        <v>0</v>
      </c>
      <c r="W265" s="1789" t="str">
        <f t="shared" si="43"/>
        <v>הפניקס פנסיה בע"מ</v>
      </c>
      <c r="AC265" s="1761" t="s">
        <v>1586</v>
      </c>
      <c r="AD265" s="1762">
        <v>42572.585879629602</v>
      </c>
      <c r="AE265" s="1762">
        <v>41112</v>
      </c>
      <c r="AF265" s="1761" t="s">
        <v>1583</v>
      </c>
      <c r="AG265" s="1761" t="s">
        <v>1583</v>
      </c>
      <c r="AH265" s="1761" t="s">
        <v>1583</v>
      </c>
      <c r="AI265" s="1761" t="s">
        <v>2569</v>
      </c>
      <c r="AJ265" s="1761" t="s">
        <v>2569</v>
      </c>
      <c r="AK265" s="1761">
        <v>2118</v>
      </c>
      <c r="AL265" s="1761" t="s">
        <v>2569</v>
      </c>
      <c r="AM265" s="1761">
        <v>2118</v>
      </c>
      <c r="AN265" s="1761"/>
      <c r="AO265" s="1764"/>
      <c r="AP265" s="1761"/>
      <c r="AQ265" s="1761"/>
      <c r="AR265" s="1761" t="s">
        <v>5508</v>
      </c>
      <c r="AS265" s="1761" t="s">
        <v>402</v>
      </c>
      <c r="AT265" s="1761" t="s">
        <v>327</v>
      </c>
      <c r="AU265" s="1763"/>
      <c r="AV265" s="1763"/>
    </row>
    <row r="266" spans="1:48" ht="25" hidden="1">
      <c r="A266" s="1785" t="str">
        <f t="shared" si="33"/>
        <v>גמל</v>
      </c>
      <c r="B266" s="1786">
        <f t="shared" si="34"/>
        <v>2117</v>
      </c>
      <c r="C266" s="1787">
        <v>28946</v>
      </c>
      <c r="D266" s="1786" t="str">
        <f t="shared" si="35"/>
        <v>תגמולים שיטת הפניקס סל עוקב מדד ת"א 25</v>
      </c>
      <c r="E266" s="1786" t="s">
        <v>3929</v>
      </c>
      <c r="F266" s="1786" t="s">
        <v>2958</v>
      </c>
      <c r="G266" s="1786" t="s">
        <v>2959</v>
      </c>
      <c r="H266" s="1786" t="str">
        <f t="shared" si="36"/>
        <v>לא פעיל</v>
      </c>
      <c r="I266" s="1788">
        <f t="shared" si="37"/>
        <v>41112</v>
      </c>
      <c r="J266" s="1788">
        <f t="shared" si="38"/>
        <v>42572.601180555597</v>
      </c>
      <c r="K266" s="1786">
        <v>0</v>
      </c>
      <c r="L266" s="1786" t="s">
        <v>1594</v>
      </c>
      <c r="M266" s="1786" t="s">
        <v>1653</v>
      </c>
      <c r="N266" s="1786" t="s">
        <v>1653</v>
      </c>
      <c r="O266" s="1786">
        <v>0</v>
      </c>
      <c r="P266" s="1786"/>
      <c r="Q266" s="1786">
        <v>0</v>
      </c>
      <c r="R266" s="1788"/>
      <c r="S266" s="1786">
        <f t="shared" si="39"/>
        <v>2117</v>
      </c>
      <c r="T266" s="1786">
        <f t="shared" si="40"/>
        <v>0</v>
      </c>
      <c r="U266" s="1786" t="str">
        <f t="shared" si="41"/>
        <v>תגמולים שיטת הפניקס סל עוקב מדד ת"א 25</v>
      </c>
      <c r="V266" s="1786">
        <f t="shared" si="42"/>
        <v>0</v>
      </c>
      <c r="W266" s="1789" t="str">
        <f t="shared" si="43"/>
        <v>הפניקס פנסיה בע"מ</v>
      </c>
      <c r="AC266" s="1759" t="s">
        <v>1586</v>
      </c>
      <c r="AD266" s="1760">
        <v>42572.601180555597</v>
      </c>
      <c r="AE266" s="1760">
        <v>41112</v>
      </c>
      <c r="AF266" s="1759" t="s">
        <v>1583</v>
      </c>
      <c r="AG266" s="1759" t="s">
        <v>1583</v>
      </c>
      <c r="AH266" s="1759" t="s">
        <v>1583</v>
      </c>
      <c r="AI266" s="1759" t="s">
        <v>2568</v>
      </c>
      <c r="AJ266" s="1759" t="s">
        <v>2568</v>
      </c>
      <c r="AK266" s="1759">
        <v>2117</v>
      </c>
      <c r="AL266" s="1759" t="s">
        <v>2568</v>
      </c>
      <c r="AM266" s="1759">
        <v>2117</v>
      </c>
      <c r="AN266" s="1759"/>
      <c r="AO266" s="1764"/>
      <c r="AP266" s="1759"/>
      <c r="AQ266" s="1759"/>
      <c r="AR266" s="1759" t="s">
        <v>5508</v>
      </c>
      <c r="AS266" s="1759" t="s">
        <v>402</v>
      </c>
      <c r="AT266" s="1759" t="s">
        <v>327</v>
      </c>
      <c r="AU266" s="1763"/>
      <c r="AV266" s="1763"/>
    </row>
    <row r="267" spans="1:48" ht="37.5" hidden="1">
      <c r="A267" s="1785" t="str">
        <f t="shared" si="33"/>
        <v>גמל</v>
      </c>
      <c r="B267" s="1786">
        <f t="shared" si="34"/>
        <v>2116</v>
      </c>
      <c r="C267" s="1787">
        <v>28946</v>
      </c>
      <c r="D267" s="1786" t="str">
        <f t="shared" si="35"/>
        <v>תגמולים שיטת הפניקס סל עוקב מדד ממשלתי צמוד 5-10</v>
      </c>
      <c r="E267" s="1786" t="s">
        <v>3929</v>
      </c>
      <c r="F267" s="1786" t="s">
        <v>2958</v>
      </c>
      <c r="G267" s="1786" t="s">
        <v>2959</v>
      </c>
      <c r="H267" s="1786" t="str">
        <f t="shared" si="36"/>
        <v>לא פעיל</v>
      </c>
      <c r="I267" s="1788">
        <f t="shared" si="37"/>
        <v>41112</v>
      </c>
      <c r="J267" s="1788">
        <f t="shared" si="38"/>
        <v>42572.583298611098</v>
      </c>
      <c r="K267" s="1786">
        <v>0</v>
      </c>
      <c r="L267" s="1786" t="s">
        <v>1594</v>
      </c>
      <c r="M267" s="1786" t="s">
        <v>1653</v>
      </c>
      <c r="N267" s="1786" t="s">
        <v>1653</v>
      </c>
      <c r="O267" s="1786">
        <v>0</v>
      </c>
      <c r="P267" s="1786"/>
      <c r="Q267" s="1786">
        <v>0</v>
      </c>
      <c r="R267" s="1788"/>
      <c r="S267" s="1786">
        <f t="shared" si="39"/>
        <v>2116</v>
      </c>
      <c r="T267" s="1786">
        <f t="shared" si="40"/>
        <v>0</v>
      </c>
      <c r="U267" s="1786" t="str">
        <f t="shared" si="41"/>
        <v>תגמולים שיטת הפניקס סל עוקב מדד ממשלתי צמוד 5-10</v>
      </c>
      <c r="V267" s="1786">
        <f t="shared" si="42"/>
        <v>0</v>
      </c>
      <c r="W267" s="1789" t="str">
        <f t="shared" si="43"/>
        <v>הפניקס פנסיה בע"מ</v>
      </c>
      <c r="AC267" s="1761" t="s">
        <v>1586</v>
      </c>
      <c r="AD267" s="1762">
        <v>42572.583298611098</v>
      </c>
      <c r="AE267" s="1762">
        <v>41112</v>
      </c>
      <c r="AF267" s="1761" t="s">
        <v>1583</v>
      </c>
      <c r="AG267" s="1761" t="s">
        <v>1583</v>
      </c>
      <c r="AH267" s="1761" t="s">
        <v>1583</v>
      </c>
      <c r="AI267" s="1761" t="s">
        <v>2567</v>
      </c>
      <c r="AJ267" s="1761" t="s">
        <v>2567</v>
      </c>
      <c r="AK267" s="1761">
        <v>2116</v>
      </c>
      <c r="AL267" s="1761" t="s">
        <v>2567</v>
      </c>
      <c r="AM267" s="1761">
        <v>2116</v>
      </c>
      <c r="AN267" s="1761"/>
      <c r="AO267" s="1764"/>
      <c r="AP267" s="1761"/>
      <c r="AQ267" s="1761"/>
      <c r="AR267" s="1761" t="s">
        <v>5508</v>
      </c>
      <c r="AS267" s="1761" t="s">
        <v>402</v>
      </c>
      <c r="AT267" s="1761" t="s">
        <v>327</v>
      </c>
      <c r="AU267" s="1763"/>
      <c r="AV267" s="1763"/>
    </row>
    <row r="268" spans="1:48" ht="37.5" hidden="1">
      <c r="A268" s="1785" t="str">
        <f t="shared" si="33"/>
        <v>גמל</v>
      </c>
      <c r="B268" s="1786">
        <f t="shared" si="34"/>
        <v>2114</v>
      </c>
      <c r="C268" s="1787">
        <v>28946</v>
      </c>
      <c r="D268" s="1786" t="str">
        <f t="shared" si="35"/>
        <v>אינפיניטי השתלמות IRA בניהול אישי</v>
      </c>
      <c r="E268" s="1786" t="s">
        <v>3929</v>
      </c>
      <c r="F268" s="1786" t="s">
        <v>2958</v>
      </c>
      <c r="G268" s="1786" t="s">
        <v>2959</v>
      </c>
      <c r="H268" s="1786" t="str">
        <f t="shared" si="36"/>
        <v>פעיל</v>
      </c>
      <c r="I268" s="1788">
        <f t="shared" si="37"/>
        <v>41105</v>
      </c>
      <c r="J268" s="1788" t="str">
        <f t="shared" si="38"/>
        <v/>
      </c>
      <c r="K268" s="1786">
        <v>0</v>
      </c>
      <c r="L268" s="1786" t="s">
        <v>1594</v>
      </c>
      <c r="M268" s="1786" t="s">
        <v>1653</v>
      </c>
      <c r="N268" s="1786" t="s">
        <v>1653</v>
      </c>
      <c r="O268" s="1786">
        <v>0</v>
      </c>
      <c r="P268" s="1786"/>
      <c r="Q268" s="1786">
        <v>0</v>
      </c>
      <c r="R268" s="1788"/>
      <c r="S268" s="1786">
        <f t="shared" si="39"/>
        <v>2114</v>
      </c>
      <c r="T268" s="1786" t="str">
        <f t="shared" si="40"/>
        <v>לאומי</v>
      </c>
      <c r="U268" s="1786" t="str">
        <f t="shared" si="41"/>
        <v>אינפיניטי השתלמות IRA בניהול אישי</v>
      </c>
      <c r="V268" s="1786" t="str">
        <f t="shared" si="42"/>
        <v>512475104</v>
      </c>
      <c r="W268" s="1789" t="str">
        <f t="shared" si="43"/>
        <v>אינפיניטי ניהול השתלמות וגמל בע"מ</v>
      </c>
      <c r="AC268" s="1759" t="s">
        <v>346</v>
      </c>
      <c r="AD268" s="1759"/>
      <c r="AE268" s="1760">
        <v>41105</v>
      </c>
      <c r="AF268" s="1759"/>
      <c r="AG268" s="1759"/>
      <c r="AH268" s="1759" t="s">
        <v>2513</v>
      </c>
      <c r="AI268" s="1759" t="s">
        <v>2565</v>
      </c>
      <c r="AJ268" s="1759" t="s">
        <v>2565</v>
      </c>
      <c r="AK268" s="1759">
        <v>2114</v>
      </c>
      <c r="AL268" s="1759" t="s">
        <v>2565</v>
      </c>
      <c r="AM268" s="1759">
        <v>2114</v>
      </c>
      <c r="AN268" s="1759" t="s">
        <v>5305</v>
      </c>
      <c r="AO268" s="1764"/>
      <c r="AP268" s="1759" t="s">
        <v>5368</v>
      </c>
      <c r="AQ268" s="1759" t="s">
        <v>5369</v>
      </c>
      <c r="AR268" s="1759" t="s">
        <v>650</v>
      </c>
      <c r="AS268" s="1759" t="s">
        <v>651</v>
      </c>
      <c r="AT268" s="1759" t="s">
        <v>327</v>
      </c>
      <c r="AU268" s="1763"/>
      <c r="AV268" s="1763"/>
    </row>
    <row r="269" spans="1:48" ht="37.5" hidden="1">
      <c r="A269" s="1785" t="str">
        <f t="shared" si="33"/>
        <v>גמל</v>
      </c>
      <c r="B269" s="1786">
        <f t="shared" si="34"/>
        <v>2113</v>
      </c>
      <c r="C269" s="1787">
        <v>28946</v>
      </c>
      <c r="D269" s="1786" t="str">
        <f t="shared" si="35"/>
        <v>אינפיניטי גמל IRA בניהול אישי</v>
      </c>
      <c r="E269" s="1786" t="s">
        <v>3929</v>
      </c>
      <c r="F269" s="1786" t="s">
        <v>2958</v>
      </c>
      <c r="G269" s="1786" t="s">
        <v>2959</v>
      </c>
      <c r="H269" s="1786" t="str">
        <f t="shared" si="36"/>
        <v>פעיל</v>
      </c>
      <c r="I269" s="1788">
        <f t="shared" si="37"/>
        <v>41105</v>
      </c>
      <c r="J269" s="1788" t="str">
        <f t="shared" si="38"/>
        <v/>
      </c>
      <c r="K269" s="1786">
        <v>0</v>
      </c>
      <c r="L269" s="1786" t="s">
        <v>1594</v>
      </c>
      <c r="M269" s="1786" t="s">
        <v>1653</v>
      </c>
      <c r="N269" s="1786" t="s">
        <v>1653</v>
      </c>
      <c r="O269" s="1786">
        <v>0</v>
      </c>
      <c r="P269" s="1786"/>
      <c r="Q269" s="1786">
        <v>0</v>
      </c>
      <c r="R269" s="1788"/>
      <c r="S269" s="1786">
        <f t="shared" si="39"/>
        <v>2113</v>
      </c>
      <c r="T269" s="1786" t="str">
        <f t="shared" si="40"/>
        <v>לאומי</v>
      </c>
      <c r="U269" s="1786" t="str">
        <f t="shared" si="41"/>
        <v>אינפיניטי גמל IRA בניהול אישי</v>
      </c>
      <c r="V269" s="1786" t="str">
        <f t="shared" si="42"/>
        <v>512475104</v>
      </c>
      <c r="W269" s="1789" t="str">
        <f t="shared" si="43"/>
        <v>אינפיניטי ניהול השתלמות וגמל בע"מ</v>
      </c>
      <c r="AC269" s="1761" t="s">
        <v>346</v>
      </c>
      <c r="AD269" s="1759"/>
      <c r="AE269" s="1762">
        <v>41105</v>
      </c>
      <c r="AF269" s="1761"/>
      <c r="AG269" s="1761"/>
      <c r="AH269" s="1761" t="s">
        <v>2513</v>
      </c>
      <c r="AI269" s="1761" t="s">
        <v>2564</v>
      </c>
      <c r="AJ269" s="1761" t="s">
        <v>2564</v>
      </c>
      <c r="AK269" s="1761">
        <v>2113</v>
      </c>
      <c r="AL269" s="1761" t="s">
        <v>2564</v>
      </c>
      <c r="AM269" s="1761">
        <v>2113</v>
      </c>
      <c r="AN269" s="1761" t="s">
        <v>5305</v>
      </c>
      <c r="AO269" s="1764"/>
      <c r="AP269" s="1761" t="s">
        <v>5368</v>
      </c>
      <c r="AQ269" s="1761" t="s">
        <v>5369</v>
      </c>
      <c r="AR269" s="1761" t="s">
        <v>650</v>
      </c>
      <c r="AS269" s="1761" t="s">
        <v>651</v>
      </c>
      <c r="AT269" s="1761" t="s">
        <v>327</v>
      </c>
      <c r="AU269" s="1763"/>
      <c r="AV269" s="1763"/>
    </row>
    <row r="270" spans="1:48" ht="25" hidden="1">
      <c r="A270" s="1785" t="str">
        <f t="shared" si="33"/>
        <v>גמל</v>
      </c>
      <c r="B270" s="1786">
        <f t="shared" si="34"/>
        <v>2100</v>
      </c>
      <c r="C270" s="1787">
        <v>28946</v>
      </c>
      <c r="D270" s="1786" t="str">
        <f t="shared" si="35"/>
        <v>אי.בי.אי השתלמות בניהול אישי</v>
      </c>
      <c r="E270" s="1786" t="s">
        <v>3929</v>
      </c>
      <c r="F270" s="1786" t="s">
        <v>2958</v>
      </c>
      <c r="G270" s="1786" t="s">
        <v>2959</v>
      </c>
      <c r="H270" s="1786" t="str">
        <f t="shared" si="36"/>
        <v>פעיל</v>
      </c>
      <c r="I270" s="1788">
        <f t="shared" si="37"/>
        <v>41070</v>
      </c>
      <c r="J270" s="1788" t="str">
        <f t="shared" si="38"/>
        <v/>
      </c>
      <c r="K270" s="1786">
        <v>0</v>
      </c>
      <c r="L270" s="1786" t="s">
        <v>1594</v>
      </c>
      <c r="M270" s="1786" t="s">
        <v>1653</v>
      </c>
      <c r="N270" s="1786" t="s">
        <v>1653</v>
      </c>
      <c r="O270" s="1786">
        <v>0</v>
      </c>
      <c r="P270" s="1786"/>
      <c r="Q270" s="1786">
        <v>0</v>
      </c>
      <c r="R270" s="1788"/>
      <c r="S270" s="1786">
        <f t="shared" si="39"/>
        <v>2100</v>
      </c>
      <c r="T270" s="1786" t="str">
        <f t="shared" si="40"/>
        <v>ד.ס.ש ייעוץ ושירותים בע"מ</v>
      </c>
      <c r="U270" s="1786" t="str">
        <f t="shared" si="41"/>
        <v>אי.בי.אי השתלמות בניהול אישי</v>
      </c>
      <c r="V270" s="1786" t="str">
        <f t="shared" si="42"/>
        <v>513163105</v>
      </c>
      <c r="W270" s="1789" t="str">
        <f t="shared" si="43"/>
        <v>הלמן - אלדובי קופות גמל ופנסיה בע"מ</v>
      </c>
      <c r="AC270" s="1759" t="s">
        <v>346</v>
      </c>
      <c r="AD270" s="1759"/>
      <c r="AE270" s="1760">
        <v>41070</v>
      </c>
      <c r="AF270" s="1759"/>
      <c r="AG270" s="1759"/>
      <c r="AH270" s="1759" t="s">
        <v>2513</v>
      </c>
      <c r="AI270" s="1759" t="s">
        <v>2558</v>
      </c>
      <c r="AJ270" s="1759" t="s">
        <v>2558</v>
      </c>
      <c r="AK270" s="1759">
        <v>2100</v>
      </c>
      <c r="AL270" s="1759" t="s">
        <v>2558</v>
      </c>
      <c r="AM270" s="1759">
        <v>2100</v>
      </c>
      <c r="AN270" s="1759" t="s">
        <v>5393</v>
      </c>
      <c r="AO270" s="1764"/>
      <c r="AP270" s="1759" t="s">
        <v>5371</v>
      </c>
      <c r="AQ270" s="1759" t="s">
        <v>5372</v>
      </c>
      <c r="AR270" s="1759" t="s">
        <v>354</v>
      </c>
      <c r="AS270" s="1759" t="s">
        <v>355</v>
      </c>
      <c r="AT270" s="1759" t="s">
        <v>327</v>
      </c>
      <c r="AU270" s="1763"/>
      <c r="AV270" s="1763"/>
    </row>
    <row r="271" spans="1:48" ht="37.5" hidden="1">
      <c r="A271" s="1785" t="str">
        <f t="shared" si="33"/>
        <v>גמל</v>
      </c>
      <c r="B271" s="1786">
        <f t="shared" si="34"/>
        <v>2101</v>
      </c>
      <c r="C271" s="1787">
        <v>28946</v>
      </c>
      <c r="D271" s="1786" t="str">
        <f t="shared" si="35"/>
        <v>אי.בי.אי השתלמות בניהול אישי - מתכונת מיוחדת</v>
      </c>
      <c r="E271" s="1786" t="s">
        <v>3929</v>
      </c>
      <c r="F271" s="1786" t="s">
        <v>2958</v>
      </c>
      <c r="G271" s="1786" t="s">
        <v>2959</v>
      </c>
      <c r="H271" s="1786" t="str">
        <f t="shared" si="36"/>
        <v>לא פעיל</v>
      </c>
      <c r="I271" s="1788">
        <f t="shared" si="37"/>
        <v>41070</v>
      </c>
      <c r="J271" s="1788">
        <f t="shared" si="38"/>
        <v>41070.600092592598</v>
      </c>
      <c r="K271" s="1786">
        <v>0</v>
      </c>
      <c r="L271" s="1786" t="s">
        <v>1594</v>
      </c>
      <c r="M271" s="1786" t="s">
        <v>1653</v>
      </c>
      <c r="N271" s="1786" t="s">
        <v>1653</v>
      </c>
      <c r="O271" s="1786">
        <v>0</v>
      </c>
      <c r="P271" s="1786"/>
      <c r="Q271" s="1786">
        <v>0</v>
      </c>
      <c r="R271" s="1788"/>
      <c r="S271" s="1786">
        <f t="shared" si="39"/>
        <v>2100</v>
      </c>
      <c r="T271" s="1786">
        <f t="shared" si="40"/>
        <v>0</v>
      </c>
      <c r="U271" s="1786" t="str">
        <f t="shared" si="41"/>
        <v>אי.בי.אי השתלמות בניהול אישי</v>
      </c>
      <c r="V271" s="1786">
        <f t="shared" si="42"/>
        <v>0</v>
      </c>
      <c r="W271" s="1789" t="str">
        <f t="shared" si="43"/>
        <v xml:space="preserve">אי.בי.אי. חברת ניהול קופות גמל וקרנות השתלמות בע"מ </v>
      </c>
      <c r="AC271" s="1761" t="s">
        <v>1586</v>
      </c>
      <c r="AD271" s="1762">
        <v>41070.600092592598</v>
      </c>
      <c r="AE271" s="1762">
        <v>41070</v>
      </c>
      <c r="AF271" s="1761"/>
      <c r="AG271" s="1761"/>
      <c r="AH271" s="1761" t="s">
        <v>2513</v>
      </c>
      <c r="AI271" s="1761" t="s">
        <v>2559</v>
      </c>
      <c r="AJ271" s="1761" t="s">
        <v>2559</v>
      </c>
      <c r="AK271" s="1761">
        <v>2101</v>
      </c>
      <c r="AL271" s="1761" t="s">
        <v>2558</v>
      </c>
      <c r="AM271" s="1761">
        <v>2100</v>
      </c>
      <c r="AN271" s="1761"/>
      <c r="AO271" s="1764"/>
      <c r="AP271" s="1761"/>
      <c r="AQ271" s="1761"/>
      <c r="AR271" s="1761" t="s">
        <v>5395</v>
      </c>
      <c r="AS271" s="1761" t="s">
        <v>677</v>
      </c>
      <c r="AT271" s="1761" t="s">
        <v>327</v>
      </c>
      <c r="AU271" s="1763"/>
      <c r="AV271" s="1763"/>
    </row>
    <row r="272" spans="1:48" ht="25" hidden="1">
      <c r="A272" s="1785" t="str">
        <f t="shared" si="33"/>
        <v>גמל</v>
      </c>
      <c r="B272" s="1786">
        <f t="shared" si="34"/>
        <v>2099</v>
      </c>
      <c r="C272" s="1787">
        <v>28946</v>
      </c>
      <c r="D272" s="1786" t="str">
        <f t="shared" si="35"/>
        <v>אי.בי.אי גמל בניהול אישי - מתכונת מיוחדת</v>
      </c>
      <c r="E272" s="1786" t="s">
        <v>3929</v>
      </c>
      <c r="F272" s="1786" t="s">
        <v>2958</v>
      </c>
      <c r="G272" s="1786" t="s">
        <v>2959</v>
      </c>
      <c r="H272" s="1786" t="str">
        <f t="shared" si="36"/>
        <v>לא פעיל</v>
      </c>
      <c r="I272" s="1788">
        <f t="shared" si="37"/>
        <v>41070</v>
      </c>
      <c r="J272" s="1788">
        <f t="shared" si="38"/>
        <v>41070.599803240701</v>
      </c>
      <c r="K272" s="1786">
        <v>0</v>
      </c>
      <c r="L272" s="1786" t="s">
        <v>1594</v>
      </c>
      <c r="M272" s="1786" t="s">
        <v>1653</v>
      </c>
      <c r="N272" s="1786" t="s">
        <v>1653</v>
      </c>
      <c r="O272" s="1786">
        <v>0</v>
      </c>
      <c r="P272" s="1786"/>
      <c r="Q272" s="1786">
        <v>0</v>
      </c>
      <c r="R272" s="1788"/>
      <c r="S272" s="1786">
        <f t="shared" si="39"/>
        <v>2098</v>
      </c>
      <c r="T272" s="1786" t="str">
        <f t="shared" si="40"/>
        <v>ד.ס.ש ייעוץ ושירותים בע"מ</v>
      </c>
      <c r="U272" s="1786" t="str">
        <f t="shared" si="41"/>
        <v>אי.בי.אי גמל בניהול אישי</v>
      </c>
      <c r="V272" s="1786" t="str">
        <f t="shared" si="42"/>
        <v>513163105</v>
      </c>
      <c r="W272" s="1789" t="str">
        <f t="shared" si="43"/>
        <v>הלמן - אלדובי קופות גמל ופנסיה בע"מ</v>
      </c>
      <c r="AC272" s="1759" t="s">
        <v>1586</v>
      </c>
      <c r="AD272" s="1760">
        <v>41070.599803240701</v>
      </c>
      <c r="AE272" s="1760">
        <v>41070</v>
      </c>
      <c r="AF272" s="1759"/>
      <c r="AG272" s="1759"/>
      <c r="AH272" s="1759" t="s">
        <v>2513</v>
      </c>
      <c r="AI272" s="1759" t="s">
        <v>2557</v>
      </c>
      <c r="AJ272" s="1759" t="s">
        <v>2557</v>
      </c>
      <c r="AK272" s="1759">
        <v>2099</v>
      </c>
      <c r="AL272" s="1759" t="s">
        <v>2556</v>
      </c>
      <c r="AM272" s="1759">
        <v>2098</v>
      </c>
      <c r="AN272" s="1759" t="s">
        <v>5393</v>
      </c>
      <c r="AO272" s="1764"/>
      <c r="AP272" s="1759" t="s">
        <v>5371</v>
      </c>
      <c r="AQ272" s="1759" t="s">
        <v>5372</v>
      </c>
      <c r="AR272" s="1759" t="s">
        <v>354</v>
      </c>
      <c r="AS272" s="1759" t="s">
        <v>355</v>
      </c>
      <c r="AT272" s="1759" t="s">
        <v>327</v>
      </c>
      <c r="AU272" s="1763"/>
      <c r="AV272" s="1763"/>
    </row>
    <row r="273" spans="1:48" ht="25" hidden="1">
      <c r="A273" s="1785" t="str">
        <f t="shared" si="33"/>
        <v>גמל</v>
      </c>
      <c r="B273" s="1786">
        <f t="shared" si="34"/>
        <v>2098</v>
      </c>
      <c r="C273" s="1787">
        <v>28946</v>
      </c>
      <c r="D273" s="1786" t="str">
        <f t="shared" si="35"/>
        <v>אי.בי.אי גמל בניהול אישי</v>
      </c>
      <c r="E273" s="1786" t="s">
        <v>3929</v>
      </c>
      <c r="F273" s="1786" t="s">
        <v>2958</v>
      </c>
      <c r="G273" s="1786" t="s">
        <v>2959</v>
      </c>
      <c r="H273" s="1786" t="str">
        <f t="shared" si="36"/>
        <v>פעיל</v>
      </c>
      <c r="I273" s="1788">
        <f t="shared" si="37"/>
        <v>41070</v>
      </c>
      <c r="J273" s="1788" t="str">
        <f t="shared" si="38"/>
        <v/>
      </c>
      <c r="K273" s="1786">
        <v>0</v>
      </c>
      <c r="L273" s="1786" t="s">
        <v>1594</v>
      </c>
      <c r="M273" s="1786" t="s">
        <v>1653</v>
      </c>
      <c r="N273" s="1786" t="s">
        <v>1653</v>
      </c>
      <c r="O273" s="1786">
        <v>0</v>
      </c>
      <c r="P273" s="1786"/>
      <c r="Q273" s="1786">
        <v>0</v>
      </c>
      <c r="R273" s="1788"/>
      <c r="S273" s="1786">
        <f t="shared" si="39"/>
        <v>2098</v>
      </c>
      <c r="T273" s="1786" t="str">
        <f t="shared" si="40"/>
        <v>ד.ס.ש ייעוץ ושירותים בע"מ</v>
      </c>
      <c r="U273" s="1786" t="str">
        <f t="shared" si="41"/>
        <v>אי.בי.אי גמל בניהול אישי</v>
      </c>
      <c r="V273" s="1786" t="str">
        <f t="shared" si="42"/>
        <v>513163105</v>
      </c>
      <c r="W273" s="1789" t="str">
        <f t="shared" si="43"/>
        <v>הלמן - אלדובי קופות גמל ופנסיה בע"מ</v>
      </c>
      <c r="AC273" s="1761" t="s">
        <v>346</v>
      </c>
      <c r="AD273" s="1761"/>
      <c r="AE273" s="1762">
        <v>41070</v>
      </c>
      <c r="AF273" s="1761"/>
      <c r="AG273" s="1761"/>
      <c r="AH273" s="1761" t="s">
        <v>2513</v>
      </c>
      <c r="AI273" s="1761" t="s">
        <v>2556</v>
      </c>
      <c r="AJ273" s="1761" t="s">
        <v>2556</v>
      </c>
      <c r="AK273" s="1761">
        <v>2098</v>
      </c>
      <c r="AL273" s="1761" t="s">
        <v>2556</v>
      </c>
      <c r="AM273" s="1761">
        <v>2098</v>
      </c>
      <c r="AN273" s="1761" t="s">
        <v>5393</v>
      </c>
      <c r="AO273" s="1764"/>
      <c r="AP273" s="1761" t="s">
        <v>5371</v>
      </c>
      <c r="AQ273" s="1761" t="s">
        <v>5372</v>
      </c>
      <c r="AR273" s="1761" t="s">
        <v>354</v>
      </c>
      <c r="AS273" s="1761" t="s">
        <v>355</v>
      </c>
      <c r="AT273" s="1761" t="s">
        <v>327</v>
      </c>
      <c r="AU273" s="1763"/>
      <c r="AV273" s="1763"/>
    </row>
    <row r="274" spans="1:48" ht="25" hidden="1">
      <c r="A274" s="1785" t="str">
        <f t="shared" si="33"/>
        <v>גמל</v>
      </c>
      <c r="B274" s="1786">
        <f t="shared" si="34"/>
        <v>2085</v>
      </c>
      <c r="C274" s="1787">
        <v>28946</v>
      </c>
      <c r="D274" s="1786" t="str">
        <f t="shared" si="35"/>
        <v>מנורה מבטחים השתלמות בניהול אישי</v>
      </c>
      <c r="E274" s="1786" t="s">
        <v>3929</v>
      </c>
      <c r="F274" s="1786" t="s">
        <v>2958</v>
      </c>
      <c r="G274" s="1786" t="s">
        <v>2959</v>
      </c>
      <c r="H274" s="1786" t="str">
        <f t="shared" si="36"/>
        <v>לא פעיל</v>
      </c>
      <c r="I274" s="1788">
        <f t="shared" si="37"/>
        <v>41051</v>
      </c>
      <c r="J274" s="1788">
        <f t="shared" si="38"/>
        <v>41052.604050925896</v>
      </c>
      <c r="K274" s="1786">
        <v>0</v>
      </c>
      <c r="L274" s="1786" t="s">
        <v>1594</v>
      </c>
      <c r="M274" s="1786" t="s">
        <v>1653</v>
      </c>
      <c r="N274" s="1786" t="s">
        <v>1653</v>
      </c>
      <c r="O274" s="1786">
        <v>0</v>
      </c>
      <c r="P274" s="1786"/>
      <c r="Q274" s="1786">
        <v>0</v>
      </c>
      <c r="R274" s="1788"/>
      <c r="S274" s="1786">
        <f t="shared" si="39"/>
        <v>2084</v>
      </c>
      <c r="T274" s="1786">
        <f t="shared" si="40"/>
        <v>0</v>
      </c>
      <c r="U274" s="1786" t="str">
        <f t="shared" si="41"/>
        <v>מנורה מבטחים השתלמות בניהול אישי</v>
      </c>
      <c r="V274" s="1786">
        <f t="shared" si="42"/>
        <v>0</v>
      </c>
      <c r="W274" s="1789" t="str">
        <f t="shared" si="43"/>
        <v>מנורה מבטחים גמל בע"מ</v>
      </c>
      <c r="AC274" s="1759" t="s">
        <v>1586</v>
      </c>
      <c r="AD274" s="1760">
        <v>41052.604050925896</v>
      </c>
      <c r="AE274" s="1760">
        <v>41051</v>
      </c>
      <c r="AF274" s="1759"/>
      <c r="AG274" s="1759"/>
      <c r="AH274" s="1759" t="s">
        <v>2513</v>
      </c>
      <c r="AI274" s="1759" t="s">
        <v>2547</v>
      </c>
      <c r="AJ274" s="1759" t="s">
        <v>2547</v>
      </c>
      <c r="AK274" s="1759">
        <v>2085</v>
      </c>
      <c r="AL274" s="1759" t="s">
        <v>2547</v>
      </c>
      <c r="AM274" s="1759">
        <v>2084</v>
      </c>
      <c r="AN274" s="1759"/>
      <c r="AO274" s="1764"/>
      <c r="AP274" s="1759"/>
      <c r="AQ274" s="1759"/>
      <c r="AR274" s="1759" t="s">
        <v>363</v>
      </c>
      <c r="AS274" s="1759" t="s">
        <v>364</v>
      </c>
      <c r="AT274" s="1759" t="s">
        <v>327</v>
      </c>
      <c r="AU274" s="1763"/>
      <c r="AV274" s="1763"/>
    </row>
    <row r="275" spans="1:48" ht="25" hidden="1">
      <c r="A275" s="1785" t="str">
        <f t="shared" si="33"/>
        <v>גמל</v>
      </c>
      <c r="B275" s="1786">
        <f t="shared" si="34"/>
        <v>2084</v>
      </c>
      <c r="C275" s="1787">
        <v>28946</v>
      </c>
      <c r="D275" s="1786" t="str">
        <f t="shared" si="35"/>
        <v>מנורה מבטחים השתלמות בניהול אישי</v>
      </c>
      <c r="E275" s="1786" t="s">
        <v>3929</v>
      </c>
      <c r="F275" s="1786" t="s">
        <v>2958</v>
      </c>
      <c r="G275" s="1786" t="s">
        <v>2959</v>
      </c>
      <c r="H275" s="1786" t="str">
        <f t="shared" si="36"/>
        <v>לא פעיל</v>
      </c>
      <c r="I275" s="1788">
        <f t="shared" si="37"/>
        <v>41051</v>
      </c>
      <c r="J275" s="1788">
        <f t="shared" si="38"/>
        <v>42781.455266203702</v>
      </c>
      <c r="K275" s="1786">
        <v>0</v>
      </c>
      <c r="L275" s="1786" t="s">
        <v>1594</v>
      </c>
      <c r="M275" s="1786" t="s">
        <v>1653</v>
      </c>
      <c r="N275" s="1786" t="s">
        <v>1653</v>
      </c>
      <c r="O275" s="1786">
        <v>0</v>
      </c>
      <c r="P275" s="1786"/>
      <c r="Q275" s="1786">
        <v>0</v>
      </c>
      <c r="R275" s="1788"/>
      <c r="S275" s="1786">
        <f t="shared" si="39"/>
        <v>2084</v>
      </c>
      <c r="T275" s="1786">
        <f t="shared" si="40"/>
        <v>0</v>
      </c>
      <c r="U275" s="1786" t="str">
        <f t="shared" si="41"/>
        <v>מנורה מבטחים השתלמות בניהול אישי</v>
      </c>
      <c r="V275" s="1786" t="str">
        <f t="shared" si="42"/>
        <v>520007469</v>
      </c>
      <c r="W275" s="1789" t="str">
        <f t="shared" si="43"/>
        <v>מנורה מבטחים פנסיה וגמל בע"מ</v>
      </c>
      <c r="AC275" s="1761" t="s">
        <v>1586</v>
      </c>
      <c r="AD275" s="1762">
        <v>42781.455266203702</v>
      </c>
      <c r="AE275" s="1762">
        <v>41051</v>
      </c>
      <c r="AF275" s="1761"/>
      <c r="AG275" s="1761"/>
      <c r="AH275" s="1761" t="s">
        <v>2513</v>
      </c>
      <c r="AI275" s="1761" t="s">
        <v>2547</v>
      </c>
      <c r="AJ275" s="1761" t="s">
        <v>2547</v>
      </c>
      <c r="AK275" s="1761">
        <v>2084</v>
      </c>
      <c r="AL275" s="1761" t="s">
        <v>2547</v>
      </c>
      <c r="AM275" s="1761">
        <v>2084</v>
      </c>
      <c r="AN275" s="1761"/>
      <c r="AO275" s="1764"/>
      <c r="AP275" s="1761" t="s">
        <v>5377</v>
      </c>
      <c r="AQ275" s="1761" t="s">
        <v>5378</v>
      </c>
      <c r="AR275" s="1761" t="s">
        <v>2971</v>
      </c>
      <c r="AS275" s="1761" t="s">
        <v>396</v>
      </c>
      <c r="AT275" s="1761" t="s">
        <v>327</v>
      </c>
      <c r="AU275" s="1763"/>
      <c r="AV275" s="1763"/>
    </row>
    <row r="276" spans="1:48" ht="25" hidden="1">
      <c r="A276" s="1785" t="str">
        <f t="shared" si="33"/>
        <v>גמל</v>
      </c>
      <c r="B276" s="1786">
        <f t="shared" si="34"/>
        <v>2082</v>
      </c>
      <c r="C276" s="1787">
        <v>28946</v>
      </c>
      <c r="D276" s="1786" t="str">
        <f t="shared" si="35"/>
        <v>מנורה מבטחים גמל בניהול אישי</v>
      </c>
      <c r="E276" s="1786" t="s">
        <v>3929</v>
      </c>
      <c r="F276" s="1786" t="s">
        <v>2958</v>
      </c>
      <c r="G276" s="1786" t="s">
        <v>2959</v>
      </c>
      <c r="H276" s="1786" t="str">
        <f t="shared" si="36"/>
        <v>לא פעיל</v>
      </c>
      <c r="I276" s="1788">
        <f t="shared" si="37"/>
        <v>41051</v>
      </c>
      <c r="J276" s="1788">
        <f t="shared" si="38"/>
        <v>42675.558865740699</v>
      </c>
      <c r="K276" s="1786">
        <v>0</v>
      </c>
      <c r="L276" s="1786" t="s">
        <v>1594</v>
      </c>
      <c r="M276" s="1786" t="s">
        <v>1653</v>
      </c>
      <c r="N276" s="1786" t="s">
        <v>1653</v>
      </c>
      <c r="O276" s="1786">
        <v>0</v>
      </c>
      <c r="P276" s="1786"/>
      <c r="Q276" s="1786">
        <v>0</v>
      </c>
      <c r="R276" s="1788"/>
      <c r="S276" s="1786">
        <f t="shared" si="39"/>
        <v>2082</v>
      </c>
      <c r="T276" s="1786" t="str">
        <f t="shared" si="40"/>
        <v>בנק הפועלים בע"מ</v>
      </c>
      <c r="U276" s="1786" t="str">
        <f t="shared" si="41"/>
        <v>מנורה מבטחים גמל בניהול אישי</v>
      </c>
      <c r="V276" s="1786" t="str">
        <f t="shared" si="42"/>
        <v>520007469</v>
      </c>
      <c r="W276" s="1789" t="str">
        <f t="shared" si="43"/>
        <v>מנורה מבטחים פנסיה וגמל בע"מ</v>
      </c>
      <c r="AC276" s="1759" t="s">
        <v>1586</v>
      </c>
      <c r="AD276" s="1760">
        <v>42675.558865740699</v>
      </c>
      <c r="AE276" s="1760">
        <v>41051</v>
      </c>
      <c r="AF276" s="1759"/>
      <c r="AG276" s="1759"/>
      <c r="AH276" s="1759" t="s">
        <v>2513</v>
      </c>
      <c r="AI276" s="1759" t="s">
        <v>2546</v>
      </c>
      <c r="AJ276" s="1759" t="s">
        <v>2546</v>
      </c>
      <c r="AK276" s="1759">
        <v>2082</v>
      </c>
      <c r="AL276" s="1759" t="s">
        <v>2546</v>
      </c>
      <c r="AM276" s="1759">
        <v>2082</v>
      </c>
      <c r="AN276" s="1759" t="s">
        <v>1695</v>
      </c>
      <c r="AO276" s="1764"/>
      <c r="AP276" s="1759" t="s">
        <v>5377</v>
      </c>
      <c r="AQ276" s="1759" t="s">
        <v>5378</v>
      </c>
      <c r="AR276" s="1759" t="s">
        <v>2971</v>
      </c>
      <c r="AS276" s="1759" t="s">
        <v>396</v>
      </c>
      <c r="AT276" s="1759" t="s">
        <v>327</v>
      </c>
      <c r="AU276" s="1763"/>
      <c r="AV276" s="1763"/>
    </row>
    <row r="277" spans="1:48" ht="25" hidden="1">
      <c r="A277" s="1785" t="str">
        <f t="shared" si="33"/>
        <v>גמל</v>
      </c>
      <c r="B277" s="1786">
        <f t="shared" si="34"/>
        <v>2083</v>
      </c>
      <c r="C277" s="1787">
        <v>28946</v>
      </c>
      <c r="D277" s="1786" t="str">
        <f t="shared" si="35"/>
        <v>מנורה מבטחים גמל בניהול אישי</v>
      </c>
      <c r="E277" s="1786" t="s">
        <v>3929</v>
      </c>
      <c r="F277" s="1786" t="s">
        <v>2958</v>
      </c>
      <c r="G277" s="1786" t="s">
        <v>2959</v>
      </c>
      <c r="H277" s="1786" t="str">
        <f t="shared" si="36"/>
        <v>לא פעיל</v>
      </c>
      <c r="I277" s="1788">
        <f t="shared" si="37"/>
        <v>41051</v>
      </c>
      <c r="J277" s="1788">
        <f t="shared" si="38"/>
        <v>41052.603171296301</v>
      </c>
      <c r="K277" s="1786">
        <v>0</v>
      </c>
      <c r="L277" s="1786" t="s">
        <v>1594</v>
      </c>
      <c r="M277" s="1786" t="s">
        <v>1653</v>
      </c>
      <c r="N277" s="1786" t="s">
        <v>1653</v>
      </c>
      <c r="O277" s="1786">
        <v>0</v>
      </c>
      <c r="P277" s="1786"/>
      <c r="Q277" s="1786">
        <v>0</v>
      </c>
      <c r="R277" s="1788"/>
      <c r="S277" s="1786">
        <f t="shared" si="39"/>
        <v>2082</v>
      </c>
      <c r="T277" s="1786" t="str">
        <f t="shared" si="40"/>
        <v>בנק הפועלים בע"מ</v>
      </c>
      <c r="U277" s="1786" t="str">
        <f t="shared" si="41"/>
        <v>מנורה מבטחים גמל בניהול אישי</v>
      </c>
      <c r="V277" s="1786">
        <f t="shared" si="42"/>
        <v>0</v>
      </c>
      <c r="W277" s="1789" t="str">
        <f t="shared" si="43"/>
        <v>מנורה מבטחים גמל בע"מ</v>
      </c>
      <c r="AC277" s="1761" t="s">
        <v>1586</v>
      </c>
      <c r="AD277" s="1762">
        <v>41052.603171296301</v>
      </c>
      <c r="AE277" s="1762">
        <v>41051</v>
      </c>
      <c r="AF277" s="1761"/>
      <c r="AG277" s="1761"/>
      <c r="AH277" s="1761" t="s">
        <v>2513</v>
      </c>
      <c r="AI277" s="1761" t="s">
        <v>2546</v>
      </c>
      <c r="AJ277" s="1761" t="s">
        <v>2546</v>
      </c>
      <c r="AK277" s="1761">
        <v>2083</v>
      </c>
      <c r="AL277" s="1761" t="s">
        <v>2546</v>
      </c>
      <c r="AM277" s="1761">
        <v>2082</v>
      </c>
      <c r="AN277" s="1761" t="s">
        <v>1695</v>
      </c>
      <c r="AO277" s="1764"/>
      <c r="AP277" s="1761"/>
      <c r="AQ277" s="1761"/>
      <c r="AR277" s="1761" t="s">
        <v>363</v>
      </c>
      <c r="AS277" s="1761" t="s">
        <v>364</v>
      </c>
      <c r="AT277" s="1761" t="s">
        <v>327</v>
      </c>
      <c r="AU277" s="1763"/>
      <c r="AV277" s="1763"/>
    </row>
    <row r="278" spans="1:48" ht="37.5" hidden="1">
      <c r="A278" s="1785" t="str">
        <f t="shared" si="33"/>
        <v>גמל</v>
      </c>
      <c r="B278" s="1786">
        <f t="shared" si="34"/>
        <v>2079</v>
      </c>
      <c r="C278" s="1787">
        <v>28946</v>
      </c>
      <c r="D278" s="1786" t="str">
        <f t="shared" si="35"/>
        <v>קופת גמל למשרתי הקבע בצה"ל קופת גמל לא משלמת לקצבה - כללי</v>
      </c>
      <c r="E278" s="1786" t="s">
        <v>3929</v>
      </c>
      <c r="F278" s="1786" t="s">
        <v>2958</v>
      </c>
      <c r="G278" s="1786" t="s">
        <v>2959</v>
      </c>
      <c r="H278" s="1786" t="str">
        <f t="shared" si="36"/>
        <v>לא פעיל</v>
      </c>
      <c r="I278" s="1788">
        <f t="shared" si="37"/>
        <v>41018</v>
      </c>
      <c r="J278" s="1788">
        <f t="shared" si="38"/>
        <v>42373.417719907397</v>
      </c>
      <c r="K278" s="1786">
        <v>0</v>
      </c>
      <c r="L278" s="1786" t="s">
        <v>1594</v>
      </c>
      <c r="M278" s="1786" t="s">
        <v>1653</v>
      </c>
      <c r="N278" s="1786" t="s">
        <v>1653</v>
      </c>
      <c r="O278" s="1786">
        <v>0</v>
      </c>
      <c r="P278" s="1786"/>
      <c r="Q278" s="1786">
        <v>0</v>
      </c>
      <c r="R278" s="1788"/>
      <c r="S278" s="1786">
        <f t="shared" si="39"/>
        <v>2079</v>
      </c>
      <c r="T278" s="1786" t="str">
        <f t="shared" si="40"/>
        <v>הראל פנסיה</v>
      </c>
      <c r="U278" s="1786" t="str">
        <f t="shared" si="41"/>
        <v>קופת גמל למשרתי הקבע בצה"ל קופת גמל לא משלמת לקצבה</v>
      </c>
      <c r="V278" s="1786" t="str">
        <f t="shared" si="42"/>
        <v>520033986</v>
      </c>
      <c r="W278" s="1789" t="str">
        <f t="shared" si="43"/>
        <v>הראל פנסיה וגמל בע"מ</v>
      </c>
      <c r="AC278" s="1759" t="s">
        <v>1586</v>
      </c>
      <c r="AD278" s="1760">
        <v>42373.417719907397</v>
      </c>
      <c r="AE278" s="1760">
        <v>41018</v>
      </c>
      <c r="AF278" s="1759" t="s">
        <v>1583</v>
      </c>
      <c r="AG278" s="1759" t="s">
        <v>1583</v>
      </c>
      <c r="AH278" s="1759" t="s">
        <v>1583</v>
      </c>
      <c r="AI278" s="1759" t="s">
        <v>4527</v>
      </c>
      <c r="AJ278" s="1759" t="s">
        <v>4526</v>
      </c>
      <c r="AK278" s="1759">
        <v>2079</v>
      </c>
      <c r="AL278" s="1759" t="s">
        <v>2545</v>
      </c>
      <c r="AM278" s="1759">
        <v>2079</v>
      </c>
      <c r="AN278" s="1759" t="s">
        <v>4168</v>
      </c>
      <c r="AO278" s="1764"/>
      <c r="AP278" s="1759" t="s">
        <v>5396</v>
      </c>
      <c r="AQ278" s="1759" t="s">
        <v>5397</v>
      </c>
      <c r="AR278" s="1759" t="s">
        <v>4588</v>
      </c>
      <c r="AS278" s="1759" t="s">
        <v>405</v>
      </c>
      <c r="AT278" s="1759" t="s">
        <v>327</v>
      </c>
      <c r="AU278" s="1763"/>
      <c r="AV278" s="1763"/>
    </row>
    <row r="279" spans="1:48" ht="37.5" hidden="1">
      <c r="A279" s="1785" t="str">
        <f t="shared" ref="A279:A342" si="44">AT279</f>
        <v>גמל</v>
      </c>
      <c r="B279" s="1786">
        <f t="shared" ref="B279:B342" si="45">AK279</f>
        <v>9533</v>
      </c>
      <c r="C279" s="1787">
        <v>28946</v>
      </c>
      <c r="D279" s="1786" t="str">
        <f t="shared" ref="D279:D342" si="46">AJ279</f>
        <v>קופת גמל למשרתי הקבע בצה"ל קופת גמל לא משלמת לקצבה - לגילאי 60 ומעלה</v>
      </c>
      <c r="E279" s="1786" t="s">
        <v>3929</v>
      </c>
      <c r="F279" s="1786" t="s">
        <v>2958</v>
      </c>
      <c r="G279" s="1786" t="s">
        <v>2959</v>
      </c>
      <c r="H279" s="1786" t="str">
        <f t="shared" ref="H279:H342" si="47">AC279</f>
        <v>פעיל</v>
      </c>
      <c r="I279" s="1788">
        <f t="shared" ref="I279:I342" si="48">IF(AE279="","",AE279)</f>
        <v>41018</v>
      </c>
      <c r="J279" s="1788" t="str">
        <f t="shared" ref="J279:J342" si="49">IF(AD279="","",AD279)</f>
        <v/>
      </c>
      <c r="K279" s="1786">
        <v>0</v>
      </c>
      <c r="L279" s="1786" t="s">
        <v>1594</v>
      </c>
      <c r="M279" s="1786" t="s">
        <v>1653</v>
      </c>
      <c r="N279" s="1786" t="s">
        <v>1653</v>
      </c>
      <c r="O279" s="1786">
        <v>0</v>
      </c>
      <c r="P279" s="1786"/>
      <c r="Q279" s="1786">
        <v>0</v>
      </c>
      <c r="R279" s="1788"/>
      <c r="S279" s="1786">
        <f t="shared" ref="S279:S342" si="50">AM279</f>
        <v>2079</v>
      </c>
      <c r="T279" s="1786" t="str">
        <f t="shared" ref="T279:T342" si="51">AN279</f>
        <v>הראל פנסיה</v>
      </c>
      <c r="U279" s="1786" t="str">
        <f t="shared" ref="U279:U342" si="52">AL279</f>
        <v>קופת גמל למשרתי הקבע בצה"ל קופת גמל לא משלמת לקצבה</v>
      </c>
      <c r="V279" s="1786" t="str">
        <f t="shared" ref="V279:V342" si="53">AQ279</f>
        <v>520033986</v>
      </c>
      <c r="W279" s="1789" t="str">
        <f t="shared" ref="W279:W342" si="54">AR279</f>
        <v>הראל פנסיה וגמל בע"מ</v>
      </c>
      <c r="AC279" s="1761" t="s">
        <v>346</v>
      </c>
      <c r="AD279" s="1761"/>
      <c r="AE279" s="1762">
        <v>41018</v>
      </c>
      <c r="AF279" s="1761" t="s">
        <v>3963</v>
      </c>
      <c r="AG279" s="1761" t="s">
        <v>3931</v>
      </c>
      <c r="AH279" s="1761" t="s">
        <v>3658</v>
      </c>
      <c r="AI279" s="1761" t="s">
        <v>4283</v>
      </c>
      <c r="AJ279" s="1761" t="s">
        <v>4282</v>
      </c>
      <c r="AK279" s="1761">
        <v>9533</v>
      </c>
      <c r="AL279" s="1761" t="s">
        <v>2545</v>
      </c>
      <c r="AM279" s="1761">
        <v>2079</v>
      </c>
      <c r="AN279" s="1761" t="s">
        <v>4168</v>
      </c>
      <c r="AO279" s="1764"/>
      <c r="AP279" s="1761" t="s">
        <v>5396</v>
      </c>
      <c r="AQ279" s="1761" t="s">
        <v>5397</v>
      </c>
      <c r="AR279" s="1761" t="s">
        <v>4588</v>
      </c>
      <c r="AS279" s="1761" t="s">
        <v>405</v>
      </c>
      <c r="AT279" s="1761" t="s">
        <v>327</v>
      </c>
      <c r="AU279" s="1763"/>
      <c r="AV279" s="1763"/>
    </row>
    <row r="280" spans="1:48" ht="37.5" hidden="1">
      <c r="A280" s="1785" t="str">
        <f t="shared" si="44"/>
        <v>גמל</v>
      </c>
      <c r="B280" s="1786">
        <f t="shared" si="45"/>
        <v>9532</v>
      </c>
      <c r="C280" s="1787">
        <v>28946</v>
      </c>
      <c r="D280" s="1786" t="str">
        <f t="shared" si="46"/>
        <v>קופת גמל למשרתי הקבע בצה"ל קופת גמל לא משלמת לקצבה - לגילאי 50 עד 60</v>
      </c>
      <c r="E280" s="1786" t="s">
        <v>3929</v>
      </c>
      <c r="F280" s="1786" t="s">
        <v>2958</v>
      </c>
      <c r="G280" s="1786" t="s">
        <v>2959</v>
      </c>
      <c r="H280" s="1786" t="str">
        <f t="shared" si="47"/>
        <v>פעיל</v>
      </c>
      <c r="I280" s="1788">
        <f t="shared" si="48"/>
        <v>41018</v>
      </c>
      <c r="J280" s="1788" t="str">
        <f t="shared" si="49"/>
        <v/>
      </c>
      <c r="K280" s="1786">
        <v>0</v>
      </c>
      <c r="L280" s="1786" t="s">
        <v>1594</v>
      </c>
      <c r="M280" s="1786" t="s">
        <v>1653</v>
      </c>
      <c r="N280" s="1786" t="s">
        <v>1653</v>
      </c>
      <c r="O280" s="1786">
        <v>0</v>
      </c>
      <c r="P280" s="1786"/>
      <c r="Q280" s="1786">
        <v>0</v>
      </c>
      <c r="R280" s="1788"/>
      <c r="S280" s="1786">
        <f t="shared" si="50"/>
        <v>2079</v>
      </c>
      <c r="T280" s="1786" t="str">
        <f t="shared" si="51"/>
        <v>הראל פנסיה</v>
      </c>
      <c r="U280" s="1786" t="str">
        <f t="shared" si="52"/>
        <v>קופת גמל למשרתי הקבע בצה"ל קופת גמל לא משלמת לקצבה</v>
      </c>
      <c r="V280" s="1786" t="str">
        <f t="shared" si="53"/>
        <v>520033986</v>
      </c>
      <c r="W280" s="1789" t="str">
        <f t="shared" si="54"/>
        <v>הראל פנסיה וגמל בע"מ</v>
      </c>
      <c r="AC280" s="1759" t="s">
        <v>346</v>
      </c>
      <c r="AD280" s="1759"/>
      <c r="AE280" s="1760">
        <v>41018</v>
      </c>
      <c r="AF280" s="1759" t="s">
        <v>3932</v>
      </c>
      <c r="AG280" s="1759" t="s">
        <v>3931</v>
      </c>
      <c r="AH280" s="1759" t="s">
        <v>3658</v>
      </c>
      <c r="AI280" s="1759" t="s">
        <v>4281</v>
      </c>
      <c r="AJ280" s="1759" t="s">
        <v>4280</v>
      </c>
      <c r="AK280" s="1759">
        <v>9532</v>
      </c>
      <c r="AL280" s="1759" t="s">
        <v>2545</v>
      </c>
      <c r="AM280" s="1759">
        <v>2079</v>
      </c>
      <c r="AN280" s="1759" t="s">
        <v>4168</v>
      </c>
      <c r="AO280" s="1764"/>
      <c r="AP280" s="1759" t="s">
        <v>5396</v>
      </c>
      <c r="AQ280" s="1759" t="s">
        <v>5397</v>
      </c>
      <c r="AR280" s="1759" t="s">
        <v>4588</v>
      </c>
      <c r="AS280" s="1759" t="s">
        <v>405</v>
      </c>
      <c r="AT280" s="1759" t="s">
        <v>327</v>
      </c>
      <c r="AU280" s="1763"/>
      <c r="AV280" s="1763"/>
    </row>
    <row r="281" spans="1:48" ht="37.5" hidden="1">
      <c r="A281" s="1785" t="str">
        <f t="shared" si="44"/>
        <v>גמל</v>
      </c>
      <c r="B281" s="1786">
        <f t="shared" si="45"/>
        <v>9819</v>
      </c>
      <c r="C281" s="1787">
        <v>28946</v>
      </c>
      <c r="D281" s="1786" t="str">
        <f t="shared" si="46"/>
        <v>קופת גמל למשרתי הקבע בצה"ל קופת גמל לא משלמת לקצבה עד 50</v>
      </c>
      <c r="E281" s="1786" t="s">
        <v>3929</v>
      </c>
      <c r="F281" s="1786" t="s">
        <v>2958</v>
      </c>
      <c r="G281" s="1786" t="s">
        <v>2959</v>
      </c>
      <c r="H281" s="1786" t="str">
        <f t="shared" si="47"/>
        <v>פעיל</v>
      </c>
      <c r="I281" s="1788">
        <f t="shared" si="48"/>
        <v>41018</v>
      </c>
      <c r="J281" s="1788" t="str">
        <f t="shared" si="49"/>
        <v/>
      </c>
      <c r="K281" s="1786">
        <v>0</v>
      </c>
      <c r="L281" s="1786" t="s">
        <v>1594</v>
      </c>
      <c r="M281" s="1786" t="s">
        <v>1653</v>
      </c>
      <c r="N281" s="1786" t="s">
        <v>1653</v>
      </c>
      <c r="O281" s="1786">
        <v>0</v>
      </c>
      <c r="P281" s="1786"/>
      <c r="Q281" s="1786">
        <v>0</v>
      </c>
      <c r="R281" s="1788"/>
      <c r="S281" s="1786">
        <f t="shared" si="50"/>
        <v>2079</v>
      </c>
      <c r="T281" s="1786" t="str">
        <f t="shared" si="51"/>
        <v>הראל פנסיה</v>
      </c>
      <c r="U281" s="1786" t="str">
        <f t="shared" si="52"/>
        <v>קופת גמל למשרתי הקבע בצה"ל קופת גמל לא משלמת לקצבה</v>
      </c>
      <c r="V281" s="1786" t="str">
        <f t="shared" si="53"/>
        <v>520033986</v>
      </c>
      <c r="W281" s="1789" t="str">
        <f t="shared" si="54"/>
        <v>הראל פנסיה וגמל בע"מ</v>
      </c>
      <c r="AC281" s="1761" t="s">
        <v>346</v>
      </c>
      <c r="AD281" s="1761"/>
      <c r="AE281" s="1762">
        <v>41018</v>
      </c>
      <c r="AF281" s="1761" t="s">
        <v>4151</v>
      </c>
      <c r="AG281" s="1761" t="s">
        <v>3931</v>
      </c>
      <c r="AH281" s="1761" t="s">
        <v>3658</v>
      </c>
      <c r="AI281" s="1761" t="s">
        <v>4395</v>
      </c>
      <c r="AJ281" s="1761" t="s">
        <v>4394</v>
      </c>
      <c r="AK281" s="1761">
        <v>9819</v>
      </c>
      <c r="AL281" s="1761" t="s">
        <v>2545</v>
      </c>
      <c r="AM281" s="1761">
        <v>2079</v>
      </c>
      <c r="AN281" s="1761" t="s">
        <v>4168</v>
      </c>
      <c r="AO281" s="1764"/>
      <c r="AP281" s="1761" t="s">
        <v>5396</v>
      </c>
      <c r="AQ281" s="1761" t="s">
        <v>5397</v>
      </c>
      <c r="AR281" s="1761" t="s">
        <v>4588</v>
      </c>
      <c r="AS281" s="1761" t="s">
        <v>405</v>
      </c>
      <c r="AT281" s="1761" t="s">
        <v>327</v>
      </c>
      <c r="AU281" s="1763"/>
      <c r="AV281" s="1763"/>
    </row>
    <row r="282" spans="1:48" ht="25" hidden="1">
      <c r="A282" s="1785" t="str">
        <f t="shared" si="44"/>
        <v>גמל</v>
      </c>
      <c r="B282" s="1786">
        <f t="shared" si="45"/>
        <v>2024</v>
      </c>
      <c r="C282" s="1787">
        <v>28946</v>
      </c>
      <c r="D282" s="1786" t="str">
        <f t="shared" si="46"/>
        <v>הפניקס השתלמות בניהול אישי</v>
      </c>
      <c r="E282" s="1786" t="s">
        <v>3929</v>
      </c>
      <c r="F282" s="1786" t="s">
        <v>2958</v>
      </c>
      <c r="G282" s="1786" t="s">
        <v>2959</v>
      </c>
      <c r="H282" s="1786" t="str">
        <f t="shared" si="47"/>
        <v>פעיל</v>
      </c>
      <c r="I282" s="1788">
        <f t="shared" si="48"/>
        <v>40877</v>
      </c>
      <c r="J282" s="1788" t="str">
        <f t="shared" si="49"/>
        <v/>
      </c>
      <c r="K282" s="1786">
        <v>0</v>
      </c>
      <c r="L282" s="1786" t="s">
        <v>1594</v>
      </c>
      <c r="M282" s="1786" t="s">
        <v>1653</v>
      </c>
      <c r="N282" s="1786" t="s">
        <v>1653</v>
      </c>
      <c r="O282" s="1786">
        <v>0</v>
      </c>
      <c r="P282" s="1786"/>
      <c r="Q282" s="1786">
        <v>0</v>
      </c>
      <c r="R282" s="1788"/>
      <c r="S282" s="1786">
        <f t="shared" si="50"/>
        <v>2024</v>
      </c>
      <c r="T282" s="1786" t="str">
        <f t="shared" si="51"/>
        <v>ד.ס.ש ייעוץ ושירותים בע"מ</v>
      </c>
      <c r="U282" s="1786" t="str">
        <f t="shared" si="52"/>
        <v>הפניקס השתלמות בניהול אישי</v>
      </c>
      <c r="V282" s="1786" t="str">
        <f t="shared" si="53"/>
        <v>520017450</v>
      </c>
      <c r="W282" s="1789" t="str">
        <f t="shared" si="54"/>
        <v xml:space="preserve">הפניקס אקסלנס פנסיה וגמל בע"מ </v>
      </c>
      <c r="AC282" s="1759" t="s">
        <v>346</v>
      </c>
      <c r="AD282" s="1759"/>
      <c r="AE282" s="1760">
        <v>40877</v>
      </c>
      <c r="AF282" s="1759"/>
      <c r="AG282" s="1759"/>
      <c r="AH282" s="1759" t="s">
        <v>2513</v>
      </c>
      <c r="AI282" s="1759" t="s">
        <v>734</v>
      </c>
      <c r="AJ282" s="1759" t="s">
        <v>734</v>
      </c>
      <c r="AK282" s="1759">
        <v>2024</v>
      </c>
      <c r="AL282" s="1759" t="s">
        <v>734</v>
      </c>
      <c r="AM282" s="1759">
        <v>2024</v>
      </c>
      <c r="AN282" s="1759" t="s">
        <v>5393</v>
      </c>
      <c r="AO282" s="1764"/>
      <c r="AP282" s="1759" t="s">
        <v>5379</v>
      </c>
      <c r="AQ282" s="1759" t="s">
        <v>5380</v>
      </c>
      <c r="AR282" s="1759" t="s">
        <v>5381</v>
      </c>
      <c r="AS282" s="1759" t="s">
        <v>347</v>
      </c>
      <c r="AT282" s="1759" t="s">
        <v>327</v>
      </c>
      <c r="AU282" s="1763"/>
      <c r="AV282" s="1763"/>
    </row>
    <row r="283" spans="1:48" ht="25" hidden="1">
      <c r="A283" s="1785" t="str">
        <f t="shared" si="44"/>
        <v>גמל</v>
      </c>
      <c r="B283" s="1786">
        <f t="shared" si="45"/>
        <v>2023</v>
      </c>
      <c r="C283" s="1787">
        <v>28946</v>
      </c>
      <c r="D283" s="1786" t="str">
        <f t="shared" si="46"/>
        <v>הפניקס גמל בניהול אישי</v>
      </c>
      <c r="E283" s="1786" t="s">
        <v>3929</v>
      </c>
      <c r="F283" s="1786" t="s">
        <v>2958</v>
      </c>
      <c r="G283" s="1786" t="s">
        <v>2959</v>
      </c>
      <c r="H283" s="1786" t="str">
        <f t="shared" si="47"/>
        <v>פעיל</v>
      </c>
      <c r="I283" s="1788">
        <f t="shared" si="48"/>
        <v>40877</v>
      </c>
      <c r="J283" s="1788" t="str">
        <f t="shared" si="49"/>
        <v/>
      </c>
      <c r="K283" s="1786">
        <v>0</v>
      </c>
      <c r="L283" s="1786" t="s">
        <v>1594</v>
      </c>
      <c r="M283" s="1786" t="s">
        <v>1653</v>
      </c>
      <c r="N283" s="1786" t="s">
        <v>1653</v>
      </c>
      <c r="O283" s="1786">
        <v>0</v>
      </c>
      <c r="P283" s="1786"/>
      <c r="Q283" s="1786">
        <v>0</v>
      </c>
      <c r="R283" s="1788"/>
      <c r="S283" s="1786">
        <f t="shared" si="50"/>
        <v>2023</v>
      </c>
      <c r="T283" s="1786" t="str">
        <f t="shared" si="51"/>
        <v>ד.ס.ש ייעוץ ושירותים בע"מ</v>
      </c>
      <c r="U283" s="1786" t="str">
        <f t="shared" si="52"/>
        <v>הפניקס גמל בניהול אישי</v>
      </c>
      <c r="V283" s="1786" t="str">
        <f t="shared" si="53"/>
        <v>520017450</v>
      </c>
      <c r="W283" s="1789" t="str">
        <f t="shared" si="54"/>
        <v xml:space="preserve">הפניקס אקסלנס פנסיה וגמל בע"מ </v>
      </c>
      <c r="AC283" s="1761" t="s">
        <v>346</v>
      </c>
      <c r="AD283" s="1761"/>
      <c r="AE283" s="1762">
        <v>40877</v>
      </c>
      <c r="AF283" s="1761"/>
      <c r="AG283" s="1761"/>
      <c r="AH283" s="1761" t="s">
        <v>2513</v>
      </c>
      <c r="AI283" s="1761" t="s">
        <v>733</v>
      </c>
      <c r="AJ283" s="1761" t="s">
        <v>733</v>
      </c>
      <c r="AK283" s="1761">
        <v>2023</v>
      </c>
      <c r="AL283" s="1761" t="s">
        <v>733</v>
      </c>
      <c r="AM283" s="1761">
        <v>2023</v>
      </c>
      <c r="AN283" s="1761" t="s">
        <v>5393</v>
      </c>
      <c r="AO283" s="1764"/>
      <c r="AP283" s="1761" t="s">
        <v>5379</v>
      </c>
      <c r="AQ283" s="1761" t="s">
        <v>5380</v>
      </c>
      <c r="AR283" s="1761" t="s">
        <v>5381</v>
      </c>
      <c r="AS283" s="1761" t="s">
        <v>347</v>
      </c>
      <c r="AT283" s="1761" t="s">
        <v>327</v>
      </c>
      <c r="AU283" s="1763"/>
      <c r="AV283" s="1763"/>
    </row>
    <row r="284" spans="1:48" ht="25" hidden="1">
      <c r="A284" s="1785" t="str">
        <f t="shared" si="44"/>
        <v>גמל</v>
      </c>
      <c r="B284" s="1786">
        <f t="shared" si="45"/>
        <v>1542</v>
      </c>
      <c r="C284" s="1787">
        <v>28946</v>
      </c>
      <c r="D284" s="1786" t="str">
        <f t="shared" si="46"/>
        <v>אקסלנס השתלמות בניהול אישי</v>
      </c>
      <c r="E284" s="1786" t="s">
        <v>3929</v>
      </c>
      <c r="F284" s="1786" t="s">
        <v>2958</v>
      </c>
      <c r="G284" s="1786" t="s">
        <v>2959</v>
      </c>
      <c r="H284" s="1786" t="str">
        <f t="shared" si="47"/>
        <v>פעיל</v>
      </c>
      <c r="I284" s="1788">
        <f t="shared" si="48"/>
        <v>40742</v>
      </c>
      <c r="J284" s="1788" t="str">
        <f t="shared" si="49"/>
        <v/>
      </c>
      <c r="K284" s="1786">
        <v>0</v>
      </c>
      <c r="L284" s="1786" t="s">
        <v>1594</v>
      </c>
      <c r="M284" s="1786" t="s">
        <v>1653</v>
      </c>
      <c r="N284" s="1786" t="s">
        <v>1653</v>
      </c>
      <c r="O284" s="1786">
        <v>0</v>
      </c>
      <c r="P284" s="1786"/>
      <c r="Q284" s="1786">
        <v>0</v>
      </c>
      <c r="R284" s="1788"/>
      <c r="S284" s="1786">
        <f t="shared" si="50"/>
        <v>1542</v>
      </c>
      <c r="T284" s="1786" t="str">
        <f t="shared" si="51"/>
        <v>בנק מזרחי טפחות בע"מ</v>
      </c>
      <c r="U284" s="1786" t="str">
        <f t="shared" si="52"/>
        <v>אקסלנס השתלמות בניהול אישי</v>
      </c>
      <c r="V284" s="1786" t="str">
        <f t="shared" si="53"/>
        <v>520017450</v>
      </c>
      <c r="W284" s="1789" t="str">
        <f t="shared" si="54"/>
        <v xml:space="preserve">הפניקס אקסלנס פנסיה וגמל בע"מ </v>
      </c>
      <c r="AC284" s="1759" t="s">
        <v>346</v>
      </c>
      <c r="AD284" s="1759"/>
      <c r="AE284" s="1760">
        <v>40742</v>
      </c>
      <c r="AF284" s="1759"/>
      <c r="AG284" s="1759"/>
      <c r="AH284" s="1759" t="s">
        <v>2513</v>
      </c>
      <c r="AI284" s="1759" t="s">
        <v>732</v>
      </c>
      <c r="AJ284" s="1759" t="s">
        <v>732</v>
      </c>
      <c r="AK284" s="1759">
        <v>1542</v>
      </c>
      <c r="AL284" s="1759" t="s">
        <v>732</v>
      </c>
      <c r="AM284" s="1759">
        <v>1542</v>
      </c>
      <c r="AN284" s="1759" t="s">
        <v>5370</v>
      </c>
      <c r="AO284" s="1764"/>
      <c r="AP284" s="1759" t="s">
        <v>5379</v>
      </c>
      <c r="AQ284" s="1759" t="s">
        <v>5380</v>
      </c>
      <c r="AR284" s="1759" t="s">
        <v>5381</v>
      </c>
      <c r="AS284" s="1759" t="s">
        <v>347</v>
      </c>
      <c r="AT284" s="1759" t="s">
        <v>327</v>
      </c>
      <c r="AU284" s="1763"/>
      <c r="AV284" s="1763"/>
    </row>
    <row r="285" spans="1:48" ht="25" hidden="1">
      <c r="A285" s="1785" t="str">
        <f t="shared" si="44"/>
        <v>גמל</v>
      </c>
      <c r="B285" s="1786">
        <f t="shared" si="45"/>
        <v>1541</v>
      </c>
      <c r="C285" s="1787">
        <v>28946</v>
      </c>
      <c r="D285" s="1786" t="str">
        <f t="shared" si="46"/>
        <v>אקסלנס תגמולים בניהול אישי</v>
      </c>
      <c r="E285" s="1786" t="s">
        <v>3929</v>
      </c>
      <c r="F285" s="1786" t="s">
        <v>2958</v>
      </c>
      <c r="G285" s="1786" t="s">
        <v>2959</v>
      </c>
      <c r="H285" s="1786" t="str">
        <f t="shared" si="47"/>
        <v>פעיל</v>
      </c>
      <c r="I285" s="1788">
        <f t="shared" si="48"/>
        <v>40742</v>
      </c>
      <c r="J285" s="1788" t="str">
        <f t="shared" si="49"/>
        <v/>
      </c>
      <c r="K285" s="1786">
        <v>0</v>
      </c>
      <c r="L285" s="1786" t="s">
        <v>1594</v>
      </c>
      <c r="M285" s="1786" t="s">
        <v>1653</v>
      </c>
      <c r="N285" s="1786" t="s">
        <v>1653</v>
      </c>
      <c r="O285" s="1786">
        <v>0</v>
      </c>
      <c r="P285" s="1786"/>
      <c r="Q285" s="1786">
        <v>0</v>
      </c>
      <c r="R285" s="1788"/>
      <c r="S285" s="1786">
        <f t="shared" si="50"/>
        <v>1541</v>
      </c>
      <c r="T285" s="1786" t="str">
        <f t="shared" si="51"/>
        <v>בנק מזרחי טפחות בע"מ</v>
      </c>
      <c r="U285" s="1786" t="str">
        <f t="shared" si="52"/>
        <v>אקסלנס תגמולים בניהול אישי</v>
      </c>
      <c r="V285" s="1786" t="str">
        <f t="shared" si="53"/>
        <v>520017450</v>
      </c>
      <c r="W285" s="1789" t="str">
        <f t="shared" si="54"/>
        <v xml:space="preserve">הפניקס אקסלנס פנסיה וגמל בע"מ </v>
      </c>
      <c r="AC285" s="1761" t="s">
        <v>346</v>
      </c>
      <c r="AD285" s="1761"/>
      <c r="AE285" s="1762">
        <v>40742</v>
      </c>
      <c r="AF285" s="1761"/>
      <c r="AG285" s="1761"/>
      <c r="AH285" s="1761" t="s">
        <v>2513</v>
      </c>
      <c r="AI285" s="1761" t="s">
        <v>731</v>
      </c>
      <c r="AJ285" s="1761" t="s">
        <v>731</v>
      </c>
      <c r="AK285" s="1761">
        <v>1541</v>
      </c>
      <c r="AL285" s="1761" t="s">
        <v>731</v>
      </c>
      <c r="AM285" s="1761">
        <v>1541</v>
      </c>
      <c r="AN285" s="1761" t="s">
        <v>5370</v>
      </c>
      <c r="AO285" s="1764"/>
      <c r="AP285" s="1761" t="s">
        <v>5379</v>
      </c>
      <c r="AQ285" s="1761" t="s">
        <v>5380</v>
      </c>
      <c r="AR285" s="1761" t="s">
        <v>5381</v>
      </c>
      <c r="AS285" s="1761" t="s">
        <v>347</v>
      </c>
      <c r="AT285" s="1761" t="s">
        <v>327</v>
      </c>
      <c r="AU285" s="1763"/>
      <c r="AV285" s="1763"/>
    </row>
    <row r="286" spans="1:48" ht="25">
      <c r="A286" s="1785" t="str">
        <f t="shared" si="44"/>
        <v>פנסיה</v>
      </c>
      <c r="B286" s="1786">
        <f t="shared" si="45"/>
        <v>9847</v>
      </c>
      <c r="C286" s="1787">
        <v>28946</v>
      </c>
      <c r="D286" s="1786" t="str">
        <f t="shared" si="46"/>
        <v>פסגות קרן פנסיה כללית אג"ח עד 20% מניות</v>
      </c>
      <c r="E286" s="1786" t="s">
        <v>3929</v>
      </c>
      <c r="F286" s="1786" t="s">
        <v>2958</v>
      </c>
      <c r="G286" s="1786" t="s">
        <v>2959</v>
      </c>
      <c r="H286" s="1786" t="str">
        <f t="shared" si="47"/>
        <v>לא פעיל</v>
      </c>
      <c r="I286" s="1788">
        <f t="shared" si="48"/>
        <v>40541</v>
      </c>
      <c r="J286" s="1788">
        <f t="shared" si="49"/>
        <v>42967.598530092597</v>
      </c>
      <c r="K286" s="1786">
        <v>0</v>
      </c>
      <c r="L286" s="1786" t="s">
        <v>1594</v>
      </c>
      <c r="M286" s="1786" t="s">
        <v>1653</v>
      </c>
      <c r="N286" s="1786" t="s">
        <v>1653</v>
      </c>
      <c r="O286" s="1786">
        <v>0</v>
      </c>
      <c r="P286" s="1786"/>
      <c r="Q286" s="1786">
        <v>0</v>
      </c>
      <c r="R286" s="1788"/>
      <c r="S286" s="1786">
        <f t="shared" si="50"/>
        <v>1532</v>
      </c>
      <c r="T286" s="1786" t="str">
        <f t="shared" si="51"/>
        <v>פסגות קופות גמל ופנסיה</v>
      </c>
      <c r="U286" s="1786" t="str">
        <f t="shared" si="52"/>
        <v>פסגות קרן פנסיה כללית</v>
      </c>
      <c r="V286" s="1786" t="str">
        <f t="shared" si="53"/>
        <v>513767079</v>
      </c>
      <c r="W286" s="1789" t="str">
        <f t="shared" si="54"/>
        <v>פסגות קופות גמל ופנסיה בע"מ</v>
      </c>
      <c r="AC286" s="1759" t="s">
        <v>1586</v>
      </c>
      <c r="AD286" s="1760">
        <v>42967.598530092597</v>
      </c>
      <c r="AE286" s="1760">
        <v>40541</v>
      </c>
      <c r="AF286" s="1759" t="s">
        <v>1653</v>
      </c>
      <c r="AG286" s="1759" t="s">
        <v>1653</v>
      </c>
      <c r="AH286" s="1759" t="s">
        <v>1594</v>
      </c>
      <c r="AI286" s="1759" t="s">
        <v>4406</v>
      </c>
      <c r="AJ286" s="1759" t="s">
        <v>4405</v>
      </c>
      <c r="AK286" s="1759">
        <v>9847</v>
      </c>
      <c r="AL286" s="1759" t="s">
        <v>730</v>
      </c>
      <c r="AM286" s="1759">
        <v>1532</v>
      </c>
      <c r="AN286" s="1759" t="s">
        <v>5509</v>
      </c>
      <c r="AO286" s="1764"/>
      <c r="AP286" s="1759" t="s">
        <v>5365</v>
      </c>
      <c r="AQ286" s="1759" t="s">
        <v>5366</v>
      </c>
      <c r="AR286" s="1759" t="s">
        <v>351</v>
      </c>
      <c r="AS286" s="1759" t="s">
        <v>352</v>
      </c>
      <c r="AT286" s="1759" t="s">
        <v>328</v>
      </c>
      <c r="AU286" s="1763"/>
      <c r="AV286" s="1763"/>
    </row>
    <row r="287" spans="1:48" ht="25">
      <c r="A287" s="1785" t="str">
        <f t="shared" si="44"/>
        <v>פנסיה</v>
      </c>
      <c r="B287" s="1786">
        <f t="shared" si="45"/>
        <v>1713</v>
      </c>
      <c r="C287" s="1787">
        <v>28946</v>
      </c>
      <c r="D287" s="1786" t="str">
        <f t="shared" si="46"/>
        <v>פסגות קרן פנסיה כללית מסלול הלכה למקבלי קצבה</v>
      </c>
      <c r="E287" s="1786" t="s">
        <v>3929</v>
      </c>
      <c r="F287" s="1786" t="s">
        <v>2958</v>
      </c>
      <c r="G287" s="1786" t="s">
        <v>2959</v>
      </c>
      <c r="H287" s="1786" t="str">
        <f t="shared" si="47"/>
        <v>פעיל</v>
      </c>
      <c r="I287" s="1788">
        <f t="shared" si="48"/>
        <v>40541</v>
      </c>
      <c r="J287" s="1788" t="str">
        <f t="shared" si="49"/>
        <v/>
      </c>
      <c r="K287" s="1786">
        <v>0</v>
      </c>
      <c r="L287" s="1786" t="s">
        <v>1594</v>
      </c>
      <c r="M287" s="1786" t="s">
        <v>1653</v>
      </c>
      <c r="N287" s="1786" t="s">
        <v>1653</v>
      </c>
      <c r="O287" s="1786">
        <v>0</v>
      </c>
      <c r="P287" s="1786"/>
      <c r="Q287" s="1786">
        <v>0</v>
      </c>
      <c r="R287" s="1788"/>
      <c r="S287" s="1786">
        <f t="shared" si="50"/>
        <v>1532</v>
      </c>
      <c r="T287" s="1786" t="str">
        <f t="shared" si="51"/>
        <v>פסגות קופות גמל ופנסיה</v>
      </c>
      <c r="U287" s="1786" t="str">
        <f t="shared" si="52"/>
        <v>פסגות קרן פנסיה כללית</v>
      </c>
      <c r="V287" s="1786" t="str">
        <f t="shared" si="53"/>
        <v>513767079</v>
      </c>
      <c r="W287" s="1789" t="str">
        <f t="shared" si="54"/>
        <v>פסגות קופות גמל ופנסיה בע"מ</v>
      </c>
      <c r="AC287" s="1761" t="s">
        <v>346</v>
      </c>
      <c r="AD287" s="1761"/>
      <c r="AE287" s="1762">
        <v>40541</v>
      </c>
      <c r="AF287" s="1761" t="s">
        <v>2029</v>
      </c>
      <c r="AG287" s="1761" t="s">
        <v>2614</v>
      </c>
      <c r="AH287" s="1761" t="s">
        <v>3658</v>
      </c>
      <c r="AI287" s="1761" t="s">
        <v>4136</v>
      </c>
      <c r="AJ287" s="1761" t="s">
        <v>4135</v>
      </c>
      <c r="AK287" s="1761">
        <v>1713</v>
      </c>
      <c r="AL287" s="1761" t="s">
        <v>730</v>
      </c>
      <c r="AM287" s="1761">
        <v>1532</v>
      </c>
      <c r="AN287" s="1761" t="s">
        <v>5509</v>
      </c>
      <c r="AO287" s="1764"/>
      <c r="AP287" s="1761" t="s">
        <v>5365</v>
      </c>
      <c r="AQ287" s="1761" t="s">
        <v>5366</v>
      </c>
      <c r="AR287" s="1761" t="s">
        <v>351</v>
      </c>
      <c r="AS287" s="1761" t="s">
        <v>352</v>
      </c>
      <c r="AT287" s="1761" t="s">
        <v>328</v>
      </c>
      <c r="AU287" s="1763"/>
      <c r="AV287" s="1763"/>
    </row>
    <row r="288" spans="1:48" ht="25">
      <c r="A288" s="1785" t="str">
        <f t="shared" si="44"/>
        <v>פנסיה</v>
      </c>
      <c r="B288" s="1786">
        <f t="shared" si="45"/>
        <v>2215</v>
      </c>
      <c r="C288" s="1787">
        <v>28946</v>
      </c>
      <c r="D288" s="1786" t="str">
        <f t="shared" si="46"/>
        <v>פסגות כללית - פנסיונרים</v>
      </c>
      <c r="E288" s="1786" t="s">
        <v>3929</v>
      </c>
      <c r="F288" s="1786" t="s">
        <v>2958</v>
      </c>
      <c r="G288" s="1786" t="s">
        <v>2959</v>
      </c>
      <c r="H288" s="1786" t="str">
        <f t="shared" si="47"/>
        <v>פעיל</v>
      </c>
      <c r="I288" s="1788">
        <f t="shared" si="48"/>
        <v>40541</v>
      </c>
      <c r="J288" s="1788" t="str">
        <f t="shared" si="49"/>
        <v/>
      </c>
      <c r="K288" s="1786">
        <v>0</v>
      </c>
      <c r="L288" s="1786" t="s">
        <v>1594</v>
      </c>
      <c r="M288" s="1786" t="s">
        <v>1653</v>
      </c>
      <c r="N288" s="1786" t="s">
        <v>1653</v>
      </c>
      <c r="O288" s="1786">
        <v>0</v>
      </c>
      <c r="P288" s="1786"/>
      <c r="Q288" s="1786">
        <v>0</v>
      </c>
      <c r="R288" s="1788"/>
      <c r="S288" s="1786">
        <f t="shared" si="50"/>
        <v>1532</v>
      </c>
      <c r="T288" s="1786" t="str">
        <f t="shared" si="51"/>
        <v>פסגות קופות גמל ופנסיה</v>
      </c>
      <c r="U288" s="1786" t="str">
        <f t="shared" si="52"/>
        <v>פסגות קרן פנסיה כללית</v>
      </c>
      <c r="V288" s="1786" t="str">
        <f t="shared" si="53"/>
        <v>513767079</v>
      </c>
      <c r="W288" s="1789" t="str">
        <f t="shared" si="54"/>
        <v>פסגות קופות גמל ופנסיה בע"מ</v>
      </c>
      <c r="AC288" s="1759" t="s">
        <v>346</v>
      </c>
      <c r="AD288" s="1759"/>
      <c r="AE288" s="1760">
        <v>40541</v>
      </c>
      <c r="AF288" s="1759" t="s">
        <v>4160</v>
      </c>
      <c r="AG288" s="1759" t="s">
        <v>2614</v>
      </c>
      <c r="AH288" s="1759" t="s">
        <v>3658</v>
      </c>
      <c r="AI288" s="1759" t="s">
        <v>2652</v>
      </c>
      <c r="AJ288" s="1759" t="s">
        <v>2652</v>
      </c>
      <c r="AK288" s="1759">
        <v>2215</v>
      </c>
      <c r="AL288" s="1759" t="s">
        <v>730</v>
      </c>
      <c r="AM288" s="1759">
        <v>1532</v>
      </c>
      <c r="AN288" s="1759" t="s">
        <v>5509</v>
      </c>
      <c r="AO288" s="1764"/>
      <c r="AP288" s="1759" t="s">
        <v>5365</v>
      </c>
      <c r="AQ288" s="1759" t="s">
        <v>5366</v>
      </c>
      <c r="AR288" s="1759" t="s">
        <v>351</v>
      </c>
      <c r="AS288" s="1759" t="s">
        <v>352</v>
      </c>
      <c r="AT288" s="1759" t="s">
        <v>328</v>
      </c>
      <c r="AU288" s="1763"/>
      <c r="AV288" s="1763"/>
    </row>
    <row r="289" spans="1:48" ht="25">
      <c r="A289" s="1785" t="str">
        <f t="shared" si="44"/>
        <v>פנסיה</v>
      </c>
      <c r="B289" s="1786">
        <f t="shared" si="45"/>
        <v>2068</v>
      </c>
      <c r="C289" s="1787">
        <v>28946</v>
      </c>
      <c r="D289" s="1786" t="str">
        <f t="shared" si="46"/>
        <v>פסגות פנסיה כללית מסלול לבני 60 ומעלה</v>
      </c>
      <c r="E289" s="1786" t="s">
        <v>3929</v>
      </c>
      <c r="F289" s="1786" t="s">
        <v>2958</v>
      </c>
      <c r="G289" s="1786" t="s">
        <v>2959</v>
      </c>
      <c r="H289" s="1786" t="str">
        <f t="shared" si="47"/>
        <v>פעיל</v>
      </c>
      <c r="I289" s="1788">
        <f t="shared" si="48"/>
        <v>40541</v>
      </c>
      <c r="J289" s="1788" t="str">
        <f t="shared" si="49"/>
        <v/>
      </c>
      <c r="K289" s="1786">
        <v>0</v>
      </c>
      <c r="L289" s="1786" t="s">
        <v>1594</v>
      </c>
      <c r="M289" s="1786" t="s">
        <v>1653</v>
      </c>
      <c r="N289" s="1786" t="s">
        <v>1653</v>
      </c>
      <c r="O289" s="1786">
        <v>0</v>
      </c>
      <c r="P289" s="1786"/>
      <c r="Q289" s="1786">
        <v>0</v>
      </c>
      <c r="R289" s="1788"/>
      <c r="S289" s="1786">
        <f t="shared" si="50"/>
        <v>1532</v>
      </c>
      <c r="T289" s="1786" t="str">
        <f t="shared" si="51"/>
        <v>פסגות קופות גמל ופנסיה</v>
      </c>
      <c r="U289" s="1786" t="str">
        <f t="shared" si="52"/>
        <v>פסגות קרן פנסיה כללית</v>
      </c>
      <c r="V289" s="1786" t="str">
        <f t="shared" si="53"/>
        <v>513767079</v>
      </c>
      <c r="W289" s="1789" t="str">
        <f t="shared" si="54"/>
        <v>פסגות קופות גמל ופנסיה בע"מ</v>
      </c>
      <c r="AC289" s="1761" t="s">
        <v>346</v>
      </c>
      <c r="AD289" s="1761"/>
      <c r="AE289" s="1762">
        <v>40541</v>
      </c>
      <c r="AF289" s="1761" t="s">
        <v>3963</v>
      </c>
      <c r="AG289" s="1761" t="s">
        <v>3931</v>
      </c>
      <c r="AH289" s="1761" t="s">
        <v>3658</v>
      </c>
      <c r="AI289" s="1761" t="s">
        <v>4154</v>
      </c>
      <c r="AJ289" s="1761" t="s">
        <v>4154</v>
      </c>
      <c r="AK289" s="1761">
        <v>2068</v>
      </c>
      <c r="AL289" s="1761" t="s">
        <v>730</v>
      </c>
      <c r="AM289" s="1761">
        <v>1532</v>
      </c>
      <c r="AN289" s="1761" t="s">
        <v>5509</v>
      </c>
      <c r="AO289" s="1764"/>
      <c r="AP289" s="1761" t="s">
        <v>5365</v>
      </c>
      <c r="AQ289" s="1761" t="s">
        <v>5366</v>
      </c>
      <c r="AR289" s="1761" t="s">
        <v>351</v>
      </c>
      <c r="AS289" s="1761" t="s">
        <v>352</v>
      </c>
      <c r="AT289" s="1761" t="s">
        <v>328</v>
      </c>
      <c r="AU289" s="1763"/>
      <c r="AV289" s="1763"/>
    </row>
    <row r="290" spans="1:48" ht="25">
      <c r="A290" s="1785" t="str">
        <f t="shared" si="44"/>
        <v>פנסיה</v>
      </c>
      <c r="B290" s="1786">
        <f t="shared" si="45"/>
        <v>2067</v>
      </c>
      <c r="C290" s="1787">
        <v>28946</v>
      </c>
      <c r="D290" s="1786" t="str">
        <f t="shared" si="46"/>
        <v>פסגות פנסיה כללית מסלול לבני 50 עד 60</v>
      </c>
      <c r="E290" s="1786" t="s">
        <v>3929</v>
      </c>
      <c r="F290" s="1786" t="s">
        <v>2958</v>
      </c>
      <c r="G290" s="1786" t="s">
        <v>2959</v>
      </c>
      <c r="H290" s="1786" t="str">
        <f t="shared" si="47"/>
        <v>פעיל</v>
      </c>
      <c r="I290" s="1788">
        <f t="shared" si="48"/>
        <v>40541</v>
      </c>
      <c r="J290" s="1788" t="str">
        <f t="shared" si="49"/>
        <v/>
      </c>
      <c r="K290" s="1786">
        <v>0</v>
      </c>
      <c r="L290" s="1786" t="s">
        <v>1594</v>
      </c>
      <c r="M290" s="1786" t="s">
        <v>1653</v>
      </c>
      <c r="N290" s="1786" t="s">
        <v>1653</v>
      </c>
      <c r="O290" s="1786">
        <v>0</v>
      </c>
      <c r="P290" s="1786"/>
      <c r="Q290" s="1786">
        <v>0</v>
      </c>
      <c r="R290" s="1788"/>
      <c r="S290" s="1786">
        <f t="shared" si="50"/>
        <v>1532</v>
      </c>
      <c r="T290" s="1786" t="str">
        <f t="shared" si="51"/>
        <v>פסגות קופות גמל ופנסיה</v>
      </c>
      <c r="U290" s="1786" t="str">
        <f t="shared" si="52"/>
        <v>פסגות קרן פנסיה כללית</v>
      </c>
      <c r="V290" s="1786" t="str">
        <f t="shared" si="53"/>
        <v>513767079</v>
      </c>
      <c r="W290" s="1789" t="str">
        <f t="shared" si="54"/>
        <v>פסגות קופות גמל ופנסיה בע"מ</v>
      </c>
      <c r="AC290" s="1759" t="s">
        <v>346</v>
      </c>
      <c r="AD290" s="1759"/>
      <c r="AE290" s="1760">
        <v>40541</v>
      </c>
      <c r="AF290" s="1759" t="s">
        <v>3932</v>
      </c>
      <c r="AG290" s="1759" t="s">
        <v>3931</v>
      </c>
      <c r="AH290" s="1759" t="s">
        <v>3658</v>
      </c>
      <c r="AI290" s="1759" t="s">
        <v>4153</v>
      </c>
      <c r="AJ290" s="1759" t="s">
        <v>4152</v>
      </c>
      <c r="AK290" s="1759">
        <v>2067</v>
      </c>
      <c r="AL290" s="1759" t="s">
        <v>730</v>
      </c>
      <c r="AM290" s="1759">
        <v>1532</v>
      </c>
      <c r="AN290" s="1759" t="s">
        <v>5509</v>
      </c>
      <c r="AO290" s="1764"/>
      <c r="AP290" s="1759" t="s">
        <v>5365</v>
      </c>
      <c r="AQ290" s="1759" t="s">
        <v>5366</v>
      </c>
      <c r="AR290" s="1759" t="s">
        <v>351</v>
      </c>
      <c r="AS290" s="1759" t="s">
        <v>352</v>
      </c>
      <c r="AT290" s="1759" t="s">
        <v>328</v>
      </c>
      <c r="AU290" s="1763"/>
      <c r="AV290" s="1763"/>
    </row>
    <row r="291" spans="1:48" ht="25">
      <c r="A291" s="1785" t="str">
        <f t="shared" si="44"/>
        <v>פנסיה</v>
      </c>
      <c r="B291" s="1786">
        <f t="shared" si="45"/>
        <v>2066</v>
      </c>
      <c r="C291" s="1787">
        <v>28946</v>
      </c>
      <c r="D291" s="1786" t="str">
        <f t="shared" si="46"/>
        <v>פסגות כללית - אפיק מניות</v>
      </c>
      <c r="E291" s="1786" t="s">
        <v>3929</v>
      </c>
      <c r="F291" s="1786" t="s">
        <v>2958</v>
      </c>
      <c r="G291" s="1786" t="s">
        <v>2959</v>
      </c>
      <c r="H291" s="1786" t="str">
        <f t="shared" si="47"/>
        <v>פעיל</v>
      </c>
      <c r="I291" s="1788">
        <f t="shared" si="48"/>
        <v>40541</v>
      </c>
      <c r="J291" s="1788" t="str">
        <f t="shared" si="49"/>
        <v/>
      </c>
      <c r="K291" s="1786">
        <v>0</v>
      </c>
      <c r="L291" s="1786" t="s">
        <v>1594</v>
      </c>
      <c r="M291" s="1786" t="s">
        <v>1653</v>
      </c>
      <c r="N291" s="1786" t="s">
        <v>1653</v>
      </c>
      <c r="O291" s="1786">
        <v>0</v>
      </c>
      <c r="P291" s="1786"/>
      <c r="Q291" s="1786">
        <v>0</v>
      </c>
      <c r="R291" s="1788"/>
      <c r="S291" s="1786">
        <f t="shared" si="50"/>
        <v>1532</v>
      </c>
      <c r="T291" s="1786" t="str">
        <f t="shared" si="51"/>
        <v>פסגות קופות גמל ופנסיה</v>
      </c>
      <c r="U291" s="1786" t="str">
        <f t="shared" si="52"/>
        <v>פסגות קרן פנסיה כללית</v>
      </c>
      <c r="V291" s="1786" t="str">
        <f t="shared" si="53"/>
        <v>513767079</v>
      </c>
      <c r="W291" s="1789" t="str">
        <f t="shared" si="54"/>
        <v>פסגות קופות גמל ופנסיה בע"מ</v>
      </c>
      <c r="AC291" s="1761" t="s">
        <v>346</v>
      </c>
      <c r="AD291" s="1761"/>
      <c r="AE291" s="1762">
        <v>40541</v>
      </c>
      <c r="AF291" s="1761" t="s">
        <v>1595</v>
      </c>
      <c r="AG291" s="1761" t="s">
        <v>75</v>
      </c>
      <c r="AH291" s="1761" t="s">
        <v>1594</v>
      </c>
      <c r="AI291" s="1761" t="s">
        <v>2592</v>
      </c>
      <c r="AJ291" s="1761" t="s">
        <v>2592</v>
      </c>
      <c r="AK291" s="1761">
        <v>2066</v>
      </c>
      <c r="AL291" s="1761" t="s">
        <v>730</v>
      </c>
      <c r="AM291" s="1761">
        <v>1532</v>
      </c>
      <c r="AN291" s="1761" t="s">
        <v>5509</v>
      </c>
      <c r="AO291" s="1764"/>
      <c r="AP291" s="1761" t="s">
        <v>5365</v>
      </c>
      <c r="AQ291" s="1761" t="s">
        <v>5366</v>
      </c>
      <c r="AR291" s="1761" t="s">
        <v>351</v>
      </c>
      <c r="AS291" s="1761" t="s">
        <v>352</v>
      </c>
      <c r="AT291" s="1761" t="s">
        <v>328</v>
      </c>
      <c r="AU291" s="1763"/>
      <c r="AV291" s="1763"/>
    </row>
    <row r="292" spans="1:48" ht="25">
      <c r="A292" s="1785" t="str">
        <f t="shared" si="44"/>
        <v>פנסיה</v>
      </c>
      <c r="B292" s="1786">
        <f t="shared" si="45"/>
        <v>2065</v>
      </c>
      <c r="C292" s="1787">
        <v>28946</v>
      </c>
      <c r="D292" s="1786" t="str">
        <f t="shared" si="46"/>
        <v>פסגות פנסיה כללית - מסלול לבני 50 ומטה</v>
      </c>
      <c r="E292" s="1786" t="s">
        <v>3929</v>
      </c>
      <c r="F292" s="1786" t="s">
        <v>2958</v>
      </c>
      <c r="G292" s="1786" t="s">
        <v>2959</v>
      </c>
      <c r="H292" s="1786" t="str">
        <f t="shared" si="47"/>
        <v>פעיל</v>
      </c>
      <c r="I292" s="1788">
        <f t="shared" si="48"/>
        <v>40541</v>
      </c>
      <c r="J292" s="1788" t="str">
        <f t="shared" si="49"/>
        <v/>
      </c>
      <c r="K292" s="1786">
        <v>0</v>
      </c>
      <c r="L292" s="1786" t="s">
        <v>1594</v>
      </c>
      <c r="M292" s="1786" t="s">
        <v>1653</v>
      </c>
      <c r="N292" s="1786" t="s">
        <v>1653</v>
      </c>
      <c r="O292" s="1786">
        <v>0</v>
      </c>
      <c r="P292" s="1786"/>
      <c r="Q292" s="1786">
        <v>0</v>
      </c>
      <c r="R292" s="1788"/>
      <c r="S292" s="1786">
        <f t="shared" si="50"/>
        <v>1532</v>
      </c>
      <c r="T292" s="1786" t="str">
        <f t="shared" si="51"/>
        <v>פסגות קופות גמל ופנסיה</v>
      </c>
      <c r="U292" s="1786" t="str">
        <f t="shared" si="52"/>
        <v>פסגות קרן פנסיה כללית</v>
      </c>
      <c r="V292" s="1786" t="str">
        <f t="shared" si="53"/>
        <v>513767079</v>
      </c>
      <c r="W292" s="1789" t="str">
        <f t="shared" si="54"/>
        <v>פסגות קופות גמל ופנסיה בע"מ</v>
      </c>
      <c r="AC292" s="1759" t="s">
        <v>346</v>
      </c>
      <c r="AD292" s="1759"/>
      <c r="AE292" s="1760">
        <v>40541</v>
      </c>
      <c r="AF292" s="1759" t="s">
        <v>4151</v>
      </c>
      <c r="AG292" s="1759" t="s">
        <v>3931</v>
      </c>
      <c r="AH292" s="1759" t="s">
        <v>3658</v>
      </c>
      <c r="AI292" s="1759" t="s">
        <v>4150</v>
      </c>
      <c r="AJ292" s="1759" t="s">
        <v>4149</v>
      </c>
      <c r="AK292" s="1759">
        <v>2065</v>
      </c>
      <c r="AL292" s="1759" t="s">
        <v>730</v>
      </c>
      <c r="AM292" s="1759">
        <v>1532</v>
      </c>
      <c r="AN292" s="1759" t="s">
        <v>5509</v>
      </c>
      <c r="AO292" s="1764"/>
      <c r="AP292" s="1759" t="s">
        <v>5365</v>
      </c>
      <c r="AQ292" s="1759" t="s">
        <v>5366</v>
      </c>
      <c r="AR292" s="1759" t="s">
        <v>351</v>
      </c>
      <c r="AS292" s="1759" t="s">
        <v>352</v>
      </c>
      <c r="AT292" s="1759" t="s">
        <v>328</v>
      </c>
      <c r="AU292" s="1763"/>
      <c r="AV292" s="1763"/>
    </row>
    <row r="293" spans="1:48" ht="25">
      <c r="A293" s="1785" t="str">
        <f t="shared" si="44"/>
        <v>פנסיה</v>
      </c>
      <c r="B293" s="1786">
        <f t="shared" si="45"/>
        <v>1709</v>
      </c>
      <c r="C293" s="1787">
        <v>28946</v>
      </c>
      <c r="D293" s="1786" t="str">
        <f t="shared" si="46"/>
        <v>פסגות קרן פנסיה כללית מסלול הלכה</v>
      </c>
      <c r="E293" s="1786" t="s">
        <v>3929</v>
      </c>
      <c r="F293" s="1786" t="s">
        <v>2958</v>
      </c>
      <c r="G293" s="1786" t="s">
        <v>2959</v>
      </c>
      <c r="H293" s="1786" t="str">
        <f t="shared" si="47"/>
        <v>פעיל</v>
      </c>
      <c r="I293" s="1788">
        <f t="shared" si="48"/>
        <v>40541</v>
      </c>
      <c r="J293" s="1788" t="str">
        <f t="shared" si="49"/>
        <v/>
      </c>
      <c r="K293" s="1786">
        <v>0</v>
      </c>
      <c r="L293" s="1786" t="s">
        <v>1594</v>
      </c>
      <c r="M293" s="1786" t="s">
        <v>1653</v>
      </c>
      <c r="N293" s="1786" t="s">
        <v>1653</v>
      </c>
      <c r="O293" s="1786">
        <v>0</v>
      </c>
      <c r="P293" s="1786"/>
      <c r="Q293" s="1786">
        <v>0</v>
      </c>
      <c r="R293" s="1788"/>
      <c r="S293" s="1786">
        <f t="shared" si="50"/>
        <v>1532</v>
      </c>
      <c r="T293" s="1786" t="str">
        <f t="shared" si="51"/>
        <v>פסגות קופות גמל ופנסיה</v>
      </c>
      <c r="U293" s="1786" t="str">
        <f t="shared" si="52"/>
        <v>פסגות קרן פנסיה כללית</v>
      </c>
      <c r="V293" s="1786" t="str">
        <f t="shared" si="53"/>
        <v>513767079</v>
      </c>
      <c r="W293" s="1789" t="str">
        <f t="shared" si="54"/>
        <v>פסגות קופות גמל ופנסיה בע"מ</v>
      </c>
      <c r="AC293" s="1761" t="s">
        <v>346</v>
      </c>
      <c r="AD293" s="1761"/>
      <c r="AE293" s="1762">
        <v>40541</v>
      </c>
      <c r="AF293" s="1761" t="s">
        <v>4603</v>
      </c>
      <c r="AG293" s="1761" t="s">
        <v>2029</v>
      </c>
      <c r="AH293" s="1761" t="s">
        <v>2028</v>
      </c>
      <c r="AI293" s="1761" t="s">
        <v>4134</v>
      </c>
      <c r="AJ293" s="1761" t="s">
        <v>4133</v>
      </c>
      <c r="AK293" s="1761">
        <v>1709</v>
      </c>
      <c r="AL293" s="1761" t="s">
        <v>730</v>
      </c>
      <c r="AM293" s="1761">
        <v>1532</v>
      </c>
      <c r="AN293" s="1761" t="s">
        <v>5509</v>
      </c>
      <c r="AO293" s="1764"/>
      <c r="AP293" s="1761" t="s">
        <v>5365</v>
      </c>
      <c r="AQ293" s="1761" t="s">
        <v>5366</v>
      </c>
      <c r="AR293" s="1761" t="s">
        <v>351</v>
      </c>
      <c r="AS293" s="1761" t="s">
        <v>352</v>
      </c>
      <c r="AT293" s="1761" t="s">
        <v>328</v>
      </c>
      <c r="AU293" s="1763"/>
      <c r="AV293" s="1763"/>
    </row>
    <row r="294" spans="1:48" ht="25">
      <c r="A294" s="1785" t="str">
        <f t="shared" si="44"/>
        <v>פנסיה</v>
      </c>
      <c r="B294" s="1786">
        <f t="shared" si="45"/>
        <v>9848</v>
      </c>
      <c r="C294" s="1787">
        <v>28946</v>
      </c>
      <c r="D294" s="1786" t="str">
        <f t="shared" si="46"/>
        <v>פסגות קרן פנסיה כללית חו"ל</v>
      </c>
      <c r="E294" s="1786" t="s">
        <v>3929</v>
      </c>
      <c r="F294" s="1786" t="s">
        <v>2958</v>
      </c>
      <c r="G294" s="1786" t="s">
        <v>2959</v>
      </c>
      <c r="H294" s="1786" t="str">
        <f t="shared" si="47"/>
        <v>לא פעיל</v>
      </c>
      <c r="I294" s="1788">
        <f t="shared" si="48"/>
        <v>40541</v>
      </c>
      <c r="J294" s="1788">
        <f t="shared" si="49"/>
        <v>43415.418703703697</v>
      </c>
      <c r="K294" s="1786">
        <v>0</v>
      </c>
      <c r="L294" s="1786" t="s">
        <v>1594</v>
      </c>
      <c r="M294" s="1786" t="s">
        <v>1653</v>
      </c>
      <c r="N294" s="1786" t="s">
        <v>1653</v>
      </c>
      <c r="O294" s="1786">
        <v>0</v>
      </c>
      <c r="P294" s="1786"/>
      <c r="Q294" s="1786">
        <v>0</v>
      </c>
      <c r="R294" s="1788"/>
      <c r="S294" s="1786">
        <f t="shared" si="50"/>
        <v>1532</v>
      </c>
      <c r="T294" s="1786" t="str">
        <f t="shared" si="51"/>
        <v>פסגות קופות גמל ופנסיה</v>
      </c>
      <c r="U294" s="1786" t="str">
        <f t="shared" si="52"/>
        <v>פסגות קרן פנסיה כללית</v>
      </c>
      <c r="V294" s="1786" t="str">
        <f t="shared" si="53"/>
        <v>513767079</v>
      </c>
      <c r="W294" s="1789" t="str">
        <f t="shared" si="54"/>
        <v>פסגות קופות גמל ופנסיה בע"מ</v>
      </c>
      <c r="AC294" s="1759" t="s">
        <v>1586</v>
      </c>
      <c r="AD294" s="1760">
        <v>43415.418703703697</v>
      </c>
      <c r="AE294" s="1760">
        <v>40541</v>
      </c>
      <c r="AF294" s="1759" t="s">
        <v>1948</v>
      </c>
      <c r="AG294" s="1759" t="s">
        <v>1947</v>
      </c>
      <c r="AH294" s="1759" t="s">
        <v>1594</v>
      </c>
      <c r="AI294" s="1759" t="s">
        <v>4408</v>
      </c>
      <c r="AJ294" s="1759" t="s">
        <v>4407</v>
      </c>
      <c r="AK294" s="1759">
        <v>9848</v>
      </c>
      <c r="AL294" s="1759" t="s">
        <v>730</v>
      </c>
      <c r="AM294" s="1759">
        <v>1532</v>
      </c>
      <c r="AN294" s="1759" t="s">
        <v>5509</v>
      </c>
      <c r="AO294" s="1764"/>
      <c r="AP294" s="1759" t="s">
        <v>5365</v>
      </c>
      <c r="AQ294" s="1759" t="s">
        <v>5366</v>
      </c>
      <c r="AR294" s="1759" t="s">
        <v>351</v>
      </c>
      <c r="AS294" s="1759" t="s">
        <v>352</v>
      </c>
      <c r="AT294" s="1759" t="s">
        <v>328</v>
      </c>
      <c r="AU294" s="1763"/>
      <c r="AV294" s="1763"/>
    </row>
    <row r="295" spans="1:48" ht="25">
      <c r="A295" s="1785" t="str">
        <f t="shared" si="44"/>
        <v>פנסיה</v>
      </c>
      <c r="B295" s="1786">
        <f t="shared" si="45"/>
        <v>12151</v>
      </c>
      <c r="C295" s="1787">
        <v>28946</v>
      </c>
      <c r="D295" s="1786" t="str">
        <f t="shared" si="46"/>
        <v>פסגות קרן פנסיה כללית - מקבלי קצבה לאחר ה-1.1.18</v>
      </c>
      <c r="E295" s="1786" t="s">
        <v>3929</v>
      </c>
      <c r="F295" s="1786" t="s">
        <v>2958</v>
      </c>
      <c r="G295" s="1786" t="s">
        <v>2959</v>
      </c>
      <c r="H295" s="1786" t="str">
        <f t="shared" si="47"/>
        <v>פעיל</v>
      </c>
      <c r="I295" s="1788">
        <f t="shared" si="48"/>
        <v>40541</v>
      </c>
      <c r="J295" s="1788" t="str">
        <f t="shared" si="49"/>
        <v/>
      </c>
      <c r="K295" s="1786">
        <v>0</v>
      </c>
      <c r="L295" s="1786" t="s">
        <v>1594</v>
      </c>
      <c r="M295" s="1786" t="s">
        <v>1653</v>
      </c>
      <c r="N295" s="1786" t="s">
        <v>1653</v>
      </c>
      <c r="O295" s="1786">
        <v>0</v>
      </c>
      <c r="P295" s="1786"/>
      <c r="Q295" s="1786">
        <v>0</v>
      </c>
      <c r="R295" s="1788"/>
      <c r="S295" s="1786">
        <f t="shared" si="50"/>
        <v>1532</v>
      </c>
      <c r="T295" s="1786" t="str">
        <f t="shared" si="51"/>
        <v>פסגות קופות גמל ופנסיה</v>
      </c>
      <c r="U295" s="1786" t="str">
        <f t="shared" si="52"/>
        <v>פסגות קרן פנסיה כללית</v>
      </c>
      <c r="V295" s="1786" t="str">
        <f t="shared" si="53"/>
        <v>513767079</v>
      </c>
      <c r="W295" s="1789" t="str">
        <f t="shared" si="54"/>
        <v>פסגות קופות גמל ופנסיה בע"מ</v>
      </c>
      <c r="AC295" s="1761" t="s">
        <v>346</v>
      </c>
      <c r="AD295" s="1761"/>
      <c r="AE295" s="1762">
        <v>40541</v>
      </c>
      <c r="AF295" s="1761" t="s">
        <v>1583</v>
      </c>
      <c r="AG295" s="1761" t="s">
        <v>1583</v>
      </c>
      <c r="AH295" s="1761" t="s">
        <v>1583</v>
      </c>
      <c r="AI295" s="1761" t="s">
        <v>5510</v>
      </c>
      <c r="AJ295" s="1761" t="s">
        <v>5511</v>
      </c>
      <c r="AK295" s="1761">
        <v>12151</v>
      </c>
      <c r="AL295" s="1761" t="s">
        <v>730</v>
      </c>
      <c r="AM295" s="1761">
        <v>1532</v>
      </c>
      <c r="AN295" s="1761" t="s">
        <v>5509</v>
      </c>
      <c r="AO295" s="1764"/>
      <c r="AP295" s="1761" t="s">
        <v>5365</v>
      </c>
      <c r="AQ295" s="1761" t="s">
        <v>5366</v>
      </c>
      <c r="AR295" s="1761" t="s">
        <v>351</v>
      </c>
      <c r="AS295" s="1761" t="s">
        <v>352</v>
      </c>
      <c r="AT295" s="1761" t="s">
        <v>328</v>
      </c>
      <c r="AU295" s="1763"/>
      <c r="AV295" s="1763"/>
    </row>
    <row r="296" spans="1:48" ht="25">
      <c r="A296" s="1785" t="str">
        <f t="shared" si="44"/>
        <v>פנסיה</v>
      </c>
      <c r="B296" s="1786">
        <f t="shared" si="45"/>
        <v>2069</v>
      </c>
      <c r="C296" s="1787">
        <v>28946</v>
      </c>
      <c r="D296" s="1786" t="str">
        <f t="shared" si="46"/>
        <v>פסגות כללית - אפיק הלכתי</v>
      </c>
      <c r="E296" s="1786" t="s">
        <v>3929</v>
      </c>
      <c r="F296" s="1786" t="s">
        <v>2958</v>
      </c>
      <c r="G296" s="1786" t="s">
        <v>2959</v>
      </c>
      <c r="H296" s="1786" t="str">
        <f t="shared" si="47"/>
        <v>לא פעיל</v>
      </c>
      <c r="I296" s="1788">
        <f t="shared" si="48"/>
        <v>40541</v>
      </c>
      <c r="J296" s="1788">
        <f t="shared" si="49"/>
        <v>41172.590636574103</v>
      </c>
      <c r="K296" s="1786">
        <v>0</v>
      </c>
      <c r="L296" s="1786" t="s">
        <v>1594</v>
      </c>
      <c r="M296" s="1786" t="s">
        <v>1653</v>
      </c>
      <c r="N296" s="1786" t="s">
        <v>1653</v>
      </c>
      <c r="O296" s="1786">
        <v>0</v>
      </c>
      <c r="P296" s="1786"/>
      <c r="Q296" s="1786">
        <v>0</v>
      </c>
      <c r="R296" s="1788"/>
      <c r="S296" s="1786">
        <f t="shared" si="50"/>
        <v>1532</v>
      </c>
      <c r="T296" s="1786" t="str">
        <f t="shared" si="51"/>
        <v>פסגות קופות גמל ופנסיה</v>
      </c>
      <c r="U296" s="1786" t="str">
        <f t="shared" si="52"/>
        <v>פסגות קרן פנסיה כללית</v>
      </c>
      <c r="V296" s="1786" t="str">
        <f t="shared" si="53"/>
        <v>513767079</v>
      </c>
      <c r="W296" s="1789" t="str">
        <f t="shared" si="54"/>
        <v>פסגות קופות גמל ופנסיה בע"מ</v>
      </c>
      <c r="AC296" s="1759" t="s">
        <v>1586</v>
      </c>
      <c r="AD296" s="1760">
        <v>41172.590636574103</v>
      </c>
      <c r="AE296" s="1760">
        <v>40541</v>
      </c>
      <c r="AF296" s="1759" t="s">
        <v>4603</v>
      </c>
      <c r="AG296" s="1759" t="s">
        <v>2029</v>
      </c>
      <c r="AH296" s="1759" t="s">
        <v>2028</v>
      </c>
      <c r="AI296" s="1759" t="s">
        <v>2593</v>
      </c>
      <c r="AJ296" s="1759" t="s">
        <v>2593</v>
      </c>
      <c r="AK296" s="1759">
        <v>2069</v>
      </c>
      <c r="AL296" s="1759" t="s">
        <v>730</v>
      </c>
      <c r="AM296" s="1759">
        <v>1532</v>
      </c>
      <c r="AN296" s="1759" t="s">
        <v>5509</v>
      </c>
      <c r="AO296" s="1764"/>
      <c r="AP296" s="1759" t="s">
        <v>5365</v>
      </c>
      <c r="AQ296" s="1759" t="s">
        <v>5366</v>
      </c>
      <c r="AR296" s="1759" t="s">
        <v>351</v>
      </c>
      <c r="AS296" s="1759" t="s">
        <v>352</v>
      </c>
      <c r="AT296" s="1759" t="s">
        <v>328</v>
      </c>
      <c r="AU296" s="1763"/>
      <c r="AV296" s="1763"/>
    </row>
    <row r="297" spans="1:48" ht="25">
      <c r="A297" s="1785" t="str">
        <f t="shared" si="44"/>
        <v>פנסיה</v>
      </c>
      <c r="B297" s="1786">
        <f t="shared" si="45"/>
        <v>2074</v>
      </c>
      <c r="C297" s="1787">
        <v>28946</v>
      </c>
      <c r="D297" s="1786" t="str">
        <f t="shared" si="46"/>
        <v>פסגות מקיפה - אפיק הלכה</v>
      </c>
      <c r="E297" s="1786" t="s">
        <v>3929</v>
      </c>
      <c r="F297" s="1786" t="s">
        <v>2958</v>
      </c>
      <c r="G297" s="1786" t="s">
        <v>2959</v>
      </c>
      <c r="H297" s="1786" t="str">
        <f t="shared" si="47"/>
        <v>פעיל</v>
      </c>
      <c r="I297" s="1788">
        <f t="shared" si="48"/>
        <v>40541</v>
      </c>
      <c r="J297" s="1788" t="str">
        <f t="shared" si="49"/>
        <v/>
      </c>
      <c r="K297" s="1786">
        <v>0</v>
      </c>
      <c r="L297" s="1786" t="s">
        <v>1594</v>
      </c>
      <c r="M297" s="1786" t="s">
        <v>1653</v>
      </c>
      <c r="N297" s="1786" t="s">
        <v>1653</v>
      </c>
      <c r="O297" s="1786">
        <v>0</v>
      </c>
      <c r="P297" s="1786"/>
      <c r="Q297" s="1786">
        <v>0</v>
      </c>
      <c r="R297" s="1788"/>
      <c r="S297" s="1786">
        <f t="shared" si="50"/>
        <v>1531</v>
      </c>
      <c r="T297" s="1786">
        <f t="shared" si="51"/>
        <v>0</v>
      </c>
      <c r="U297" s="1786" t="str">
        <f t="shared" si="52"/>
        <v>פסגות פנסיה מקיפה</v>
      </c>
      <c r="V297" s="1786" t="str">
        <f t="shared" si="53"/>
        <v>513767079</v>
      </c>
      <c r="W297" s="1789" t="str">
        <f t="shared" si="54"/>
        <v>פסגות קופות גמל ופנסיה בע"מ</v>
      </c>
      <c r="AC297" s="1761" t="s">
        <v>346</v>
      </c>
      <c r="AD297" s="1761"/>
      <c r="AE297" s="1762">
        <v>40541</v>
      </c>
      <c r="AF297" s="1761" t="s">
        <v>4603</v>
      </c>
      <c r="AG297" s="1761" t="s">
        <v>2029</v>
      </c>
      <c r="AH297" s="1761" t="s">
        <v>2028</v>
      </c>
      <c r="AI297" s="1761" t="s">
        <v>4158</v>
      </c>
      <c r="AJ297" s="1761" t="s">
        <v>4158</v>
      </c>
      <c r="AK297" s="1761">
        <v>2074</v>
      </c>
      <c r="AL297" s="1761" t="s">
        <v>729</v>
      </c>
      <c r="AM297" s="1761">
        <v>1531</v>
      </c>
      <c r="AN297" s="1761"/>
      <c r="AO297" s="1764"/>
      <c r="AP297" s="1761" t="s">
        <v>5365</v>
      </c>
      <c r="AQ297" s="1761" t="s">
        <v>5366</v>
      </c>
      <c r="AR297" s="1761" t="s">
        <v>351</v>
      </c>
      <c r="AS297" s="1761" t="s">
        <v>352</v>
      </c>
      <c r="AT297" s="1761" t="s">
        <v>328</v>
      </c>
      <c r="AU297" s="1763"/>
      <c r="AV297" s="1763"/>
    </row>
    <row r="298" spans="1:48" ht="25">
      <c r="A298" s="1785" t="str">
        <f t="shared" si="44"/>
        <v>פנסיה</v>
      </c>
      <c r="B298" s="1786">
        <f t="shared" si="45"/>
        <v>2073</v>
      </c>
      <c r="C298" s="1787">
        <v>28946</v>
      </c>
      <c r="D298" s="1786" t="str">
        <f t="shared" si="46"/>
        <v>פסגות מקיפה - אפיק אג"ח</v>
      </c>
      <c r="E298" s="1786" t="s">
        <v>3929</v>
      </c>
      <c r="F298" s="1786" t="s">
        <v>2958</v>
      </c>
      <c r="G298" s="1786" t="s">
        <v>2959</v>
      </c>
      <c r="H298" s="1786" t="str">
        <f t="shared" si="47"/>
        <v>לא פעיל</v>
      </c>
      <c r="I298" s="1788">
        <f t="shared" si="48"/>
        <v>40541</v>
      </c>
      <c r="J298" s="1788">
        <f t="shared" si="49"/>
        <v>42370.383472222202</v>
      </c>
      <c r="K298" s="1786">
        <v>0</v>
      </c>
      <c r="L298" s="1786" t="s">
        <v>1594</v>
      </c>
      <c r="M298" s="1786" t="s">
        <v>1653</v>
      </c>
      <c r="N298" s="1786" t="s">
        <v>1653</v>
      </c>
      <c r="O298" s="1786">
        <v>0</v>
      </c>
      <c r="P298" s="1786"/>
      <c r="Q298" s="1786">
        <v>0</v>
      </c>
      <c r="R298" s="1788"/>
      <c r="S298" s="1786">
        <f t="shared" si="50"/>
        <v>1531</v>
      </c>
      <c r="T298" s="1786">
        <f t="shared" si="51"/>
        <v>0</v>
      </c>
      <c r="U298" s="1786" t="str">
        <f t="shared" si="52"/>
        <v>פסגות פנסיה מקיפה</v>
      </c>
      <c r="V298" s="1786" t="str">
        <f t="shared" si="53"/>
        <v>513767079</v>
      </c>
      <c r="W298" s="1789" t="str">
        <f t="shared" si="54"/>
        <v>פסגות קופות גמל ופנסיה בע"מ</v>
      </c>
      <c r="AC298" s="1759" t="s">
        <v>1586</v>
      </c>
      <c r="AD298" s="1760">
        <v>42370.383472222202</v>
      </c>
      <c r="AE298" s="1760">
        <v>40541</v>
      </c>
      <c r="AF298" s="1759" t="s">
        <v>1653</v>
      </c>
      <c r="AG298" s="1759" t="s">
        <v>1653</v>
      </c>
      <c r="AH298" s="1759" t="s">
        <v>1594</v>
      </c>
      <c r="AI298" s="1759" t="s">
        <v>2595</v>
      </c>
      <c r="AJ298" s="1759" t="s">
        <v>2595</v>
      </c>
      <c r="AK298" s="1759">
        <v>2073</v>
      </c>
      <c r="AL298" s="1759" t="s">
        <v>729</v>
      </c>
      <c r="AM298" s="1759">
        <v>1531</v>
      </c>
      <c r="AN298" s="1759"/>
      <c r="AO298" s="1764"/>
      <c r="AP298" s="1759" t="s">
        <v>5365</v>
      </c>
      <c r="AQ298" s="1759" t="s">
        <v>5366</v>
      </c>
      <c r="AR298" s="1759" t="s">
        <v>351</v>
      </c>
      <c r="AS298" s="1759" t="s">
        <v>352</v>
      </c>
      <c r="AT298" s="1759" t="s">
        <v>328</v>
      </c>
      <c r="AU298" s="1763"/>
      <c r="AV298" s="1763"/>
    </row>
    <row r="299" spans="1:48" ht="25">
      <c r="A299" s="1785" t="str">
        <f t="shared" si="44"/>
        <v>פנסיה</v>
      </c>
      <c r="B299" s="1786">
        <f t="shared" si="45"/>
        <v>2072</v>
      </c>
      <c r="C299" s="1787">
        <v>28946</v>
      </c>
      <c r="D299" s="1786" t="str">
        <f t="shared" si="46"/>
        <v>פסגות פנסיה מקיפה - מסלול לבני 50 עד 60</v>
      </c>
      <c r="E299" s="1786" t="s">
        <v>3929</v>
      </c>
      <c r="F299" s="1786" t="s">
        <v>2958</v>
      </c>
      <c r="G299" s="1786" t="s">
        <v>2959</v>
      </c>
      <c r="H299" s="1786" t="str">
        <f t="shared" si="47"/>
        <v>פעיל</v>
      </c>
      <c r="I299" s="1788">
        <f t="shared" si="48"/>
        <v>40541</v>
      </c>
      <c r="J299" s="1788" t="str">
        <f t="shared" si="49"/>
        <v/>
      </c>
      <c r="K299" s="1786">
        <v>0</v>
      </c>
      <c r="L299" s="1786" t="s">
        <v>1594</v>
      </c>
      <c r="M299" s="1786" t="s">
        <v>1653</v>
      </c>
      <c r="N299" s="1786" t="s">
        <v>1653</v>
      </c>
      <c r="O299" s="1786">
        <v>0</v>
      </c>
      <c r="P299" s="1786"/>
      <c r="Q299" s="1786">
        <v>0</v>
      </c>
      <c r="R299" s="1788"/>
      <c r="S299" s="1786">
        <f t="shared" si="50"/>
        <v>1531</v>
      </c>
      <c r="T299" s="1786">
        <f t="shared" si="51"/>
        <v>0</v>
      </c>
      <c r="U299" s="1786" t="str">
        <f t="shared" si="52"/>
        <v>פסגות פנסיה מקיפה</v>
      </c>
      <c r="V299" s="1786" t="str">
        <f t="shared" si="53"/>
        <v>513767079</v>
      </c>
      <c r="W299" s="1789" t="str">
        <f t="shared" si="54"/>
        <v>פסגות קופות גמל ופנסיה בע"מ</v>
      </c>
      <c r="AC299" s="1761" t="s">
        <v>346</v>
      </c>
      <c r="AD299" s="1761"/>
      <c r="AE299" s="1762">
        <v>40541</v>
      </c>
      <c r="AF299" s="1761" t="s">
        <v>3932</v>
      </c>
      <c r="AG299" s="1761" t="s">
        <v>3931</v>
      </c>
      <c r="AH299" s="1761" t="s">
        <v>3658</v>
      </c>
      <c r="AI299" s="1761" t="s">
        <v>4157</v>
      </c>
      <c r="AJ299" s="1761" t="s">
        <v>4156</v>
      </c>
      <c r="AK299" s="1761">
        <v>2072</v>
      </c>
      <c r="AL299" s="1761" t="s">
        <v>729</v>
      </c>
      <c r="AM299" s="1761">
        <v>1531</v>
      </c>
      <c r="AN299" s="1761"/>
      <c r="AO299" s="1764"/>
      <c r="AP299" s="1761" t="s">
        <v>5365</v>
      </c>
      <c r="AQ299" s="1761" t="s">
        <v>5366</v>
      </c>
      <c r="AR299" s="1761" t="s">
        <v>351</v>
      </c>
      <c r="AS299" s="1761" t="s">
        <v>352</v>
      </c>
      <c r="AT299" s="1761" t="s">
        <v>328</v>
      </c>
      <c r="AU299" s="1763"/>
      <c r="AV299" s="1763"/>
    </row>
    <row r="300" spans="1:48" ht="25">
      <c r="A300" s="1785" t="str">
        <f t="shared" si="44"/>
        <v>פנסיה</v>
      </c>
      <c r="B300" s="1786">
        <f t="shared" si="45"/>
        <v>2071</v>
      </c>
      <c r="C300" s="1787">
        <v>28946</v>
      </c>
      <c r="D300" s="1786" t="str">
        <f t="shared" si="46"/>
        <v>פסגות מקיפה - אפיק מניות</v>
      </c>
      <c r="E300" s="1786" t="s">
        <v>3929</v>
      </c>
      <c r="F300" s="1786" t="s">
        <v>2958</v>
      </c>
      <c r="G300" s="1786" t="s">
        <v>2959</v>
      </c>
      <c r="H300" s="1786" t="str">
        <f t="shared" si="47"/>
        <v>פעיל</v>
      </c>
      <c r="I300" s="1788">
        <f t="shared" si="48"/>
        <v>40541</v>
      </c>
      <c r="J300" s="1788" t="str">
        <f t="shared" si="49"/>
        <v/>
      </c>
      <c r="K300" s="1786">
        <v>0</v>
      </c>
      <c r="L300" s="1786" t="s">
        <v>1594</v>
      </c>
      <c r="M300" s="1786" t="s">
        <v>1653</v>
      </c>
      <c r="N300" s="1786" t="s">
        <v>1653</v>
      </c>
      <c r="O300" s="1786">
        <v>0</v>
      </c>
      <c r="P300" s="1786"/>
      <c r="Q300" s="1786">
        <v>0</v>
      </c>
      <c r="R300" s="1788"/>
      <c r="S300" s="1786">
        <f t="shared" si="50"/>
        <v>1531</v>
      </c>
      <c r="T300" s="1786">
        <f t="shared" si="51"/>
        <v>0</v>
      </c>
      <c r="U300" s="1786" t="str">
        <f t="shared" si="52"/>
        <v>פסגות פנסיה מקיפה</v>
      </c>
      <c r="V300" s="1786" t="str">
        <f t="shared" si="53"/>
        <v>513767079</v>
      </c>
      <c r="W300" s="1789" t="str">
        <f t="shared" si="54"/>
        <v>פסגות קופות גמל ופנסיה בע"מ</v>
      </c>
      <c r="AC300" s="1759" t="s">
        <v>346</v>
      </c>
      <c r="AD300" s="1759"/>
      <c r="AE300" s="1760">
        <v>40541</v>
      </c>
      <c r="AF300" s="1759" t="s">
        <v>1595</v>
      </c>
      <c r="AG300" s="1759" t="s">
        <v>75</v>
      </c>
      <c r="AH300" s="1759" t="s">
        <v>1594</v>
      </c>
      <c r="AI300" s="1759" t="s">
        <v>2594</v>
      </c>
      <c r="AJ300" s="1759" t="s">
        <v>2594</v>
      </c>
      <c r="AK300" s="1759">
        <v>2071</v>
      </c>
      <c r="AL300" s="1759" t="s">
        <v>729</v>
      </c>
      <c r="AM300" s="1759">
        <v>1531</v>
      </c>
      <c r="AN300" s="1759"/>
      <c r="AO300" s="1764"/>
      <c r="AP300" s="1759" t="s">
        <v>5365</v>
      </c>
      <c r="AQ300" s="1759" t="s">
        <v>5366</v>
      </c>
      <c r="AR300" s="1759" t="s">
        <v>351</v>
      </c>
      <c r="AS300" s="1759" t="s">
        <v>352</v>
      </c>
      <c r="AT300" s="1759" t="s">
        <v>328</v>
      </c>
      <c r="AU300" s="1763"/>
      <c r="AV300" s="1763"/>
    </row>
    <row r="301" spans="1:48" ht="25">
      <c r="A301" s="1785" t="str">
        <f t="shared" si="44"/>
        <v>פנסיה</v>
      </c>
      <c r="B301" s="1786">
        <f t="shared" si="45"/>
        <v>2070</v>
      </c>
      <c r="C301" s="1787">
        <v>28946</v>
      </c>
      <c r="D301" s="1786" t="str">
        <f t="shared" si="46"/>
        <v>פסגות פנסיה מקיפה - מסלול לבני 50 ומטה</v>
      </c>
      <c r="E301" s="1786" t="s">
        <v>3929</v>
      </c>
      <c r="F301" s="1786" t="s">
        <v>2958</v>
      </c>
      <c r="G301" s="1786" t="s">
        <v>2959</v>
      </c>
      <c r="H301" s="1786" t="str">
        <f t="shared" si="47"/>
        <v>פעיל</v>
      </c>
      <c r="I301" s="1788">
        <f t="shared" si="48"/>
        <v>40541</v>
      </c>
      <c r="J301" s="1788" t="str">
        <f t="shared" si="49"/>
        <v/>
      </c>
      <c r="K301" s="1786">
        <v>0</v>
      </c>
      <c r="L301" s="1786" t="s">
        <v>1594</v>
      </c>
      <c r="M301" s="1786" t="s">
        <v>1653</v>
      </c>
      <c r="N301" s="1786" t="s">
        <v>1653</v>
      </c>
      <c r="O301" s="1786">
        <v>0</v>
      </c>
      <c r="P301" s="1786"/>
      <c r="Q301" s="1786">
        <v>0</v>
      </c>
      <c r="R301" s="1788"/>
      <c r="S301" s="1786">
        <f t="shared" si="50"/>
        <v>1531</v>
      </c>
      <c r="T301" s="1786">
        <f t="shared" si="51"/>
        <v>0</v>
      </c>
      <c r="U301" s="1786" t="str">
        <f t="shared" si="52"/>
        <v>פסגות פנסיה מקיפה</v>
      </c>
      <c r="V301" s="1786" t="str">
        <f t="shared" si="53"/>
        <v>513767079</v>
      </c>
      <c r="W301" s="1789" t="str">
        <f t="shared" si="54"/>
        <v>פסגות קופות גמל ופנסיה בע"מ</v>
      </c>
      <c r="AC301" s="1761" t="s">
        <v>346</v>
      </c>
      <c r="AD301" s="1761"/>
      <c r="AE301" s="1762">
        <v>40541</v>
      </c>
      <c r="AF301" s="1761" t="s">
        <v>4151</v>
      </c>
      <c r="AG301" s="1761" t="s">
        <v>3931</v>
      </c>
      <c r="AH301" s="1761" t="s">
        <v>3658</v>
      </c>
      <c r="AI301" s="1761" t="s">
        <v>4150</v>
      </c>
      <c r="AJ301" s="1761" t="s">
        <v>4155</v>
      </c>
      <c r="AK301" s="1761">
        <v>2070</v>
      </c>
      <c r="AL301" s="1761" t="s">
        <v>729</v>
      </c>
      <c r="AM301" s="1761">
        <v>1531</v>
      </c>
      <c r="AN301" s="1761"/>
      <c r="AO301" s="1764"/>
      <c r="AP301" s="1761" t="s">
        <v>5365</v>
      </c>
      <c r="AQ301" s="1761" t="s">
        <v>5366</v>
      </c>
      <c r="AR301" s="1761" t="s">
        <v>351</v>
      </c>
      <c r="AS301" s="1761" t="s">
        <v>352</v>
      </c>
      <c r="AT301" s="1761" t="s">
        <v>328</v>
      </c>
      <c r="AU301" s="1763"/>
      <c r="AV301" s="1763"/>
    </row>
    <row r="302" spans="1:48" ht="25">
      <c r="A302" s="1785" t="str">
        <f t="shared" si="44"/>
        <v>פנסיה</v>
      </c>
      <c r="B302" s="1786">
        <f t="shared" si="45"/>
        <v>2214</v>
      </c>
      <c r="C302" s="1787">
        <v>28946</v>
      </c>
      <c r="D302" s="1786" t="str">
        <f t="shared" si="46"/>
        <v>פסגות פנסיה - פנסיונרים</v>
      </c>
      <c r="E302" s="1786" t="s">
        <v>3929</v>
      </c>
      <c r="F302" s="1786" t="s">
        <v>2958</v>
      </c>
      <c r="G302" s="1786" t="s">
        <v>2959</v>
      </c>
      <c r="H302" s="1786" t="str">
        <f t="shared" si="47"/>
        <v>פעיל</v>
      </c>
      <c r="I302" s="1788">
        <f t="shared" si="48"/>
        <v>40541</v>
      </c>
      <c r="J302" s="1788" t="str">
        <f t="shared" si="49"/>
        <v/>
      </c>
      <c r="K302" s="1786">
        <v>0</v>
      </c>
      <c r="L302" s="1786" t="s">
        <v>1594</v>
      </c>
      <c r="M302" s="1786" t="s">
        <v>1653</v>
      </c>
      <c r="N302" s="1786" t="s">
        <v>1653</v>
      </c>
      <c r="O302" s="1786">
        <v>0</v>
      </c>
      <c r="P302" s="1786"/>
      <c r="Q302" s="1786">
        <v>0</v>
      </c>
      <c r="R302" s="1788"/>
      <c r="S302" s="1786">
        <f t="shared" si="50"/>
        <v>1531</v>
      </c>
      <c r="T302" s="1786">
        <f t="shared" si="51"/>
        <v>0</v>
      </c>
      <c r="U302" s="1786" t="str">
        <f t="shared" si="52"/>
        <v>פסגות פנסיה מקיפה</v>
      </c>
      <c r="V302" s="1786" t="str">
        <f t="shared" si="53"/>
        <v>513767079</v>
      </c>
      <c r="W302" s="1789" t="str">
        <f t="shared" si="54"/>
        <v>פסגות קופות גמל ופנסיה בע"מ</v>
      </c>
      <c r="AC302" s="1759" t="s">
        <v>346</v>
      </c>
      <c r="AD302" s="1759"/>
      <c r="AE302" s="1760">
        <v>40541</v>
      </c>
      <c r="AF302" s="1759" t="s">
        <v>4160</v>
      </c>
      <c r="AG302" s="1759" t="s">
        <v>2614</v>
      </c>
      <c r="AH302" s="1759" t="s">
        <v>3658</v>
      </c>
      <c r="AI302" s="1759" t="s">
        <v>2651</v>
      </c>
      <c r="AJ302" s="1759" t="s">
        <v>2651</v>
      </c>
      <c r="AK302" s="1759">
        <v>2214</v>
      </c>
      <c r="AL302" s="1759" t="s">
        <v>729</v>
      </c>
      <c r="AM302" s="1759">
        <v>1531</v>
      </c>
      <c r="AN302" s="1759"/>
      <c r="AO302" s="1764"/>
      <c r="AP302" s="1759" t="s">
        <v>5365</v>
      </c>
      <c r="AQ302" s="1759" t="s">
        <v>5366</v>
      </c>
      <c r="AR302" s="1759" t="s">
        <v>351</v>
      </c>
      <c r="AS302" s="1759" t="s">
        <v>352</v>
      </c>
      <c r="AT302" s="1759" t="s">
        <v>328</v>
      </c>
      <c r="AU302" s="1763"/>
      <c r="AV302" s="1763"/>
    </row>
    <row r="303" spans="1:48" ht="25">
      <c r="A303" s="1785" t="str">
        <f t="shared" si="44"/>
        <v>פנסיה</v>
      </c>
      <c r="B303" s="1786">
        <f t="shared" si="45"/>
        <v>9850</v>
      </c>
      <c r="C303" s="1787">
        <v>28946</v>
      </c>
      <c r="D303" s="1786" t="str">
        <f t="shared" si="46"/>
        <v>פסגות פנסיה מקיפה חו"ל</v>
      </c>
      <c r="E303" s="1786" t="s">
        <v>3929</v>
      </c>
      <c r="F303" s="1786" t="s">
        <v>2958</v>
      </c>
      <c r="G303" s="1786" t="s">
        <v>2959</v>
      </c>
      <c r="H303" s="1786" t="str">
        <f t="shared" si="47"/>
        <v>פעיל</v>
      </c>
      <c r="I303" s="1788">
        <f t="shared" si="48"/>
        <v>40541</v>
      </c>
      <c r="J303" s="1788" t="str">
        <f t="shared" si="49"/>
        <v/>
      </c>
      <c r="K303" s="1786">
        <v>0</v>
      </c>
      <c r="L303" s="1786" t="s">
        <v>1594</v>
      </c>
      <c r="M303" s="1786" t="s">
        <v>1653</v>
      </c>
      <c r="N303" s="1786" t="s">
        <v>1653</v>
      </c>
      <c r="O303" s="1786">
        <v>0</v>
      </c>
      <c r="P303" s="1786"/>
      <c r="Q303" s="1786">
        <v>0</v>
      </c>
      <c r="R303" s="1788"/>
      <c r="S303" s="1786">
        <f t="shared" si="50"/>
        <v>1531</v>
      </c>
      <c r="T303" s="1786">
        <f t="shared" si="51"/>
        <v>0</v>
      </c>
      <c r="U303" s="1786" t="str">
        <f t="shared" si="52"/>
        <v>פסגות פנסיה מקיפה</v>
      </c>
      <c r="V303" s="1786" t="str">
        <f t="shared" si="53"/>
        <v>513767079</v>
      </c>
      <c r="W303" s="1789" t="str">
        <f t="shared" si="54"/>
        <v>פסגות קופות גמל ופנסיה בע"מ</v>
      </c>
      <c r="AC303" s="1761" t="s">
        <v>346</v>
      </c>
      <c r="AD303" s="1761"/>
      <c r="AE303" s="1762">
        <v>40541</v>
      </c>
      <c r="AF303" s="1761" t="s">
        <v>1948</v>
      </c>
      <c r="AG303" s="1761" t="s">
        <v>1947</v>
      </c>
      <c r="AH303" s="1761" t="s">
        <v>1594</v>
      </c>
      <c r="AI303" s="1761" t="s">
        <v>4412</v>
      </c>
      <c r="AJ303" s="1761" t="s">
        <v>4411</v>
      </c>
      <c r="AK303" s="1761">
        <v>9850</v>
      </c>
      <c r="AL303" s="1761" t="s">
        <v>729</v>
      </c>
      <c r="AM303" s="1761">
        <v>1531</v>
      </c>
      <c r="AN303" s="1761"/>
      <c r="AO303" s="1764"/>
      <c r="AP303" s="1761" t="s">
        <v>5365</v>
      </c>
      <c r="AQ303" s="1761" t="s">
        <v>5366</v>
      </c>
      <c r="AR303" s="1761" t="s">
        <v>351</v>
      </c>
      <c r="AS303" s="1761" t="s">
        <v>352</v>
      </c>
      <c r="AT303" s="1761" t="s">
        <v>328</v>
      </c>
      <c r="AU303" s="1763"/>
      <c r="AV303" s="1763"/>
    </row>
    <row r="304" spans="1:48" ht="25">
      <c r="A304" s="1785" t="str">
        <f t="shared" si="44"/>
        <v>פנסיה</v>
      </c>
      <c r="B304" s="1786">
        <f t="shared" si="45"/>
        <v>9849</v>
      </c>
      <c r="C304" s="1787">
        <v>28946</v>
      </c>
      <c r="D304" s="1786" t="str">
        <f t="shared" si="46"/>
        <v>פסגות פנסיה מקיפה אג"ח עד 20% מניות</v>
      </c>
      <c r="E304" s="1786" t="s">
        <v>3929</v>
      </c>
      <c r="F304" s="1786" t="s">
        <v>2958</v>
      </c>
      <c r="G304" s="1786" t="s">
        <v>2959</v>
      </c>
      <c r="H304" s="1786" t="str">
        <f t="shared" si="47"/>
        <v>פעיל</v>
      </c>
      <c r="I304" s="1788">
        <f t="shared" si="48"/>
        <v>40541</v>
      </c>
      <c r="J304" s="1788" t="str">
        <f t="shared" si="49"/>
        <v/>
      </c>
      <c r="K304" s="1786">
        <v>0</v>
      </c>
      <c r="L304" s="1786" t="s">
        <v>1594</v>
      </c>
      <c r="M304" s="1786" t="s">
        <v>1653</v>
      </c>
      <c r="N304" s="1786" t="s">
        <v>1653</v>
      </c>
      <c r="O304" s="1786">
        <v>0</v>
      </c>
      <c r="P304" s="1786"/>
      <c r="Q304" s="1786">
        <v>0</v>
      </c>
      <c r="R304" s="1788"/>
      <c r="S304" s="1786">
        <f t="shared" si="50"/>
        <v>1531</v>
      </c>
      <c r="T304" s="1786">
        <f t="shared" si="51"/>
        <v>0</v>
      </c>
      <c r="U304" s="1786" t="str">
        <f t="shared" si="52"/>
        <v>פסגות פנסיה מקיפה</v>
      </c>
      <c r="V304" s="1786" t="str">
        <f t="shared" si="53"/>
        <v>513767079</v>
      </c>
      <c r="W304" s="1789" t="str">
        <f t="shared" si="54"/>
        <v>פסגות קופות גמל ופנסיה בע"מ</v>
      </c>
      <c r="AC304" s="1759" t="s">
        <v>346</v>
      </c>
      <c r="AD304" s="1759"/>
      <c r="AE304" s="1760">
        <v>40541</v>
      </c>
      <c r="AF304" s="1759" t="s">
        <v>1653</v>
      </c>
      <c r="AG304" s="1759" t="s">
        <v>1653</v>
      </c>
      <c r="AH304" s="1759" t="s">
        <v>1594</v>
      </c>
      <c r="AI304" s="1759" t="s">
        <v>4410</v>
      </c>
      <c r="AJ304" s="1759" t="s">
        <v>4409</v>
      </c>
      <c r="AK304" s="1759">
        <v>9849</v>
      </c>
      <c r="AL304" s="1759" t="s">
        <v>729</v>
      </c>
      <c r="AM304" s="1759">
        <v>1531</v>
      </c>
      <c r="AN304" s="1759"/>
      <c r="AO304" s="1764"/>
      <c r="AP304" s="1759" t="s">
        <v>5365</v>
      </c>
      <c r="AQ304" s="1759" t="s">
        <v>5366</v>
      </c>
      <c r="AR304" s="1759" t="s">
        <v>351</v>
      </c>
      <c r="AS304" s="1759" t="s">
        <v>352</v>
      </c>
      <c r="AT304" s="1759" t="s">
        <v>328</v>
      </c>
      <c r="AU304" s="1763"/>
      <c r="AV304" s="1763"/>
    </row>
    <row r="305" spans="1:48" ht="25">
      <c r="A305" s="1785" t="str">
        <f t="shared" si="44"/>
        <v>פנסיה</v>
      </c>
      <c r="B305" s="1786">
        <f t="shared" si="45"/>
        <v>1703</v>
      </c>
      <c r="C305" s="1787">
        <v>28946</v>
      </c>
      <c r="D305" s="1786" t="str">
        <f t="shared" si="46"/>
        <v>פסגות פנסיה מקיפה מסלול הלכה למקבלי קצבה</v>
      </c>
      <c r="E305" s="1786" t="s">
        <v>3929</v>
      </c>
      <c r="F305" s="1786" t="s">
        <v>2958</v>
      </c>
      <c r="G305" s="1786" t="s">
        <v>2959</v>
      </c>
      <c r="H305" s="1786" t="str">
        <f t="shared" si="47"/>
        <v>פעיל</v>
      </c>
      <c r="I305" s="1788">
        <f t="shared" si="48"/>
        <v>40541</v>
      </c>
      <c r="J305" s="1788" t="str">
        <f t="shared" si="49"/>
        <v/>
      </c>
      <c r="K305" s="1786">
        <v>0</v>
      </c>
      <c r="L305" s="1786" t="s">
        <v>1594</v>
      </c>
      <c r="M305" s="1786" t="s">
        <v>1653</v>
      </c>
      <c r="N305" s="1786" t="s">
        <v>1653</v>
      </c>
      <c r="O305" s="1786">
        <v>0</v>
      </c>
      <c r="P305" s="1786"/>
      <c r="Q305" s="1786">
        <v>0</v>
      </c>
      <c r="R305" s="1788"/>
      <c r="S305" s="1786">
        <f t="shared" si="50"/>
        <v>1531</v>
      </c>
      <c r="T305" s="1786">
        <f t="shared" si="51"/>
        <v>0</v>
      </c>
      <c r="U305" s="1786" t="str">
        <f t="shared" si="52"/>
        <v>פסגות פנסיה מקיפה</v>
      </c>
      <c r="V305" s="1786" t="str">
        <f t="shared" si="53"/>
        <v>513767079</v>
      </c>
      <c r="W305" s="1789" t="str">
        <f t="shared" si="54"/>
        <v>פסגות קופות גמל ופנסיה בע"מ</v>
      </c>
      <c r="AC305" s="1761" t="s">
        <v>346</v>
      </c>
      <c r="AD305" s="1761"/>
      <c r="AE305" s="1762">
        <v>40541</v>
      </c>
      <c r="AF305" s="1761" t="s">
        <v>2029</v>
      </c>
      <c r="AG305" s="1761" t="s">
        <v>2614</v>
      </c>
      <c r="AH305" s="1761" t="s">
        <v>3658</v>
      </c>
      <c r="AI305" s="1761" t="s">
        <v>4132</v>
      </c>
      <c r="AJ305" s="1761" t="s">
        <v>4131</v>
      </c>
      <c r="AK305" s="1761">
        <v>1703</v>
      </c>
      <c r="AL305" s="1761" t="s">
        <v>729</v>
      </c>
      <c r="AM305" s="1761">
        <v>1531</v>
      </c>
      <c r="AN305" s="1761"/>
      <c r="AO305" s="1764"/>
      <c r="AP305" s="1761" t="s">
        <v>5365</v>
      </c>
      <c r="AQ305" s="1761" t="s">
        <v>5366</v>
      </c>
      <c r="AR305" s="1761" t="s">
        <v>351</v>
      </c>
      <c r="AS305" s="1761" t="s">
        <v>352</v>
      </c>
      <c r="AT305" s="1761" t="s">
        <v>328</v>
      </c>
      <c r="AU305" s="1763"/>
      <c r="AV305" s="1763"/>
    </row>
    <row r="306" spans="1:48" ht="25">
      <c r="A306" s="1785" t="str">
        <f t="shared" si="44"/>
        <v>פנסיה</v>
      </c>
      <c r="B306" s="1786">
        <f t="shared" si="45"/>
        <v>1693</v>
      </c>
      <c r="C306" s="1787">
        <v>28946</v>
      </c>
      <c r="D306" s="1786" t="str">
        <f t="shared" si="46"/>
        <v>פסגות פנסיה מקיפה לבני 60 ומעלה</v>
      </c>
      <c r="E306" s="1786" t="s">
        <v>3929</v>
      </c>
      <c r="F306" s="1786" t="s">
        <v>2958</v>
      </c>
      <c r="G306" s="1786" t="s">
        <v>2959</v>
      </c>
      <c r="H306" s="1786" t="str">
        <f t="shared" si="47"/>
        <v>פעיל</v>
      </c>
      <c r="I306" s="1788">
        <f t="shared" si="48"/>
        <v>40541</v>
      </c>
      <c r="J306" s="1788" t="str">
        <f t="shared" si="49"/>
        <v/>
      </c>
      <c r="K306" s="1786">
        <v>0</v>
      </c>
      <c r="L306" s="1786" t="s">
        <v>1594</v>
      </c>
      <c r="M306" s="1786" t="s">
        <v>1653</v>
      </c>
      <c r="N306" s="1786" t="s">
        <v>1653</v>
      </c>
      <c r="O306" s="1786">
        <v>0</v>
      </c>
      <c r="P306" s="1786"/>
      <c r="Q306" s="1786">
        <v>0</v>
      </c>
      <c r="R306" s="1788"/>
      <c r="S306" s="1786">
        <f t="shared" si="50"/>
        <v>1531</v>
      </c>
      <c r="T306" s="1786">
        <f t="shared" si="51"/>
        <v>0</v>
      </c>
      <c r="U306" s="1786" t="str">
        <f t="shared" si="52"/>
        <v>פסגות פנסיה מקיפה</v>
      </c>
      <c r="V306" s="1786" t="str">
        <f t="shared" si="53"/>
        <v>513767079</v>
      </c>
      <c r="W306" s="1789" t="str">
        <f t="shared" si="54"/>
        <v>פסגות קופות גמל ופנסיה בע"מ</v>
      </c>
      <c r="AC306" s="1759" t="s">
        <v>346</v>
      </c>
      <c r="AD306" s="1759"/>
      <c r="AE306" s="1760">
        <v>40541</v>
      </c>
      <c r="AF306" s="1759" t="s">
        <v>3963</v>
      </c>
      <c r="AG306" s="1759" t="s">
        <v>3931</v>
      </c>
      <c r="AH306" s="1759" t="s">
        <v>3658</v>
      </c>
      <c r="AI306" s="1759" t="s">
        <v>4130</v>
      </c>
      <c r="AJ306" s="1759" t="s">
        <v>4129</v>
      </c>
      <c r="AK306" s="1759">
        <v>1693</v>
      </c>
      <c r="AL306" s="1759" t="s">
        <v>729</v>
      </c>
      <c r="AM306" s="1759">
        <v>1531</v>
      </c>
      <c r="AN306" s="1759"/>
      <c r="AO306" s="1764"/>
      <c r="AP306" s="1759" t="s">
        <v>5365</v>
      </c>
      <c r="AQ306" s="1759" t="s">
        <v>5366</v>
      </c>
      <c r="AR306" s="1759" t="s">
        <v>351</v>
      </c>
      <c r="AS306" s="1759" t="s">
        <v>352</v>
      </c>
      <c r="AT306" s="1759" t="s">
        <v>328</v>
      </c>
      <c r="AU306" s="1763"/>
      <c r="AV306" s="1763"/>
    </row>
    <row r="307" spans="1:48" ht="25">
      <c r="A307" s="1785" t="str">
        <f t="shared" si="44"/>
        <v>פנסיה</v>
      </c>
      <c r="B307" s="1786">
        <f t="shared" si="45"/>
        <v>12149</v>
      </c>
      <c r="C307" s="1787">
        <v>28946</v>
      </c>
      <c r="D307" s="1786" t="str">
        <f t="shared" si="46"/>
        <v xml:space="preserve">פסגות פנסיה מקיפה פנסיונרים למקבלי קצבה לאחר ה-1.1.18 </v>
      </c>
      <c r="E307" s="1786" t="s">
        <v>3929</v>
      </c>
      <c r="F307" s="1786" t="s">
        <v>2958</v>
      </c>
      <c r="G307" s="1786" t="s">
        <v>2959</v>
      </c>
      <c r="H307" s="1786" t="str">
        <f t="shared" si="47"/>
        <v>פעיל</v>
      </c>
      <c r="I307" s="1788">
        <f t="shared" si="48"/>
        <v>40541</v>
      </c>
      <c r="J307" s="1788" t="str">
        <f t="shared" si="49"/>
        <v/>
      </c>
      <c r="K307" s="1786">
        <v>0</v>
      </c>
      <c r="L307" s="1786" t="s">
        <v>1594</v>
      </c>
      <c r="M307" s="1786" t="s">
        <v>1653</v>
      </c>
      <c r="N307" s="1786" t="s">
        <v>1653</v>
      </c>
      <c r="O307" s="1786">
        <v>0</v>
      </c>
      <c r="P307" s="1786"/>
      <c r="Q307" s="1786">
        <v>0</v>
      </c>
      <c r="R307" s="1788"/>
      <c r="S307" s="1786">
        <f t="shared" si="50"/>
        <v>1531</v>
      </c>
      <c r="T307" s="1786">
        <f t="shared" si="51"/>
        <v>0</v>
      </c>
      <c r="U307" s="1786" t="str">
        <f t="shared" si="52"/>
        <v>פסגות פנסיה מקיפה</v>
      </c>
      <c r="V307" s="1786" t="str">
        <f t="shared" si="53"/>
        <v>513767079</v>
      </c>
      <c r="W307" s="1789" t="str">
        <f t="shared" si="54"/>
        <v>פסגות קופות גמל ופנסיה בע"מ</v>
      </c>
      <c r="AC307" s="1761" t="s">
        <v>346</v>
      </c>
      <c r="AD307" s="1761"/>
      <c r="AE307" s="1762">
        <v>40541</v>
      </c>
      <c r="AF307" s="1761" t="s">
        <v>4160</v>
      </c>
      <c r="AG307" s="1761" t="s">
        <v>2614</v>
      </c>
      <c r="AH307" s="1761" t="s">
        <v>3658</v>
      </c>
      <c r="AI307" s="1761" t="s">
        <v>5512</v>
      </c>
      <c r="AJ307" s="1761" t="s">
        <v>5513</v>
      </c>
      <c r="AK307" s="1761">
        <v>12149</v>
      </c>
      <c r="AL307" s="1761" t="s">
        <v>729</v>
      </c>
      <c r="AM307" s="1761">
        <v>1531</v>
      </c>
      <c r="AN307" s="1761"/>
      <c r="AO307" s="1764"/>
      <c r="AP307" s="1761" t="s">
        <v>5365</v>
      </c>
      <c r="AQ307" s="1761" t="s">
        <v>5366</v>
      </c>
      <c r="AR307" s="1761" t="s">
        <v>351</v>
      </c>
      <c r="AS307" s="1761" t="s">
        <v>352</v>
      </c>
      <c r="AT307" s="1761" t="s">
        <v>328</v>
      </c>
      <c r="AU307" s="1763"/>
      <c r="AV307" s="1763"/>
    </row>
    <row r="308" spans="1:48" ht="25">
      <c r="A308" s="1785" t="str">
        <f t="shared" si="44"/>
        <v>פנסיה</v>
      </c>
      <c r="B308" s="1786">
        <f t="shared" si="45"/>
        <v>12150</v>
      </c>
      <c r="C308" s="1787">
        <v>28946</v>
      </c>
      <c r="D308" s="1786" t="str">
        <f t="shared" si="46"/>
        <v>פסגות פנסיה מקיפה הלכתי למקבלי קצבה לאחר ה-1.1.18</v>
      </c>
      <c r="E308" s="1786" t="s">
        <v>3929</v>
      </c>
      <c r="F308" s="1786" t="s">
        <v>2958</v>
      </c>
      <c r="G308" s="1786" t="s">
        <v>2959</v>
      </c>
      <c r="H308" s="1786" t="str">
        <f t="shared" si="47"/>
        <v>פעיל</v>
      </c>
      <c r="I308" s="1788">
        <f t="shared" si="48"/>
        <v>40541</v>
      </c>
      <c r="J308" s="1788" t="str">
        <f t="shared" si="49"/>
        <v/>
      </c>
      <c r="K308" s="1786">
        <v>0</v>
      </c>
      <c r="L308" s="1786" t="s">
        <v>1594</v>
      </c>
      <c r="M308" s="1786" t="s">
        <v>1653</v>
      </c>
      <c r="N308" s="1786" t="s">
        <v>1653</v>
      </c>
      <c r="O308" s="1786">
        <v>0</v>
      </c>
      <c r="P308" s="1786"/>
      <c r="Q308" s="1786">
        <v>0</v>
      </c>
      <c r="R308" s="1788"/>
      <c r="S308" s="1786">
        <f t="shared" si="50"/>
        <v>1531</v>
      </c>
      <c r="T308" s="1786">
        <f t="shared" si="51"/>
        <v>0</v>
      </c>
      <c r="U308" s="1786" t="str">
        <f t="shared" si="52"/>
        <v>פסגות פנסיה מקיפה</v>
      </c>
      <c r="V308" s="1786" t="str">
        <f t="shared" si="53"/>
        <v>513767079</v>
      </c>
      <c r="W308" s="1789" t="str">
        <f t="shared" si="54"/>
        <v>פסגות קופות גמל ופנסיה בע"מ</v>
      </c>
      <c r="AC308" s="1759" t="s">
        <v>346</v>
      </c>
      <c r="AD308" s="1759"/>
      <c r="AE308" s="1760">
        <v>40541</v>
      </c>
      <c r="AF308" s="1759" t="s">
        <v>4603</v>
      </c>
      <c r="AG308" s="1759" t="s">
        <v>2029</v>
      </c>
      <c r="AH308" s="1759" t="s">
        <v>2028</v>
      </c>
      <c r="AI308" s="1759" t="s">
        <v>5514</v>
      </c>
      <c r="AJ308" s="1759" t="s">
        <v>5515</v>
      </c>
      <c r="AK308" s="1759">
        <v>12150</v>
      </c>
      <c r="AL308" s="1759" t="s">
        <v>729</v>
      </c>
      <c r="AM308" s="1759">
        <v>1531</v>
      </c>
      <c r="AN308" s="1759"/>
      <c r="AO308" s="1764"/>
      <c r="AP308" s="1759" t="s">
        <v>5365</v>
      </c>
      <c r="AQ308" s="1759" t="s">
        <v>5366</v>
      </c>
      <c r="AR308" s="1759" t="s">
        <v>351</v>
      </c>
      <c r="AS308" s="1759" t="s">
        <v>352</v>
      </c>
      <c r="AT308" s="1759" t="s">
        <v>328</v>
      </c>
      <c r="AU308" s="1763"/>
      <c r="AV308" s="1763"/>
    </row>
    <row r="309" spans="1:48" ht="25" hidden="1">
      <c r="A309" s="1785" t="str">
        <f t="shared" si="44"/>
        <v>גמל</v>
      </c>
      <c r="B309" s="1786">
        <f t="shared" si="45"/>
        <v>1515</v>
      </c>
      <c r="C309" s="1787">
        <v>28946</v>
      </c>
      <c r="D309" s="1786" t="str">
        <f t="shared" si="46"/>
        <v>פסגות השתלמות בניהול אישי</v>
      </c>
      <c r="E309" s="1786" t="s">
        <v>3929</v>
      </c>
      <c r="F309" s="1786" t="s">
        <v>2958</v>
      </c>
      <c r="G309" s="1786" t="s">
        <v>2959</v>
      </c>
      <c r="H309" s="1786" t="str">
        <f t="shared" si="47"/>
        <v>פעיל</v>
      </c>
      <c r="I309" s="1788">
        <f t="shared" si="48"/>
        <v>40426</v>
      </c>
      <c r="J309" s="1788" t="str">
        <f t="shared" si="49"/>
        <v/>
      </c>
      <c r="K309" s="1786">
        <v>0</v>
      </c>
      <c r="L309" s="1786" t="s">
        <v>1594</v>
      </c>
      <c r="M309" s="1786" t="s">
        <v>1653</v>
      </c>
      <c r="N309" s="1786" t="s">
        <v>1653</v>
      </c>
      <c r="O309" s="1786">
        <v>0</v>
      </c>
      <c r="P309" s="1786"/>
      <c r="Q309" s="1786">
        <v>0</v>
      </c>
      <c r="R309" s="1788"/>
      <c r="S309" s="1786">
        <f t="shared" si="50"/>
        <v>1515</v>
      </c>
      <c r="T309" s="1786">
        <f t="shared" si="51"/>
        <v>0</v>
      </c>
      <c r="U309" s="1786" t="str">
        <f t="shared" si="52"/>
        <v>פסגות השתלמות בניהול אישי</v>
      </c>
      <c r="V309" s="1786" t="str">
        <f t="shared" si="53"/>
        <v>513767079</v>
      </c>
      <c r="W309" s="1789" t="str">
        <f t="shared" si="54"/>
        <v>פסגות קופות גמל ופנסיה בע"מ</v>
      </c>
      <c r="AC309" s="1761" t="s">
        <v>346</v>
      </c>
      <c r="AD309" s="1761"/>
      <c r="AE309" s="1762">
        <v>40426</v>
      </c>
      <c r="AF309" s="1761"/>
      <c r="AG309" s="1761"/>
      <c r="AH309" s="1761" t="s">
        <v>2513</v>
      </c>
      <c r="AI309" s="1761" t="s">
        <v>728</v>
      </c>
      <c r="AJ309" s="1761" t="s">
        <v>728</v>
      </c>
      <c r="AK309" s="1761">
        <v>1515</v>
      </c>
      <c r="AL309" s="1761" t="s">
        <v>728</v>
      </c>
      <c r="AM309" s="1761">
        <v>1515</v>
      </c>
      <c r="AN309" s="1761"/>
      <c r="AO309" s="1764"/>
      <c r="AP309" s="1761" t="s">
        <v>5365</v>
      </c>
      <c r="AQ309" s="1761" t="s">
        <v>5366</v>
      </c>
      <c r="AR309" s="1761" t="s">
        <v>351</v>
      </c>
      <c r="AS309" s="1761" t="s">
        <v>352</v>
      </c>
      <c r="AT309" s="1761" t="s">
        <v>327</v>
      </c>
      <c r="AU309" s="1763"/>
      <c r="AV309" s="1763"/>
    </row>
    <row r="310" spans="1:48" ht="25" hidden="1">
      <c r="A310" s="1785" t="str">
        <f t="shared" si="44"/>
        <v>גמל</v>
      </c>
      <c r="B310" s="1786">
        <f t="shared" si="45"/>
        <v>1514</v>
      </c>
      <c r="C310" s="1787">
        <v>28946</v>
      </c>
      <c r="D310" s="1786" t="str">
        <f t="shared" si="46"/>
        <v>פסגות גמל בניהול אישי</v>
      </c>
      <c r="E310" s="1786" t="s">
        <v>3929</v>
      </c>
      <c r="F310" s="1786" t="s">
        <v>2958</v>
      </c>
      <c r="G310" s="1786" t="s">
        <v>2959</v>
      </c>
      <c r="H310" s="1786" t="str">
        <f t="shared" si="47"/>
        <v>פעיל</v>
      </c>
      <c r="I310" s="1788">
        <f t="shared" si="48"/>
        <v>40393</v>
      </c>
      <c r="J310" s="1788" t="str">
        <f t="shared" si="49"/>
        <v/>
      </c>
      <c r="K310" s="1786">
        <v>0</v>
      </c>
      <c r="L310" s="1786" t="s">
        <v>1594</v>
      </c>
      <c r="M310" s="1786" t="s">
        <v>1653</v>
      </c>
      <c r="N310" s="1786" t="s">
        <v>1653</v>
      </c>
      <c r="O310" s="1786">
        <v>0</v>
      </c>
      <c r="P310" s="1786"/>
      <c r="Q310" s="1786">
        <v>0</v>
      </c>
      <c r="R310" s="1788"/>
      <c r="S310" s="1786">
        <f t="shared" si="50"/>
        <v>1514</v>
      </c>
      <c r="T310" s="1786">
        <f t="shared" si="51"/>
        <v>0</v>
      </c>
      <c r="U310" s="1786" t="str">
        <f t="shared" si="52"/>
        <v>פסגות גמל בניהול אישי</v>
      </c>
      <c r="V310" s="1786" t="str">
        <f t="shared" si="53"/>
        <v>513767079</v>
      </c>
      <c r="W310" s="1789" t="str">
        <f t="shared" si="54"/>
        <v>פסגות קופות גמל ופנסיה בע"מ</v>
      </c>
      <c r="AC310" s="1759" t="s">
        <v>346</v>
      </c>
      <c r="AD310" s="1759"/>
      <c r="AE310" s="1760">
        <v>40393</v>
      </c>
      <c r="AF310" s="1759"/>
      <c r="AG310" s="1759"/>
      <c r="AH310" s="1759" t="s">
        <v>2513</v>
      </c>
      <c r="AI310" s="1759" t="s">
        <v>727</v>
      </c>
      <c r="AJ310" s="1759" t="s">
        <v>727</v>
      </c>
      <c r="AK310" s="1759">
        <v>1514</v>
      </c>
      <c r="AL310" s="1759" t="s">
        <v>727</v>
      </c>
      <c r="AM310" s="1759">
        <v>1514</v>
      </c>
      <c r="AN310" s="1759"/>
      <c r="AO310" s="1764"/>
      <c r="AP310" s="1759" t="s">
        <v>5365</v>
      </c>
      <c r="AQ310" s="1759" t="s">
        <v>5366</v>
      </c>
      <c r="AR310" s="1759" t="s">
        <v>351</v>
      </c>
      <c r="AS310" s="1759" t="s">
        <v>352</v>
      </c>
      <c r="AT310" s="1759" t="s">
        <v>327</v>
      </c>
      <c r="AU310" s="1763"/>
      <c r="AV310" s="1763"/>
    </row>
    <row r="311" spans="1:48" ht="37.5" hidden="1">
      <c r="A311" s="1785" t="str">
        <f t="shared" si="44"/>
        <v>גמל</v>
      </c>
      <c r="B311" s="1786">
        <f t="shared" si="45"/>
        <v>1513</v>
      </c>
      <c r="C311" s="1787">
        <v>28946</v>
      </c>
      <c r="D311" s="1786" t="str">
        <f t="shared" si="46"/>
        <v>השתלמות שיטת הפניקס סל עוקב מדד msci שווקים מתעוררים</v>
      </c>
      <c r="E311" s="1786" t="s">
        <v>3929</v>
      </c>
      <c r="F311" s="1786" t="s">
        <v>2958</v>
      </c>
      <c r="G311" s="1786" t="s">
        <v>2959</v>
      </c>
      <c r="H311" s="1786" t="str">
        <f t="shared" si="47"/>
        <v>לא פעיל</v>
      </c>
      <c r="I311" s="1788">
        <f t="shared" si="48"/>
        <v>40209</v>
      </c>
      <c r="J311" s="1788">
        <f t="shared" si="49"/>
        <v>42572.618229166699</v>
      </c>
      <c r="K311" s="1786">
        <v>0</v>
      </c>
      <c r="L311" s="1786" t="s">
        <v>1594</v>
      </c>
      <c r="M311" s="1786" t="s">
        <v>1653</v>
      </c>
      <c r="N311" s="1786" t="s">
        <v>1653</v>
      </c>
      <c r="O311" s="1786">
        <v>0</v>
      </c>
      <c r="P311" s="1786"/>
      <c r="Q311" s="1786">
        <v>0</v>
      </c>
      <c r="R311" s="1788"/>
      <c r="S311" s="1786">
        <f t="shared" si="50"/>
        <v>1513</v>
      </c>
      <c r="T311" s="1786">
        <f t="shared" si="51"/>
        <v>0</v>
      </c>
      <c r="U311" s="1786" t="str">
        <f t="shared" si="52"/>
        <v>השתלמות שיטת הפניקס סל עוקב מדד msci שווקים מתעוררים</v>
      </c>
      <c r="V311" s="1786">
        <f t="shared" si="53"/>
        <v>0</v>
      </c>
      <c r="W311" s="1789" t="str">
        <f t="shared" si="54"/>
        <v>הפניקס פנסיה בע"מ</v>
      </c>
      <c r="AC311" s="1761" t="s">
        <v>1586</v>
      </c>
      <c r="AD311" s="1762">
        <v>42572.618229166699</v>
      </c>
      <c r="AE311" s="1762">
        <v>40209</v>
      </c>
      <c r="AF311" s="1761" t="s">
        <v>1948</v>
      </c>
      <c r="AG311" s="1761" t="s">
        <v>75</v>
      </c>
      <c r="AH311" s="1761" t="s">
        <v>1594</v>
      </c>
      <c r="AI311" s="1761" t="s">
        <v>3667</v>
      </c>
      <c r="AJ311" s="1761" t="s">
        <v>726</v>
      </c>
      <c r="AK311" s="1761">
        <v>1513</v>
      </c>
      <c r="AL311" s="1761" t="s">
        <v>726</v>
      </c>
      <c r="AM311" s="1761">
        <v>1513</v>
      </c>
      <c r="AN311" s="1761"/>
      <c r="AO311" s="1764"/>
      <c r="AP311" s="1761"/>
      <c r="AQ311" s="1761"/>
      <c r="AR311" s="1761" t="s">
        <v>5508</v>
      </c>
      <c r="AS311" s="1761" t="s">
        <v>402</v>
      </c>
      <c r="AT311" s="1761" t="s">
        <v>327</v>
      </c>
      <c r="AU311" s="1763"/>
      <c r="AV311" s="1763"/>
    </row>
    <row r="312" spans="1:48" ht="25" hidden="1">
      <c r="A312" s="1785" t="str">
        <f t="shared" si="44"/>
        <v>גמל</v>
      </c>
      <c r="B312" s="1786">
        <f t="shared" si="45"/>
        <v>1512</v>
      </c>
      <c r="C312" s="1787">
        <v>28946</v>
      </c>
      <c r="D312" s="1786" t="str">
        <f t="shared" si="46"/>
        <v>השתלמות שיטת הפניקס סל עוקב מדד s$p500</v>
      </c>
      <c r="E312" s="1786" t="s">
        <v>3929</v>
      </c>
      <c r="F312" s="1786" t="s">
        <v>2958</v>
      </c>
      <c r="G312" s="1786" t="s">
        <v>2959</v>
      </c>
      <c r="H312" s="1786" t="str">
        <f t="shared" si="47"/>
        <v>לא פעיל</v>
      </c>
      <c r="I312" s="1788">
        <f t="shared" si="48"/>
        <v>40209</v>
      </c>
      <c r="J312" s="1788">
        <f t="shared" si="49"/>
        <v>42572.616550925901</v>
      </c>
      <c r="K312" s="1786">
        <v>0</v>
      </c>
      <c r="L312" s="1786" t="s">
        <v>1594</v>
      </c>
      <c r="M312" s="1786" t="s">
        <v>1653</v>
      </c>
      <c r="N312" s="1786" t="s">
        <v>1653</v>
      </c>
      <c r="O312" s="1786">
        <v>0</v>
      </c>
      <c r="P312" s="1786"/>
      <c r="Q312" s="1786">
        <v>0</v>
      </c>
      <c r="R312" s="1788"/>
      <c r="S312" s="1786">
        <f t="shared" si="50"/>
        <v>1512</v>
      </c>
      <c r="T312" s="1786">
        <f t="shared" si="51"/>
        <v>0</v>
      </c>
      <c r="U312" s="1786" t="str">
        <f t="shared" si="52"/>
        <v>השתלמות שיטת הפניקס סל עוקב מדד s$p500</v>
      </c>
      <c r="V312" s="1786">
        <f t="shared" si="53"/>
        <v>0</v>
      </c>
      <c r="W312" s="1789" t="str">
        <f t="shared" si="54"/>
        <v>הפניקס פנסיה בע"מ</v>
      </c>
      <c r="AC312" s="1759" t="s">
        <v>1586</v>
      </c>
      <c r="AD312" s="1760">
        <v>42572.616550925901</v>
      </c>
      <c r="AE312" s="1760">
        <v>40209</v>
      </c>
      <c r="AF312" s="1759" t="s">
        <v>1948</v>
      </c>
      <c r="AG312" s="1759" t="s">
        <v>75</v>
      </c>
      <c r="AH312" s="1759" t="s">
        <v>1594</v>
      </c>
      <c r="AI312" s="1759" t="s">
        <v>3666</v>
      </c>
      <c r="AJ312" s="1759" t="s">
        <v>725</v>
      </c>
      <c r="AK312" s="1759">
        <v>1512</v>
      </c>
      <c r="AL312" s="1759" t="s">
        <v>725</v>
      </c>
      <c r="AM312" s="1759">
        <v>1512</v>
      </c>
      <c r="AN312" s="1759"/>
      <c r="AO312" s="1764"/>
      <c r="AP312" s="1759"/>
      <c r="AQ312" s="1759"/>
      <c r="AR312" s="1759" t="s">
        <v>5508</v>
      </c>
      <c r="AS312" s="1759" t="s">
        <v>402</v>
      </c>
      <c r="AT312" s="1759" t="s">
        <v>327</v>
      </c>
      <c r="AU312" s="1763"/>
      <c r="AV312" s="1763"/>
    </row>
    <row r="313" spans="1:48" ht="37.5" hidden="1">
      <c r="A313" s="1785" t="str">
        <f t="shared" si="44"/>
        <v>גמל</v>
      </c>
      <c r="B313" s="1786">
        <f t="shared" si="45"/>
        <v>1511</v>
      </c>
      <c r="C313" s="1787">
        <v>28946</v>
      </c>
      <c r="D313" s="1786" t="str">
        <f t="shared" si="46"/>
        <v>השתלמות שיטת הפניקס סל עוקב מדד דאו ג'ונס יורוסטוק 50</v>
      </c>
      <c r="E313" s="1786" t="s">
        <v>3929</v>
      </c>
      <c r="F313" s="1786" t="s">
        <v>2958</v>
      </c>
      <c r="G313" s="1786" t="s">
        <v>2959</v>
      </c>
      <c r="H313" s="1786" t="str">
        <f t="shared" si="47"/>
        <v>לא פעיל</v>
      </c>
      <c r="I313" s="1788">
        <f t="shared" si="48"/>
        <v>40209</v>
      </c>
      <c r="J313" s="1788">
        <f t="shared" si="49"/>
        <v>42572.617476851898</v>
      </c>
      <c r="K313" s="1786">
        <v>0</v>
      </c>
      <c r="L313" s="1786" t="s">
        <v>1594</v>
      </c>
      <c r="M313" s="1786" t="s">
        <v>1653</v>
      </c>
      <c r="N313" s="1786" t="s">
        <v>1653</v>
      </c>
      <c r="O313" s="1786">
        <v>0</v>
      </c>
      <c r="P313" s="1786"/>
      <c r="Q313" s="1786">
        <v>0</v>
      </c>
      <c r="R313" s="1788"/>
      <c r="S313" s="1786">
        <f t="shared" si="50"/>
        <v>1511</v>
      </c>
      <c r="T313" s="1786">
        <f t="shared" si="51"/>
        <v>0</v>
      </c>
      <c r="U313" s="1786" t="str">
        <f t="shared" si="52"/>
        <v>השתלמות שיטת הפניקס סל עוקב מדד דאו ג'ונס יורוסטוק 50</v>
      </c>
      <c r="V313" s="1786">
        <f t="shared" si="53"/>
        <v>0</v>
      </c>
      <c r="W313" s="1789" t="str">
        <f t="shared" si="54"/>
        <v>הפניקס פנסיה בע"מ</v>
      </c>
      <c r="AC313" s="1761" t="s">
        <v>1586</v>
      </c>
      <c r="AD313" s="1762">
        <v>42572.617476851898</v>
      </c>
      <c r="AE313" s="1762">
        <v>40209</v>
      </c>
      <c r="AF313" s="1761" t="s">
        <v>1948</v>
      </c>
      <c r="AG313" s="1761" t="s">
        <v>75</v>
      </c>
      <c r="AH313" s="1761" t="s">
        <v>1594</v>
      </c>
      <c r="AI313" s="1761" t="s">
        <v>3665</v>
      </c>
      <c r="AJ313" s="1761" t="s">
        <v>724</v>
      </c>
      <c r="AK313" s="1761">
        <v>1511</v>
      </c>
      <c r="AL313" s="1761" t="s">
        <v>724</v>
      </c>
      <c r="AM313" s="1761">
        <v>1511</v>
      </c>
      <c r="AN313" s="1761"/>
      <c r="AO313" s="1764"/>
      <c r="AP313" s="1761"/>
      <c r="AQ313" s="1761"/>
      <c r="AR313" s="1761" t="s">
        <v>5508</v>
      </c>
      <c r="AS313" s="1761" t="s">
        <v>402</v>
      </c>
      <c r="AT313" s="1761" t="s">
        <v>327</v>
      </c>
      <c r="AU313" s="1763"/>
      <c r="AV313" s="1763"/>
    </row>
    <row r="314" spans="1:48" ht="37.5" hidden="1">
      <c r="A314" s="1785" t="str">
        <f t="shared" si="44"/>
        <v>גמל</v>
      </c>
      <c r="B314" s="1786">
        <f t="shared" si="45"/>
        <v>1510</v>
      </c>
      <c r="C314" s="1787">
        <v>28946</v>
      </c>
      <c r="D314" s="1786" t="str">
        <f t="shared" si="46"/>
        <v>השתלמות שיטת הפניקס סל עוקב מדד אג"ח לא צמוד ריבית קבועה</v>
      </c>
      <c r="E314" s="1786" t="s">
        <v>3929</v>
      </c>
      <c r="F314" s="1786" t="s">
        <v>2958</v>
      </c>
      <c r="G314" s="1786" t="s">
        <v>2959</v>
      </c>
      <c r="H314" s="1786" t="str">
        <f t="shared" si="47"/>
        <v>לא פעיל</v>
      </c>
      <c r="I314" s="1788">
        <f t="shared" si="48"/>
        <v>40209</v>
      </c>
      <c r="J314" s="1788">
        <f t="shared" si="49"/>
        <v>42572.609074074098</v>
      </c>
      <c r="K314" s="1786">
        <v>0</v>
      </c>
      <c r="L314" s="1786" t="s">
        <v>1594</v>
      </c>
      <c r="M314" s="1786" t="s">
        <v>1653</v>
      </c>
      <c r="N314" s="1786" t="s">
        <v>1653</v>
      </c>
      <c r="O314" s="1786">
        <v>0</v>
      </c>
      <c r="P314" s="1786"/>
      <c r="Q314" s="1786">
        <v>0</v>
      </c>
      <c r="R314" s="1788"/>
      <c r="S314" s="1786">
        <f t="shared" si="50"/>
        <v>1510</v>
      </c>
      <c r="T314" s="1786">
        <f t="shared" si="51"/>
        <v>0</v>
      </c>
      <c r="U314" s="1786" t="str">
        <f t="shared" si="52"/>
        <v>השתלמות שיטת הפניקס סל עוקב מדד אג"ח לא צמוד ריבית קבועה</v>
      </c>
      <c r="V314" s="1786">
        <f t="shared" si="53"/>
        <v>0</v>
      </c>
      <c r="W314" s="1789" t="str">
        <f t="shared" si="54"/>
        <v>הפניקס פנסיה בע"מ</v>
      </c>
      <c r="AC314" s="1759" t="s">
        <v>1586</v>
      </c>
      <c r="AD314" s="1760">
        <v>42572.609074074098</v>
      </c>
      <c r="AE314" s="1760">
        <v>40209</v>
      </c>
      <c r="AF314" s="1759" t="s">
        <v>1653</v>
      </c>
      <c r="AG314" s="1759" t="s">
        <v>1653</v>
      </c>
      <c r="AH314" s="1759" t="s">
        <v>1594</v>
      </c>
      <c r="AI314" s="1759" t="s">
        <v>3664</v>
      </c>
      <c r="AJ314" s="1759" t="s">
        <v>723</v>
      </c>
      <c r="AK314" s="1759">
        <v>1510</v>
      </c>
      <c r="AL314" s="1759" t="s">
        <v>723</v>
      </c>
      <c r="AM314" s="1759">
        <v>1510</v>
      </c>
      <c r="AN314" s="1759"/>
      <c r="AO314" s="1764"/>
      <c r="AP314" s="1759"/>
      <c r="AQ314" s="1759"/>
      <c r="AR314" s="1759" t="s">
        <v>5508</v>
      </c>
      <c r="AS314" s="1759" t="s">
        <v>402</v>
      </c>
      <c r="AT314" s="1759" t="s">
        <v>327</v>
      </c>
      <c r="AU314" s="1763"/>
      <c r="AV314" s="1763"/>
    </row>
    <row r="315" spans="1:48" ht="25" hidden="1">
      <c r="A315" s="1785" t="str">
        <f t="shared" si="44"/>
        <v>גמל</v>
      </c>
      <c r="B315" s="1786">
        <f t="shared" si="45"/>
        <v>1509</v>
      </c>
      <c r="C315" s="1787">
        <v>28946</v>
      </c>
      <c r="D315" s="1786" t="str">
        <f t="shared" si="46"/>
        <v>השתלמות שיטת הפניקס סל עוקב מדד מק"מ</v>
      </c>
      <c r="E315" s="1786" t="s">
        <v>3929</v>
      </c>
      <c r="F315" s="1786" t="s">
        <v>2958</v>
      </c>
      <c r="G315" s="1786" t="s">
        <v>2959</v>
      </c>
      <c r="H315" s="1786" t="str">
        <f t="shared" si="47"/>
        <v>לא פעיל</v>
      </c>
      <c r="I315" s="1788">
        <f t="shared" si="48"/>
        <v>40209</v>
      </c>
      <c r="J315" s="1788">
        <f t="shared" si="49"/>
        <v>42572.608124999999</v>
      </c>
      <c r="K315" s="1786">
        <v>0</v>
      </c>
      <c r="L315" s="1786" t="s">
        <v>1594</v>
      </c>
      <c r="M315" s="1786" t="s">
        <v>1653</v>
      </c>
      <c r="N315" s="1786" t="s">
        <v>1653</v>
      </c>
      <c r="O315" s="1786">
        <v>0</v>
      </c>
      <c r="P315" s="1786"/>
      <c r="Q315" s="1786">
        <v>0</v>
      </c>
      <c r="R315" s="1788"/>
      <c r="S315" s="1786">
        <f t="shared" si="50"/>
        <v>1509</v>
      </c>
      <c r="T315" s="1786">
        <f t="shared" si="51"/>
        <v>0</v>
      </c>
      <c r="U315" s="1786" t="str">
        <f t="shared" si="52"/>
        <v>השתלמות שיטת הפניקס סל עוקב מדד מק"מ</v>
      </c>
      <c r="V315" s="1786">
        <f t="shared" si="53"/>
        <v>0</v>
      </c>
      <c r="W315" s="1789" t="str">
        <f t="shared" si="54"/>
        <v>הפניקס פנסיה בע"מ</v>
      </c>
      <c r="AC315" s="1761" t="s">
        <v>1586</v>
      </c>
      <c r="AD315" s="1762">
        <v>42572.608124999999</v>
      </c>
      <c r="AE315" s="1762">
        <v>40209</v>
      </c>
      <c r="AF315" s="1761" t="s">
        <v>1653</v>
      </c>
      <c r="AG315" s="1761" t="s">
        <v>1653</v>
      </c>
      <c r="AH315" s="1761" t="s">
        <v>1594</v>
      </c>
      <c r="AI315" s="1761" t="s">
        <v>722</v>
      </c>
      <c r="AJ315" s="1761" t="s">
        <v>722</v>
      </c>
      <c r="AK315" s="1761">
        <v>1509</v>
      </c>
      <c r="AL315" s="1761" t="s">
        <v>722</v>
      </c>
      <c r="AM315" s="1761">
        <v>1509</v>
      </c>
      <c r="AN315" s="1761"/>
      <c r="AO315" s="1764"/>
      <c r="AP315" s="1761"/>
      <c r="AQ315" s="1761"/>
      <c r="AR315" s="1761" t="s">
        <v>5508</v>
      </c>
      <c r="AS315" s="1761" t="s">
        <v>402</v>
      </c>
      <c r="AT315" s="1761" t="s">
        <v>327</v>
      </c>
      <c r="AU315" s="1763"/>
      <c r="AV315" s="1763"/>
    </row>
    <row r="316" spans="1:48" ht="37.5" hidden="1">
      <c r="A316" s="1785" t="str">
        <f t="shared" si="44"/>
        <v>גמל</v>
      </c>
      <c r="B316" s="1786">
        <f t="shared" si="45"/>
        <v>1508</v>
      </c>
      <c r="C316" s="1787">
        <v>28946</v>
      </c>
      <c r="D316" s="1786" t="str">
        <f t="shared" si="46"/>
        <v>השתלמות שיטת הפניקס סל עוקב מדד ממשלתי צמוד 7-10</v>
      </c>
      <c r="E316" s="1786" t="s">
        <v>3929</v>
      </c>
      <c r="F316" s="1786" t="s">
        <v>2958</v>
      </c>
      <c r="G316" s="1786" t="s">
        <v>2959</v>
      </c>
      <c r="H316" s="1786" t="str">
        <f t="shared" si="47"/>
        <v>לא פעיל</v>
      </c>
      <c r="I316" s="1788">
        <f t="shared" si="48"/>
        <v>40209</v>
      </c>
      <c r="J316" s="1788">
        <f t="shared" si="49"/>
        <v>41239.5303935185</v>
      </c>
      <c r="K316" s="1786">
        <v>0</v>
      </c>
      <c r="L316" s="1786" t="s">
        <v>1594</v>
      </c>
      <c r="M316" s="1786" t="s">
        <v>1653</v>
      </c>
      <c r="N316" s="1786" t="s">
        <v>1653</v>
      </c>
      <c r="O316" s="1786">
        <v>0</v>
      </c>
      <c r="P316" s="1786"/>
      <c r="Q316" s="1786">
        <v>0</v>
      </c>
      <c r="R316" s="1788"/>
      <c r="S316" s="1786">
        <f t="shared" si="50"/>
        <v>1508</v>
      </c>
      <c r="T316" s="1786">
        <f t="shared" si="51"/>
        <v>0</v>
      </c>
      <c r="U316" s="1786" t="str">
        <f t="shared" si="52"/>
        <v>השתלמות שיטת הפניקס סל עוקב מדד ממשלתי צמוד 7-10</v>
      </c>
      <c r="V316" s="1786">
        <f t="shared" si="53"/>
        <v>0</v>
      </c>
      <c r="W316" s="1789" t="str">
        <f t="shared" si="54"/>
        <v>הפניקס פנסיה בע"מ</v>
      </c>
      <c r="AC316" s="1759" t="s">
        <v>1586</v>
      </c>
      <c r="AD316" s="1760">
        <v>41239.5303935185</v>
      </c>
      <c r="AE316" s="1760">
        <v>40209</v>
      </c>
      <c r="AF316" s="1759" t="s">
        <v>1583</v>
      </c>
      <c r="AG316" s="1759" t="s">
        <v>1583</v>
      </c>
      <c r="AH316" s="1759" t="s">
        <v>1583</v>
      </c>
      <c r="AI316" s="1759" t="s">
        <v>721</v>
      </c>
      <c r="AJ316" s="1759" t="s">
        <v>721</v>
      </c>
      <c r="AK316" s="1759">
        <v>1508</v>
      </c>
      <c r="AL316" s="1759" t="s">
        <v>721</v>
      </c>
      <c r="AM316" s="1759">
        <v>1508</v>
      </c>
      <c r="AN316" s="1759"/>
      <c r="AO316" s="1764"/>
      <c r="AP316" s="1759"/>
      <c r="AQ316" s="1759"/>
      <c r="AR316" s="1759" t="s">
        <v>5508</v>
      </c>
      <c r="AS316" s="1759" t="s">
        <v>402</v>
      </c>
      <c r="AT316" s="1759" t="s">
        <v>327</v>
      </c>
      <c r="AU316" s="1763"/>
      <c r="AV316" s="1763"/>
    </row>
    <row r="317" spans="1:48" ht="37.5" hidden="1">
      <c r="A317" s="1785" t="str">
        <f t="shared" si="44"/>
        <v>גמל</v>
      </c>
      <c r="B317" s="1786">
        <f t="shared" si="45"/>
        <v>1507</v>
      </c>
      <c r="C317" s="1787">
        <v>28946</v>
      </c>
      <c r="D317" s="1786" t="str">
        <f t="shared" si="46"/>
        <v>השתלמות שיטת הפניקס סל עוקב מדד ממשלתי צמוד 5-7</v>
      </c>
      <c r="E317" s="1786" t="s">
        <v>3929</v>
      </c>
      <c r="F317" s="1786" t="s">
        <v>2958</v>
      </c>
      <c r="G317" s="1786" t="s">
        <v>2959</v>
      </c>
      <c r="H317" s="1786" t="str">
        <f t="shared" si="47"/>
        <v>לא פעיל</v>
      </c>
      <c r="I317" s="1788">
        <f t="shared" si="48"/>
        <v>40209</v>
      </c>
      <c r="J317" s="1788">
        <f t="shared" si="49"/>
        <v>41239.531331018501</v>
      </c>
      <c r="K317" s="1786">
        <v>0</v>
      </c>
      <c r="L317" s="1786" t="s">
        <v>1594</v>
      </c>
      <c r="M317" s="1786" t="s">
        <v>1653</v>
      </c>
      <c r="N317" s="1786" t="s">
        <v>1653</v>
      </c>
      <c r="O317" s="1786">
        <v>0</v>
      </c>
      <c r="P317" s="1786"/>
      <c r="Q317" s="1786">
        <v>0</v>
      </c>
      <c r="R317" s="1788"/>
      <c r="S317" s="1786">
        <f t="shared" si="50"/>
        <v>1507</v>
      </c>
      <c r="T317" s="1786">
        <f t="shared" si="51"/>
        <v>0</v>
      </c>
      <c r="U317" s="1786" t="str">
        <f t="shared" si="52"/>
        <v>השתלמות שיטת הפניקס סל עוקב מדד ממשלתי צמוד 5-7</v>
      </c>
      <c r="V317" s="1786">
        <f t="shared" si="53"/>
        <v>0</v>
      </c>
      <c r="W317" s="1789" t="str">
        <f t="shared" si="54"/>
        <v>הפניקס פנסיה בע"מ</v>
      </c>
      <c r="AC317" s="1761" t="s">
        <v>1586</v>
      </c>
      <c r="AD317" s="1762">
        <v>41239.531331018501</v>
      </c>
      <c r="AE317" s="1762">
        <v>40209</v>
      </c>
      <c r="AF317" s="1761" t="s">
        <v>1583</v>
      </c>
      <c r="AG317" s="1761" t="s">
        <v>1583</v>
      </c>
      <c r="AH317" s="1761" t="s">
        <v>1583</v>
      </c>
      <c r="AI317" s="1761" t="s">
        <v>720</v>
      </c>
      <c r="AJ317" s="1761" t="s">
        <v>720</v>
      </c>
      <c r="AK317" s="1761">
        <v>1507</v>
      </c>
      <c r="AL317" s="1761" t="s">
        <v>720</v>
      </c>
      <c r="AM317" s="1761">
        <v>1507</v>
      </c>
      <c r="AN317" s="1761"/>
      <c r="AO317" s="1764"/>
      <c r="AP317" s="1761"/>
      <c r="AQ317" s="1761"/>
      <c r="AR317" s="1761" t="s">
        <v>5508</v>
      </c>
      <c r="AS317" s="1761" t="s">
        <v>402</v>
      </c>
      <c r="AT317" s="1761" t="s">
        <v>327</v>
      </c>
      <c r="AU317" s="1763"/>
      <c r="AV317" s="1763"/>
    </row>
    <row r="318" spans="1:48" ht="37.5" hidden="1">
      <c r="A318" s="1785" t="str">
        <f t="shared" si="44"/>
        <v>גמל</v>
      </c>
      <c r="B318" s="1786">
        <f t="shared" si="45"/>
        <v>1506</v>
      </c>
      <c r="C318" s="1787">
        <v>28946</v>
      </c>
      <c r="D318" s="1786" t="str">
        <f t="shared" si="46"/>
        <v>השתלמות שיטת הפניקס סל עוקב מדד ממשלתי צמוד 2-5</v>
      </c>
      <c r="E318" s="1786" t="s">
        <v>3929</v>
      </c>
      <c r="F318" s="1786" t="s">
        <v>2958</v>
      </c>
      <c r="G318" s="1786" t="s">
        <v>2959</v>
      </c>
      <c r="H318" s="1786" t="str">
        <f t="shared" si="47"/>
        <v>לא פעיל</v>
      </c>
      <c r="I318" s="1788">
        <f t="shared" si="48"/>
        <v>40209</v>
      </c>
      <c r="J318" s="1788">
        <f t="shared" si="49"/>
        <v>42572.606585648202</v>
      </c>
      <c r="K318" s="1786">
        <v>0</v>
      </c>
      <c r="L318" s="1786" t="s">
        <v>1594</v>
      </c>
      <c r="M318" s="1786" t="s">
        <v>1653</v>
      </c>
      <c r="N318" s="1786" t="s">
        <v>1653</v>
      </c>
      <c r="O318" s="1786">
        <v>0</v>
      </c>
      <c r="P318" s="1786"/>
      <c r="Q318" s="1786">
        <v>0</v>
      </c>
      <c r="R318" s="1788"/>
      <c r="S318" s="1786">
        <f t="shared" si="50"/>
        <v>1506</v>
      </c>
      <c r="T318" s="1786">
        <f t="shared" si="51"/>
        <v>0</v>
      </c>
      <c r="U318" s="1786" t="str">
        <f t="shared" si="52"/>
        <v>השתלמות שיטת הפניקס סל עוקב מדד ממשלתי צמוד 2-5</v>
      </c>
      <c r="V318" s="1786">
        <f t="shared" si="53"/>
        <v>0</v>
      </c>
      <c r="W318" s="1789" t="str">
        <f t="shared" si="54"/>
        <v>הפניקס פנסיה בע"מ</v>
      </c>
      <c r="AC318" s="1759" t="s">
        <v>1586</v>
      </c>
      <c r="AD318" s="1760">
        <v>42572.606585648202</v>
      </c>
      <c r="AE318" s="1760">
        <v>40209</v>
      </c>
      <c r="AF318" s="1759" t="s">
        <v>2009</v>
      </c>
      <c r="AG318" s="1759" t="s">
        <v>1653</v>
      </c>
      <c r="AH318" s="1759" t="s">
        <v>1594</v>
      </c>
      <c r="AI318" s="1759" t="s">
        <v>719</v>
      </c>
      <c r="AJ318" s="1759" t="s">
        <v>719</v>
      </c>
      <c r="AK318" s="1759">
        <v>1506</v>
      </c>
      <c r="AL318" s="1759" t="s">
        <v>719</v>
      </c>
      <c r="AM318" s="1759">
        <v>1506</v>
      </c>
      <c r="AN318" s="1759"/>
      <c r="AO318" s="1764"/>
      <c r="AP318" s="1759"/>
      <c r="AQ318" s="1759"/>
      <c r="AR318" s="1759" t="s">
        <v>5508</v>
      </c>
      <c r="AS318" s="1759" t="s">
        <v>402</v>
      </c>
      <c r="AT318" s="1759" t="s">
        <v>327</v>
      </c>
      <c r="AU318" s="1763"/>
      <c r="AV318" s="1763"/>
    </row>
    <row r="319" spans="1:48" ht="37.5" hidden="1">
      <c r="A319" s="1785" t="str">
        <f t="shared" si="44"/>
        <v>גמל</v>
      </c>
      <c r="B319" s="1786">
        <f t="shared" si="45"/>
        <v>1505</v>
      </c>
      <c r="C319" s="1787">
        <v>28946</v>
      </c>
      <c r="D319" s="1786" t="str">
        <f t="shared" si="46"/>
        <v>השתלמות שיטת הפניקס סל עוקב מדד ממשלתי צמוד 0-2</v>
      </c>
      <c r="E319" s="1786" t="s">
        <v>3929</v>
      </c>
      <c r="F319" s="1786" t="s">
        <v>2958</v>
      </c>
      <c r="G319" s="1786" t="s">
        <v>2959</v>
      </c>
      <c r="H319" s="1786" t="str">
        <f t="shared" si="47"/>
        <v>לא פעיל</v>
      </c>
      <c r="I319" s="1788">
        <f t="shared" si="48"/>
        <v>40209</v>
      </c>
      <c r="J319" s="1788">
        <f t="shared" si="49"/>
        <v>42572.605682870402</v>
      </c>
      <c r="K319" s="1786">
        <v>0</v>
      </c>
      <c r="L319" s="1786" t="s">
        <v>1594</v>
      </c>
      <c r="M319" s="1786" t="s">
        <v>1653</v>
      </c>
      <c r="N319" s="1786" t="s">
        <v>1653</v>
      </c>
      <c r="O319" s="1786">
        <v>0</v>
      </c>
      <c r="P319" s="1786"/>
      <c r="Q319" s="1786">
        <v>0</v>
      </c>
      <c r="R319" s="1788"/>
      <c r="S319" s="1786">
        <f t="shared" si="50"/>
        <v>1505</v>
      </c>
      <c r="T319" s="1786">
        <f t="shared" si="51"/>
        <v>0</v>
      </c>
      <c r="U319" s="1786" t="str">
        <f t="shared" si="52"/>
        <v>השתלמות שיטת הפניקס סל עוקב מדד ממשלתי צמוד 0-2</v>
      </c>
      <c r="V319" s="1786">
        <f t="shared" si="53"/>
        <v>0</v>
      </c>
      <c r="W319" s="1789" t="str">
        <f t="shared" si="54"/>
        <v>הפניקס פנסיה בע"מ</v>
      </c>
      <c r="AC319" s="1761" t="s">
        <v>1586</v>
      </c>
      <c r="AD319" s="1762">
        <v>42572.605682870402</v>
      </c>
      <c r="AE319" s="1762">
        <v>40209</v>
      </c>
      <c r="AF319" s="1761" t="s">
        <v>2009</v>
      </c>
      <c r="AG319" s="1761" t="s">
        <v>1653</v>
      </c>
      <c r="AH319" s="1761" t="s">
        <v>1594</v>
      </c>
      <c r="AI319" s="1761" t="s">
        <v>718</v>
      </c>
      <c r="AJ319" s="1761" t="s">
        <v>718</v>
      </c>
      <c r="AK319" s="1761">
        <v>1505</v>
      </c>
      <c r="AL319" s="1761" t="s">
        <v>718</v>
      </c>
      <c r="AM319" s="1761">
        <v>1505</v>
      </c>
      <c r="AN319" s="1761"/>
      <c r="AO319" s="1764"/>
      <c r="AP319" s="1761"/>
      <c r="AQ319" s="1761"/>
      <c r="AR319" s="1761" t="s">
        <v>5508</v>
      </c>
      <c r="AS319" s="1761" t="s">
        <v>402</v>
      </c>
      <c r="AT319" s="1761" t="s">
        <v>327</v>
      </c>
      <c r="AU319" s="1763"/>
      <c r="AV319" s="1763"/>
    </row>
    <row r="320" spans="1:48" ht="25" hidden="1">
      <c r="A320" s="1785" t="str">
        <f t="shared" si="44"/>
        <v>גמל</v>
      </c>
      <c r="B320" s="1786">
        <f t="shared" si="45"/>
        <v>1504</v>
      </c>
      <c r="C320" s="1787">
        <v>28946</v>
      </c>
      <c r="D320" s="1786" t="str">
        <f t="shared" si="46"/>
        <v>השתלמות שיטת הפניקס סל עוקב מדד תל בונד 20</v>
      </c>
      <c r="E320" s="1786" t="s">
        <v>3929</v>
      </c>
      <c r="F320" s="1786" t="s">
        <v>2958</v>
      </c>
      <c r="G320" s="1786" t="s">
        <v>2959</v>
      </c>
      <c r="H320" s="1786" t="str">
        <f t="shared" si="47"/>
        <v>לא פעיל</v>
      </c>
      <c r="I320" s="1788">
        <f t="shared" si="48"/>
        <v>40209</v>
      </c>
      <c r="J320" s="1788">
        <f t="shared" si="49"/>
        <v>42572.604027777801</v>
      </c>
      <c r="K320" s="1786">
        <v>0</v>
      </c>
      <c r="L320" s="1786" t="s">
        <v>1594</v>
      </c>
      <c r="M320" s="1786" t="s">
        <v>1653</v>
      </c>
      <c r="N320" s="1786" t="s">
        <v>1653</v>
      </c>
      <c r="O320" s="1786">
        <v>0</v>
      </c>
      <c r="P320" s="1786"/>
      <c r="Q320" s="1786">
        <v>0</v>
      </c>
      <c r="R320" s="1788"/>
      <c r="S320" s="1786">
        <f t="shared" si="50"/>
        <v>1504</v>
      </c>
      <c r="T320" s="1786">
        <f t="shared" si="51"/>
        <v>0</v>
      </c>
      <c r="U320" s="1786" t="str">
        <f t="shared" si="52"/>
        <v>השתלמות שיטת הפניקס סל עוקב מדד תל בונד 20</v>
      </c>
      <c r="V320" s="1786">
        <f t="shared" si="53"/>
        <v>0</v>
      </c>
      <c r="W320" s="1789" t="str">
        <f t="shared" si="54"/>
        <v>הפניקס פנסיה בע"מ</v>
      </c>
      <c r="AC320" s="1759" t="s">
        <v>1586</v>
      </c>
      <c r="AD320" s="1760">
        <v>42572.604027777801</v>
      </c>
      <c r="AE320" s="1760">
        <v>40209</v>
      </c>
      <c r="AF320" s="1759" t="s">
        <v>3010</v>
      </c>
      <c r="AG320" s="1759" t="s">
        <v>1653</v>
      </c>
      <c r="AH320" s="1759" t="s">
        <v>1594</v>
      </c>
      <c r="AI320" s="1759" t="s">
        <v>717</v>
      </c>
      <c r="AJ320" s="1759" t="s">
        <v>717</v>
      </c>
      <c r="AK320" s="1759">
        <v>1504</v>
      </c>
      <c r="AL320" s="1759" t="s">
        <v>717</v>
      </c>
      <c r="AM320" s="1759">
        <v>1504</v>
      </c>
      <c r="AN320" s="1759"/>
      <c r="AO320" s="1764"/>
      <c r="AP320" s="1759"/>
      <c r="AQ320" s="1759"/>
      <c r="AR320" s="1759" t="s">
        <v>5508</v>
      </c>
      <c r="AS320" s="1759" t="s">
        <v>402</v>
      </c>
      <c r="AT320" s="1759" t="s">
        <v>327</v>
      </c>
      <c r="AU320" s="1763"/>
      <c r="AV320" s="1763"/>
    </row>
    <row r="321" spans="1:48" ht="25" hidden="1">
      <c r="A321" s="1785" t="str">
        <f t="shared" si="44"/>
        <v>גמל</v>
      </c>
      <c r="B321" s="1786">
        <f t="shared" si="45"/>
        <v>1503</v>
      </c>
      <c r="C321" s="1787">
        <v>28946</v>
      </c>
      <c r="D321" s="1786" t="str">
        <f t="shared" si="46"/>
        <v>השתלמות שיטת הפניקס סל עוקב מדד ת"א 100</v>
      </c>
      <c r="E321" s="1786" t="s">
        <v>3929</v>
      </c>
      <c r="F321" s="1786" t="s">
        <v>2958</v>
      </c>
      <c r="G321" s="1786" t="s">
        <v>2959</v>
      </c>
      <c r="H321" s="1786" t="str">
        <f t="shared" si="47"/>
        <v>לא פעיל</v>
      </c>
      <c r="I321" s="1788">
        <f t="shared" si="48"/>
        <v>40209</v>
      </c>
      <c r="J321" s="1788">
        <f t="shared" si="49"/>
        <v>42572.6031365741</v>
      </c>
      <c r="K321" s="1786">
        <v>0</v>
      </c>
      <c r="L321" s="1786" t="s">
        <v>1594</v>
      </c>
      <c r="M321" s="1786" t="s">
        <v>1653</v>
      </c>
      <c r="N321" s="1786" t="s">
        <v>1653</v>
      </c>
      <c r="O321" s="1786">
        <v>0</v>
      </c>
      <c r="P321" s="1786"/>
      <c r="Q321" s="1786">
        <v>0</v>
      </c>
      <c r="R321" s="1788"/>
      <c r="S321" s="1786">
        <f t="shared" si="50"/>
        <v>1503</v>
      </c>
      <c r="T321" s="1786">
        <f t="shared" si="51"/>
        <v>0</v>
      </c>
      <c r="U321" s="1786" t="str">
        <f t="shared" si="52"/>
        <v>השתלמות שיטת הפניקס סל עוקב מדד ת"א 100</v>
      </c>
      <c r="V321" s="1786">
        <f t="shared" si="53"/>
        <v>0</v>
      </c>
      <c r="W321" s="1789" t="str">
        <f t="shared" si="54"/>
        <v>הפניקס פנסיה בע"מ</v>
      </c>
      <c r="AC321" s="1761" t="s">
        <v>1586</v>
      </c>
      <c r="AD321" s="1762">
        <v>42572.6031365741</v>
      </c>
      <c r="AE321" s="1762">
        <v>40209</v>
      </c>
      <c r="AF321" s="1761" t="s">
        <v>1595</v>
      </c>
      <c r="AG321" s="1761" t="s">
        <v>75</v>
      </c>
      <c r="AH321" s="1761" t="s">
        <v>1594</v>
      </c>
      <c r="AI321" s="1761" t="s">
        <v>716</v>
      </c>
      <c r="AJ321" s="1761" t="s">
        <v>716</v>
      </c>
      <c r="AK321" s="1761">
        <v>1503</v>
      </c>
      <c r="AL321" s="1761" t="s">
        <v>716</v>
      </c>
      <c r="AM321" s="1761">
        <v>1503</v>
      </c>
      <c r="AN321" s="1761"/>
      <c r="AO321" s="1764"/>
      <c r="AP321" s="1761"/>
      <c r="AQ321" s="1761"/>
      <c r="AR321" s="1761" t="s">
        <v>5508</v>
      </c>
      <c r="AS321" s="1761" t="s">
        <v>402</v>
      </c>
      <c r="AT321" s="1761" t="s">
        <v>327</v>
      </c>
      <c r="AU321" s="1763"/>
      <c r="AV321" s="1763"/>
    </row>
    <row r="322" spans="1:48" ht="37.5" hidden="1">
      <c r="A322" s="1785" t="str">
        <f t="shared" si="44"/>
        <v>גמל</v>
      </c>
      <c r="B322" s="1786">
        <f t="shared" si="45"/>
        <v>1502</v>
      </c>
      <c r="C322" s="1787">
        <v>28946</v>
      </c>
      <c r="D322" s="1786" t="str">
        <f t="shared" si="46"/>
        <v>תגמולים שיטת הפניקס סל עוקב מדד msci שווקים מתעורר</v>
      </c>
      <c r="E322" s="1786" t="s">
        <v>3929</v>
      </c>
      <c r="F322" s="1786" t="s">
        <v>2958</v>
      </c>
      <c r="G322" s="1786" t="s">
        <v>2959</v>
      </c>
      <c r="H322" s="1786" t="str">
        <f t="shared" si="47"/>
        <v>לא פעיל</v>
      </c>
      <c r="I322" s="1788">
        <f t="shared" si="48"/>
        <v>40209</v>
      </c>
      <c r="J322" s="1788">
        <f t="shared" si="49"/>
        <v>42572.587905092601</v>
      </c>
      <c r="K322" s="1786">
        <v>0</v>
      </c>
      <c r="L322" s="1786" t="s">
        <v>1594</v>
      </c>
      <c r="M322" s="1786" t="s">
        <v>1653</v>
      </c>
      <c r="N322" s="1786" t="s">
        <v>1653</v>
      </c>
      <c r="O322" s="1786">
        <v>0</v>
      </c>
      <c r="P322" s="1786"/>
      <c r="Q322" s="1786">
        <v>0</v>
      </c>
      <c r="R322" s="1788"/>
      <c r="S322" s="1786">
        <f t="shared" si="50"/>
        <v>1502</v>
      </c>
      <c r="T322" s="1786">
        <f t="shared" si="51"/>
        <v>0</v>
      </c>
      <c r="U322" s="1786" t="str">
        <f t="shared" si="52"/>
        <v>תגמולים שיטת הפניקס סל עוקב מדד msci שווקים מתעורר</v>
      </c>
      <c r="V322" s="1786">
        <f t="shared" si="53"/>
        <v>0</v>
      </c>
      <c r="W322" s="1789" t="str">
        <f t="shared" si="54"/>
        <v>הפניקס פנסיה בע"מ</v>
      </c>
      <c r="AC322" s="1759" t="s">
        <v>1586</v>
      </c>
      <c r="AD322" s="1760">
        <v>42572.587905092601</v>
      </c>
      <c r="AE322" s="1760">
        <v>40209</v>
      </c>
      <c r="AF322" s="1759" t="s">
        <v>1948</v>
      </c>
      <c r="AG322" s="1759" t="s">
        <v>75</v>
      </c>
      <c r="AH322" s="1759" t="s">
        <v>1594</v>
      </c>
      <c r="AI322" s="1759" t="s">
        <v>3663</v>
      </c>
      <c r="AJ322" s="1759" t="s">
        <v>3663</v>
      </c>
      <c r="AK322" s="1759">
        <v>1502</v>
      </c>
      <c r="AL322" s="1759" t="s">
        <v>3663</v>
      </c>
      <c r="AM322" s="1759">
        <v>1502</v>
      </c>
      <c r="AN322" s="1759"/>
      <c r="AO322" s="1764"/>
      <c r="AP322" s="1759"/>
      <c r="AQ322" s="1759"/>
      <c r="AR322" s="1759" t="s">
        <v>5508</v>
      </c>
      <c r="AS322" s="1759" t="s">
        <v>402</v>
      </c>
      <c r="AT322" s="1759" t="s">
        <v>327</v>
      </c>
      <c r="AU322" s="1763"/>
      <c r="AV322" s="1763"/>
    </row>
    <row r="323" spans="1:48" ht="25" hidden="1">
      <c r="A323" s="1785" t="str">
        <f t="shared" si="44"/>
        <v>גמל</v>
      </c>
      <c r="B323" s="1786">
        <f t="shared" si="45"/>
        <v>1501</v>
      </c>
      <c r="C323" s="1787">
        <v>28946</v>
      </c>
      <c r="D323" s="1786" t="str">
        <f t="shared" si="46"/>
        <v>תגמולים שיטת הפניקס סל עוקב מדד s&amp;p 500</v>
      </c>
      <c r="E323" s="1786" t="s">
        <v>3929</v>
      </c>
      <c r="F323" s="1786" t="s">
        <v>2958</v>
      </c>
      <c r="G323" s="1786" t="s">
        <v>2959</v>
      </c>
      <c r="H323" s="1786" t="str">
        <f t="shared" si="47"/>
        <v>לא פעיל</v>
      </c>
      <c r="I323" s="1788">
        <f t="shared" si="48"/>
        <v>40209</v>
      </c>
      <c r="J323" s="1788">
        <f t="shared" si="49"/>
        <v>42572.5874189815</v>
      </c>
      <c r="K323" s="1786">
        <v>0</v>
      </c>
      <c r="L323" s="1786" t="s">
        <v>1594</v>
      </c>
      <c r="M323" s="1786" t="s">
        <v>1653</v>
      </c>
      <c r="N323" s="1786" t="s">
        <v>1653</v>
      </c>
      <c r="O323" s="1786">
        <v>0</v>
      </c>
      <c r="P323" s="1786"/>
      <c r="Q323" s="1786">
        <v>0</v>
      </c>
      <c r="R323" s="1788"/>
      <c r="S323" s="1786">
        <f t="shared" si="50"/>
        <v>1501</v>
      </c>
      <c r="T323" s="1786">
        <f t="shared" si="51"/>
        <v>0</v>
      </c>
      <c r="U323" s="1786" t="str">
        <f t="shared" si="52"/>
        <v>תגמולים שיטת הפניקס סל עוקב מדד s&amp;p 500</v>
      </c>
      <c r="V323" s="1786">
        <f t="shared" si="53"/>
        <v>0</v>
      </c>
      <c r="W323" s="1789" t="str">
        <f t="shared" si="54"/>
        <v>הפניקס פנסיה בע"מ</v>
      </c>
      <c r="AC323" s="1761" t="s">
        <v>1586</v>
      </c>
      <c r="AD323" s="1762">
        <v>42572.5874189815</v>
      </c>
      <c r="AE323" s="1762">
        <v>40209</v>
      </c>
      <c r="AF323" s="1761" t="s">
        <v>1948</v>
      </c>
      <c r="AG323" s="1761" t="s">
        <v>75</v>
      </c>
      <c r="AH323" s="1761" t="s">
        <v>1594</v>
      </c>
      <c r="AI323" s="1761" t="s">
        <v>715</v>
      </c>
      <c r="AJ323" s="1761" t="s">
        <v>715</v>
      </c>
      <c r="AK323" s="1761">
        <v>1501</v>
      </c>
      <c r="AL323" s="1761" t="s">
        <v>715</v>
      </c>
      <c r="AM323" s="1761">
        <v>1501</v>
      </c>
      <c r="AN323" s="1761"/>
      <c r="AO323" s="1764"/>
      <c r="AP323" s="1761"/>
      <c r="AQ323" s="1761"/>
      <c r="AR323" s="1761" t="s">
        <v>5508</v>
      </c>
      <c r="AS323" s="1761" t="s">
        <v>402</v>
      </c>
      <c r="AT323" s="1761" t="s">
        <v>327</v>
      </c>
      <c r="AU323" s="1763"/>
      <c r="AV323" s="1763"/>
    </row>
    <row r="324" spans="1:48" ht="37.5" hidden="1">
      <c r="A324" s="1785" t="str">
        <f t="shared" si="44"/>
        <v>גמל</v>
      </c>
      <c r="B324" s="1786">
        <f t="shared" si="45"/>
        <v>1500</v>
      </c>
      <c r="C324" s="1787">
        <v>28946</v>
      </c>
      <c r="D324" s="1786" t="str">
        <f t="shared" si="46"/>
        <v>תגמולים שיטת הפניקס סל עוקב מדד דאו ג'ונס יורוסטוקס 50</v>
      </c>
      <c r="E324" s="1786" t="s">
        <v>3929</v>
      </c>
      <c r="F324" s="1786" t="s">
        <v>2958</v>
      </c>
      <c r="G324" s="1786" t="s">
        <v>2959</v>
      </c>
      <c r="H324" s="1786" t="str">
        <f t="shared" si="47"/>
        <v>לא פעיל</v>
      </c>
      <c r="I324" s="1788">
        <f t="shared" si="48"/>
        <v>40209</v>
      </c>
      <c r="J324" s="1788">
        <f t="shared" si="49"/>
        <v>42572.5867939815</v>
      </c>
      <c r="K324" s="1786">
        <v>0</v>
      </c>
      <c r="L324" s="1786" t="s">
        <v>1594</v>
      </c>
      <c r="M324" s="1786" t="s">
        <v>1653</v>
      </c>
      <c r="N324" s="1786" t="s">
        <v>1653</v>
      </c>
      <c r="O324" s="1786">
        <v>0</v>
      </c>
      <c r="P324" s="1786"/>
      <c r="Q324" s="1786">
        <v>0</v>
      </c>
      <c r="R324" s="1788"/>
      <c r="S324" s="1786">
        <f t="shared" si="50"/>
        <v>1500</v>
      </c>
      <c r="T324" s="1786">
        <f t="shared" si="51"/>
        <v>0</v>
      </c>
      <c r="U324" s="1786" t="str">
        <f t="shared" si="52"/>
        <v>תגמולים שיטת הפניקס סל עוקב מדד דאו ג'ונס יורוסטוקס 50</v>
      </c>
      <c r="V324" s="1786">
        <f t="shared" si="53"/>
        <v>0</v>
      </c>
      <c r="W324" s="1789" t="str">
        <f t="shared" si="54"/>
        <v>הפניקס פנסיה בע"מ</v>
      </c>
      <c r="AC324" s="1759" t="s">
        <v>1586</v>
      </c>
      <c r="AD324" s="1760">
        <v>42572.5867939815</v>
      </c>
      <c r="AE324" s="1760">
        <v>40209</v>
      </c>
      <c r="AF324" s="1759" t="s">
        <v>1948</v>
      </c>
      <c r="AG324" s="1759" t="s">
        <v>75</v>
      </c>
      <c r="AH324" s="1759" t="s">
        <v>1594</v>
      </c>
      <c r="AI324" s="1759" t="s">
        <v>3662</v>
      </c>
      <c r="AJ324" s="1759" t="s">
        <v>714</v>
      </c>
      <c r="AK324" s="1759">
        <v>1500</v>
      </c>
      <c r="AL324" s="1759" t="s">
        <v>714</v>
      </c>
      <c r="AM324" s="1759">
        <v>1500</v>
      </c>
      <c r="AN324" s="1759"/>
      <c r="AO324" s="1764"/>
      <c r="AP324" s="1759"/>
      <c r="AQ324" s="1759"/>
      <c r="AR324" s="1759" t="s">
        <v>5508</v>
      </c>
      <c r="AS324" s="1759" t="s">
        <v>402</v>
      </c>
      <c r="AT324" s="1759" t="s">
        <v>327</v>
      </c>
      <c r="AU324" s="1763"/>
      <c r="AV324" s="1763"/>
    </row>
    <row r="325" spans="1:48" ht="37.5" hidden="1">
      <c r="A325" s="1785" t="str">
        <f t="shared" si="44"/>
        <v>גמל</v>
      </c>
      <c r="B325" s="1786">
        <f t="shared" si="45"/>
        <v>1499</v>
      </c>
      <c r="C325" s="1787">
        <v>28946</v>
      </c>
      <c r="D325" s="1786" t="str">
        <f t="shared" si="46"/>
        <v>תגמולים שיטת הפניקס סל עוקב מדד אג"ח לא צמוד ריבית קבועה</v>
      </c>
      <c r="E325" s="1786" t="s">
        <v>3929</v>
      </c>
      <c r="F325" s="1786" t="s">
        <v>2958</v>
      </c>
      <c r="G325" s="1786" t="s">
        <v>2959</v>
      </c>
      <c r="H325" s="1786" t="str">
        <f t="shared" si="47"/>
        <v>לא פעיל</v>
      </c>
      <c r="I325" s="1788">
        <f t="shared" si="48"/>
        <v>40209</v>
      </c>
      <c r="J325" s="1788">
        <f t="shared" si="49"/>
        <v>42572.582453703697</v>
      </c>
      <c r="K325" s="1786">
        <v>0</v>
      </c>
      <c r="L325" s="1786" t="s">
        <v>1594</v>
      </c>
      <c r="M325" s="1786" t="s">
        <v>1653</v>
      </c>
      <c r="N325" s="1786" t="s">
        <v>1653</v>
      </c>
      <c r="O325" s="1786">
        <v>0</v>
      </c>
      <c r="P325" s="1786"/>
      <c r="Q325" s="1786">
        <v>0</v>
      </c>
      <c r="R325" s="1788"/>
      <c r="S325" s="1786">
        <f t="shared" si="50"/>
        <v>1499</v>
      </c>
      <c r="T325" s="1786">
        <f t="shared" si="51"/>
        <v>0</v>
      </c>
      <c r="U325" s="1786" t="str">
        <f t="shared" si="52"/>
        <v>תגמולים שיטת הפניקס סל עוקב מדד אג"ח לא צמוד ריבית קבועה</v>
      </c>
      <c r="V325" s="1786">
        <f t="shared" si="53"/>
        <v>0</v>
      </c>
      <c r="W325" s="1789" t="str">
        <f t="shared" si="54"/>
        <v>הפניקס פנסיה בע"מ</v>
      </c>
      <c r="AC325" s="1761" t="s">
        <v>1586</v>
      </c>
      <c r="AD325" s="1762">
        <v>42572.582453703697</v>
      </c>
      <c r="AE325" s="1762">
        <v>40209</v>
      </c>
      <c r="AF325" s="1761" t="s">
        <v>1653</v>
      </c>
      <c r="AG325" s="1761" t="s">
        <v>1653</v>
      </c>
      <c r="AH325" s="1761" t="s">
        <v>1594</v>
      </c>
      <c r="AI325" s="1761" t="s">
        <v>713</v>
      </c>
      <c r="AJ325" s="1761" t="s">
        <v>713</v>
      </c>
      <c r="AK325" s="1761">
        <v>1499</v>
      </c>
      <c r="AL325" s="1761" t="s">
        <v>713</v>
      </c>
      <c r="AM325" s="1761">
        <v>1499</v>
      </c>
      <c r="AN325" s="1761"/>
      <c r="AO325" s="1764"/>
      <c r="AP325" s="1761"/>
      <c r="AQ325" s="1761"/>
      <c r="AR325" s="1761" t="s">
        <v>5508</v>
      </c>
      <c r="AS325" s="1761" t="s">
        <v>402</v>
      </c>
      <c r="AT325" s="1761" t="s">
        <v>327</v>
      </c>
      <c r="AU325" s="1763"/>
      <c r="AV325" s="1763"/>
    </row>
    <row r="326" spans="1:48" ht="25" hidden="1">
      <c r="A326" s="1785" t="str">
        <f t="shared" si="44"/>
        <v>גמל</v>
      </c>
      <c r="B326" s="1786">
        <f t="shared" si="45"/>
        <v>1498</v>
      </c>
      <c r="C326" s="1787">
        <v>28946</v>
      </c>
      <c r="D326" s="1786" t="str">
        <f t="shared" si="46"/>
        <v>תגמולים שיטת הפניקס סל עוקב מדד מק"מ</v>
      </c>
      <c r="E326" s="1786" t="s">
        <v>3929</v>
      </c>
      <c r="F326" s="1786" t="s">
        <v>2958</v>
      </c>
      <c r="G326" s="1786" t="s">
        <v>2959</v>
      </c>
      <c r="H326" s="1786" t="str">
        <f t="shared" si="47"/>
        <v>לא פעיל</v>
      </c>
      <c r="I326" s="1788">
        <f t="shared" si="48"/>
        <v>40209</v>
      </c>
      <c r="J326" s="1788">
        <f t="shared" si="49"/>
        <v>42572.581030092602</v>
      </c>
      <c r="K326" s="1786">
        <v>0</v>
      </c>
      <c r="L326" s="1786" t="s">
        <v>1594</v>
      </c>
      <c r="M326" s="1786" t="s">
        <v>1653</v>
      </c>
      <c r="N326" s="1786" t="s">
        <v>1653</v>
      </c>
      <c r="O326" s="1786">
        <v>0</v>
      </c>
      <c r="P326" s="1786"/>
      <c r="Q326" s="1786">
        <v>0</v>
      </c>
      <c r="R326" s="1788"/>
      <c r="S326" s="1786">
        <f t="shared" si="50"/>
        <v>1498</v>
      </c>
      <c r="T326" s="1786">
        <f t="shared" si="51"/>
        <v>0</v>
      </c>
      <c r="U326" s="1786" t="str">
        <f t="shared" si="52"/>
        <v>תגמולים שיטת הפניקס סל עוקב מדד מק"מ</v>
      </c>
      <c r="V326" s="1786">
        <f t="shared" si="53"/>
        <v>0</v>
      </c>
      <c r="W326" s="1789" t="str">
        <f t="shared" si="54"/>
        <v>הפניקס פנסיה בע"מ</v>
      </c>
      <c r="AC326" s="1759" t="s">
        <v>1586</v>
      </c>
      <c r="AD326" s="1760">
        <v>42572.581030092602</v>
      </c>
      <c r="AE326" s="1760">
        <v>40209</v>
      </c>
      <c r="AF326" s="1759" t="s">
        <v>1653</v>
      </c>
      <c r="AG326" s="1759" t="s">
        <v>1653</v>
      </c>
      <c r="AH326" s="1759" t="s">
        <v>1594</v>
      </c>
      <c r="AI326" s="1759" t="s">
        <v>712</v>
      </c>
      <c r="AJ326" s="1759" t="s">
        <v>712</v>
      </c>
      <c r="AK326" s="1759">
        <v>1498</v>
      </c>
      <c r="AL326" s="1759" t="s">
        <v>712</v>
      </c>
      <c r="AM326" s="1759">
        <v>1498</v>
      </c>
      <c r="AN326" s="1759"/>
      <c r="AO326" s="1764"/>
      <c r="AP326" s="1759"/>
      <c r="AQ326" s="1759"/>
      <c r="AR326" s="1759" t="s">
        <v>5508</v>
      </c>
      <c r="AS326" s="1759" t="s">
        <v>402</v>
      </c>
      <c r="AT326" s="1759" t="s">
        <v>327</v>
      </c>
      <c r="AU326" s="1763"/>
      <c r="AV326" s="1763"/>
    </row>
    <row r="327" spans="1:48" ht="37.5" hidden="1">
      <c r="A327" s="1785" t="str">
        <f t="shared" si="44"/>
        <v>גמל</v>
      </c>
      <c r="B327" s="1786">
        <f t="shared" si="45"/>
        <v>1497</v>
      </c>
      <c r="C327" s="1787">
        <v>28946</v>
      </c>
      <c r="D327" s="1786" t="str">
        <f t="shared" si="46"/>
        <v>תגמולים שיטת הפניקס סל עוקב מדד ממשלתי צמוד 7-10</v>
      </c>
      <c r="E327" s="1786" t="s">
        <v>3929</v>
      </c>
      <c r="F327" s="1786" t="s">
        <v>2958</v>
      </c>
      <c r="G327" s="1786" t="s">
        <v>2959</v>
      </c>
      <c r="H327" s="1786" t="str">
        <f t="shared" si="47"/>
        <v>לא פעיל</v>
      </c>
      <c r="I327" s="1788">
        <f t="shared" si="48"/>
        <v>40209</v>
      </c>
      <c r="J327" s="1788">
        <f t="shared" si="49"/>
        <v>41239.5317476852</v>
      </c>
      <c r="K327" s="1786">
        <v>0</v>
      </c>
      <c r="L327" s="1786" t="s">
        <v>1594</v>
      </c>
      <c r="M327" s="1786" t="s">
        <v>1653</v>
      </c>
      <c r="N327" s="1786" t="s">
        <v>1653</v>
      </c>
      <c r="O327" s="1786">
        <v>0</v>
      </c>
      <c r="P327" s="1786"/>
      <c r="Q327" s="1786">
        <v>0</v>
      </c>
      <c r="R327" s="1788"/>
      <c r="S327" s="1786">
        <f t="shared" si="50"/>
        <v>1497</v>
      </c>
      <c r="T327" s="1786">
        <f t="shared" si="51"/>
        <v>0</v>
      </c>
      <c r="U327" s="1786" t="str">
        <f t="shared" si="52"/>
        <v>תגמולים שיטת הפניקס סל עוקב מדד ממשלתי צמוד 7-10</v>
      </c>
      <c r="V327" s="1786">
        <f t="shared" si="53"/>
        <v>0</v>
      </c>
      <c r="W327" s="1789" t="str">
        <f t="shared" si="54"/>
        <v>הפניקס פנסיה בע"מ</v>
      </c>
      <c r="AC327" s="1761" t="s">
        <v>1586</v>
      </c>
      <c r="AD327" s="1762">
        <v>41239.5317476852</v>
      </c>
      <c r="AE327" s="1762">
        <v>40209</v>
      </c>
      <c r="AF327" s="1761" t="s">
        <v>1583</v>
      </c>
      <c r="AG327" s="1761" t="s">
        <v>1583</v>
      </c>
      <c r="AH327" s="1761" t="s">
        <v>1583</v>
      </c>
      <c r="AI327" s="1761" t="s">
        <v>711</v>
      </c>
      <c r="AJ327" s="1761" t="s">
        <v>711</v>
      </c>
      <c r="AK327" s="1761">
        <v>1497</v>
      </c>
      <c r="AL327" s="1761" t="s">
        <v>711</v>
      </c>
      <c r="AM327" s="1761">
        <v>1497</v>
      </c>
      <c r="AN327" s="1761"/>
      <c r="AO327" s="1764"/>
      <c r="AP327" s="1761"/>
      <c r="AQ327" s="1761"/>
      <c r="AR327" s="1761" t="s">
        <v>5508</v>
      </c>
      <c r="AS327" s="1761" t="s">
        <v>402</v>
      </c>
      <c r="AT327" s="1761" t="s">
        <v>327</v>
      </c>
      <c r="AU327" s="1763"/>
      <c r="AV327" s="1763"/>
    </row>
    <row r="328" spans="1:48" ht="37.5" hidden="1">
      <c r="A328" s="1785" t="str">
        <f t="shared" si="44"/>
        <v>גמל</v>
      </c>
      <c r="B328" s="1786">
        <f t="shared" si="45"/>
        <v>1496</v>
      </c>
      <c r="C328" s="1787">
        <v>28946</v>
      </c>
      <c r="D328" s="1786" t="str">
        <f t="shared" si="46"/>
        <v>תגמולים שיטת הפניקס סל עוקב מדד ממשלתי צמוד 5-7</v>
      </c>
      <c r="E328" s="1786" t="s">
        <v>3929</v>
      </c>
      <c r="F328" s="1786" t="s">
        <v>2958</v>
      </c>
      <c r="G328" s="1786" t="s">
        <v>2959</v>
      </c>
      <c r="H328" s="1786" t="str">
        <f t="shared" si="47"/>
        <v>לא פעיל</v>
      </c>
      <c r="I328" s="1788">
        <f t="shared" si="48"/>
        <v>40209</v>
      </c>
      <c r="J328" s="1788">
        <f t="shared" si="49"/>
        <v>41239.532291666699</v>
      </c>
      <c r="K328" s="1786">
        <v>0</v>
      </c>
      <c r="L328" s="1786" t="s">
        <v>1594</v>
      </c>
      <c r="M328" s="1786" t="s">
        <v>1653</v>
      </c>
      <c r="N328" s="1786" t="s">
        <v>1653</v>
      </c>
      <c r="O328" s="1786">
        <v>0</v>
      </c>
      <c r="P328" s="1786"/>
      <c r="Q328" s="1786">
        <v>0</v>
      </c>
      <c r="R328" s="1788"/>
      <c r="S328" s="1786">
        <f t="shared" si="50"/>
        <v>1496</v>
      </c>
      <c r="T328" s="1786">
        <f t="shared" si="51"/>
        <v>0</v>
      </c>
      <c r="U328" s="1786" t="str">
        <f t="shared" si="52"/>
        <v>תגמולים שיטת הפניקס סל עוקב מדד ממשלתי צמוד 5-7</v>
      </c>
      <c r="V328" s="1786">
        <f t="shared" si="53"/>
        <v>0</v>
      </c>
      <c r="W328" s="1789" t="str">
        <f t="shared" si="54"/>
        <v>הפניקס פנסיה בע"מ</v>
      </c>
      <c r="AC328" s="1759" t="s">
        <v>1586</v>
      </c>
      <c r="AD328" s="1760">
        <v>41239.532291666699</v>
      </c>
      <c r="AE328" s="1760">
        <v>40209</v>
      </c>
      <c r="AF328" s="1759" t="s">
        <v>1583</v>
      </c>
      <c r="AG328" s="1759" t="s">
        <v>1583</v>
      </c>
      <c r="AH328" s="1759" t="s">
        <v>1583</v>
      </c>
      <c r="AI328" s="1759" t="s">
        <v>710</v>
      </c>
      <c r="AJ328" s="1759" t="s">
        <v>710</v>
      </c>
      <c r="AK328" s="1759">
        <v>1496</v>
      </c>
      <c r="AL328" s="1759" t="s">
        <v>710</v>
      </c>
      <c r="AM328" s="1759">
        <v>1496</v>
      </c>
      <c r="AN328" s="1759"/>
      <c r="AO328" s="1764"/>
      <c r="AP328" s="1759"/>
      <c r="AQ328" s="1759"/>
      <c r="AR328" s="1759" t="s">
        <v>5508</v>
      </c>
      <c r="AS328" s="1759" t="s">
        <v>402</v>
      </c>
      <c r="AT328" s="1759" t="s">
        <v>327</v>
      </c>
      <c r="AU328" s="1763"/>
      <c r="AV328" s="1763"/>
    </row>
    <row r="329" spans="1:48" ht="37.5" hidden="1">
      <c r="A329" s="1785" t="str">
        <f t="shared" si="44"/>
        <v>גמל</v>
      </c>
      <c r="B329" s="1786">
        <f t="shared" si="45"/>
        <v>1495</v>
      </c>
      <c r="C329" s="1787">
        <v>28946</v>
      </c>
      <c r="D329" s="1786" t="str">
        <f t="shared" si="46"/>
        <v>תגמולים שיטת הפניקס סל עוקב מדד ממשלתי צמוד 2-5</v>
      </c>
      <c r="E329" s="1786" t="s">
        <v>3929</v>
      </c>
      <c r="F329" s="1786" t="s">
        <v>2958</v>
      </c>
      <c r="G329" s="1786" t="s">
        <v>2959</v>
      </c>
      <c r="H329" s="1786" t="str">
        <f t="shared" si="47"/>
        <v>לא פעיל</v>
      </c>
      <c r="I329" s="1788">
        <f t="shared" si="48"/>
        <v>40209</v>
      </c>
      <c r="J329" s="1788">
        <f t="shared" si="49"/>
        <v>42572.579375000001</v>
      </c>
      <c r="K329" s="1786">
        <v>0</v>
      </c>
      <c r="L329" s="1786" t="s">
        <v>1594</v>
      </c>
      <c r="M329" s="1786" t="s">
        <v>1653</v>
      </c>
      <c r="N329" s="1786" t="s">
        <v>1653</v>
      </c>
      <c r="O329" s="1786">
        <v>0</v>
      </c>
      <c r="P329" s="1786"/>
      <c r="Q329" s="1786">
        <v>0</v>
      </c>
      <c r="R329" s="1788"/>
      <c r="S329" s="1786">
        <f t="shared" si="50"/>
        <v>1495</v>
      </c>
      <c r="T329" s="1786">
        <f t="shared" si="51"/>
        <v>0</v>
      </c>
      <c r="U329" s="1786" t="str">
        <f t="shared" si="52"/>
        <v>תגמולים שיטת הפניקס סל עוקב מדד ממשלתי צמוד 2-5</v>
      </c>
      <c r="V329" s="1786">
        <f t="shared" si="53"/>
        <v>0</v>
      </c>
      <c r="W329" s="1789" t="str">
        <f t="shared" si="54"/>
        <v>הפניקס פנסיה בע"מ</v>
      </c>
      <c r="AC329" s="1761" t="s">
        <v>1586</v>
      </c>
      <c r="AD329" s="1762">
        <v>42572.579375000001</v>
      </c>
      <c r="AE329" s="1762">
        <v>40209</v>
      </c>
      <c r="AF329" s="1761" t="s">
        <v>2009</v>
      </c>
      <c r="AG329" s="1761" t="s">
        <v>1653</v>
      </c>
      <c r="AH329" s="1761" t="s">
        <v>1594</v>
      </c>
      <c r="AI329" s="1761" t="s">
        <v>709</v>
      </c>
      <c r="AJ329" s="1761" t="s">
        <v>709</v>
      </c>
      <c r="AK329" s="1761">
        <v>1495</v>
      </c>
      <c r="AL329" s="1761" t="s">
        <v>709</v>
      </c>
      <c r="AM329" s="1761">
        <v>1495</v>
      </c>
      <c r="AN329" s="1761"/>
      <c r="AO329" s="1764"/>
      <c r="AP329" s="1761"/>
      <c r="AQ329" s="1761"/>
      <c r="AR329" s="1761" t="s">
        <v>5508</v>
      </c>
      <c r="AS329" s="1761" t="s">
        <v>402</v>
      </c>
      <c r="AT329" s="1761" t="s">
        <v>327</v>
      </c>
      <c r="AU329" s="1763"/>
      <c r="AV329" s="1763"/>
    </row>
    <row r="330" spans="1:48" ht="37.5" hidden="1">
      <c r="A330" s="1785" t="str">
        <f t="shared" si="44"/>
        <v>גמל</v>
      </c>
      <c r="B330" s="1786">
        <f t="shared" si="45"/>
        <v>1494</v>
      </c>
      <c r="C330" s="1787">
        <v>28946</v>
      </c>
      <c r="D330" s="1786" t="str">
        <f t="shared" si="46"/>
        <v>תגמולים שיטת הפניקס סל עוקב מדד ממשלתי צמוד 0-2</v>
      </c>
      <c r="E330" s="1786" t="s">
        <v>3929</v>
      </c>
      <c r="F330" s="1786" t="s">
        <v>2958</v>
      </c>
      <c r="G330" s="1786" t="s">
        <v>2959</v>
      </c>
      <c r="H330" s="1786" t="str">
        <f t="shared" si="47"/>
        <v>לא פעיל</v>
      </c>
      <c r="I330" s="1788">
        <f t="shared" si="48"/>
        <v>40209</v>
      </c>
      <c r="J330" s="1788">
        <f t="shared" si="49"/>
        <v>42572.5789814815</v>
      </c>
      <c r="K330" s="1786">
        <v>0</v>
      </c>
      <c r="L330" s="1786" t="s">
        <v>1594</v>
      </c>
      <c r="M330" s="1786" t="s">
        <v>1653</v>
      </c>
      <c r="N330" s="1786" t="s">
        <v>1653</v>
      </c>
      <c r="O330" s="1786">
        <v>0</v>
      </c>
      <c r="P330" s="1786"/>
      <c r="Q330" s="1786">
        <v>0</v>
      </c>
      <c r="R330" s="1788"/>
      <c r="S330" s="1786">
        <f t="shared" si="50"/>
        <v>1494</v>
      </c>
      <c r="T330" s="1786">
        <f t="shared" si="51"/>
        <v>0</v>
      </c>
      <c r="U330" s="1786" t="str">
        <f t="shared" si="52"/>
        <v>תגמולים שיטת הפניקס סל עוקב מדד ממשלתי צמוד 0-2</v>
      </c>
      <c r="V330" s="1786">
        <f t="shared" si="53"/>
        <v>0</v>
      </c>
      <c r="W330" s="1789" t="str">
        <f t="shared" si="54"/>
        <v>הפניקס פנסיה בע"מ</v>
      </c>
      <c r="AC330" s="1759" t="s">
        <v>1586</v>
      </c>
      <c r="AD330" s="1760">
        <v>42572.5789814815</v>
      </c>
      <c r="AE330" s="1760">
        <v>40209</v>
      </c>
      <c r="AF330" s="1759" t="s">
        <v>2009</v>
      </c>
      <c r="AG330" s="1759" t="s">
        <v>1653</v>
      </c>
      <c r="AH330" s="1759" t="s">
        <v>1594</v>
      </c>
      <c r="AI330" s="1759" t="s">
        <v>708</v>
      </c>
      <c r="AJ330" s="1759" t="s">
        <v>708</v>
      </c>
      <c r="AK330" s="1759">
        <v>1494</v>
      </c>
      <c r="AL330" s="1759" t="s">
        <v>708</v>
      </c>
      <c r="AM330" s="1759">
        <v>1494</v>
      </c>
      <c r="AN330" s="1759"/>
      <c r="AO330" s="1764"/>
      <c r="AP330" s="1759"/>
      <c r="AQ330" s="1759"/>
      <c r="AR330" s="1759" t="s">
        <v>5508</v>
      </c>
      <c r="AS330" s="1759" t="s">
        <v>402</v>
      </c>
      <c r="AT330" s="1759" t="s">
        <v>327</v>
      </c>
      <c r="AU330" s="1763"/>
      <c r="AV330" s="1763"/>
    </row>
    <row r="331" spans="1:48" ht="25" hidden="1">
      <c r="A331" s="1785" t="str">
        <f t="shared" si="44"/>
        <v>גמל</v>
      </c>
      <c r="B331" s="1786">
        <f t="shared" si="45"/>
        <v>1493</v>
      </c>
      <c r="C331" s="1787">
        <v>28946</v>
      </c>
      <c r="D331" s="1786" t="str">
        <f t="shared" si="46"/>
        <v>תגמולים שיטת הפניקס סל עוקב מדד תל בונד 20</v>
      </c>
      <c r="E331" s="1786" t="s">
        <v>3929</v>
      </c>
      <c r="F331" s="1786" t="s">
        <v>2958</v>
      </c>
      <c r="G331" s="1786" t="s">
        <v>2959</v>
      </c>
      <c r="H331" s="1786" t="str">
        <f t="shared" si="47"/>
        <v>לא פעיל</v>
      </c>
      <c r="I331" s="1788">
        <f t="shared" si="48"/>
        <v>40209</v>
      </c>
      <c r="J331" s="1788">
        <f t="shared" si="49"/>
        <v>42572.578553240703</v>
      </c>
      <c r="K331" s="1786">
        <v>0</v>
      </c>
      <c r="L331" s="1786" t="s">
        <v>1594</v>
      </c>
      <c r="M331" s="1786" t="s">
        <v>1653</v>
      </c>
      <c r="N331" s="1786" t="s">
        <v>1653</v>
      </c>
      <c r="O331" s="1786">
        <v>0</v>
      </c>
      <c r="P331" s="1786"/>
      <c r="Q331" s="1786">
        <v>0</v>
      </c>
      <c r="R331" s="1788"/>
      <c r="S331" s="1786">
        <f t="shared" si="50"/>
        <v>1493</v>
      </c>
      <c r="T331" s="1786">
        <f t="shared" si="51"/>
        <v>0</v>
      </c>
      <c r="U331" s="1786" t="str">
        <f t="shared" si="52"/>
        <v>תגמולים שיטת הפניקס סל עוקב מדד תל בונד 20</v>
      </c>
      <c r="V331" s="1786">
        <f t="shared" si="53"/>
        <v>0</v>
      </c>
      <c r="W331" s="1789" t="str">
        <f t="shared" si="54"/>
        <v>הפניקס פנסיה בע"מ</v>
      </c>
      <c r="AC331" s="1761" t="s">
        <v>1586</v>
      </c>
      <c r="AD331" s="1762">
        <v>42572.578553240703</v>
      </c>
      <c r="AE331" s="1762">
        <v>40209</v>
      </c>
      <c r="AF331" s="1761" t="s">
        <v>3010</v>
      </c>
      <c r="AG331" s="1761" t="s">
        <v>1653</v>
      </c>
      <c r="AH331" s="1761" t="s">
        <v>1594</v>
      </c>
      <c r="AI331" s="1761" t="s">
        <v>707</v>
      </c>
      <c r="AJ331" s="1761" t="s">
        <v>707</v>
      </c>
      <c r="AK331" s="1761">
        <v>1493</v>
      </c>
      <c r="AL331" s="1761" t="s">
        <v>707</v>
      </c>
      <c r="AM331" s="1761">
        <v>1493</v>
      </c>
      <c r="AN331" s="1761"/>
      <c r="AO331" s="1764"/>
      <c r="AP331" s="1761"/>
      <c r="AQ331" s="1761"/>
      <c r="AR331" s="1761" t="s">
        <v>5508</v>
      </c>
      <c r="AS331" s="1761" t="s">
        <v>402</v>
      </c>
      <c r="AT331" s="1761" t="s">
        <v>327</v>
      </c>
      <c r="AU331" s="1763"/>
      <c r="AV331" s="1763"/>
    </row>
    <row r="332" spans="1:48" ht="25" hidden="1">
      <c r="A332" s="1785" t="str">
        <f t="shared" si="44"/>
        <v>גמל</v>
      </c>
      <c r="B332" s="1786">
        <f t="shared" si="45"/>
        <v>1492</v>
      </c>
      <c r="C332" s="1787">
        <v>28946</v>
      </c>
      <c r="D332" s="1786" t="str">
        <f t="shared" si="46"/>
        <v>תגמולים שיטת הפניקס סל עוקב מדד ת"א 100</v>
      </c>
      <c r="E332" s="1786" t="s">
        <v>3929</v>
      </c>
      <c r="F332" s="1786" t="s">
        <v>2958</v>
      </c>
      <c r="G332" s="1786" t="s">
        <v>2959</v>
      </c>
      <c r="H332" s="1786" t="str">
        <f t="shared" si="47"/>
        <v>לא פעיל</v>
      </c>
      <c r="I332" s="1788">
        <f t="shared" si="48"/>
        <v>40209</v>
      </c>
      <c r="J332" s="1788">
        <f t="shared" si="49"/>
        <v>42572.555081018501</v>
      </c>
      <c r="K332" s="1786">
        <v>0</v>
      </c>
      <c r="L332" s="1786" t="s">
        <v>1594</v>
      </c>
      <c r="M332" s="1786" t="s">
        <v>1653</v>
      </c>
      <c r="N332" s="1786" t="s">
        <v>1653</v>
      </c>
      <c r="O332" s="1786">
        <v>0</v>
      </c>
      <c r="P332" s="1786"/>
      <c r="Q332" s="1786">
        <v>0</v>
      </c>
      <c r="R332" s="1788"/>
      <c r="S332" s="1786">
        <f t="shared" si="50"/>
        <v>1492</v>
      </c>
      <c r="T332" s="1786">
        <f t="shared" si="51"/>
        <v>0</v>
      </c>
      <c r="U332" s="1786" t="str">
        <f t="shared" si="52"/>
        <v>תגמולים שיטת הפניקס סל עוקב מדד ת"א 100</v>
      </c>
      <c r="V332" s="1786">
        <f t="shared" si="53"/>
        <v>0</v>
      </c>
      <c r="W332" s="1789" t="str">
        <f t="shared" si="54"/>
        <v>הפניקס פנסיה בע"מ</v>
      </c>
      <c r="AC332" s="1759" t="s">
        <v>1586</v>
      </c>
      <c r="AD332" s="1760">
        <v>42572.555081018501</v>
      </c>
      <c r="AE332" s="1760">
        <v>40209</v>
      </c>
      <c r="AF332" s="1759" t="s">
        <v>1595</v>
      </c>
      <c r="AG332" s="1759" t="s">
        <v>75</v>
      </c>
      <c r="AH332" s="1759" t="s">
        <v>1594</v>
      </c>
      <c r="AI332" s="1759" t="s">
        <v>706</v>
      </c>
      <c r="AJ332" s="1759" t="s">
        <v>706</v>
      </c>
      <c r="AK332" s="1759">
        <v>1492</v>
      </c>
      <c r="AL332" s="1759" t="s">
        <v>706</v>
      </c>
      <c r="AM332" s="1759">
        <v>1492</v>
      </c>
      <c r="AN332" s="1759"/>
      <c r="AO332" s="1764"/>
      <c r="AP332" s="1759"/>
      <c r="AQ332" s="1759"/>
      <c r="AR332" s="1759" t="s">
        <v>5508</v>
      </c>
      <c r="AS332" s="1759" t="s">
        <v>402</v>
      </c>
      <c r="AT332" s="1759" t="s">
        <v>327</v>
      </c>
      <c r="AU332" s="1763"/>
      <c r="AV332" s="1763"/>
    </row>
    <row r="333" spans="1:48" ht="25" hidden="1">
      <c r="A333" s="1785" t="str">
        <f t="shared" si="44"/>
        <v>גמל</v>
      </c>
      <c r="B333" s="1786">
        <f t="shared" si="45"/>
        <v>1489</v>
      </c>
      <c r="C333" s="1787">
        <v>28946</v>
      </c>
      <c r="D333" s="1786" t="str">
        <f t="shared" si="46"/>
        <v>הלמן-אלדובי השתלמות בניהול אישי</v>
      </c>
      <c r="E333" s="1786" t="s">
        <v>3929</v>
      </c>
      <c r="F333" s="1786" t="s">
        <v>2958</v>
      </c>
      <c r="G333" s="1786" t="s">
        <v>2959</v>
      </c>
      <c r="H333" s="1786" t="str">
        <f t="shared" si="47"/>
        <v>פעיל</v>
      </c>
      <c r="I333" s="1788">
        <f t="shared" si="48"/>
        <v>40192</v>
      </c>
      <c r="J333" s="1788" t="str">
        <f t="shared" si="49"/>
        <v/>
      </c>
      <c r="K333" s="1786">
        <v>0</v>
      </c>
      <c r="L333" s="1786" t="s">
        <v>1594</v>
      </c>
      <c r="M333" s="1786" t="s">
        <v>1653</v>
      </c>
      <c r="N333" s="1786" t="s">
        <v>1653</v>
      </c>
      <c r="O333" s="1786">
        <v>0</v>
      </c>
      <c r="P333" s="1786"/>
      <c r="Q333" s="1786">
        <v>0</v>
      </c>
      <c r="R333" s="1788"/>
      <c r="S333" s="1786">
        <f t="shared" si="50"/>
        <v>1489</v>
      </c>
      <c r="T333" s="1786" t="str">
        <f t="shared" si="51"/>
        <v>בנק מזרחי טפחות בע"מ</v>
      </c>
      <c r="U333" s="1786" t="str">
        <f t="shared" si="52"/>
        <v>הלמן-אלדובי השתלמות בניהול אישי</v>
      </c>
      <c r="V333" s="1786" t="str">
        <f t="shared" si="53"/>
        <v>513163105</v>
      </c>
      <c r="W333" s="1789" t="str">
        <f t="shared" si="54"/>
        <v>הלמן - אלדובי קופות גמל ופנסיה בע"מ</v>
      </c>
      <c r="AC333" s="1761" t="s">
        <v>346</v>
      </c>
      <c r="AD333" s="1761"/>
      <c r="AE333" s="1762">
        <v>40192</v>
      </c>
      <c r="AF333" s="1761"/>
      <c r="AG333" s="1761"/>
      <c r="AH333" s="1761" t="s">
        <v>2513</v>
      </c>
      <c r="AI333" s="1761" t="s">
        <v>3661</v>
      </c>
      <c r="AJ333" s="1761" t="s">
        <v>3661</v>
      </c>
      <c r="AK333" s="1761">
        <v>1489</v>
      </c>
      <c r="AL333" s="1761" t="s">
        <v>3661</v>
      </c>
      <c r="AM333" s="1761">
        <v>1489</v>
      </c>
      <c r="AN333" s="1761" t="s">
        <v>5370</v>
      </c>
      <c r="AO333" s="1764"/>
      <c r="AP333" s="1761" t="s">
        <v>5371</v>
      </c>
      <c r="AQ333" s="1761" t="s">
        <v>5372</v>
      </c>
      <c r="AR333" s="1761" t="s">
        <v>354</v>
      </c>
      <c r="AS333" s="1761" t="s">
        <v>355</v>
      </c>
      <c r="AT333" s="1761" t="s">
        <v>327</v>
      </c>
      <c r="AU333" s="1763"/>
      <c r="AV333" s="1763"/>
    </row>
    <row r="334" spans="1:48" ht="25" hidden="1">
      <c r="A334" s="1785" t="str">
        <f t="shared" si="44"/>
        <v>גמל</v>
      </c>
      <c r="B334" s="1786">
        <f t="shared" si="45"/>
        <v>1488</v>
      </c>
      <c r="C334" s="1787">
        <v>28946</v>
      </c>
      <c r="D334" s="1786" t="str">
        <f t="shared" si="46"/>
        <v>הלמן-אלדובי תגמולים בניהול אישי</v>
      </c>
      <c r="E334" s="1786" t="s">
        <v>3929</v>
      </c>
      <c r="F334" s="1786" t="s">
        <v>2958</v>
      </c>
      <c r="G334" s="1786" t="s">
        <v>2959</v>
      </c>
      <c r="H334" s="1786" t="str">
        <f t="shared" si="47"/>
        <v>פעיל</v>
      </c>
      <c r="I334" s="1788">
        <f t="shared" si="48"/>
        <v>40192</v>
      </c>
      <c r="J334" s="1788" t="str">
        <f t="shared" si="49"/>
        <v/>
      </c>
      <c r="K334" s="1786">
        <v>0</v>
      </c>
      <c r="L334" s="1786" t="s">
        <v>1594</v>
      </c>
      <c r="M334" s="1786" t="s">
        <v>1653</v>
      </c>
      <c r="N334" s="1786" t="s">
        <v>1653</v>
      </c>
      <c r="O334" s="1786">
        <v>0</v>
      </c>
      <c r="P334" s="1786"/>
      <c r="Q334" s="1786">
        <v>0</v>
      </c>
      <c r="R334" s="1788"/>
      <c r="S334" s="1786">
        <f t="shared" si="50"/>
        <v>1488</v>
      </c>
      <c r="T334" s="1786" t="str">
        <f t="shared" si="51"/>
        <v>בנק מזרחי טפחות בע"מ</v>
      </c>
      <c r="U334" s="1786" t="str">
        <f t="shared" si="52"/>
        <v>הלמן-אלדובי תגמולים בניהול אישי</v>
      </c>
      <c r="V334" s="1786" t="str">
        <f t="shared" si="53"/>
        <v>513163105</v>
      </c>
      <c r="W334" s="1789" t="str">
        <f t="shared" si="54"/>
        <v>הלמן - אלדובי קופות גמל ופנסיה בע"מ</v>
      </c>
      <c r="AC334" s="1759" t="s">
        <v>346</v>
      </c>
      <c r="AD334" s="1759"/>
      <c r="AE334" s="1760">
        <v>40192</v>
      </c>
      <c r="AF334" s="1759"/>
      <c r="AG334" s="1759"/>
      <c r="AH334" s="1759" t="s">
        <v>2513</v>
      </c>
      <c r="AI334" s="1759" t="s">
        <v>3660</v>
      </c>
      <c r="AJ334" s="1759" t="s">
        <v>3660</v>
      </c>
      <c r="AK334" s="1759">
        <v>1488</v>
      </c>
      <c r="AL334" s="1759" t="s">
        <v>3660</v>
      </c>
      <c r="AM334" s="1759">
        <v>1488</v>
      </c>
      <c r="AN334" s="1759" t="s">
        <v>5370</v>
      </c>
      <c r="AO334" s="1764"/>
      <c r="AP334" s="1759" t="s">
        <v>5371</v>
      </c>
      <c r="AQ334" s="1759" t="s">
        <v>5372</v>
      </c>
      <c r="AR334" s="1759" t="s">
        <v>354</v>
      </c>
      <c r="AS334" s="1759" t="s">
        <v>355</v>
      </c>
      <c r="AT334" s="1759" t="s">
        <v>327</v>
      </c>
      <c r="AU334" s="1763"/>
      <c r="AV334" s="1763"/>
    </row>
    <row r="335" spans="1:48" ht="25" hidden="1">
      <c r="A335" s="1785" t="str">
        <f t="shared" si="44"/>
        <v>גמל</v>
      </c>
      <c r="B335" s="1786">
        <f t="shared" si="45"/>
        <v>1487</v>
      </c>
      <c r="C335" s="1787">
        <v>28946</v>
      </c>
      <c r="D335" s="1786" t="str">
        <f t="shared" si="46"/>
        <v>מיטב השתלמות בניהול אישי</v>
      </c>
      <c r="E335" s="1786" t="s">
        <v>3929</v>
      </c>
      <c r="F335" s="1786" t="s">
        <v>2958</v>
      </c>
      <c r="G335" s="1786" t="s">
        <v>2959</v>
      </c>
      <c r="H335" s="1786" t="str">
        <f t="shared" si="47"/>
        <v>פעיל</v>
      </c>
      <c r="I335" s="1788">
        <f t="shared" si="48"/>
        <v>40171</v>
      </c>
      <c r="J335" s="1788" t="str">
        <f t="shared" si="49"/>
        <v/>
      </c>
      <c r="K335" s="1786">
        <v>0</v>
      </c>
      <c r="L335" s="1786" t="s">
        <v>1594</v>
      </c>
      <c r="M335" s="1786" t="s">
        <v>1653</v>
      </c>
      <c r="N335" s="1786" t="s">
        <v>1653</v>
      </c>
      <c r="O335" s="1786">
        <v>0</v>
      </c>
      <c r="P335" s="1786"/>
      <c r="Q335" s="1786">
        <v>0</v>
      </c>
      <c r="R335" s="1788"/>
      <c r="S335" s="1786">
        <f t="shared" si="50"/>
        <v>1487</v>
      </c>
      <c r="T335" s="1786" t="str">
        <f t="shared" si="51"/>
        <v>ד.ס.ש ייעוץ ושירותים בע"מ</v>
      </c>
      <c r="U335" s="1786" t="str">
        <f t="shared" si="52"/>
        <v>מיטב השתלמות בניהול אישי</v>
      </c>
      <c r="V335" s="1786" t="str">
        <f t="shared" si="53"/>
        <v>520043795</v>
      </c>
      <c r="W335" s="1789" t="str">
        <f t="shared" si="54"/>
        <v>מיטב דש גמל ופנסיה בע"מ</v>
      </c>
      <c r="AC335" s="1761" t="s">
        <v>346</v>
      </c>
      <c r="AD335" s="1761"/>
      <c r="AE335" s="1762">
        <v>40171</v>
      </c>
      <c r="AF335" s="1761"/>
      <c r="AG335" s="1761"/>
      <c r="AH335" s="1761" t="s">
        <v>2513</v>
      </c>
      <c r="AI335" s="1761" t="s">
        <v>705</v>
      </c>
      <c r="AJ335" s="1761" t="s">
        <v>705</v>
      </c>
      <c r="AK335" s="1761">
        <v>1487</v>
      </c>
      <c r="AL335" s="1761" t="s">
        <v>705</v>
      </c>
      <c r="AM335" s="1761">
        <v>1487</v>
      </c>
      <c r="AN335" s="1761" t="s">
        <v>5393</v>
      </c>
      <c r="AO335" s="1764"/>
      <c r="AP335" s="1761" t="s">
        <v>5373</v>
      </c>
      <c r="AQ335" s="1761" t="s">
        <v>5374</v>
      </c>
      <c r="AR335" s="1761" t="s">
        <v>2899</v>
      </c>
      <c r="AS335" s="1761" t="s">
        <v>349</v>
      </c>
      <c r="AT335" s="1761" t="s">
        <v>327</v>
      </c>
      <c r="AU335" s="1763"/>
      <c r="AV335" s="1763"/>
    </row>
    <row r="336" spans="1:48" ht="25" hidden="1">
      <c r="A336" s="1785" t="str">
        <f t="shared" si="44"/>
        <v>גמל</v>
      </c>
      <c r="B336" s="1786">
        <f t="shared" si="45"/>
        <v>1487</v>
      </c>
      <c r="C336" s="1787">
        <v>28946</v>
      </c>
      <c r="D336" s="1786" t="str">
        <f t="shared" si="46"/>
        <v>מיטב השתלמות בניהול אישי</v>
      </c>
      <c r="E336" s="1786" t="s">
        <v>3929</v>
      </c>
      <c r="F336" s="1786" t="s">
        <v>2958</v>
      </c>
      <c r="G336" s="1786" t="s">
        <v>2959</v>
      </c>
      <c r="H336" s="1786" t="str">
        <f t="shared" si="47"/>
        <v>פעיל</v>
      </c>
      <c r="I336" s="1788">
        <f t="shared" si="48"/>
        <v>40171</v>
      </c>
      <c r="J336" s="1788" t="str">
        <f t="shared" si="49"/>
        <v/>
      </c>
      <c r="K336" s="1786">
        <v>0</v>
      </c>
      <c r="L336" s="1786" t="s">
        <v>1594</v>
      </c>
      <c r="M336" s="1786" t="s">
        <v>1653</v>
      </c>
      <c r="N336" s="1786" t="s">
        <v>1653</v>
      </c>
      <c r="O336" s="1786">
        <v>0</v>
      </c>
      <c r="P336" s="1786"/>
      <c r="Q336" s="1786">
        <v>0</v>
      </c>
      <c r="R336" s="1788"/>
      <c r="S336" s="1786">
        <f t="shared" si="50"/>
        <v>1487</v>
      </c>
      <c r="T336" s="1786" t="str">
        <f t="shared" si="51"/>
        <v>ד.ס.ש ייעוץ ושירותים בע"מ</v>
      </c>
      <c r="U336" s="1786" t="str">
        <f t="shared" si="52"/>
        <v>מיטב השתלמות בניהול אישי</v>
      </c>
      <c r="V336" s="1786" t="str">
        <f t="shared" si="53"/>
        <v>520043795</v>
      </c>
      <c r="W336" s="1789" t="str">
        <f t="shared" si="54"/>
        <v>מיטב דש גמל ופנסיה בע"מ</v>
      </c>
      <c r="AC336" s="1759" t="s">
        <v>346</v>
      </c>
      <c r="AD336" s="1759"/>
      <c r="AE336" s="1760">
        <v>40171</v>
      </c>
      <c r="AF336" s="1759"/>
      <c r="AG336" s="1759"/>
      <c r="AH336" s="1759" t="s">
        <v>2513</v>
      </c>
      <c r="AI336" s="1759" t="s">
        <v>705</v>
      </c>
      <c r="AJ336" s="1759" t="s">
        <v>705</v>
      </c>
      <c r="AK336" s="1759">
        <v>1487</v>
      </c>
      <c r="AL336" s="1759" t="s">
        <v>705</v>
      </c>
      <c r="AM336" s="1759">
        <v>1487</v>
      </c>
      <c r="AN336" s="1759" t="s">
        <v>5393</v>
      </c>
      <c r="AO336" s="1764"/>
      <c r="AP336" s="1759" t="s">
        <v>5373</v>
      </c>
      <c r="AQ336" s="1759" t="s">
        <v>5374</v>
      </c>
      <c r="AR336" s="1759" t="s">
        <v>2899</v>
      </c>
      <c r="AS336" s="1759" t="s">
        <v>349</v>
      </c>
      <c r="AT336" s="1759" t="s">
        <v>327</v>
      </c>
      <c r="AU336" s="1763"/>
      <c r="AV336" s="1763"/>
    </row>
    <row r="337" spans="1:48" ht="25" hidden="1">
      <c r="A337" s="1785" t="str">
        <f t="shared" si="44"/>
        <v>גמל</v>
      </c>
      <c r="B337" s="1786">
        <f t="shared" si="45"/>
        <v>1486</v>
      </c>
      <c r="C337" s="1787">
        <v>28946</v>
      </c>
      <c r="D337" s="1786" t="str">
        <f t="shared" si="46"/>
        <v>מיטב גמל בניהול אישי</v>
      </c>
      <c r="E337" s="1786" t="s">
        <v>3929</v>
      </c>
      <c r="F337" s="1786" t="s">
        <v>2958</v>
      </c>
      <c r="G337" s="1786" t="s">
        <v>2959</v>
      </c>
      <c r="H337" s="1786" t="str">
        <f t="shared" si="47"/>
        <v>פעיל</v>
      </c>
      <c r="I337" s="1788">
        <f t="shared" si="48"/>
        <v>40171</v>
      </c>
      <c r="J337" s="1788" t="str">
        <f t="shared" si="49"/>
        <v/>
      </c>
      <c r="K337" s="1786">
        <v>0</v>
      </c>
      <c r="L337" s="1786" t="s">
        <v>1594</v>
      </c>
      <c r="M337" s="1786" t="s">
        <v>1653</v>
      </c>
      <c r="N337" s="1786" t="s">
        <v>1653</v>
      </c>
      <c r="O337" s="1786">
        <v>0</v>
      </c>
      <c r="P337" s="1786"/>
      <c r="Q337" s="1786">
        <v>0</v>
      </c>
      <c r="R337" s="1788"/>
      <c r="S337" s="1786">
        <f t="shared" si="50"/>
        <v>1486</v>
      </c>
      <c r="T337" s="1786" t="str">
        <f t="shared" si="51"/>
        <v>ד.ס.ש ייעוץ ושירותים בע"מ</v>
      </c>
      <c r="U337" s="1786" t="str">
        <f t="shared" si="52"/>
        <v>מיטב גמל בניהול אישי</v>
      </c>
      <c r="V337" s="1786" t="str">
        <f t="shared" si="53"/>
        <v>520043795</v>
      </c>
      <c r="W337" s="1789" t="str">
        <f t="shared" si="54"/>
        <v>מיטב דש גמל ופנסיה בע"מ</v>
      </c>
      <c r="AC337" s="1761" t="s">
        <v>346</v>
      </c>
      <c r="AD337" s="1761"/>
      <c r="AE337" s="1762">
        <v>40171</v>
      </c>
      <c r="AF337" s="1761"/>
      <c r="AG337" s="1761"/>
      <c r="AH337" s="1761" t="s">
        <v>2513</v>
      </c>
      <c r="AI337" s="1761" t="s">
        <v>704</v>
      </c>
      <c r="AJ337" s="1761" t="s">
        <v>704</v>
      </c>
      <c r="AK337" s="1761">
        <v>1486</v>
      </c>
      <c r="AL337" s="1761" t="s">
        <v>704</v>
      </c>
      <c r="AM337" s="1761">
        <v>1486</v>
      </c>
      <c r="AN337" s="1761" t="s">
        <v>5393</v>
      </c>
      <c r="AO337" s="1764"/>
      <c r="AP337" s="1761" t="s">
        <v>5373</v>
      </c>
      <c r="AQ337" s="1761" t="s">
        <v>5374</v>
      </c>
      <c r="AR337" s="1761" t="s">
        <v>2899</v>
      </c>
      <c r="AS337" s="1761" t="s">
        <v>349</v>
      </c>
      <c r="AT337" s="1761" t="s">
        <v>327</v>
      </c>
      <c r="AU337" s="1763"/>
      <c r="AV337" s="1763"/>
    </row>
    <row r="338" spans="1:48" ht="25" hidden="1">
      <c r="A338" s="1785" t="str">
        <f t="shared" si="44"/>
        <v>גמל</v>
      </c>
      <c r="B338" s="1786">
        <f t="shared" si="45"/>
        <v>1486</v>
      </c>
      <c r="C338" s="1787">
        <v>28946</v>
      </c>
      <c r="D338" s="1786" t="str">
        <f t="shared" si="46"/>
        <v>מיטב גמל בניהול אישי</v>
      </c>
      <c r="E338" s="1786" t="s">
        <v>3929</v>
      </c>
      <c r="F338" s="1786" t="s">
        <v>2958</v>
      </c>
      <c r="G338" s="1786" t="s">
        <v>2959</v>
      </c>
      <c r="H338" s="1786" t="str">
        <f t="shared" si="47"/>
        <v>פעיל</v>
      </c>
      <c r="I338" s="1788">
        <f t="shared" si="48"/>
        <v>40171</v>
      </c>
      <c r="J338" s="1788" t="str">
        <f t="shared" si="49"/>
        <v/>
      </c>
      <c r="K338" s="1786">
        <v>0</v>
      </c>
      <c r="L338" s="1786" t="s">
        <v>1594</v>
      </c>
      <c r="M338" s="1786" t="s">
        <v>1653</v>
      </c>
      <c r="N338" s="1786" t="s">
        <v>1653</v>
      </c>
      <c r="O338" s="1786">
        <v>0</v>
      </c>
      <c r="P338" s="1786"/>
      <c r="Q338" s="1786">
        <v>0</v>
      </c>
      <c r="R338" s="1788"/>
      <c r="S338" s="1786">
        <f t="shared" si="50"/>
        <v>1486</v>
      </c>
      <c r="T338" s="1786" t="str">
        <f t="shared" si="51"/>
        <v>ד.ס.ש ייעוץ ושירותים בע"מ</v>
      </c>
      <c r="U338" s="1786" t="str">
        <f t="shared" si="52"/>
        <v>מיטב גמל בניהול אישי</v>
      </c>
      <c r="V338" s="1786" t="str">
        <f t="shared" si="53"/>
        <v>520043795</v>
      </c>
      <c r="W338" s="1789" t="str">
        <f t="shared" si="54"/>
        <v>מיטב דש גמל ופנסיה בע"מ</v>
      </c>
      <c r="AC338" s="1759" t="s">
        <v>346</v>
      </c>
      <c r="AD338" s="1759"/>
      <c r="AE338" s="1760">
        <v>40171</v>
      </c>
      <c r="AF338" s="1759"/>
      <c r="AG338" s="1759"/>
      <c r="AH338" s="1759" t="s">
        <v>2513</v>
      </c>
      <c r="AI338" s="1759" t="s">
        <v>704</v>
      </c>
      <c r="AJ338" s="1759" t="s">
        <v>704</v>
      </c>
      <c r="AK338" s="1759">
        <v>1486</v>
      </c>
      <c r="AL338" s="1759" t="s">
        <v>704</v>
      </c>
      <c r="AM338" s="1759">
        <v>1486</v>
      </c>
      <c r="AN338" s="1759" t="s">
        <v>5393</v>
      </c>
      <c r="AO338" s="1764"/>
      <c r="AP338" s="1759" t="s">
        <v>5373</v>
      </c>
      <c r="AQ338" s="1759" t="s">
        <v>5374</v>
      </c>
      <c r="AR338" s="1759" t="s">
        <v>2899</v>
      </c>
      <c r="AS338" s="1759" t="s">
        <v>349</v>
      </c>
      <c r="AT338" s="1759" t="s">
        <v>327</v>
      </c>
      <c r="AU338" s="1763"/>
      <c r="AV338" s="1763"/>
    </row>
    <row r="339" spans="1:48" ht="37.5" hidden="1">
      <c r="A339" s="1785" t="str">
        <f t="shared" si="44"/>
        <v>גמל</v>
      </c>
      <c r="B339" s="1786">
        <f t="shared" si="45"/>
        <v>7246</v>
      </c>
      <c r="C339" s="1787">
        <v>28946</v>
      </c>
      <c r="D339" s="1786" t="str">
        <f t="shared" si="46"/>
        <v>קופת גמל כלנית לבני 50 ומטה</v>
      </c>
      <c r="E339" s="1786" t="s">
        <v>3929</v>
      </c>
      <c r="F339" s="1786" t="s">
        <v>2958</v>
      </c>
      <c r="G339" s="1786" t="s">
        <v>2959</v>
      </c>
      <c r="H339" s="1786" t="str">
        <f t="shared" si="47"/>
        <v>פעיל</v>
      </c>
      <c r="I339" s="1788">
        <f t="shared" si="48"/>
        <v>40000</v>
      </c>
      <c r="J339" s="1788" t="str">
        <f t="shared" si="49"/>
        <v/>
      </c>
      <c r="K339" s="1786">
        <v>0</v>
      </c>
      <c r="L339" s="1786" t="s">
        <v>1594</v>
      </c>
      <c r="M339" s="1786" t="s">
        <v>1653</v>
      </c>
      <c r="N339" s="1786" t="s">
        <v>1653</v>
      </c>
      <c r="O339" s="1786">
        <v>0</v>
      </c>
      <c r="P339" s="1786"/>
      <c r="Q339" s="1786">
        <v>0</v>
      </c>
      <c r="R339" s="1788"/>
      <c r="S339" s="1786">
        <f t="shared" si="50"/>
        <v>1479</v>
      </c>
      <c r="T339" s="1786">
        <f t="shared" si="51"/>
        <v>0</v>
      </c>
      <c r="U339" s="1786" t="str">
        <f t="shared" si="52"/>
        <v>כלנית</v>
      </c>
      <c r="V339" s="1786">
        <f t="shared" si="53"/>
        <v>0</v>
      </c>
      <c r="W339" s="1789" t="str">
        <f t="shared" si="54"/>
        <v>גל -ניהול קופות גמל לעובדי הוראה בע"מ</v>
      </c>
      <c r="AC339" s="1761" t="s">
        <v>346</v>
      </c>
      <c r="AD339" s="1761"/>
      <c r="AE339" s="1762">
        <v>40000</v>
      </c>
      <c r="AF339" s="1761" t="s">
        <v>4151</v>
      </c>
      <c r="AG339" s="1761" t="s">
        <v>3931</v>
      </c>
      <c r="AH339" s="1761" t="s">
        <v>3658</v>
      </c>
      <c r="AI339" s="1761" t="s">
        <v>4228</v>
      </c>
      <c r="AJ339" s="1761" t="s">
        <v>4227</v>
      </c>
      <c r="AK339" s="1761">
        <v>7246</v>
      </c>
      <c r="AL339" s="1761" t="s">
        <v>703</v>
      </c>
      <c r="AM339" s="1761">
        <v>1479</v>
      </c>
      <c r="AN339" s="1761"/>
      <c r="AO339" s="1764"/>
      <c r="AP339" s="1761" t="s">
        <v>5516</v>
      </c>
      <c r="AQ339" s="1761"/>
      <c r="AR339" s="1761" t="s">
        <v>3225</v>
      </c>
      <c r="AS339" s="1761" t="s">
        <v>590</v>
      </c>
      <c r="AT339" s="1761" t="s">
        <v>327</v>
      </c>
      <c r="AU339" s="1763"/>
      <c r="AV339" s="1763"/>
    </row>
    <row r="340" spans="1:48" ht="37.5" hidden="1">
      <c r="A340" s="1785" t="str">
        <f t="shared" si="44"/>
        <v>גמל</v>
      </c>
      <c r="B340" s="1786">
        <f t="shared" si="45"/>
        <v>7240</v>
      </c>
      <c r="C340" s="1787">
        <v>28946</v>
      </c>
      <c r="D340" s="1786" t="str">
        <f t="shared" si="46"/>
        <v>קופת גמל כלנית לבני 60 ומעלה</v>
      </c>
      <c r="E340" s="1786" t="s">
        <v>3929</v>
      </c>
      <c r="F340" s="1786" t="s">
        <v>2958</v>
      </c>
      <c r="G340" s="1786" t="s">
        <v>2959</v>
      </c>
      <c r="H340" s="1786" t="str">
        <f t="shared" si="47"/>
        <v>פעיל</v>
      </c>
      <c r="I340" s="1788">
        <f t="shared" si="48"/>
        <v>40000</v>
      </c>
      <c r="J340" s="1788" t="str">
        <f t="shared" si="49"/>
        <v/>
      </c>
      <c r="K340" s="1786">
        <v>0</v>
      </c>
      <c r="L340" s="1786" t="s">
        <v>1594</v>
      </c>
      <c r="M340" s="1786" t="s">
        <v>1653</v>
      </c>
      <c r="N340" s="1786" t="s">
        <v>1653</v>
      </c>
      <c r="O340" s="1786">
        <v>0</v>
      </c>
      <c r="P340" s="1786"/>
      <c r="Q340" s="1786">
        <v>0</v>
      </c>
      <c r="R340" s="1788"/>
      <c r="S340" s="1786">
        <f t="shared" si="50"/>
        <v>1479</v>
      </c>
      <c r="T340" s="1786">
        <f t="shared" si="51"/>
        <v>0</v>
      </c>
      <c r="U340" s="1786" t="str">
        <f t="shared" si="52"/>
        <v>כלנית</v>
      </c>
      <c r="V340" s="1786">
        <f t="shared" si="53"/>
        <v>0</v>
      </c>
      <c r="W340" s="1789" t="str">
        <f t="shared" si="54"/>
        <v>גל -ניהול קופות גמל לעובדי הוראה בע"מ</v>
      </c>
      <c r="AC340" s="1759" t="s">
        <v>346</v>
      </c>
      <c r="AD340" s="1759"/>
      <c r="AE340" s="1760">
        <v>40000</v>
      </c>
      <c r="AF340" s="1759" t="s">
        <v>3963</v>
      </c>
      <c r="AG340" s="1759" t="s">
        <v>3931</v>
      </c>
      <c r="AH340" s="1759" t="s">
        <v>3658</v>
      </c>
      <c r="AI340" s="1759" t="s">
        <v>4217</v>
      </c>
      <c r="AJ340" s="1759" t="s">
        <v>4216</v>
      </c>
      <c r="AK340" s="1759">
        <v>7240</v>
      </c>
      <c r="AL340" s="1759" t="s">
        <v>703</v>
      </c>
      <c r="AM340" s="1759">
        <v>1479</v>
      </c>
      <c r="AN340" s="1759"/>
      <c r="AO340" s="1764"/>
      <c r="AP340" s="1759" t="s">
        <v>5516</v>
      </c>
      <c r="AQ340" s="1759"/>
      <c r="AR340" s="1759" t="s">
        <v>3225</v>
      </c>
      <c r="AS340" s="1759" t="s">
        <v>590</v>
      </c>
      <c r="AT340" s="1759" t="s">
        <v>327</v>
      </c>
      <c r="AU340" s="1763"/>
      <c r="AV340" s="1763"/>
    </row>
    <row r="341" spans="1:48" ht="37.5" hidden="1">
      <c r="A341" s="1785" t="str">
        <f t="shared" si="44"/>
        <v>גמל</v>
      </c>
      <c r="B341" s="1786">
        <f t="shared" si="45"/>
        <v>7245</v>
      </c>
      <c r="C341" s="1787">
        <v>28946</v>
      </c>
      <c r="D341" s="1786" t="str">
        <f t="shared" si="46"/>
        <v>קופת גמל כלנית לבני 50 עד 60</v>
      </c>
      <c r="E341" s="1786" t="s">
        <v>3929</v>
      </c>
      <c r="F341" s="1786" t="s">
        <v>2958</v>
      </c>
      <c r="G341" s="1786" t="s">
        <v>2959</v>
      </c>
      <c r="H341" s="1786" t="str">
        <f t="shared" si="47"/>
        <v>פעיל</v>
      </c>
      <c r="I341" s="1788">
        <f t="shared" si="48"/>
        <v>40000</v>
      </c>
      <c r="J341" s="1788" t="str">
        <f t="shared" si="49"/>
        <v/>
      </c>
      <c r="K341" s="1786">
        <v>0</v>
      </c>
      <c r="L341" s="1786" t="s">
        <v>1594</v>
      </c>
      <c r="M341" s="1786" t="s">
        <v>1653</v>
      </c>
      <c r="N341" s="1786" t="s">
        <v>1653</v>
      </c>
      <c r="O341" s="1786">
        <v>0</v>
      </c>
      <c r="P341" s="1786"/>
      <c r="Q341" s="1786">
        <v>0</v>
      </c>
      <c r="R341" s="1788"/>
      <c r="S341" s="1786">
        <f t="shared" si="50"/>
        <v>1479</v>
      </c>
      <c r="T341" s="1786">
        <f t="shared" si="51"/>
        <v>0</v>
      </c>
      <c r="U341" s="1786" t="str">
        <f t="shared" si="52"/>
        <v>כלנית</v>
      </c>
      <c r="V341" s="1786">
        <f t="shared" si="53"/>
        <v>0</v>
      </c>
      <c r="W341" s="1789" t="str">
        <f t="shared" si="54"/>
        <v>גל -ניהול קופות גמל לעובדי הוראה בע"מ</v>
      </c>
      <c r="AC341" s="1761" t="s">
        <v>346</v>
      </c>
      <c r="AD341" s="1761"/>
      <c r="AE341" s="1762">
        <v>40000</v>
      </c>
      <c r="AF341" s="1761" t="s">
        <v>3932</v>
      </c>
      <c r="AG341" s="1761" t="s">
        <v>3931</v>
      </c>
      <c r="AH341" s="1761" t="s">
        <v>3658</v>
      </c>
      <c r="AI341" s="1761" t="s">
        <v>4226</v>
      </c>
      <c r="AJ341" s="1761" t="s">
        <v>4225</v>
      </c>
      <c r="AK341" s="1761">
        <v>7245</v>
      </c>
      <c r="AL341" s="1761" t="s">
        <v>703</v>
      </c>
      <c r="AM341" s="1761">
        <v>1479</v>
      </c>
      <c r="AN341" s="1761"/>
      <c r="AO341" s="1764"/>
      <c r="AP341" s="1761" t="s">
        <v>5516</v>
      </c>
      <c r="AQ341" s="1761"/>
      <c r="AR341" s="1761" t="s">
        <v>3225</v>
      </c>
      <c r="AS341" s="1761" t="s">
        <v>590</v>
      </c>
      <c r="AT341" s="1761" t="s">
        <v>327</v>
      </c>
      <c r="AU341" s="1763"/>
      <c r="AV341" s="1763"/>
    </row>
    <row r="342" spans="1:48" ht="37.5" hidden="1">
      <c r="A342" s="1785" t="str">
        <f t="shared" si="44"/>
        <v>גמל</v>
      </c>
      <c r="B342" s="1786">
        <f t="shared" si="45"/>
        <v>1479</v>
      </c>
      <c r="C342" s="1787">
        <v>28946</v>
      </c>
      <c r="D342" s="1786" t="str">
        <f t="shared" si="46"/>
        <v>כלנית</v>
      </c>
      <c r="E342" s="1786" t="s">
        <v>3929</v>
      </c>
      <c r="F342" s="1786" t="s">
        <v>2958</v>
      </c>
      <c r="G342" s="1786" t="s">
        <v>2959</v>
      </c>
      <c r="H342" s="1786" t="str">
        <f t="shared" si="47"/>
        <v>לא פעיל</v>
      </c>
      <c r="I342" s="1788">
        <f t="shared" si="48"/>
        <v>40000</v>
      </c>
      <c r="J342" s="1788">
        <f t="shared" si="49"/>
        <v>42370.486678240697</v>
      </c>
      <c r="K342" s="1786">
        <v>0</v>
      </c>
      <c r="L342" s="1786" t="s">
        <v>1594</v>
      </c>
      <c r="M342" s="1786" t="s">
        <v>1653</v>
      </c>
      <c r="N342" s="1786" t="s">
        <v>1653</v>
      </c>
      <c r="O342" s="1786">
        <v>0</v>
      </c>
      <c r="P342" s="1786"/>
      <c r="Q342" s="1786">
        <v>0</v>
      </c>
      <c r="R342" s="1788"/>
      <c r="S342" s="1786">
        <f t="shared" si="50"/>
        <v>1479</v>
      </c>
      <c r="T342" s="1786">
        <f t="shared" si="51"/>
        <v>0</v>
      </c>
      <c r="U342" s="1786" t="str">
        <f t="shared" si="52"/>
        <v>כלנית</v>
      </c>
      <c r="V342" s="1786">
        <f t="shared" si="53"/>
        <v>0</v>
      </c>
      <c r="W342" s="1789" t="str">
        <f t="shared" si="54"/>
        <v>גל -ניהול קופות גמל לעובדי הוראה בע"מ</v>
      </c>
      <c r="AC342" s="1759" t="s">
        <v>1586</v>
      </c>
      <c r="AD342" s="1760">
        <v>42370.486678240697</v>
      </c>
      <c r="AE342" s="1760">
        <v>40000</v>
      </c>
      <c r="AF342" s="1759" t="s">
        <v>1583</v>
      </c>
      <c r="AG342" s="1759" t="s">
        <v>1583</v>
      </c>
      <c r="AH342" s="1759" t="s">
        <v>1583</v>
      </c>
      <c r="AI342" s="1759" t="s">
        <v>703</v>
      </c>
      <c r="AJ342" s="1759" t="s">
        <v>703</v>
      </c>
      <c r="AK342" s="1759">
        <v>1479</v>
      </c>
      <c r="AL342" s="1759" t="s">
        <v>703</v>
      </c>
      <c r="AM342" s="1759">
        <v>1479</v>
      </c>
      <c r="AN342" s="1759"/>
      <c r="AO342" s="1764"/>
      <c r="AP342" s="1759" t="s">
        <v>5516</v>
      </c>
      <c r="AQ342" s="1759"/>
      <c r="AR342" s="1759" t="s">
        <v>3225</v>
      </c>
      <c r="AS342" s="1759" t="s">
        <v>590</v>
      </c>
      <c r="AT342" s="1759" t="s">
        <v>327</v>
      </c>
      <c r="AU342" s="1763"/>
      <c r="AV342" s="1763"/>
    </row>
    <row r="343" spans="1:48" ht="25" hidden="1">
      <c r="A343" s="1785" t="str">
        <f t="shared" ref="A343:A406" si="55">AT343</f>
        <v>גמל</v>
      </c>
      <c r="B343" s="1786">
        <f t="shared" ref="B343:B406" si="56">AK343</f>
        <v>9796</v>
      </c>
      <c r="C343" s="1787">
        <v>28946</v>
      </c>
      <c r="D343" s="1786" t="str">
        <f t="shared" ref="D343:D406" si="57">AJ343</f>
        <v>הילה לבני עד 50</v>
      </c>
      <c r="E343" s="1786" t="s">
        <v>3929</v>
      </c>
      <c r="F343" s="1786" t="s">
        <v>2958</v>
      </c>
      <c r="G343" s="1786" t="s">
        <v>2959</v>
      </c>
      <c r="H343" s="1786" t="str">
        <f t="shared" ref="H343:H406" si="58">AC343</f>
        <v>פעיל</v>
      </c>
      <c r="I343" s="1788">
        <f t="shared" ref="I343:I406" si="59">IF(AE343="","",AE343)</f>
        <v>40000</v>
      </c>
      <c r="J343" s="1788" t="str">
        <f t="shared" ref="J343:J406" si="60">IF(AD343="","",AD343)</f>
        <v/>
      </c>
      <c r="K343" s="1786">
        <v>0</v>
      </c>
      <c r="L343" s="1786" t="s">
        <v>1594</v>
      </c>
      <c r="M343" s="1786" t="s">
        <v>1653</v>
      </c>
      <c r="N343" s="1786" t="s">
        <v>1653</v>
      </c>
      <c r="O343" s="1786">
        <v>0</v>
      </c>
      <c r="P343" s="1786"/>
      <c r="Q343" s="1786">
        <v>0</v>
      </c>
      <c r="R343" s="1788"/>
      <c r="S343" s="1786">
        <f t="shared" ref="S343:S406" si="61">AM343</f>
        <v>1478</v>
      </c>
      <c r="T343" s="1786" t="str">
        <f t="shared" ref="T343:T406" si="62">AN343</f>
        <v>הבנק הבינלאומי הראשון</v>
      </c>
      <c r="U343" s="1786" t="str">
        <f t="shared" ref="U343:U406" si="63">AL343</f>
        <v>הילה</v>
      </c>
      <c r="V343" s="1786" t="str">
        <f t="shared" ref="V343:V406" si="64">AQ343</f>
        <v>520007469</v>
      </c>
      <c r="W343" s="1789" t="str">
        <f t="shared" ref="W343:W406" si="65">AR343</f>
        <v>מנורה מבטחים פנסיה וגמל בע"מ</v>
      </c>
      <c r="AC343" s="1761" t="s">
        <v>346</v>
      </c>
      <c r="AD343" s="1761"/>
      <c r="AE343" s="1762">
        <v>40000</v>
      </c>
      <c r="AF343" s="1761" t="s">
        <v>4151</v>
      </c>
      <c r="AG343" s="1761" t="s">
        <v>3931</v>
      </c>
      <c r="AH343" s="1761" t="s">
        <v>3658</v>
      </c>
      <c r="AI343" s="1761" t="s">
        <v>4367</v>
      </c>
      <c r="AJ343" s="1761" t="s">
        <v>4366</v>
      </c>
      <c r="AK343" s="1761">
        <v>9796</v>
      </c>
      <c r="AL343" s="1761" t="s">
        <v>702</v>
      </c>
      <c r="AM343" s="1761">
        <v>1478</v>
      </c>
      <c r="AN343" s="1761" t="s">
        <v>5384</v>
      </c>
      <c r="AO343" s="1764"/>
      <c r="AP343" s="1761" t="s">
        <v>5377</v>
      </c>
      <c r="AQ343" s="1761" t="s">
        <v>5378</v>
      </c>
      <c r="AR343" s="1761" t="s">
        <v>2971</v>
      </c>
      <c r="AS343" s="1761" t="s">
        <v>396</v>
      </c>
      <c r="AT343" s="1761" t="s">
        <v>327</v>
      </c>
      <c r="AU343" s="1763"/>
      <c r="AV343" s="1763"/>
    </row>
    <row r="344" spans="1:48" ht="25" hidden="1">
      <c r="A344" s="1785" t="str">
        <f t="shared" si="55"/>
        <v>גמל</v>
      </c>
      <c r="B344" s="1786">
        <f t="shared" si="56"/>
        <v>9797</v>
      </c>
      <c r="C344" s="1787">
        <v>28946</v>
      </c>
      <c r="D344" s="1786" t="str">
        <f t="shared" si="57"/>
        <v>הילה לבני 50-60</v>
      </c>
      <c r="E344" s="1786" t="s">
        <v>3929</v>
      </c>
      <c r="F344" s="1786" t="s">
        <v>2958</v>
      </c>
      <c r="G344" s="1786" t="s">
        <v>2959</v>
      </c>
      <c r="H344" s="1786" t="str">
        <f t="shared" si="58"/>
        <v>פעיל</v>
      </c>
      <c r="I344" s="1788">
        <f t="shared" si="59"/>
        <v>40000</v>
      </c>
      <c r="J344" s="1788" t="str">
        <f t="shared" si="60"/>
        <v/>
      </c>
      <c r="K344" s="1786">
        <v>0</v>
      </c>
      <c r="L344" s="1786" t="s">
        <v>1594</v>
      </c>
      <c r="M344" s="1786" t="s">
        <v>1653</v>
      </c>
      <c r="N344" s="1786" t="s">
        <v>1653</v>
      </c>
      <c r="O344" s="1786">
        <v>0</v>
      </c>
      <c r="P344" s="1786"/>
      <c r="Q344" s="1786">
        <v>0</v>
      </c>
      <c r="R344" s="1788"/>
      <c r="S344" s="1786">
        <f t="shared" si="61"/>
        <v>1478</v>
      </c>
      <c r="T344" s="1786" t="str">
        <f t="shared" si="62"/>
        <v>הבנק הבינלאומי הראשון</v>
      </c>
      <c r="U344" s="1786" t="str">
        <f t="shared" si="63"/>
        <v>הילה</v>
      </c>
      <c r="V344" s="1786" t="str">
        <f t="shared" si="64"/>
        <v>520007469</v>
      </c>
      <c r="W344" s="1789" t="str">
        <f t="shared" si="65"/>
        <v>מנורה מבטחים פנסיה וגמל בע"מ</v>
      </c>
      <c r="AC344" s="1759" t="s">
        <v>346</v>
      </c>
      <c r="AD344" s="1759"/>
      <c r="AE344" s="1760">
        <v>40000</v>
      </c>
      <c r="AF344" s="1759" t="s">
        <v>3932</v>
      </c>
      <c r="AG344" s="1759" t="s">
        <v>3931</v>
      </c>
      <c r="AH344" s="1759" t="s">
        <v>3658</v>
      </c>
      <c r="AI344" s="1759" t="s">
        <v>4369</v>
      </c>
      <c r="AJ344" s="1759" t="s">
        <v>4368</v>
      </c>
      <c r="AK344" s="1759">
        <v>9797</v>
      </c>
      <c r="AL344" s="1759" t="s">
        <v>702</v>
      </c>
      <c r="AM344" s="1759">
        <v>1478</v>
      </c>
      <c r="AN344" s="1759" t="s">
        <v>5384</v>
      </c>
      <c r="AO344" s="1764"/>
      <c r="AP344" s="1759" t="s">
        <v>5377</v>
      </c>
      <c r="AQ344" s="1759" t="s">
        <v>5378</v>
      </c>
      <c r="AR344" s="1759" t="s">
        <v>2971</v>
      </c>
      <c r="AS344" s="1759" t="s">
        <v>396</v>
      </c>
      <c r="AT344" s="1759" t="s">
        <v>327</v>
      </c>
      <c r="AU344" s="1763"/>
      <c r="AV344" s="1763"/>
    </row>
    <row r="345" spans="1:48" ht="25" hidden="1">
      <c r="A345" s="1785" t="str">
        <f t="shared" si="55"/>
        <v>גמל</v>
      </c>
      <c r="B345" s="1786">
        <f t="shared" si="56"/>
        <v>2132</v>
      </c>
      <c r="C345" s="1787">
        <v>28946</v>
      </c>
      <c r="D345" s="1786" t="str">
        <f t="shared" si="57"/>
        <v>הילה קופ"ג לתגמולים ולפיצויים - אג"ח</v>
      </c>
      <c r="E345" s="1786" t="s">
        <v>3929</v>
      </c>
      <c r="F345" s="1786" t="s">
        <v>2958</v>
      </c>
      <c r="G345" s="1786" t="s">
        <v>2959</v>
      </c>
      <c r="H345" s="1786" t="str">
        <f t="shared" si="58"/>
        <v>לא פעיל</v>
      </c>
      <c r="I345" s="1788">
        <f t="shared" si="59"/>
        <v>40000</v>
      </c>
      <c r="J345" s="1788">
        <f t="shared" si="60"/>
        <v>42375.579710648097</v>
      </c>
      <c r="K345" s="1786">
        <v>0</v>
      </c>
      <c r="L345" s="1786" t="s">
        <v>1594</v>
      </c>
      <c r="M345" s="1786" t="s">
        <v>1653</v>
      </c>
      <c r="N345" s="1786" t="s">
        <v>1653</v>
      </c>
      <c r="O345" s="1786">
        <v>0</v>
      </c>
      <c r="P345" s="1786"/>
      <c r="Q345" s="1786">
        <v>0</v>
      </c>
      <c r="R345" s="1788"/>
      <c r="S345" s="1786">
        <f t="shared" si="61"/>
        <v>1478</v>
      </c>
      <c r="T345" s="1786" t="str">
        <f t="shared" si="62"/>
        <v>הבנק הבינלאומי הראשון</v>
      </c>
      <c r="U345" s="1786" t="str">
        <f t="shared" si="63"/>
        <v>הילה</v>
      </c>
      <c r="V345" s="1786" t="str">
        <f t="shared" si="64"/>
        <v>520007469</v>
      </c>
      <c r="W345" s="1789" t="str">
        <f t="shared" si="65"/>
        <v>מנורה מבטחים פנסיה וגמל בע"מ</v>
      </c>
      <c r="AC345" s="1761" t="s">
        <v>1586</v>
      </c>
      <c r="AD345" s="1762">
        <v>42375.579710648097</v>
      </c>
      <c r="AE345" s="1762">
        <v>40000</v>
      </c>
      <c r="AF345" s="1761" t="s">
        <v>1653</v>
      </c>
      <c r="AG345" s="1761" t="s">
        <v>1653</v>
      </c>
      <c r="AH345" s="1761" t="s">
        <v>1594</v>
      </c>
      <c r="AI345" s="1761" t="s">
        <v>3702</v>
      </c>
      <c r="AJ345" s="1761" t="s">
        <v>2597</v>
      </c>
      <c r="AK345" s="1761">
        <v>2132</v>
      </c>
      <c r="AL345" s="1761" t="s">
        <v>702</v>
      </c>
      <c r="AM345" s="1761">
        <v>1478</v>
      </c>
      <c r="AN345" s="1761" t="s">
        <v>5384</v>
      </c>
      <c r="AO345" s="1764"/>
      <c r="AP345" s="1761" t="s">
        <v>5377</v>
      </c>
      <c r="AQ345" s="1761" t="s">
        <v>5378</v>
      </c>
      <c r="AR345" s="1761" t="s">
        <v>2971</v>
      </c>
      <c r="AS345" s="1761" t="s">
        <v>396</v>
      </c>
      <c r="AT345" s="1761" t="s">
        <v>327</v>
      </c>
      <c r="AU345" s="1763"/>
      <c r="AV345" s="1763"/>
    </row>
    <row r="346" spans="1:48" ht="25" hidden="1">
      <c r="A346" s="1785" t="str">
        <f t="shared" si="55"/>
        <v>גמל</v>
      </c>
      <c r="B346" s="1786">
        <f t="shared" si="56"/>
        <v>1478</v>
      </c>
      <c r="C346" s="1787">
        <v>28946</v>
      </c>
      <c r="D346" s="1786" t="str">
        <f t="shared" si="57"/>
        <v>הילה קופ"ג לתגמולים ולפיצויים - כללי</v>
      </c>
      <c r="E346" s="1786" t="s">
        <v>3929</v>
      </c>
      <c r="F346" s="1786" t="s">
        <v>2958</v>
      </c>
      <c r="G346" s="1786" t="s">
        <v>2959</v>
      </c>
      <c r="H346" s="1786" t="str">
        <f t="shared" si="58"/>
        <v>לא פעיל</v>
      </c>
      <c r="I346" s="1788">
        <f t="shared" si="59"/>
        <v>40000</v>
      </c>
      <c r="J346" s="1788">
        <f t="shared" si="60"/>
        <v>42373.443009259303</v>
      </c>
      <c r="K346" s="1786">
        <v>0</v>
      </c>
      <c r="L346" s="1786" t="s">
        <v>1594</v>
      </c>
      <c r="M346" s="1786" t="s">
        <v>1653</v>
      </c>
      <c r="N346" s="1786" t="s">
        <v>1653</v>
      </c>
      <c r="O346" s="1786">
        <v>0</v>
      </c>
      <c r="P346" s="1786"/>
      <c r="Q346" s="1786">
        <v>0</v>
      </c>
      <c r="R346" s="1788"/>
      <c r="S346" s="1786">
        <f t="shared" si="61"/>
        <v>1478</v>
      </c>
      <c r="T346" s="1786" t="str">
        <f t="shared" si="62"/>
        <v>הבנק הבינלאומי הראשון</v>
      </c>
      <c r="U346" s="1786" t="str">
        <f t="shared" si="63"/>
        <v>הילה</v>
      </c>
      <c r="V346" s="1786" t="str">
        <f t="shared" si="64"/>
        <v>520007469</v>
      </c>
      <c r="W346" s="1789" t="str">
        <f t="shared" si="65"/>
        <v>מנורה מבטחים פנסיה וגמל בע"מ</v>
      </c>
      <c r="AC346" s="1759" t="s">
        <v>1586</v>
      </c>
      <c r="AD346" s="1760">
        <v>42373.443009259303</v>
      </c>
      <c r="AE346" s="1760">
        <v>40000</v>
      </c>
      <c r="AF346" s="1759" t="s">
        <v>1583</v>
      </c>
      <c r="AG346" s="1759" t="s">
        <v>1583</v>
      </c>
      <c r="AH346" s="1759" t="s">
        <v>1583</v>
      </c>
      <c r="AI346" s="1759" t="s">
        <v>3654</v>
      </c>
      <c r="AJ346" s="1759" t="s">
        <v>2590</v>
      </c>
      <c r="AK346" s="1759">
        <v>1478</v>
      </c>
      <c r="AL346" s="1759" t="s">
        <v>702</v>
      </c>
      <c r="AM346" s="1759">
        <v>1478</v>
      </c>
      <c r="AN346" s="1759" t="s">
        <v>5384</v>
      </c>
      <c r="AO346" s="1764"/>
      <c r="AP346" s="1759" t="s">
        <v>5377</v>
      </c>
      <c r="AQ346" s="1759" t="s">
        <v>5378</v>
      </c>
      <c r="AR346" s="1759" t="s">
        <v>2971</v>
      </c>
      <c r="AS346" s="1759" t="s">
        <v>396</v>
      </c>
      <c r="AT346" s="1759" t="s">
        <v>327</v>
      </c>
      <c r="AU346" s="1763"/>
      <c r="AV346" s="1763"/>
    </row>
    <row r="347" spans="1:48" ht="25" hidden="1">
      <c r="A347" s="1785" t="str">
        <f t="shared" si="55"/>
        <v>גמל</v>
      </c>
      <c r="B347" s="1786">
        <f t="shared" si="56"/>
        <v>9798</v>
      </c>
      <c r="C347" s="1787">
        <v>28946</v>
      </c>
      <c r="D347" s="1786" t="str">
        <f t="shared" si="57"/>
        <v>הילה לבני 60 ומעלה</v>
      </c>
      <c r="E347" s="1786" t="s">
        <v>3929</v>
      </c>
      <c r="F347" s="1786" t="s">
        <v>2958</v>
      </c>
      <c r="G347" s="1786" t="s">
        <v>2959</v>
      </c>
      <c r="H347" s="1786" t="str">
        <f t="shared" si="58"/>
        <v>פעיל</v>
      </c>
      <c r="I347" s="1788">
        <f t="shared" si="59"/>
        <v>40000</v>
      </c>
      <c r="J347" s="1788" t="str">
        <f t="shared" si="60"/>
        <v/>
      </c>
      <c r="K347" s="1786">
        <v>0</v>
      </c>
      <c r="L347" s="1786" t="s">
        <v>1594</v>
      </c>
      <c r="M347" s="1786" t="s">
        <v>1653</v>
      </c>
      <c r="N347" s="1786" t="s">
        <v>1653</v>
      </c>
      <c r="O347" s="1786">
        <v>0</v>
      </c>
      <c r="P347" s="1786"/>
      <c r="Q347" s="1786">
        <v>0</v>
      </c>
      <c r="R347" s="1788"/>
      <c r="S347" s="1786">
        <f t="shared" si="61"/>
        <v>1478</v>
      </c>
      <c r="T347" s="1786" t="str">
        <f t="shared" si="62"/>
        <v>הבנק הבינלאומי הראשון</v>
      </c>
      <c r="U347" s="1786" t="str">
        <f t="shared" si="63"/>
        <v>הילה</v>
      </c>
      <c r="V347" s="1786" t="str">
        <f t="shared" si="64"/>
        <v>520007469</v>
      </c>
      <c r="W347" s="1789" t="str">
        <f t="shared" si="65"/>
        <v>מנורה מבטחים פנסיה וגמל בע"מ</v>
      </c>
      <c r="AC347" s="1761" t="s">
        <v>346</v>
      </c>
      <c r="AD347" s="1761"/>
      <c r="AE347" s="1762">
        <v>40000</v>
      </c>
      <c r="AF347" s="1761" t="s">
        <v>3963</v>
      </c>
      <c r="AG347" s="1761" t="s">
        <v>3931</v>
      </c>
      <c r="AH347" s="1761" t="s">
        <v>3658</v>
      </c>
      <c r="AI347" s="1761" t="s">
        <v>4371</v>
      </c>
      <c r="AJ347" s="1761" t="s">
        <v>4370</v>
      </c>
      <c r="AK347" s="1761">
        <v>9798</v>
      </c>
      <c r="AL347" s="1761" t="s">
        <v>702</v>
      </c>
      <c r="AM347" s="1761">
        <v>1478</v>
      </c>
      <c r="AN347" s="1761" t="s">
        <v>5384</v>
      </c>
      <c r="AO347" s="1764"/>
      <c r="AP347" s="1761" t="s">
        <v>5377</v>
      </c>
      <c r="AQ347" s="1761" t="s">
        <v>5378</v>
      </c>
      <c r="AR347" s="1761" t="s">
        <v>2971</v>
      </c>
      <c r="AS347" s="1761" t="s">
        <v>396</v>
      </c>
      <c r="AT347" s="1761" t="s">
        <v>327</v>
      </c>
      <c r="AU347" s="1763"/>
      <c r="AV347" s="1763"/>
    </row>
    <row r="348" spans="1:48" ht="25" hidden="1">
      <c r="A348" s="1785" t="str">
        <f t="shared" si="55"/>
        <v>גמל</v>
      </c>
      <c r="B348" s="1786">
        <f t="shared" si="56"/>
        <v>1464</v>
      </c>
      <c r="C348" s="1787">
        <v>28946</v>
      </c>
      <c r="D348" s="1786" t="str">
        <f t="shared" si="57"/>
        <v>תלם השתלמות - מסלול מניות</v>
      </c>
      <c r="E348" s="1786" t="s">
        <v>3929</v>
      </c>
      <c r="F348" s="1786" t="s">
        <v>2958</v>
      </c>
      <c r="G348" s="1786" t="s">
        <v>2959</v>
      </c>
      <c r="H348" s="1786" t="str">
        <f t="shared" si="58"/>
        <v>לא פעיל</v>
      </c>
      <c r="I348" s="1788">
        <f t="shared" si="59"/>
        <v>39877</v>
      </c>
      <c r="J348" s="1788">
        <f t="shared" si="60"/>
        <v>40917.641597222202</v>
      </c>
      <c r="K348" s="1786">
        <v>0</v>
      </c>
      <c r="L348" s="1786" t="s">
        <v>1594</v>
      </c>
      <c r="M348" s="1786" t="s">
        <v>1653</v>
      </c>
      <c r="N348" s="1786" t="s">
        <v>1653</v>
      </c>
      <c r="O348" s="1786">
        <v>0</v>
      </c>
      <c r="P348" s="1786"/>
      <c r="Q348" s="1786">
        <v>0</v>
      </c>
      <c r="R348" s="1788"/>
      <c r="S348" s="1786">
        <f t="shared" si="61"/>
        <v>1463</v>
      </c>
      <c r="T348" s="1786" t="str">
        <f t="shared" si="62"/>
        <v>בנק יהב לעובדי המדינה בע"מ</v>
      </c>
      <c r="U348" s="1786" t="str">
        <f t="shared" si="63"/>
        <v>תלם השתלמות - מסלול כללי</v>
      </c>
      <c r="V348" s="1786" t="str">
        <f t="shared" si="64"/>
        <v>513163105</v>
      </c>
      <c r="W348" s="1789" t="str">
        <f t="shared" si="65"/>
        <v>הלמן - אלדובי קופות גמל ופנסיה בע"מ</v>
      </c>
      <c r="AC348" s="1759" t="s">
        <v>1586</v>
      </c>
      <c r="AD348" s="1760">
        <v>40917.641597222202</v>
      </c>
      <c r="AE348" s="1760">
        <v>39877</v>
      </c>
      <c r="AF348" s="1759" t="s">
        <v>1595</v>
      </c>
      <c r="AG348" s="1759" t="s">
        <v>75</v>
      </c>
      <c r="AH348" s="1759" t="s">
        <v>1594</v>
      </c>
      <c r="AI348" s="1759" t="s">
        <v>3651</v>
      </c>
      <c r="AJ348" s="1759" t="s">
        <v>2488</v>
      </c>
      <c r="AK348" s="1759">
        <v>1464</v>
      </c>
      <c r="AL348" s="1759" t="s">
        <v>2486</v>
      </c>
      <c r="AM348" s="1759">
        <v>1463</v>
      </c>
      <c r="AN348" s="1759" t="s">
        <v>5517</v>
      </c>
      <c r="AO348" s="1764"/>
      <c r="AP348" s="1759" t="s">
        <v>5371</v>
      </c>
      <c r="AQ348" s="1759" t="s">
        <v>5372</v>
      </c>
      <c r="AR348" s="1759" t="s">
        <v>354</v>
      </c>
      <c r="AS348" s="1759" t="s">
        <v>355</v>
      </c>
      <c r="AT348" s="1759" t="s">
        <v>327</v>
      </c>
      <c r="AU348" s="1763"/>
      <c r="AV348" s="1763"/>
    </row>
    <row r="349" spans="1:48" ht="25" hidden="1">
      <c r="A349" s="1785" t="str">
        <f t="shared" si="55"/>
        <v>גמל</v>
      </c>
      <c r="B349" s="1786">
        <f t="shared" si="56"/>
        <v>1463</v>
      </c>
      <c r="C349" s="1787">
        <v>28946</v>
      </c>
      <c r="D349" s="1786" t="str">
        <f t="shared" si="57"/>
        <v>תלם השתלמות - מסלול כללי</v>
      </c>
      <c r="E349" s="1786" t="s">
        <v>3929</v>
      </c>
      <c r="F349" s="1786" t="s">
        <v>2958</v>
      </c>
      <c r="G349" s="1786" t="s">
        <v>2959</v>
      </c>
      <c r="H349" s="1786" t="str">
        <f t="shared" si="58"/>
        <v>לא פעיל</v>
      </c>
      <c r="I349" s="1788">
        <f t="shared" si="59"/>
        <v>39877</v>
      </c>
      <c r="J349" s="1788">
        <f t="shared" si="60"/>
        <v>40917.641319444403</v>
      </c>
      <c r="K349" s="1786">
        <v>0</v>
      </c>
      <c r="L349" s="1786" t="s">
        <v>1594</v>
      </c>
      <c r="M349" s="1786" t="s">
        <v>1653</v>
      </c>
      <c r="N349" s="1786" t="s">
        <v>1653</v>
      </c>
      <c r="O349" s="1786">
        <v>0</v>
      </c>
      <c r="P349" s="1786"/>
      <c r="Q349" s="1786">
        <v>0</v>
      </c>
      <c r="R349" s="1788"/>
      <c r="S349" s="1786">
        <f t="shared" si="61"/>
        <v>1463</v>
      </c>
      <c r="T349" s="1786" t="str">
        <f t="shared" si="62"/>
        <v>בנק יהב לעובדי המדינה בע"מ</v>
      </c>
      <c r="U349" s="1786" t="str">
        <f t="shared" si="63"/>
        <v>תלם השתלמות - מסלול כללי</v>
      </c>
      <c r="V349" s="1786" t="str">
        <f t="shared" si="64"/>
        <v>513163105</v>
      </c>
      <c r="W349" s="1789" t="str">
        <f t="shared" si="65"/>
        <v>הלמן - אלדובי קופות גמל ופנסיה בע"מ</v>
      </c>
      <c r="AC349" s="1761" t="s">
        <v>1586</v>
      </c>
      <c r="AD349" s="1762">
        <v>40917.641319444403</v>
      </c>
      <c r="AE349" s="1762">
        <v>39877</v>
      </c>
      <c r="AF349" s="1761" t="s">
        <v>1583</v>
      </c>
      <c r="AG349" s="1761" t="s">
        <v>1583</v>
      </c>
      <c r="AH349" s="1761" t="s">
        <v>1583</v>
      </c>
      <c r="AI349" s="1761" t="s">
        <v>3650</v>
      </c>
      <c r="AJ349" s="1761" t="s">
        <v>2486</v>
      </c>
      <c r="AK349" s="1761">
        <v>1463</v>
      </c>
      <c r="AL349" s="1761" t="s">
        <v>2486</v>
      </c>
      <c r="AM349" s="1761">
        <v>1463</v>
      </c>
      <c r="AN349" s="1761" t="s">
        <v>5517</v>
      </c>
      <c r="AO349" s="1764"/>
      <c r="AP349" s="1761" t="s">
        <v>5371</v>
      </c>
      <c r="AQ349" s="1761" t="s">
        <v>5372</v>
      </c>
      <c r="AR349" s="1761" t="s">
        <v>354</v>
      </c>
      <c r="AS349" s="1761" t="s">
        <v>355</v>
      </c>
      <c r="AT349" s="1761" t="s">
        <v>327</v>
      </c>
      <c r="AU349" s="1763"/>
      <c r="AV349" s="1763"/>
    </row>
    <row r="350" spans="1:48" ht="25" hidden="1">
      <c r="A350" s="1785" t="str">
        <f t="shared" si="55"/>
        <v>גמל</v>
      </c>
      <c r="B350" s="1786">
        <f t="shared" si="56"/>
        <v>1461</v>
      </c>
      <c r="C350" s="1787">
        <v>28946</v>
      </c>
      <c r="D350" s="1786" t="str">
        <f t="shared" si="57"/>
        <v>תלם השתלמות  -מסלול קצר ללא מניות</v>
      </c>
      <c r="E350" s="1786" t="s">
        <v>3929</v>
      </c>
      <c r="F350" s="1786" t="s">
        <v>2958</v>
      </c>
      <c r="G350" s="1786" t="s">
        <v>2959</v>
      </c>
      <c r="H350" s="1786" t="str">
        <f t="shared" si="58"/>
        <v>לא פעיל</v>
      </c>
      <c r="I350" s="1788">
        <f t="shared" si="59"/>
        <v>39877</v>
      </c>
      <c r="J350" s="1788">
        <f t="shared" si="60"/>
        <v>40917.640902777799</v>
      </c>
      <c r="K350" s="1786">
        <v>0</v>
      </c>
      <c r="L350" s="1786" t="s">
        <v>1594</v>
      </c>
      <c r="M350" s="1786" t="s">
        <v>1653</v>
      </c>
      <c r="N350" s="1786" t="s">
        <v>1653</v>
      </c>
      <c r="O350" s="1786">
        <v>0</v>
      </c>
      <c r="P350" s="1786"/>
      <c r="Q350" s="1786">
        <v>0</v>
      </c>
      <c r="R350" s="1788"/>
      <c r="S350" s="1786">
        <f t="shared" si="61"/>
        <v>1463</v>
      </c>
      <c r="T350" s="1786" t="str">
        <f t="shared" si="62"/>
        <v>בנק יהב לעובדי המדינה בע"מ</v>
      </c>
      <c r="U350" s="1786" t="str">
        <f t="shared" si="63"/>
        <v>תלם השתלמות - מסלול כללי</v>
      </c>
      <c r="V350" s="1786" t="str">
        <f t="shared" si="64"/>
        <v>513163105</v>
      </c>
      <c r="W350" s="1789" t="str">
        <f t="shared" si="65"/>
        <v>הלמן - אלדובי קופות גמל ופנסיה בע"מ</v>
      </c>
      <c r="AC350" s="1759" t="s">
        <v>1586</v>
      </c>
      <c r="AD350" s="1760">
        <v>40917.640902777799</v>
      </c>
      <c r="AE350" s="1760">
        <v>39877</v>
      </c>
      <c r="AF350" s="1759" t="s">
        <v>1681</v>
      </c>
      <c r="AG350" s="1759" t="s">
        <v>1583</v>
      </c>
      <c r="AH350" s="1759" t="s">
        <v>1583</v>
      </c>
      <c r="AI350" s="1759" t="s">
        <v>3648</v>
      </c>
      <c r="AJ350" s="1759" t="s">
        <v>2485</v>
      </c>
      <c r="AK350" s="1759">
        <v>1461</v>
      </c>
      <c r="AL350" s="1759" t="s">
        <v>2486</v>
      </c>
      <c r="AM350" s="1759">
        <v>1463</v>
      </c>
      <c r="AN350" s="1759" t="s">
        <v>5517</v>
      </c>
      <c r="AO350" s="1764"/>
      <c r="AP350" s="1759" t="s">
        <v>5371</v>
      </c>
      <c r="AQ350" s="1759" t="s">
        <v>5372</v>
      </c>
      <c r="AR350" s="1759" t="s">
        <v>354</v>
      </c>
      <c r="AS350" s="1759" t="s">
        <v>355</v>
      </c>
      <c r="AT350" s="1759" t="s">
        <v>327</v>
      </c>
      <c r="AU350" s="1763"/>
      <c r="AV350" s="1763"/>
    </row>
    <row r="351" spans="1:48" ht="25" hidden="1">
      <c r="A351" s="1785" t="str">
        <f t="shared" si="55"/>
        <v>גמל</v>
      </c>
      <c r="B351" s="1786">
        <f t="shared" si="56"/>
        <v>1462</v>
      </c>
      <c r="C351" s="1787">
        <v>28946</v>
      </c>
      <c r="D351" s="1786" t="str">
        <f t="shared" si="57"/>
        <v>תלם השתלמות - מסלול 90% אג"ח</v>
      </c>
      <c r="E351" s="1786" t="s">
        <v>3929</v>
      </c>
      <c r="F351" s="1786" t="s">
        <v>2958</v>
      </c>
      <c r="G351" s="1786" t="s">
        <v>2959</v>
      </c>
      <c r="H351" s="1786" t="str">
        <f t="shared" si="58"/>
        <v>לא פעיל</v>
      </c>
      <c r="I351" s="1788">
        <f t="shared" si="59"/>
        <v>39877</v>
      </c>
      <c r="J351" s="1788">
        <f t="shared" si="60"/>
        <v>40917.641446759299</v>
      </c>
      <c r="K351" s="1786">
        <v>0</v>
      </c>
      <c r="L351" s="1786" t="s">
        <v>1594</v>
      </c>
      <c r="M351" s="1786" t="s">
        <v>1653</v>
      </c>
      <c r="N351" s="1786" t="s">
        <v>1653</v>
      </c>
      <c r="O351" s="1786">
        <v>0</v>
      </c>
      <c r="P351" s="1786"/>
      <c r="Q351" s="1786">
        <v>0</v>
      </c>
      <c r="R351" s="1788"/>
      <c r="S351" s="1786">
        <f t="shared" si="61"/>
        <v>1463</v>
      </c>
      <c r="T351" s="1786" t="str">
        <f t="shared" si="62"/>
        <v>בנק יהב לעובדי המדינה בע"מ</v>
      </c>
      <c r="U351" s="1786" t="str">
        <f t="shared" si="63"/>
        <v>תלם השתלמות - מסלול כללי</v>
      </c>
      <c r="V351" s="1786" t="str">
        <f t="shared" si="64"/>
        <v>513163105</v>
      </c>
      <c r="W351" s="1789" t="str">
        <f t="shared" si="65"/>
        <v>הלמן - אלדובי קופות גמל ופנסיה בע"מ</v>
      </c>
      <c r="AC351" s="1761" t="s">
        <v>1586</v>
      </c>
      <c r="AD351" s="1762">
        <v>40917.641446759299</v>
      </c>
      <c r="AE351" s="1762">
        <v>39877</v>
      </c>
      <c r="AF351" s="1761" t="s">
        <v>1653</v>
      </c>
      <c r="AG351" s="1761" t="s">
        <v>1653</v>
      </c>
      <c r="AH351" s="1761" t="s">
        <v>1594</v>
      </c>
      <c r="AI351" s="1761" t="s">
        <v>3649</v>
      </c>
      <c r="AJ351" s="1761" t="s">
        <v>2487</v>
      </c>
      <c r="AK351" s="1761">
        <v>1462</v>
      </c>
      <c r="AL351" s="1761" t="s">
        <v>2486</v>
      </c>
      <c r="AM351" s="1761">
        <v>1463</v>
      </c>
      <c r="AN351" s="1761" t="s">
        <v>5517</v>
      </c>
      <c r="AO351" s="1764"/>
      <c r="AP351" s="1761" t="s">
        <v>5371</v>
      </c>
      <c r="AQ351" s="1761" t="s">
        <v>5372</v>
      </c>
      <c r="AR351" s="1761" t="s">
        <v>354</v>
      </c>
      <c r="AS351" s="1761" t="s">
        <v>355</v>
      </c>
      <c r="AT351" s="1761" t="s">
        <v>327</v>
      </c>
      <c r="AU351" s="1763"/>
      <c r="AV351" s="1763"/>
    </row>
    <row r="352" spans="1:48" ht="25" hidden="1">
      <c r="A352" s="1785" t="str">
        <f t="shared" si="55"/>
        <v>גמל</v>
      </c>
      <c r="B352" s="1786">
        <f t="shared" si="56"/>
        <v>1449</v>
      </c>
      <c r="C352" s="1787">
        <v>28946</v>
      </c>
      <c r="D352" s="1786" t="str">
        <f t="shared" si="57"/>
        <v>מיטב וויזר מרכזית לפיצויים אג"ח ממשלתי</v>
      </c>
      <c r="E352" s="1786" t="s">
        <v>3929</v>
      </c>
      <c r="F352" s="1786" t="s">
        <v>2958</v>
      </c>
      <c r="G352" s="1786" t="s">
        <v>2959</v>
      </c>
      <c r="H352" s="1786" t="str">
        <f t="shared" si="58"/>
        <v>לא פעיל</v>
      </c>
      <c r="I352" s="1788">
        <f t="shared" si="59"/>
        <v>39847</v>
      </c>
      <c r="J352" s="1788">
        <f t="shared" si="60"/>
        <v>40633</v>
      </c>
      <c r="K352" s="1786">
        <v>0</v>
      </c>
      <c r="L352" s="1786" t="s">
        <v>1594</v>
      </c>
      <c r="M352" s="1786" t="s">
        <v>1653</v>
      </c>
      <c r="N352" s="1786" t="s">
        <v>1653</v>
      </c>
      <c r="O352" s="1786">
        <v>0</v>
      </c>
      <c r="P352" s="1786"/>
      <c r="Q352" s="1786">
        <v>0</v>
      </c>
      <c r="R352" s="1788"/>
      <c r="S352" s="1786">
        <f t="shared" si="61"/>
        <v>1449</v>
      </c>
      <c r="T352" s="1786" t="str">
        <f t="shared" si="62"/>
        <v>בנק הפועלים בע"מ</v>
      </c>
      <c r="U352" s="1786" t="str">
        <f t="shared" si="63"/>
        <v>מיטב וויזר מרכזית לפיצויים אג"ח ממשלתי</v>
      </c>
      <c r="V352" s="1786">
        <f t="shared" si="64"/>
        <v>0</v>
      </c>
      <c r="W352" s="1789" t="str">
        <f t="shared" si="65"/>
        <v>מיטב גמל ופנסיה בע"מ</v>
      </c>
      <c r="AC352" s="1759" t="s">
        <v>1586</v>
      </c>
      <c r="AD352" s="1760">
        <v>40633</v>
      </c>
      <c r="AE352" s="1760">
        <v>39847</v>
      </c>
      <c r="AF352" s="1759" t="s">
        <v>2009</v>
      </c>
      <c r="AG352" s="1759" t="s">
        <v>1653</v>
      </c>
      <c r="AH352" s="1759" t="s">
        <v>1594</v>
      </c>
      <c r="AI352" s="1759" t="s">
        <v>2472</v>
      </c>
      <c r="AJ352" s="1759" t="s">
        <v>2472</v>
      </c>
      <c r="AK352" s="1759">
        <v>1449</v>
      </c>
      <c r="AL352" s="1759" t="s">
        <v>2472</v>
      </c>
      <c r="AM352" s="1759">
        <v>1449</v>
      </c>
      <c r="AN352" s="1759" t="s">
        <v>1695</v>
      </c>
      <c r="AO352" s="1764"/>
      <c r="AP352" s="1759"/>
      <c r="AQ352" s="1759"/>
      <c r="AR352" s="1759" t="s">
        <v>365</v>
      </c>
      <c r="AS352" s="1759" t="s">
        <v>366</v>
      </c>
      <c r="AT352" s="1759" t="s">
        <v>327</v>
      </c>
      <c r="AU352" s="1763"/>
      <c r="AV352" s="1763"/>
    </row>
    <row r="353" spans="1:48" ht="25" hidden="1">
      <c r="A353" s="1785" t="str">
        <f t="shared" si="55"/>
        <v>גמל</v>
      </c>
      <c r="B353" s="1786">
        <f t="shared" si="56"/>
        <v>1448</v>
      </c>
      <c r="C353" s="1787">
        <v>28946</v>
      </c>
      <c r="D353" s="1786" t="str">
        <f t="shared" si="57"/>
        <v>מיטב וויזר גמל אג"ח ממשלתי</v>
      </c>
      <c r="E353" s="1786" t="s">
        <v>3929</v>
      </c>
      <c r="F353" s="1786" t="s">
        <v>2958</v>
      </c>
      <c r="G353" s="1786" t="s">
        <v>2959</v>
      </c>
      <c r="H353" s="1786" t="str">
        <f t="shared" si="58"/>
        <v>לא פעיל</v>
      </c>
      <c r="I353" s="1788">
        <f t="shared" si="59"/>
        <v>39883</v>
      </c>
      <c r="J353" s="1788">
        <f t="shared" si="60"/>
        <v>40633</v>
      </c>
      <c r="K353" s="1786">
        <v>0</v>
      </c>
      <c r="L353" s="1786" t="s">
        <v>1594</v>
      </c>
      <c r="M353" s="1786" t="s">
        <v>1653</v>
      </c>
      <c r="N353" s="1786" t="s">
        <v>1653</v>
      </c>
      <c r="O353" s="1786">
        <v>0</v>
      </c>
      <c r="P353" s="1786"/>
      <c r="Q353" s="1786">
        <v>0</v>
      </c>
      <c r="R353" s="1788"/>
      <c r="S353" s="1786">
        <f t="shared" si="61"/>
        <v>1448</v>
      </c>
      <c r="T353" s="1786" t="str">
        <f t="shared" si="62"/>
        <v>בנק הפועלים בע"מ</v>
      </c>
      <c r="U353" s="1786" t="str">
        <f t="shared" si="63"/>
        <v>מיטב וויזר גמל אג"ח ממשלתי</v>
      </c>
      <c r="V353" s="1786">
        <f t="shared" si="64"/>
        <v>0</v>
      </c>
      <c r="W353" s="1789" t="str">
        <f t="shared" si="65"/>
        <v>מיטב גמל ופנסיה בע"מ</v>
      </c>
      <c r="AC353" s="1761" t="s">
        <v>1586</v>
      </c>
      <c r="AD353" s="1762">
        <v>40633</v>
      </c>
      <c r="AE353" s="1762">
        <v>39883</v>
      </c>
      <c r="AF353" s="1761" t="s">
        <v>2009</v>
      </c>
      <c r="AG353" s="1761" t="s">
        <v>1653</v>
      </c>
      <c r="AH353" s="1761" t="s">
        <v>1594</v>
      </c>
      <c r="AI353" s="1761" t="s">
        <v>2471</v>
      </c>
      <c r="AJ353" s="1761" t="s">
        <v>2471</v>
      </c>
      <c r="AK353" s="1761">
        <v>1448</v>
      </c>
      <c r="AL353" s="1761" t="s">
        <v>2471</v>
      </c>
      <c r="AM353" s="1761">
        <v>1448</v>
      </c>
      <c r="AN353" s="1761" t="s">
        <v>1695</v>
      </c>
      <c r="AO353" s="1764"/>
      <c r="AP353" s="1761"/>
      <c r="AQ353" s="1761"/>
      <c r="AR353" s="1761" t="s">
        <v>365</v>
      </c>
      <c r="AS353" s="1761" t="s">
        <v>366</v>
      </c>
      <c r="AT353" s="1761" t="s">
        <v>327</v>
      </c>
      <c r="AU353" s="1763"/>
      <c r="AV353" s="1763"/>
    </row>
    <row r="354" spans="1:48" ht="25" hidden="1">
      <c r="A354" s="1785" t="str">
        <f t="shared" si="55"/>
        <v>גמל</v>
      </c>
      <c r="B354" s="1786">
        <f t="shared" si="56"/>
        <v>1432</v>
      </c>
      <c r="C354" s="1787">
        <v>28946</v>
      </c>
      <c r="D354" s="1786" t="str">
        <f t="shared" si="57"/>
        <v>הדס ארזים משתלמת מסלול כספית</v>
      </c>
      <c r="E354" s="1786" t="s">
        <v>3929</v>
      </c>
      <c r="F354" s="1786" t="s">
        <v>2958</v>
      </c>
      <c r="G354" s="1786" t="s">
        <v>2959</v>
      </c>
      <c r="H354" s="1786" t="str">
        <f t="shared" si="58"/>
        <v>לא פעיל</v>
      </c>
      <c r="I354" s="1788">
        <f t="shared" si="59"/>
        <v>39796</v>
      </c>
      <c r="J354" s="1788">
        <f t="shared" si="60"/>
        <v>41547.521307870396</v>
      </c>
      <c r="K354" s="1786">
        <v>0</v>
      </c>
      <c r="L354" s="1786" t="s">
        <v>1594</v>
      </c>
      <c r="M354" s="1786" t="s">
        <v>1653</v>
      </c>
      <c r="N354" s="1786" t="s">
        <v>1653</v>
      </c>
      <c r="O354" s="1786">
        <v>0</v>
      </c>
      <c r="P354" s="1786"/>
      <c r="Q354" s="1786">
        <v>0</v>
      </c>
      <c r="R354" s="1788"/>
      <c r="S354" s="1786">
        <f t="shared" si="61"/>
        <v>1432</v>
      </c>
      <c r="T354" s="1786" t="str">
        <f t="shared" si="62"/>
        <v>בנק הפועלים בע"מ</v>
      </c>
      <c r="U354" s="1786" t="str">
        <f t="shared" si="63"/>
        <v>הדס ארזים משתלמת מסלול כספית</v>
      </c>
      <c r="V354" s="1786" t="str">
        <f t="shared" si="64"/>
        <v>513163105</v>
      </c>
      <c r="W354" s="1789" t="str">
        <f t="shared" si="65"/>
        <v>הלמן - אלדובי קופות גמל ופנסיה בע"מ</v>
      </c>
      <c r="AC354" s="1759" t="s">
        <v>1586</v>
      </c>
      <c r="AD354" s="1760">
        <v>41547.521307870396</v>
      </c>
      <c r="AE354" s="1760">
        <v>39796</v>
      </c>
      <c r="AF354" s="1759" t="s">
        <v>2409</v>
      </c>
      <c r="AG354" s="1759" t="s">
        <v>1614</v>
      </c>
      <c r="AH354" s="1759" t="s">
        <v>1594</v>
      </c>
      <c r="AI354" s="1759" t="s">
        <v>701</v>
      </c>
      <c r="AJ354" s="1759" t="s">
        <v>701</v>
      </c>
      <c r="AK354" s="1759">
        <v>1432</v>
      </c>
      <c r="AL354" s="1759" t="s">
        <v>701</v>
      </c>
      <c r="AM354" s="1759">
        <v>1432</v>
      </c>
      <c r="AN354" s="1759" t="s">
        <v>1695</v>
      </c>
      <c r="AO354" s="1764"/>
      <c r="AP354" s="1759" t="s">
        <v>5371</v>
      </c>
      <c r="AQ354" s="1759" t="s">
        <v>5372</v>
      </c>
      <c r="AR354" s="1759" t="s">
        <v>354</v>
      </c>
      <c r="AS354" s="1759" t="s">
        <v>355</v>
      </c>
      <c r="AT354" s="1759" t="s">
        <v>327</v>
      </c>
      <c r="AU354" s="1763"/>
      <c r="AV354" s="1763"/>
    </row>
    <row r="355" spans="1:48" ht="25" hidden="1">
      <c r="A355" s="1785" t="str">
        <f t="shared" si="55"/>
        <v>גמל</v>
      </c>
      <c r="B355" s="1786">
        <f t="shared" si="56"/>
        <v>1435</v>
      </c>
      <c r="C355" s="1787">
        <v>28946</v>
      </c>
      <c r="D355" s="1786" t="str">
        <f t="shared" si="57"/>
        <v>הדס ארזים משתלמת מסלול זהב</v>
      </c>
      <c r="E355" s="1786" t="s">
        <v>3929</v>
      </c>
      <c r="F355" s="1786" t="s">
        <v>2958</v>
      </c>
      <c r="G355" s="1786" t="s">
        <v>2959</v>
      </c>
      <c r="H355" s="1786" t="str">
        <f t="shared" si="58"/>
        <v>לא פעיל</v>
      </c>
      <c r="I355" s="1788">
        <f t="shared" si="59"/>
        <v>39796</v>
      </c>
      <c r="J355" s="1788">
        <f t="shared" si="60"/>
        <v>41547.521307870396</v>
      </c>
      <c r="K355" s="1786">
        <v>0</v>
      </c>
      <c r="L355" s="1786" t="s">
        <v>1594</v>
      </c>
      <c r="M355" s="1786" t="s">
        <v>1653</v>
      </c>
      <c r="N355" s="1786" t="s">
        <v>1653</v>
      </c>
      <c r="O355" s="1786">
        <v>0</v>
      </c>
      <c r="P355" s="1786"/>
      <c r="Q355" s="1786">
        <v>0</v>
      </c>
      <c r="R355" s="1788"/>
      <c r="S355" s="1786">
        <f t="shared" si="61"/>
        <v>1432</v>
      </c>
      <c r="T355" s="1786" t="str">
        <f t="shared" si="62"/>
        <v>בנק הפועלים בע"מ</v>
      </c>
      <c r="U355" s="1786" t="str">
        <f t="shared" si="63"/>
        <v>הדס ארזים משתלמת מסלול כספית</v>
      </c>
      <c r="V355" s="1786" t="str">
        <f t="shared" si="64"/>
        <v>513163105</v>
      </c>
      <c r="W355" s="1789" t="str">
        <f t="shared" si="65"/>
        <v>הלמן - אלדובי קופות גמל ופנסיה בע"מ</v>
      </c>
      <c r="AC355" s="1761" t="s">
        <v>1586</v>
      </c>
      <c r="AD355" s="1762">
        <v>41547.521307870396</v>
      </c>
      <c r="AE355" s="1762">
        <v>39796</v>
      </c>
      <c r="AF355" s="1761" t="s">
        <v>1583</v>
      </c>
      <c r="AG355" s="1761" t="s">
        <v>1583</v>
      </c>
      <c r="AH355" s="1761" t="s">
        <v>1583</v>
      </c>
      <c r="AI355" s="1761" t="s">
        <v>2465</v>
      </c>
      <c r="AJ355" s="1761" t="s">
        <v>2465</v>
      </c>
      <c r="AK355" s="1761">
        <v>1435</v>
      </c>
      <c r="AL355" s="1761" t="s">
        <v>701</v>
      </c>
      <c r="AM355" s="1761">
        <v>1432</v>
      </c>
      <c r="AN355" s="1761" t="s">
        <v>1695</v>
      </c>
      <c r="AO355" s="1764"/>
      <c r="AP355" s="1761" t="s">
        <v>5371</v>
      </c>
      <c r="AQ355" s="1761" t="s">
        <v>5372</v>
      </c>
      <c r="AR355" s="1761" t="s">
        <v>354</v>
      </c>
      <c r="AS355" s="1761" t="s">
        <v>355</v>
      </c>
      <c r="AT355" s="1761" t="s">
        <v>327</v>
      </c>
      <c r="AU355" s="1763"/>
      <c r="AV355" s="1763"/>
    </row>
    <row r="356" spans="1:48" ht="25" hidden="1">
      <c r="A356" s="1785" t="str">
        <f t="shared" si="55"/>
        <v>גמל</v>
      </c>
      <c r="B356" s="1786">
        <f t="shared" si="56"/>
        <v>1421</v>
      </c>
      <c r="C356" s="1787">
        <v>28946</v>
      </c>
      <c r="D356" s="1786" t="str">
        <f t="shared" si="57"/>
        <v>מיטב השתלמות מסלול אג"ח ממשלתי קצר</v>
      </c>
      <c r="E356" s="1786" t="s">
        <v>3929</v>
      </c>
      <c r="F356" s="1786" t="s">
        <v>2958</v>
      </c>
      <c r="G356" s="1786" t="s">
        <v>2959</v>
      </c>
      <c r="H356" s="1786" t="str">
        <f t="shared" si="58"/>
        <v>לא פעיל</v>
      </c>
      <c r="I356" s="1788">
        <f t="shared" si="59"/>
        <v>39783</v>
      </c>
      <c r="J356" s="1788">
        <f t="shared" si="60"/>
        <v>40072.841215277796</v>
      </c>
      <c r="K356" s="1786">
        <v>0</v>
      </c>
      <c r="L356" s="1786" t="s">
        <v>1594</v>
      </c>
      <c r="M356" s="1786" t="s">
        <v>1653</v>
      </c>
      <c r="N356" s="1786" t="s">
        <v>1653</v>
      </c>
      <c r="O356" s="1786">
        <v>0</v>
      </c>
      <c r="P356" s="1786"/>
      <c r="Q356" s="1786">
        <v>0</v>
      </c>
      <c r="R356" s="1788"/>
      <c r="S356" s="1786">
        <f t="shared" si="61"/>
        <v>1421</v>
      </c>
      <c r="T356" s="1786" t="str">
        <f t="shared" si="62"/>
        <v>בנק לאומי בע"מ</v>
      </c>
      <c r="U356" s="1786" t="str">
        <f t="shared" si="63"/>
        <v>מיטב השתלמות מסלול אג"ח ממשלתי קצר</v>
      </c>
      <c r="V356" s="1786">
        <f t="shared" si="64"/>
        <v>0</v>
      </c>
      <c r="W356" s="1789" t="str">
        <f t="shared" si="65"/>
        <v>מיטב גמל ופנסיה בע"מ</v>
      </c>
      <c r="AC356" s="1759" t="s">
        <v>1586</v>
      </c>
      <c r="AD356" s="1760">
        <v>40072.841215277796</v>
      </c>
      <c r="AE356" s="1760">
        <v>39783</v>
      </c>
      <c r="AF356" s="1759" t="s">
        <v>2009</v>
      </c>
      <c r="AG356" s="1759" t="s">
        <v>1653</v>
      </c>
      <c r="AH356" s="1759" t="s">
        <v>1594</v>
      </c>
      <c r="AI356" s="1759" t="s">
        <v>3634</v>
      </c>
      <c r="AJ356" s="1759" t="s">
        <v>2457</v>
      </c>
      <c r="AK356" s="1759">
        <v>1421</v>
      </c>
      <c r="AL356" s="1759" t="s">
        <v>2457</v>
      </c>
      <c r="AM356" s="1759">
        <v>1421</v>
      </c>
      <c r="AN356" s="1759" t="s">
        <v>5470</v>
      </c>
      <c r="AO356" s="1764"/>
      <c r="AP356" s="1759"/>
      <c r="AQ356" s="1759"/>
      <c r="AR356" s="1759" t="s">
        <v>365</v>
      </c>
      <c r="AS356" s="1759" t="s">
        <v>366</v>
      </c>
      <c r="AT356" s="1759" t="s">
        <v>327</v>
      </c>
      <c r="AU356" s="1763"/>
      <c r="AV356" s="1763"/>
    </row>
    <row r="357" spans="1:48" ht="25" hidden="1">
      <c r="A357" s="1785" t="str">
        <f t="shared" si="55"/>
        <v>גמל</v>
      </c>
      <c r="B357" s="1786">
        <f t="shared" si="56"/>
        <v>1420</v>
      </c>
      <c r="C357" s="1787">
        <v>28946</v>
      </c>
      <c r="D357" s="1786" t="str">
        <f t="shared" si="57"/>
        <v>מיטב תגמולים מסלול אג"ח ממשלתי קצר</v>
      </c>
      <c r="E357" s="1786" t="s">
        <v>3929</v>
      </c>
      <c r="F357" s="1786" t="s">
        <v>2958</v>
      </c>
      <c r="G357" s="1786" t="s">
        <v>2959</v>
      </c>
      <c r="H357" s="1786" t="str">
        <f t="shared" si="58"/>
        <v>לא פעיל</v>
      </c>
      <c r="I357" s="1788">
        <f t="shared" si="59"/>
        <v>39783</v>
      </c>
      <c r="J357" s="1788">
        <f t="shared" si="60"/>
        <v>40072.816736111097</v>
      </c>
      <c r="K357" s="1786">
        <v>0</v>
      </c>
      <c r="L357" s="1786" t="s">
        <v>1594</v>
      </c>
      <c r="M357" s="1786" t="s">
        <v>1653</v>
      </c>
      <c r="N357" s="1786" t="s">
        <v>1653</v>
      </c>
      <c r="O357" s="1786">
        <v>0</v>
      </c>
      <c r="P357" s="1786"/>
      <c r="Q357" s="1786">
        <v>0</v>
      </c>
      <c r="R357" s="1788"/>
      <c r="S357" s="1786">
        <f t="shared" si="61"/>
        <v>1420</v>
      </c>
      <c r="T357" s="1786" t="str">
        <f t="shared" si="62"/>
        <v>בנק לאומי בע"מ</v>
      </c>
      <c r="U357" s="1786" t="str">
        <f t="shared" si="63"/>
        <v>מיטב תגמולים מסלול אג"ח ממשלתי קצר</v>
      </c>
      <c r="V357" s="1786">
        <f t="shared" si="64"/>
        <v>0</v>
      </c>
      <c r="W357" s="1789" t="str">
        <f t="shared" si="65"/>
        <v>מיטב גמל ופנסיה בע"מ</v>
      </c>
      <c r="AC357" s="1761" t="s">
        <v>1586</v>
      </c>
      <c r="AD357" s="1762">
        <v>40072.816736111097</v>
      </c>
      <c r="AE357" s="1762">
        <v>39783</v>
      </c>
      <c r="AF357" s="1761" t="s">
        <v>2009</v>
      </c>
      <c r="AG357" s="1761" t="s">
        <v>1653</v>
      </c>
      <c r="AH357" s="1761" t="s">
        <v>1594</v>
      </c>
      <c r="AI357" s="1761" t="s">
        <v>3633</v>
      </c>
      <c r="AJ357" s="1761" t="s">
        <v>2456</v>
      </c>
      <c r="AK357" s="1761">
        <v>1420</v>
      </c>
      <c r="AL357" s="1761" t="s">
        <v>2456</v>
      </c>
      <c r="AM357" s="1761">
        <v>1420</v>
      </c>
      <c r="AN357" s="1761" t="s">
        <v>5470</v>
      </c>
      <c r="AO357" s="1764"/>
      <c r="AP357" s="1761"/>
      <c r="AQ357" s="1761"/>
      <c r="AR357" s="1761" t="s">
        <v>365</v>
      </c>
      <c r="AS357" s="1761" t="s">
        <v>366</v>
      </c>
      <c r="AT357" s="1761" t="s">
        <v>327</v>
      </c>
      <c r="AU357" s="1763"/>
      <c r="AV357" s="1763"/>
    </row>
    <row r="358" spans="1:48" ht="25" hidden="1">
      <c r="A358" s="1785" t="str">
        <f t="shared" si="55"/>
        <v>גמל</v>
      </c>
      <c r="B358" s="1786">
        <f t="shared" si="56"/>
        <v>1373</v>
      </c>
      <c r="C358" s="1787">
        <v>28946</v>
      </c>
      <c r="D358" s="1786" t="str">
        <f t="shared" si="57"/>
        <v>מיטב השתלמות קצר ללא מניות</v>
      </c>
      <c r="E358" s="1786" t="s">
        <v>3929</v>
      </c>
      <c r="F358" s="1786" t="s">
        <v>2958</v>
      </c>
      <c r="G358" s="1786" t="s">
        <v>2959</v>
      </c>
      <c r="H358" s="1786" t="str">
        <f t="shared" si="58"/>
        <v>לא פעיל</v>
      </c>
      <c r="I358" s="1788">
        <f t="shared" si="59"/>
        <v>39743</v>
      </c>
      <c r="J358" s="1788">
        <f t="shared" si="60"/>
        <v>40055</v>
      </c>
      <c r="K358" s="1786">
        <v>0</v>
      </c>
      <c r="L358" s="1786" t="s">
        <v>1594</v>
      </c>
      <c r="M358" s="1786" t="s">
        <v>1653</v>
      </c>
      <c r="N358" s="1786" t="s">
        <v>1653</v>
      </c>
      <c r="O358" s="1786">
        <v>0</v>
      </c>
      <c r="P358" s="1786"/>
      <c r="Q358" s="1786">
        <v>0</v>
      </c>
      <c r="R358" s="1788"/>
      <c r="S358" s="1786">
        <f t="shared" si="61"/>
        <v>1373</v>
      </c>
      <c r="T358" s="1786" t="str">
        <f t="shared" si="62"/>
        <v>ד.ס.ש ייעוץ ושירותים בע"מ</v>
      </c>
      <c r="U358" s="1786" t="str">
        <f t="shared" si="63"/>
        <v>מיטב השתלמות קצר ללא מניות</v>
      </c>
      <c r="V358" s="1786">
        <f t="shared" si="64"/>
        <v>0</v>
      </c>
      <c r="W358" s="1789" t="str">
        <f t="shared" si="65"/>
        <v>מיטב גמל ופנסיה בע"מ</v>
      </c>
      <c r="AC358" s="1759" t="s">
        <v>1586</v>
      </c>
      <c r="AD358" s="1760">
        <v>40055</v>
      </c>
      <c r="AE358" s="1760">
        <v>39743</v>
      </c>
      <c r="AF358" s="1759" t="s">
        <v>1681</v>
      </c>
      <c r="AG358" s="1759" t="s">
        <v>1583</v>
      </c>
      <c r="AH358" s="1759" t="s">
        <v>1583</v>
      </c>
      <c r="AI358" s="1759" t="s">
        <v>2428</v>
      </c>
      <c r="AJ358" s="1759" t="s">
        <v>2428</v>
      </c>
      <c r="AK358" s="1759">
        <v>1373</v>
      </c>
      <c r="AL358" s="1759" t="s">
        <v>2428</v>
      </c>
      <c r="AM358" s="1759">
        <v>1373</v>
      </c>
      <c r="AN358" s="1759" t="s">
        <v>5393</v>
      </c>
      <c r="AO358" s="1764"/>
      <c r="AP358" s="1759"/>
      <c r="AQ358" s="1759"/>
      <c r="AR358" s="1759" t="s">
        <v>365</v>
      </c>
      <c r="AS358" s="1759" t="s">
        <v>366</v>
      </c>
      <c r="AT358" s="1759" t="s">
        <v>327</v>
      </c>
      <c r="AU358" s="1763"/>
      <c r="AV358" s="1763"/>
    </row>
    <row r="359" spans="1:48" ht="25" hidden="1">
      <c r="A359" s="1785" t="str">
        <f t="shared" si="55"/>
        <v>גמל</v>
      </c>
      <c r="B359" s="1786">
        <f t="shared" si="56"/>
        <v>1365</v>
      </c>
      <c r="C359" s="1787">
        <v>28946</v>
      </c>
      <c r="D359" s="1786" t="str">
        <f t="shared" si="57"/>
        <v>קואטרו מנורה השתלמות אג"ח ללא מניות</v>
      </c>
      <c r="E359" s="1786" t="s">
        <v>3929</v>
      </c>
      <c r="F359" s="1786" t="s">
        <v>2958</v>
      </c>
      <c r="G359" s="1786" t="s">
        <v>2959</v>
      </c>
      <c r="H359" s="1786" t="str">
        <f t="shared" si="58"/>
        <v>לא פעיל</v>
      </c>
      <c r="I359" s="1788">
        <f t="shared" si="59"/>
        <v>39719</v>
      </c>
      <c r="J359" s="1788">
        <f t="shared" si="60"/>
        <v>40402.703807870399</v>
      </c>
      <c r="K359" s="1786">
        <v>0</v>
      </c>
      <c r="L359" s="1786" t="s">
        <v>1594</v>
      </c>
      <c r="M359" s="1786" t="s">
        <v>1653</v>
      </c>
      <c r="N359" s="1786" t="s">
        <v>1653</v>
      </c>
      <c r="O359" s="1786">
        <v>0</v>
      </c>
      <c r="P359" s="1786"/>
      <c r="Q359" s="1786">
        <v>0</v>
      </c>
      <c r="R359" s="1788"/>
      <c r="S359" s="1786">
        <f t="shared" si="61"/>
        <v>1365</v>
      </c>
      <c r="T359" s="1786" t="str">
        <f t="shared" si="62"/>
        <v>בנק הפועלים בע"מ</v>
      </c>
      <c r="U359" s="1786" t="str">
        <f t="shared" si="63"/>
        <v>קואטרו מנורה השתלמות אג"ח ללא מניות</v>
      </c>
      <c r="V359" s="1786">
        <f t="shared" si="64"/>
        <v>0</v>
      </c>
      <c r="W359" s="1789" t="str">
        <f t="shared" si="65"/>
        <v>מנורה מבטחים גמל בע"מ</v>
      </c>
      <c r="AC359" s="1761" t="s">
        <v>1586</v>
      </c>
      <c r="AD359" s="1762">
        <v>40402.703807870399</v>
      </c>
      <c r="AE359" s="1762">
        <v>39719</v>
      </c>
      <c r="AF359" s="1761" t="s">
        <v>1681</v>
      </c>
      <c r="AG359" s="1761" t="s">
        <v>1653</v>
      </c>
      <c r="AH359" s="1761" t="s">
        <v>1594</v>
      </c>
      <c r="AI359" s="1761" t="s">
        <v>2425</v>
      </c>
      <c r="AJ359" s="1761" t="s">
        <v>2425</v>
      </c>
      <c r="AK359" s="1761">
        <v>1365</v>
      </c>
      <c r="AL359" s="1761" t="s">
        <v>2425</v>
      </c>
      <c r="AM359" s="1761">
        <v>1365</v>
      </c>
      <c r="AN359" s="1761" t="s">
        <v>1695</v>
      </c>
      <c r="AO359" s="1764"/>
      <c r="AP359" s="1761"/>
      <c r="AQ359" s="1761"/>
      <c r="AR359" s="1761" t="s">
        <v>363</v>
      </c>
      <c r="AS359" s="1761" t="s">
        <v>364</v>
      </c>
      <c r="AT359" s="1761" t="s">
        <v>327</v>
      </c>
      <c r="AU359" s="1763"/>
      <c r="AV359" s="1763"/>
    </row>
    <row r="360" spans="1:48" ht="25" hidden="1">
      <c r="A360" s="1785" t="str">
        <f t="shared" si="55"/>
        <v>גמל</v>
      </c>
      <c r="B360" s="1786">
        <f t="shared" si="56"/>
        <v>1363</v>
      </c>
      <c r="C360" s="1787">
        <v>28946</v>
      </c>
      <c r="D360" s="1786" t="str">
        <f t="shared" si="57"/>
        <v>קואטרו מנורה תגמולים אג"ח ללא מניות</v>
      </c>
      <c r="E360" s="1786" t="s">
        <v>3929</v>
      </c>
      <c r="F360" s="1786" t="s">
        <v>2958</v>
      </c>
      <c r="G360" s="1786" t="s">
        <v>2959</v>
      </c>
      <c r="H360" s="1786" t="str">
        <f t="shared" si="58"/>
        <v>לא פעיל</v>
      </c>
      <c r="I360" s="1788">
        <f t="shared" si="59"/>
        <v>39719</v>
      </c>
      <c r="J360" s="1788">
        <f t="shared" si="60"/>
        <v>40402.722326388903</v>
      </c>
      <c r="K360" s="1786">
        <v>0</v>
      </c>
      <c r="L360" s="1786" t="s">
        <v>1594</v>
      </c>
      <c r="M360" s="1786" t="s">
        <v>1653</v>
      </c>
      <c r="N360" s="1786" t="s">
        <v>1653</v>
      </c>
      <c r="O360" s="1786">
        <v>0</v>
      </c>
      <c r="P360" s="1786"/>
      <c r="Q360" s="1786">
        <v>0</v>
      </c>
      <c r="R360" s="1788"/>
      <c r="S360" s="1786">
        <f t="shared" si="61"/>
        <v>1363</v>
      </c>
      <c r="T360" s="1786" t="str">
        <f t="shared" si="62"/>
        <v>בנק הפועלים בע"מ</v>
      </c>
      <c r="U360" s="1786" t="str">
        <f t="shared" si="63"/>
        <v>קואטרו מנורה תגמולים אג"ח ללא מניות</v>
      </c>
      <c r="V360" s="1786">
        <f t="shared" si="64"/>
        <v>0</v>
      </c>
      <c r="W360" s="1789" t="str">
        <f t="shared" si="65"/>
        <v>מנורה מבטחים גמל בע"מ</v>
      </c>
      <c r="AC360" s="1759" t="s">
        <v>1586</v>
      </c>
      <c r="AD360" s="1760">
        <v>40402.722326388903</v>
      </c>
      <c r="AE360" s="1760">
        <v>39719</v>
      </c>
      <c r="AF360" s="1759" t="s">
        <v>1681</v>
      </c>
      <c r="AG360" s="1759" t="s">
        <v>1653</v>
      </c>
      <c r="AH360" s="1759" t="s">
        <v>1594</v>
      </c>
      <c r="AI360" s="1759" t="s">
        <v>2424</v>
      </c>
      <c r="AJ360" s="1759" t="s">
        <v>2424</v>
      </c>
      <c r="AK360" s="1759">
        <v>1363</v>
      </c>
      <c r="AL360" s="1759" t="s">
        <v>2424</v>
      </c>
      <c r="AM360" s="1759">
        <v>1363</v>
      </c>
      <c r="AN360" s="1759" t="s">
        <v>1695</v>
      </c>
      <c r="AO360" s="1764"/>
      <c r="AP360" s="1759"/>
      <c r="AQ360" s="1759"/>
      <c r="AR360" s="1759" t="s">
        <v>363</v>
      </c>
      <c r="AS360" s="1759" t="s">
        <v>364</v>
      </c>
      <c r="AT360" s="1759" t="s">
        <v>327</v>
      </c>
      <c r="AU360" s="1763"/>
      <c r="AV360" s="1763"/>
    </row>
    <row r="361" spans="1:48" ht="25" hidden="1">
      <c r="A361" s="1785" t="str">
        <f t="shared" si="55"/>
        <v>גמל</v>
      </c>
      <c r="B361" s="1786">
        <f t="shared" si="56"/>
        <v>1362</v>
      </c>
      <c r="C361" s="1787">
        <v>28946</v>
      </c>
      <c r="D361" s="1786" t="str">
        <f t="shared" si="57"/>
        <v>מיטב גמל קצר ללא מניות</v>
      </c>
      <c r="E361" s="1786" t="s">
        <v>3929</v>
      </c>
      <c r="F361" s="1786" t="s">
        <v>2958</v>
      </c>
      <c r="G361" s="1786" t="s">
        <v>2959</v>
      </c>
      <c r="H361" s="1786" t="str">
        <f t="shared" si="58"/>
        <v>לא פעיל</v>
      </c>
      <c r="I361" s="1788">
        <f t="shared" si="59"/>
        <v>39719</v>
      </c>
      <c r="J361" s="1788">
        <f t="shared" si="60"/>
        <v>40055</v>
      </c>
      <c r="K361" s="1786">
        <v>0</v>
      </c>
      <c r="L361" s="1786" t="s">
        <v>1594</v>
      </c>
      <c r="M361" s="1786" t="s">
        <v>1653</v>
      </c>
      <c r="N361" s="1786" t="s">
        <v>1653</v>
      </c>
      <c r="O361" s="1786">
        <v>0</v>
      </c>
      <c r="P361" s="1786"/>
      <c r="Q361" s="1786">
        <v>0</v>
      </c>
      <c r="R361" s="1788"/>
      <c r="S361" s="1786">
        <f t="shared" si="61"/>
        <v>1362</v>
      </c>
      <c r="T361" s="1786" t="str">
        <f t="shared" si="62"/>
        <v>ד.ס.ש ייעוץ ושירותים בע"מ</v>
      </c>
      <c r="U361" s="1786" t="str">
        <f t="shared" si="63"/>
        <v>מיטב גמל קצר ללא מניות</v>
      </c>
      <c r="V361" s="1786">
        <f t="shared" si="64"/>
        <v>0</v>
      </c>
      <c r="W361" s="1789" t="str">
        <f t="shared" si="65"/>
        <v>מיטב גמל ופנסיה בע"מ</v>
      </c>
      <c r="AC361" s="1761" t="s">
        <v>1586</v>
      </c>
      <c r="AD361" s="1762">
        <v>40055</v>
      </c>
      <c r="AE361" s="1762">
        <v>39719</v>
      </c>
      <c r="AF361" s="1761" t="s">
        <v>1681</v>
      </c>
      <c r="AG361" s="1761" t="s">
        <v>1583</v>
      </c>
      <c r="AH361" s="1761" t="s">
        <v>1583</v>
      </c>
      <c r="AI361" s="1761" t="s">
        <v>2423</v>
      </c>
      <c r="AJ361" s="1761" t="s">
        <v>2423</v>
      </c>
      <c r="AK361" s="1761">
        <v>1362</v>
      </c>
      <c r="AL361" s="1761" t="s">
        <v>2423</v>
      </c>
      <c r="AM361" s="1761">
        <v>1362</v>
      </c>
      <c r="AN361" s="1761" t="s">
        <v>5393</v>
      </c>
      <c r="AO361" s="1764"/>
      <c r="AP361" s="1761"/>
      <c r="AQ361" s="1761"/>
      <c r="AR361" s="1761" t="s">
        <v>365</v>
      </c>
      <c r="AS361" s="1761" t="s">
        <v>366</v>
      </c>
      <c r="AT361" s="1761" t="s">
        <v>327</v>
      </c>
      <c r="AU361" s="1763"/>
      <c r="AV361" s="1763"/>
    </row>
    <row r="362" spans="1:48" ht="25" hidden="1">
      <c r="A362" s="1785" t="str">
        <f t="shared" si="55"/>
        <v>גמל</v>
      </c>
      <c r="B362" s="1786">
        <f t="shared" si="56"/>
        <v>1342</v>
      </c>
      <c r="C362" s="1787">
        <v>28946</v>
      </c>
      <c r="D362" s="1786" t="str">
        <f t="shared" si="57"/>
        <v>אלטשולר שחם אופל</v>
      </c>
      <c r="E362" s="1786" t="s">
        <v>3929</v>
      </c>
      <c r="F362" s="1786" t="s">
        <v>2958</v>
      </c>
      <c r="G362" s="1786" t="s">
        <v>2959</v>
      </c>
      <c r="H362" s="1786" t="str">
        <f t="shared" si="58"/>
        <v>לא פעיל</v>
      </c>
      <c r="I362" s="1788">
        <f t="shared" si="59"/>
        <v>39650</v>
      </c>
      <c r="J362" s="1788">
        <f t="shared" si="60"/>
        <v>41002.4921412037</v>
      </c>
      <c r="K362" s="1786">
        <v>0</v>
      </c>
      <c r="L362" s="1786" t="s">
        <v>1594</v>
      </c>
      <c r="M362" s="1786" t="s">
        <v>1653</v>
      </c>
      <c r="N362" s="1786" t="s">
        <v>1653</v>
      </c>
      <c r="O362" s="1786">
        <v>0</v>
      </c>
      <c r="P362" s="1786"/>
      <c r="Q362" s="1786">
        <v>0</v>
      </c>
      <c r="R362" s="1788"/>
      <c r="S362" s="1786">
        <f t="shared" si="61"/>
        <v>1342</v>
      </c>
      <c r="T362" s="1786" t="str">
        <f t="shared" si="62"/>
        <v>חברת תפעול גמל בע"מ</v>
      </c>
      <c r="U362" s="1786" t="str">
        <f t="shared" si="63"/>
        <v>אלטשולר שחם אופל</v>
      </c>
      <c r="V362" s="1786" t="str">
        <f t="shared" si="64"/>
        <v>511446551</v>
      </c>
      <c r="W362" s="1789" t="str">
        <f t="shared" si="65"/>
        <v>אלטשולר שחם גמל ופנסיה בע"מ</v>
      </c>
      <c r="AC362" s="1759" t="s">
        <v>1586</v>
      </c>
      <c r="AD362" s="1760">
        <v>41002.4921412037</v>
      </c>
      <c r="AE362" s="1760">
        <v>39650</v>
      </c>
      <c r="AF362" s="1759" t="s">
        <v>1583</v>
      </c>
      <c r="AG362" s="1759" t="s">
        <v>1583</v>
      </c>
      <c r="AH362" s="1759" t="s">
        <v>1583</v>
      </c>
      <c r="AI362" s="1759" t="s">
        <v>700</v>
      </c>
      <c r="AJ362" s="1759" t="s">
        <v>700</v>
      </c>
      <c r="AK362" s="1759">
        <v>1342</v>
      </c>
      <c r="AL362" s="1759" t="s">
        <v>700</v>
      </c>
      <c r="AM362" s="1759">
        <v>1342</v>
      </c>
      <c r="AN362" s="1759" t="s">
        <v>5394</v>
      </c>
      <c r="AO362" s="1764"/>
      <c r="AP362" s="1759" t="s">
        <v>5375</v>
      </c>
      <c r="AQ362" s="1759" t="s">
        <v>5376</v>
      </c>
      <c r="AR362" s="1759" t="s">
        <v>2963</v>
      </c>
      <c r="AS362" s="1759" t="s">
        <v>523</v>
      </c>
      <c r="AT362" s="1759" t="s">
        <v>327</v>
      </c>
      <c r="AU362" s="1763"/>
      <c r="AV362" s="1763"/>
    </row>
    <row r="363" spans="1:48" ht="25">
      <c r="A363" s="1785" t="str">
        <f t="shared" si="55"/>
        <v>פנסיה</v>
      </c>
      <c r="B363" s="1786">
        <f t="shared" si="56"/>
        <v>8580</v>
      </c>
      <c r="C363" s="1787">
        <v>28946</v>
      </c>
      <c r="D363" s="1786" t="str">
        <f t="shared" si="57"/>
        <v>אלטשולר שחם פנסיה כללית מסלול בסיסי למקבלי קצבה קיימים</v>
      </c>
      <c r="E363" s="1786" t="s">
        <v>3929</v>
      </c>
      <c r="F363" s="1786" t="s">
        <v>2958</v>
      </c>
      <c r="G363" s="1786" t="s">
        <v>2959</v>
      </c>
      <c r="H363" s="1786" t="str">
        <f t="shared" si="58"/>
        <v>פעיל</v>
      </c>
      <c r="I363" s="1788">
        <f t="shared" si="59"/>
        <v>39602</v>
      </c>
      <c r="J363" s="1788" t="str">
        <f t="shared" si="60"/>
        <v/>
      </c>
      <c r="K363" s="1786">
        <v>0</v>
      </c>
      <c r="L363" s="1786" t="s">
        <v>1594</v>
      </c>
      <c r="M363" s="1786" t="s">
        <v>1653</v>
      </c>
      <c r="N363" s="1786" t="s">
        <v>1653</v>
      </c>
      <c r="O363" s="1786">
        <v>0</v>
      </c>
      <c r="P363" s="1786"/>
      <c r="Q363" s="1786">
        <v>0</v>
      </c>
      <c r="R363" s="1788"/>
      <c r="S363" s="1786">
        <f t="shared" si="61"/>
        <v>1329</v>
      </c>
      <c r="T363" s="1786" t="str">
        <f t="shared" si="62"/>
        <v>חברת תפעול גמל בע"מ</v>
      </c>
      <c r="U363" s="1786" t="str">
        <f t="shared" si="63"/>
        <v>אלטשולר שחם פנסיה כללית</v>
      </c>
      <c r="V363" s="1786" t="str">
        <f t="shared" si="64"/>
        <v>511446551</v>
      </c>
      <c r="W363" s="1789" t="str">
        <f t="shared" si="65"/>
        <v>אלטשולר שחם גמל ופנסיה בע"מ</v>
      </c>
      <c r="AC363" s="1761" t="s">
        <v>346</v>
      </c>
      <c r="AD363" s="1761"/>
      <c r="AE363" s="1762">
        <v>39602</v>
      </c>
      <c r="AF363" s="1761" t="s">
        <v>4160</v>
      </c>
      <c r="AG363" s="1761" t="s">
        <v>2614</v>
      </c>
      <c r="AH363" s="1761" t="s">
        <v>3658</v>
      </c>
      <c r="AI363" s="1761" t="s">
        <v>5518</v>
      </c>
      <c r="AJ363" s="1761" t="s">
        <v>5518</v>
      </c>
      <c r="AK363" s="1761">
        <v>8580</v>
      </c>
      <c r="AL363" s="1761" t="s">
        <v>2639</v>
      </c>
      <c r="AM363" s="1761">
        <v>1329</v>
      </c>
      <c r="AN363" s="1761" t="s">
        <v>5394</v>
      </c>
      <c r="AO363" s="1764"/>
      <c r="AP363" s="1761" t="s">
        <v>5375</v>
      </c>
      <c r="AQ363" s="1761" t="s">
        <v>5376</v>
      </c>
      <c r="AR363" s="1761" t="s">
        <v>2963</v>
      </c>
      <c r="AS363" s="1761" t="s">
        <v>523</v>
      </c>
      <c r="AT363" s="1761" t="s">
        <v>328</v>
      </c>
      <c r="AU363" s="1763"/>
      <c r="AV363" s="1763"/>
    </row>
    <row r="364" spans="1:48" ht="25">
      <c r="A364" s="1785" t="str">
        <f t="shared" si="55"/>
        <v>פנסיה</v>
      </c>
      <c r="B364" s="1786">
        <f t="shared" si="56"/>
        <v>9762</v>
      </c>
      <c r="C364" s="1787">
        <v>28946</v>
      </c>
      <c r="D364" s="1786" t="str">
        <f t="shared" si="57"/>
        <v>אלטשולר שחם פנסיה כללית מסלול לבני 50 עד 60</v>
      </c>
      <c r="E364" s="1786" t="s">
        <v>3929</v>
      </c>
      <c r="F364" s="1786" t="s">
        <v>2958</v>
      </c>
      <c r="G364" s="1786" t="s">
        <v>2959</v>
      </c>
      <c r="H364" s="1786" t="str">
        <f t="shared" si="58"/>
        <v>פעיל</v>
      </c>
      <c r="I364" s="1788">
        <f t="shared" si="59"/>
        <v>39602</v>
      </c>
      <c r="J364" s="1788" t="str">
        <f t="shared" si="60"/>
        <v/>
      </c>
      <c r="K364" s="1786">
        <v>0</v>
      </c>
      <c r="L364" s="1786" t="s">
        <v>1594</v>
      </c>
      <c r="M364" s="1786" t="s">
        <v>1653</v>
      </c>
      <c r="N364" s="1786" t="s">
        <v>1653</v>
      </c>
      <c r="O364" s="1786">
        <v>0</v>
      </c>
      <c r="P364" s="1786"/>
      <c r="Q364" s="1786">
        <v>0</v>
      </c>
      <c r="R364" s="1788"/>
      <c r="S364" s="1786">
        <f t="shared" si="61"/>
        <v>1329</v>
      </c>
      <c r="T364" s="1786" t="str">
        <f t="shared" si="62"/>
        <v>חברת תפעול גמל בע"מ</v>
      </c>
      <c r="U364" s="1786" t="str">
        <f t="shared" si="63"/>
        <v>אלטשולר שחם פנסיה כללית</v>
      </c>
      <c r="V364" s="1786" t="str">
        <f t="shared" si="64"/>
        <v>511446551</v>
      </c>
      <c r="W364" s="1789" t="str">
        <f t="shared" si="65"/>
        <v>אלטשולר שחם גמל ופנסיה בע"מ</v>
      </c>
      <c r="AC364" s="1759" t="s">
        <v>346</v>
      </c>
      <c r="AD364" s="1759"/>
      <c r="AE364" s="1760">
        <v>39602</v>
      </c>
      <c r="AF364" s="1759" t="s">
        <v>3932</v>
      </c>
      <c r="AG364" s="1759" t="s">
        <v>3931</v>
      </c>
      <c r="AH364" s="1759" t="s">
        <v>3658</v>
      </c>
      <c r="AI364" s="1759" t="s">
        <v>4340</v>
      </c>
      <c r="AJ364" s="1759" t="s">
        <v>4339</v>
      </c>
      <c r="AK364" s="1759">
        <v>9762</v>
      </c>
      <c r="AL364" s="1759" t="s">
        <v>2639</v>
      </c>
      <c r="AM364" s="1759">
        <v>1329</v>
      </c>
      <c r="AN364" s="1759" t="s">
        <v>5394</v>
      </c>
      <c r="AO364" s="1764"/>
      <c r="AP364" s="1759" t="s">
        <v>5375</v>
      </c>
      <c r="AQ364" s="1759" t="s">
        <v>5376</v>
      </c>
      <c r="AR364" s="1759" t="s">
        <v>2963</v>
      </c>
      <c r="AS364" s="1759" t="s">
        <v>523</v>
      </c>
      <c r="AT364" s="1759" t="s">
        <v>328</v>
      </c>
      <c r="AU364" s="1763"/>
      <c r="AV364" s="1763"/>
    </row>
    <row r="365" spans="1:48" ht="25">
      <c r="A365" s="1785" t="str">
        <f t="shared" si="55"/>
        <v>פנסיה</v>
      </c>
      <c r="B365" s="1786">
        <f t="shared" si="56"/>
        <v>2191</v>
      </c>
      <c r="C365" s="1787">
        <v>28946</v>
      </c>
      <c r="D365" s="1786" t="str">
        <f t="shared" si="57"/>
        <v>אלטשולר שחם פנסיה כללית -כללי</v>
      </c>
      <c r="E365" s="1786" t="s">
        <v>3929</v>
      </c>
      <c r="F365" s="1786" t="s">
        <v>2958</v>
      </c>
      <c r="G365" s="1786" t="s">
        <v>2959</v>
      </c>
      <c r="H365" s="1786" t="str">
        <f t="shared" si="58"/>
        <v>לא פעיל</v>
      </c>
      <c r="I365" s="1788">
        <f t="shared" si="59"/>
        <v>39602</v>
      </c>
      <c r="J365" s="1788">
        <f t="shared" si="60"/>
        <v>42320.537499999999</v>
      </c>
      <c r="K365" s="1786">
        <v>0</v>
      </c>
      <c r="L365" s="1786" t="s">
        <v>1594</v>
      </c>
      <c r="M365" s="1786" t="s">
        <v>1653</v>
      </c>
      <c r="N365" s="1786" t="s">
        <v>1653</v>
      </c>
      <c r="O365" s="1786">
        <v>0</v>
      </c>
      <c r="P365" s="1786"/>
      <c r="Q365" s="1786">
        <v>0</v>
      </c>
      <c r="R365" s="1788"/>
      <c r="S365" s="1786">
        <f t="shared" si="61"/>
        <v>1329</v>
      </c>
      <c r="T365" s="1786" t="str">
        <f t="shared" si="62"/>
        <v>חברת תפעול גמל בע"מ</v>
      </c>
      <c r="U365" s="1786" t="str">
        <f t="shared" si="63"/>
        <v>אלטשולר שחם פנסיה כללית</v>
      </c>
      <c r="V365" s="1786" t="str">
        <f t="shared" si="64"/>
        <v>511446551</v>
      </c>
      <c r="W365" s="1789" t="str">
        <f t="shared" si="65"/>
        <v>אלטשולר שחם גמל ופנסיה בע"מ</v>
      </c>
      <c r="AC365" s="1761" t="s">
        <v>1586</v>
      </c>
      <c r="AD365" s="1762">
        <v>42320.537499999999</v>
      </c>
      <c r="AE365" s="1762">
        <v>39602</v>
      </c>
      <c r="AF365" s="1761" t="s">
        <v>1583</v>
      </c>
      <c r="AG365" s="1761" t="s">
        <v>1583</v>
      </c>
      <c r="AH365" s="1761" t="s">
        <v>1583</v>
      </c>
      <c r="AI365" s="1761" t="s">
        <v>2638</v>
      </c>
      <c r="AJ365" s="1761" t="s">
        <v>2638</v>
      </c>
      <c r="AK365" s="1761">
        <v>2191</v>
      </c>
      <c r="AL365" s="1761" t="s">
        <v>2639</v>
      </c>
      <c r="AM365" s="1761">
        <v>1329</v>
      </c>
      <c r="AN365" s="1761" t="s">
        <v>5394</v>
      </c>
      <c r="AO365" s="1764"/>
      <c r="AP365" s="1761" t="s">
        <v>5375</v>
      </c>
      <c r="AQ365" s="1761" t="s">
        <v>5376</v>
      </c>
      <c r="AR365" s="1761" t="s">
        <v>2963</v>
      </c>
      <c r="AS365" s="1761" t="s">
        <v>523</v>
      </c>
      <c r="AT365" s="1761" t="s">
        <v>328</v>
      </c>
      <c r="AU365" s="1763"/>
      <c r="AV365" s="1763"/>
    </row>
    <row r="366" spans="1:48" ht="25">
      <c r="A366" s="1785" t="str">
        <f t="shared" si="55"/>
        <v>פנסיה</v>
      </c>
      <c r="B366" s="1786">
        <f t="shared" si="56"/>
        <v>9763</v>
      </c>
      <c r="C366" s="1787">
        <v>28946</v>
      </c>
      <c r="D366" s="1786" t="str">
        <f t="shared" si="57"/>
        <v>אלטשולר שחם פנסיה כללית מסלול לבני 60 ומעלה</v>
      </c>
      <c r="E366" s="1786" t="s">
        <v>3929</v>
      </c>
      <c r="F366" s="1786" t="s">
        <v>2958</v>
      </c>
      <c r="G366" s="1786" t="s">
        <v>2959</v>
      </c>
      <c r="H366" s="1786" t="str">
        <f t="shared" si="58"/>
        <v>פעיל</v>
      </c>
      <c r="I366" s="1788">
        <f t="shared" si="59"/>
        <v>39602</v>
      </c>
      <c r="J366" s="1788" t="str">
        <f t="shared" si="60"/>
        <v/>
      </c>
      <c r="K366" s="1786">
        <v>0</v>
      </c>
      <c r="L366" s="1786" t="s">
        <v>1594</v>
      </c>
      <c r="M366" s="1786" t="s">
        <v>1653</v>
      </c>
      <c r="N366" s="1786" t="s">
        <v>1653</v>
      </c>
      <c r="O366" s="1786">
        <v>0</v>
      </c>
      <c r="P366" s="1786"/>
      <c r="Q366" s="1786">
        <v>0</v>
      </c>
      <c r="R366" s="1788"/>
      <c r="S366" s="1786">
        <f t="shared" si="61"/>
        <v>1329</v>
      </c>
      <c r="T366" s="1786" t="str">
        <f t="shared" si="62"/>
        <v>חברת תפעול גמל בע"מ</v>
      </c>
      <c r="U366" s="1786" t="str">
        <f t="shared" si="63"/>
        <v>אלטשולר שחם פנסיה כללית</v>
      </c>
      <c r="V366" s="1786" t="str">
        <f t="shared" si="64"/>
        <v>511446551</v>
      </c>
      <c r="W366" s="1789" t="str">
        <f t="shared" si="65"/>
        <v>אלטשולר שחם גמל ופנסיה בע"מ</v>
      </c>
      <c r="AC366" s="1759" t="s">
        <v>346</v>
      </c>
      <c r="AD366" s="1759"/>
      <c r="AE366" s="1760">
        <v>39602</v>
      </c>
      <c r="AF366" s="1759" t="s">
        <v>3963</v>
      </c>
      <c r="AG366" s="1759" t="s">
        <v>3931</v>
      </c>
      <c r="AH366" s="1759" t="s">
        <v>3658</v>
      </c>
      <c r="AI366" s="1759" t="s">
        <v>4341</v>
      </c>
      <c r="AJ366" s="1759" t="s">
        <v>4341</v>
      </c>
      <c r="AK366" s="1759">
        <v>9763</v>
      </c>
      <c r="AL366" s="1759" t="s">
        <v>2639</v>
      </c>
      <c r="AM366" s="1759">
        <v>1329</v>
      </c>
      <c r="AN366" s="1759" t="s">
        <v>5394</v>
      </c>
      <c r="AO366" s="1764"/>
      <c r="AP366" s="1759" t="s">
        <v>5375</v>
      </c>
      <c r="AQ366" s="1759" t="s">
        <v>5376</v>
      </c>
      <c r="AR366" s="1759" t="s">
        <v>2963</v>
      </c>
      <c r="AS366" s="1759" t="s">
        <v>523</v>
      </c>
      <c r="AT366" s="1759" t="s">
        <v>328</v>
      </c>
      <c r="AU366" s="1763"/>
      <c r="AV366" s="1763"/>
    </row>
    <row r="367" spans="1:48" ht="25">
      <c r="A367" s="1785" t="str">
        <f t="shared" si="55"/>
        <v>פנסיה</v>
      </c>
      <c r="B367" s="1786">
        <f t="shared" si="56"/>
        <v>9761</v>
      </c>
      <c r="C367" s="1787">
        <v>28946</v>
      </c>
      <c r="D367" s="1786" t="str">
        <f t="shared" si="57"/>
        <v>אלטשולר שחם פנסיה כללית מסלול לבני 50 ומטה</v>
      </c>
      <c r="E367" s="1786" t="s">
        <v>3929</v>
      </c>
      <c r="F367" s="1786" t="s">
        <v>2958</v>
      </c>
      <c r="G367" s="1786" t="s">
        <v>2959</v>
      </c>
      <c r="H367" s="1786" t="str">
        <f t="shared" si="58"/>
        <v>פעיל</v>
      </c>
      <c r="I367" s="1788">
        <f t="shared" si="59"/>
        <v>39602</v>
      </c>
      <c r="J367" s="1788" t="str">
        <f t="shared" si="60"/>
        <v/>
      </c>
      <c r="K367" s="1786">
        <v>0</v>
      </c>
      <c r="L367" s="1786" t="s">
        <v>1594</v>
      </c>
      <c r="M367" s="1786" t="s">
        <v>1653</v>
      </c>
      <c r="N367" s="1786" t="s">
        <v>1653</v>
      </c>
      <c r="O367" s="1786">
        <v>0</v>
      </c>
      <c r="P367" s="1786"/>
      <c r="Q367" s="1786">
        <v>0</v>
      </c>
      <c r="R367" s="1788"/>
      <c r="S367" s="1786">
        <f t="shared" si="61"/>
        <v>1329</v>
      </c>
      <c r="T367" s="1786" t="str">
        <f t="shared" si="62"/>
        <v>חברת תפעול גמל בע"מ</v>
      </c>
      <c r="U367" s="1786" t="str">
        <f t="shared" si="63"/>
        <v>אלטשולר שחם פנסיה כללית</v>
      </c>
      <c r="V367" s="1786" t="str">
        <f t="shared" si="64"/>
        <v>511446551</v>
      </c>
      <c r="W367" s="1789" t="str">
        <f t="shared" si="65"/>
        <v>אלטשולר שחם גמל ופנסיה בע"מ</v>
      </c>
      <c r="AC367" s="1761" t="s">
        <v>346</v>
      </c>
      <c r="AD367" s="1759"/>
      <c r="AE367" s="1762">
        <v>39602</v>
      </c>
      <c r="AF367" s="1761" t="s">
        <v>4151</v>
      </c>
      <c r="AG367" s="1761" t="s">
        <v>3931</v>
      </c>
      <c r="AH367" s="1761" t="s">
        <v>3658</v>
      </c>
      <c r="AI367" s="1761" t="s">
        <v>4338</v>
      </c>
      <c r="AJ367" s="1761" t="s">
        <v>4338</v>
      </c>
      <c r="AK367" s="1761">
        <v>9761</v>
      </c>
      <c r="AL367" s="1761" t="s">
        <v>2639</v>
      </c>
      <c r="AM367" s="1761">
        <v>1329</v>
      </c>
      <c r="AN367" s="1761" t="s">
        <v>5394</v>
      </c>
      <c r="AO367" s="1764"/>
      <c r="AP367" s="1761" t="s">
        <v>5375</v>
      </c>
      <c r="AQ367" s="1761" t="s">
        <v>5376</v>
      </c>
      <c r="AR367" s="1761" t="s">
        <v>2963</v>
      </c>
      <c r="AS367" s="1761" t="s">
        <v>523</v>
      </c>
      <c r="AT367" s="1761" t="s">
        <v>328</v>
      </c>
      <c r="AU367" s="1763"/>
      <c r="AV367" s="1763"/>
    </row>
    <row r="368" spans="1:48" ht="25">
      <c r="A368" s="1785" t="str">
        <f t="shared" si="55"/>
        <v>פנסיה</v>
      </c>
      <c r="B368" s="1786">
        <f t="shared" si="56"/>
        <v>12139</v>
      </c>
      <c r="C368" s="1787">
        <v>28946</v>
      </c>
      <c r="D368" s="1786" t="str">
        <f t="shared" si="57"/>
        <v xml:space="preserve">אלטשולר שחם פנסיה כללית מסלול בסיסי למקבלי קצבה </v>
      </c>
      <c r="E368" s="1786" t="s">
        <v>3929</v>
      </c>
      <c r="F368" s="1786" t="s">
        <v>2958</v>
      </c>
      <c r="G368" s="1786" t="s">
        <v>2959</v>
      </c>
      <c r="H368" s="1786" t="str">
        <f t="shared" si="58"/>
        <v>פעיל</v>
      </c>
      <c r="I368" s="1788">
        <f t="shared" si="59"/>
        <v>39602</v>
      </c>
      <c r="J368" s="1788" t="str">
        <f t="shared" si="60"/>
        <v/>
      </c>
      <c r="K368" s="1786">
        <v>0</v>
      </c>
      <c r="L368" s="1786" t="s">
        <v>1594</v>
      </c>
      <c r="M368" s="1786" t="s">
        <v>1653</v>
      </c>
      <c r="N368" s="1786" t="s">
        <v>1653</v>
      </c>
      <c r="O368" s="1786">
        <v>0</v>
      </c>
      <c r="P368" s="1786"/>
      <c r="Q368" s="1786">
        <v>0</v>
      </c>
      <c r="R368" s="1788"/>
      <c r="S368" s="1786">
        <f t="shared" si="61"/>
        <v>1329</v>
      </c>
      <c r="T368" s="1786" t="str">
        <f t="shared" si="62"/>
        <v>חברת תפעול גמל בע"מ</v>
      </c>
      <c r="U368" s="1786" t="str">
        <f t="shared" si="63"/>
        <v>אלטשולר שחם פנסיה כללית</v>
      </c>
      <c r="V368" s="1786" t="str">
        <f t="shared" si="64"/>
        <v>511446551</v>
      </c>
      <c r="W368" s="1789" t="str">
        <f t="shared" si="65"/>
        <v>אלטשולר שחם גמל ופנסיה בע"מ</v>
      </c>
      <c r="AC368" s="1759" t="s">
        <v>346</v>
      </c>
      <c r="AD368" s="1759"/>
      <c r="AE368" s="1760">
        <v>39602</v>
      </c>
      <c r="AF368" s="1759" t="s">
        <v>3956</v>
      </c>
      <c r="AG368" s="1759" t="s">
        <v>70</v>
      </c>
      <c r="AH368" s="1759" t="s">
        <v>1594</v>
      </c>
      <c r="AI368" s="1759" t="s">
        <v>4248</v>
      </c>
      <c r="AJ368" s="1759" t="s">
        <v>5519</v>
      </c>
      <c r="AK368" s="1759">
        <v>12139</v>
      </c>
      <c r="AL368" s="1759" t="s">
        <v>2639</v>
      </c>
      <c r="AM368" s="1759">
        <v>1329</v>
      </c>
      <c r="AN368" s="1759" t="s">
        <v>5394</v>
      </c>
      <c r="AO368" s="1764"/>
      <c r="AP368" s="1759" t="s">
        <v>5375</v>
      </c>
      <c r="AQ368" s="1759" t="s">
        <v>5376</v>
      </c>
      <c r="AR368" s="1759" t="s">
        <v>2963</v>
      </c>
      <c r="AS368" s="1759" t="s">
        <v>523</v>
      </c>
      <c r="AT368" s="1759" t="s">
        <v>328</v>
      </c>
      <c r="AU368" s="1763"/>
      <c r="AV368" s="1763"/>
    </row>
    <row r="369" spans="1:48" ht="25">
      <c r="A369" s="1785" t="str">
        <f t="shared" si="55"/>
        <v>פנסיה</v>
      </c>
      <c r="B369" s="1786">
        <f t="shared" si="56"/>
        <v>2196</v>
      </c>
      <c r="C369" s="1787">
        <v>28946</v>
      </c>
      <c r="D369" s="1786" t="str">
        <f t="shared" si="57"/>
        <v>אלטשולר שחם פנסיה מקיפה מסלול בסיסי למקבלי קצבה קיימים</v>
      </c>
      <c r="E369" s="1786" t="s">
        <v>3929</v>
      </c>
      <c r="F369" s="1786" t="s">
        <v>2958</v>
      </c>
      <c r="G369" s="1786" t="s">
        <v>2959</v>
      </c>
      <c r="H369" s="1786" t="str">
        <f t="shared" si="58"/>
        <v>פעיל</v>
      </c>
      <c r="I369" s="1788">
        <f t="shared" si="59"/>
        <v>39601</v>
      </c>
      <c r="J369" s="1788" t="str">
        <f t="shared" si="60"/>
        <v/>
      </c>
      <c r="K369" s="1786">
        <v>0</v>
      </c>
      <c r="L369" s="1786" t="s">
        <v>1594</v>
      </c>
      <c r="M369" s="1786" t="s">
        <v>1653</v>
      </c>
      <c r="N369" s="1786" t="s">
        <v>1653</v>
      </c>
      <c r="O369" s="1786">
        <v>0</v>
      </c>
      <c r="P369" s="1786"/>
      <c r="Q369" s="1786">
        <v>0</v>
      </c>
      <c r="R369" s="1788"/>
      <c r="S369" s="1786">
        <f t="shared" si="61"/>
        <v>1328</v>
      </c>
      <c r="T369" s="1786" t="str">
        <f t="shared" si="62"/>
        <v>חברת תפעול גמל בע"מ</v>
      </c>
      <c r="U369" s="1786" t="str">
        <f t="shared" si="63"/>
        <v>אלטשולר שחם פנסיה מקיפה</v>
      </c>
      <c r="V369" s="1786" t="str">
        <f t="shared" si="64"/>
        <v>511446551</v>
      </c>
      <c r="W369" s="1789" t="str">
        <f t="shared" si="65"/>
        <v>אלטשולר שחם גמל ופנסיה בע"מ</v>
      </c>
      <c r="AC369" s="1761" t="s">
        <v>346</v>
      </c>
      <c r="AD369" s="1761"/>
      <c r="AE369" s="1762">
        <v>39601</v>
      </c>
      <c r="AF369" s="1761" t="s">
        <v>4160</v>
      </c>
      <c r="AG369" s="1761" t="s">
        <v>2614</v>
      </c>
      <c r="AH369" s="1761" t="s">
        <v>3658</v>
      </c>
      <c r="AI369" s="1761" t="s">
        <v>5520</v>
      </c>
      <c r="AJ369" s="1761" t="s">
        <v>5520</v>
      </c>
      <c r="AK369" s="1761">
        <v>2196</v>
      </c>
      <c r="AL369" s="1761" t="s">
        <v>2637</v>
      </c>
      <c r="AM369" s="1761">
        <v>1328</v>
      </c>
      <c r="AN369" s="1761" t="s">
        <v>5394</v>
      </c>
      <c r="AO369" s="1764"/>
      <c r="AP369" s="1761" t="s">
        <v>5375</v>
      </c>
      <c r="AQ369" s="1761" t="s">
        <v>5376</v>
      </c>
      <c r="AR369" s="1761" t="s">
        <v>2963</v>
      </c>
      <c r="AS369" s="1761" t="s">
        <v>523</v>
      </c>
      <c r="AT369" s="1761" t="s">
        <v>328</v>
      </c>
      <c r="AU369" s="1763"/>
      <c r="AV369" s="1763"/>
    </row>
    <row r="370" spans="1:48" ht="25">
      <c r="A370" s="1785" t="str">
        <f t="shared" si="55"/>
        <v>פנסיה</v>
      </c>
      <c r="B370" s="1786">
        <f t="shared" si="56"/>
        <v>2190</v>
      </c>
      <c r="C370" s="1787">
        <v>28946</v>
      </c>
      <c r="D370" s="1786" t="str">
        <f t="shared" si="57"/>
        <v>אלטשולר שחם פנסיה מקיפה - כללי</v>
      </c>
      <c r="E370" s="1786" t="s">
        <v>3929</v>
      </c>
      <c r="F370" s="1786" t="s">
        <v>2958</v>
      </c>
      <c r="G370" s="1786" t="s">
        <v>2959</v>
      </c>
      <c r="H370" s="1786" t="str">
        <f t="shared" si="58"/>
        <v>לא פעיל</v>
      </c>
      <c r="I370" s="1788">
        <f t="shared" si="59"/>
        <v>39601</v>
      </c>
      <c r="J370" s="1788">
        <f t="shared" si="60"/>
        <v>42320.535844907397</v>
      </c>
      <c r="K370" s="1786">
        <v>0</v>
      </c>
      <c r="L370" s="1786" t="s">
        <v>1594</v>
      </c>
      <c r="M370" s="1786" t="s">
        <v>1653</v>
      </c>
      <c r="N370" s="1786" t="s">
        <v>1653</v>
      </c>
      <c r="O370" s="1786">
        <v>0</v>
      </c>
      <c r="P370" s="1786"/>
      <c r="Q370" s="1786">
        <v>0</v>
      </c>
      <c r="R370" s="1788"/>
      <c r="S370" s="1786">
        <f t="shared" si="61"/>
        <v>1328</v>
      </c>
      <c r="T370" s="1786" t="str">
        <f t="shared" si="62"/>
        <v>חברת תפעול גמל בע"מ</v>
      </c>
      <c r="U370" s="1786" t="str">
        <f t="shared" si="63"/>
        <v>אלטשולר שחם פנסיה מקיפה</v>
      </c>
      <c r="V370" s="1786" t="str">
        <f t="shared" si="64"/>
        <v>511446551</v>
      </c>
      <c r="W370" s="1789" t="str">
        <f t="shared" si="65"/>
        <v>אלטשולר שחם גמל ופנסיה בע"מ</v>
      </c>
      <c r="AC370" s="1759" t="s">
        <v>1586</v>
      </c>
      <c r="AD370" s="1760">
        <v>42320.535844907397</v>
      </c>
      <c r="AE370" s="1760">
        <v>39601</v>
      </c>
      <c r="AF370" s="1759" t="s">
        <v>1583</v>
      </c>
      <c r="AG370" s="1759" t="s">
        <v>1583</v>
      </c>
      <c r="AH370" s="1759" t="s">
        <v>1583</v>
      </c>
      <c r="AI370" s="1759" t="s">
        <v>2636</v>
      </c>
      <c r="AJ370" s="1759" t="s">
        <v>2636</v>
      </c>
      <c r="AK370" s="1759">
        <v>2190</v>
      </c>
      <c r="AL370" s="1759" t="s">
        <v>2637</v>
      </c>
      <c r="AM370" s="1759">
        <v>1328</v>
      </c>
      <c r="AN370" s="1759" t="s">
        <v>5394</v>
      </c>
      <c r="AO370" s="1764"/>
      <c r="AP370" s="1759" t="s">
        <v>5375</v>
      </c>
      <c r="AQ370" s="1759" t="s">
        <v>5376</v>
      </c>
      <c r="AR370" s="1759" t="s">
        <v>2963</v>
      </c>
      <c r="AS370" s="1759" t="s">
        <v>523</v>
      </c>
      <c r="AT370" s="1759" t="s">
        <v>328</v>
      </c>
      <c r="AU370" s="1763"/>
      <c r="AV370" s="1763"/>
    </row>
    <row r="371" spans="1:48" ht="25">
      <c r="A371" s="1785" t="str">
        <f t="shared" si="55"/>
        <v>פנסיה</v>
      </c>
      <c r="B371" s="1786">
        <f t="shared" si="56"/>
        <v>9760</v>
      </c>
      <c r="C371" s="1787">
        <v>28946</v>
      </c>
      <c r="D371" s="1786" t="str">
        <f t="shared" si="57"/>
        <v>אלטשולר שחם פנסיה מקיפה מסלול הלכה</v>
      </c>
      <c r="E371" s="1786" t="s">
        <v>3929</v>
      </c>
      <c r="F371" s="1786" t="s">
        <v>2958</v>
      </c>
      <c r="G371" s="1786" t="s">
        <v>2959</v>
      </c>
      <c r="H371" s="1786" t="str">
        <f t="shared" si="58"/>
        <v>פעיל</v>
      </c>
      <c r="I371" s="1788">
        <f t="shared" si="59"/>
        <v>39601</v>
      </c>
      <c r="J371" s="1788" t="str">
        <f t="shared" si="60"/>
        <v/>
      </c>
      <c r="K371" s="1786">
        <v>0</v>
      </c>
      <c r="L371" s="1786" t="s">
        <v>1594</v>
      </c>
      <c r="M371" s="1786" t="s">
        <v>1653</v>
      </c>
      <c r="N371" s="1786" t="s">
        <v>1653</v>
      </c>
      <c r="O371" s="1786">
        <v>0</v>
      </c>
      <c r="P371" s="1786"/>
      <c r="Q371" s="1786">
        <v>0</v>
      </c>
      <c r="R371" s="1788"/>
      <c r="S371" s="1786">
        <f t="shared" si="61"/>
        <v>1328</v>
      </c>
      <c r="T371" s="1786" t="str">
        <f t="shared" si="62"/>
        <v>חברת תפעול גמל בע"מ</v>
      </c>
      <c r="U371" s="1786" t="str">
        <f t="shared" si="63"/>
        <v>אלטשולר שחם פנסיה מקיפה</v>
      </c>
      <c r="V371" s="1786" t="str">
        <f t="shared" si="64"/>
        <v>511446551</v>
      </c>
      <c r="W371" s="1789" t="str">
        <f t="shared" si="65"/>
        <v>אלטשולר שחם גמל ופנסיה בע"מ</v>
      </c>
      <c r="AC371" s="1761" t="s">
        <v>346</v>
      </c>
      <c r="AD371" s="1761"/>
      <c r="AE371" s="1762">
        <v>39601</v>
      </c>
      <c r="AF371" s="1761" t="s">
        <v>4603</v>
      </c>
      <c r="AG371" s="1761" t="s">
        <v>2029</v>
      </c>
      <c r="AH371" s="1761" t="s">
        <v>2028</v>
      </c>
      <c r="AI371" s="1761" t="s">
        <v>4337</v>
      </c>
      <c r="AJ371" s="1761" t="s">
        <v>4337</v>
      </c>
      <c r="AK371" s="1761">
        <v>9760</v>
      </c>
      <c r="AL371" s="1761" t="s">
        <v>2637</v>
      </c>
      <c r="AM371" s="1761">
        <v>1328</v>
      </c>
      <c r="AN371" s="1761" t="s">
        <v>5394</v>
      </c>
      <c r="AO371" s="1764"/>
      <c r="AP371" s="1761" t="s">
        <v>5375</v>
      </c>
      <c r="AQ371" s="1761" t="s">
        <v>5376</v>
      </c>
      <c r="AR371" s="1761" t="s">
        <v>2963</v>
      </c>
      <c r="AS371" s="1761" t="s">
        <v>523</v>
      </c>
      <c r="AT371" s="1761" t="s">
        <v>328</v>
      </c>
      <c r="AU371" s="1763"/>
      <c r="AV371" s="1763"/>
    </row>
    <row r="372" spans="1:48" ht="25">
      <c r="A372" s="1785" t="str">
        <f t="shared" si="55"/>
        <v>פנסיה</v>
      </c>
      <c r="B372" s="1786">
        <f t="shared" si="56"/>
        <v>9759</v>
      </c>
      <c r="C372" s="1787">
        <v>28946</v>
      </c>
      <c r="D372" s="1786" t="str">
        <f t="shared" si="57"/>
        <v>אלטשולר שחם פנסיה מקיפה מסלול לבני 60 ומעלה</v>
      </c>
      <c r="E372" s="1786" t="s">
        <v>3929</v>
      </c>
      <c r="F372" s="1786" t="s">
        <v>2958</v>
      </c>
      <c r="G372" s="1786" t="s">
        <v>2959</v>
      </c>
      <c r="H372" s="1786" t="str">
        <f t="shared" si="58"/>
        <v>פעיל</v>
      </c>
      <c r="I372" s="1788">
        <f t="shared" si="59"/>
        <v>39601</v>
      </c>
      <c r="J372" s="1788" t="str">
        <f t="shared" si="60"/>
        <v/>
      </c>
      <c r="K372" s="1786">
        <v>0</v>
      </c>
      <c r="L372" s="1786" t="s">
        <v>1594</v>
      </c>
      <c r="M372" s="1786" t="s">
        <v>1653</v>
      </c>
      <c r="N372" s="1786" t="s">
        <v>1653</v>
      </c>
      <c r="O372" s="1786">
        <v>0</v>
      </c>
      <c r="P372" s="1786"/>
      <c r="Q372" s="1786">
        <v>0</v>
      </c>
      <c r="R372" s="1788"/>
      <c r="S372" s="1786">
        <f t="shared" si="61"/>
        <v>1328</v>
      </c>
      <c r="T372" s="1786" t="str">
        <f t="shared" si="62"/>
        <v>חברת תפעול גמל בע"מ</v>
      </c>
      <c r="U372" s="1786" t="str">
        <f t="shared" si="63"/>
        <v>אלטשולר שחם פנסיה מקיפה</v>
      </c>
      <c r="V372" s="1786" t="str">
        <f t="shared" si="64"/>
        <v>511446551</v>
      </c>
      <c r="W372" s="1789" t="str">
        <f t="shared" si="65"/>
        <v>אלטשולר שחם גמל ופנסיה בע"מ</v>
      </c>
      <c r="AC372" s="1759" t="s">
        <v>346</v>
      </c>
      <c r="AD372" s="1759"/>
      <c r="AE372" s="1760">
        <v>39601</v>
      </c>
      <c r="AF372" s="1759" t="s">
        <v>3963</v>
      </c>
      <c r="AG372" s="1759" t="s">
        <v>3931</v>
      </c>
      <c r="AH372" s="1759" t="s">
        <v>3658</v>
      </c>
      <c r="AI372" s="1759" t="s">
        <v>4336</v>
      </c>
      <c r="AJ372" s="1759" t="s">
        <v>4336</v>
      </c>
      <c r="AK372" s="1759">
        <v>9759</v>
      </c>
      <c r="AL372" s="1759" t="s">
        <v>2637</v>
      </c>
      <c r="AM372" s="1759">
        <v>1328</v>
      </c>
      <c r="AN372" s="1759" t="s">
        <v>5394</v>
      </c>
      <c r="AO372" s="1764"/>
      <c r="AP372" s="1759" t="s">
        <v>5375</v>
      </c>
      <c r="AQ372" s="1759" t="s">
        <v>5376</v>
      </c>
      <c r="AR372" s="1759" t="s">
        <v>2963</v>
      </c>
      <c r="AS372" s="1759" t="s">
        <v>523</v>
      </c>
      <c r="AT372" s="1759" t="s">
        <v>328</v>
      </c>
      <c r="AU372" s="1763"/>
      <c r="AV372" s="1763"/>
    </row>
    <row r="373" spans="1:48" ht="25">
      <c r="A373" s="1785" t="str">
        <f t="shared" si="55"/>
        <v>פנסיה</v>
      </c>
      <c r="B373" s="1786">
        <f t="shared" si="56"/>
        <v>9758</v>
      </c>
      <c r="C373" s="1787">
        <v>28946</v>
      </c>
      <c r="D373" s="1786" t="str">
        <f t="shared" si="57"/>
        <v>אלטשולר שחם פנסיה מקיפה מסלול לבני 50-60</v>
      </c>
      <c r="E373" s="1786" t="s">
        <v>3929</v>
      </c>
      <c r="F373" s="1786" t="s">
        <v>2958</v>
      </c>
      <c r="G373" s="1786" t="s">
        <v>2959</v>
      </c>
      <c r="H373" s="1786" t="str">
        <f t="shared" si="58"/>
        <v>פעיל</v>
      </c>
      <c r="I373" s="1788">
        <f t="shared" si="59"/>
        <v>39601</v>
      </c>
      <c r="J373" s="1788" t="str">
        <f t="shared" si="60"/>
        <v/>
      </c>
      <c r="K373" s="1786">
        <v>0</v>
      </c>
      <c r="L373" s="1786" t="s">
        <v>1594</v>
      </c>
      <c r="M373" s="1786" t="s">
        <v>1653</v>
      </c>
      <c r="N373" s="1786" t="s">
        <v>1653</v>
      </c>
      <c r="O373" s="1786">
        <v>0</v>
      </c>
      <c r="P373" s="1786"/>
      <c r="Q373" s="1786">
        <v>0</v>
      </c>
      <c r="R373" s="1788"/>
      <c r="S373" s="1786">
        <f t="shared" si="61"/>
        <v>1328</v>
      </c>
      <c r="T373" s="1786" t="str">
        <f t="shared" si="62"/>
        <v>חברת תפעול גמל בע"מ</v>
      </c>
      <c r="U373" s="1786" t="str">
        <f t="shared" si="63"/>
        <v>אלטשולר שחם פנסיה מקיפה</v>
      </c>
      <c r="V373" s="1786" t="str">
        <f t="shared" si="64"/>
        <v>511446551</v>
      </c>
      <c r="W373" s="1789" t="str">
        <f t="shared" si="65"/>
        <v>אלטשולר שחם גמל ופנסיה בע"מ</v>
      </c>
      <c r="AC373" s="1761" t="s">
        <v>346</v>
      </c>
      <c r="AD373" s="1761"/>
      <c r="AE373" s="1762">
        <v>39601</v>
      </c>
      <c r="AF373" s="1761" t="s">
        <v>3932</v>
      </c>
      <c r="AG373" s="1761" t="s">
        <v>3931</v>
      </c>
      <c r="AH373" s="1761" t="s">
        <v>3658</v>
      </c>
      <c r="AI373" s="1761" t="s">
        <v>4335</v>
      </c>
      <c r="AJ373" s="1761" t="s">
        <v>4335</v>
      </c>
      <c r="AK373" s="1761">
        <v>9758</v>
      </c>
      <c r="AL373" s="1761" t="s">
        <v>2637</v>
      </c>
      <c r="AM373" s="1761">
        <v>1328</v>
      </c>
      <c r="AN373" s="1761" t="s">
        <v>5394</v>
      </c>
      <c r="AO373" s="1764"/>
      <c r="AP373" s="1761" t="s">
        <v>5375</v>
      </c>
      <c r="AQ373" s="1761" t="s">
        <v>5376</v>
      </c>
      <c r="AR373" s="1761" t="s">
        <v>2963</v>
      </c>
      <c r="AS373" s="1761" t="s">
        <v>523</v>
      </c>
      <c r="AT373" s="1761" t="s">
        <v>328</v>
      </c>
      <c r="AU373" s="1763"/>
      <c r="AV373" s="1763"/>
    </row>
    <row r="374" spans="1:48" ht="25">
      <c r="A374" s="1785" t="str">
        <f t="shared" si="55"/>
        <v>פנסיה</v>
      </c>
      <c r="B374" s="1786">
        <f t="shared" si="56"/>
        <v>9757</v>
      </c>
      <c r="C374" s="1787">
        <v>28946</v>
      </c>
      <c r="D374" s="1786" t="str">
        <f t="shared" si="57"/>
        <v>אלטשולר שחם פנסיה מקיפה מסלול לבני 50 ומטה</v>
      </c>
      <c r="E374" s="1786" t="s">
        <v>3929</v>
      </c>
      <c r="F374" s="1786" t="s">
        <v>2958</v>
      </c>
      <c r="G374" s="1786" t="s">
        <v>2959</v>
      </c>
      <c r="H374" s="1786" t="str">
        <f t="shared" si="58"/>
        <v>פעיל</v>
      </c>
      <c r="I374" s="1788">
        <f t="shared" si="59"/>
        <v>39601</v>
      </c>
      <c r="J374" s="1788" t="str">
        <f t="shared" si="60"/>
        <v/>
      </c>
      <c r="K374" s="1786">
        <v>0</v>
      </c>
      <c r="L374" s="1786" t="s">
        <v>1594</v>
      </c>
      <c r="M374" s="1786" t="s">
        <v>1653</v>
      </c>
      <c r="N374" s="1786" t="s">
        <v>1653</v>
      </c>
      <c r="O374" s="1786">
        <v>0</v>
      </c>
      <c r="P374" s="1786"/>
      <c r="Q374" s="1786">
        <v>0</v>
      </c>
      <c r="R374" s="1788"/>
      <c r="S374" s="1786">
        <f t="shared" si="61"/>
        <v>1328</v>
      </c>
      <c r="T374" s="1786" t="str">
        <f t="shared" si="62"/>
        <v>חברת תפעול גמל בע"מ</v>
      </c>
      <c r="U374" s="1786" t="str">
        <f t="shared" si="63"/>
        <v>אלטשולר שחם פנסיה מקיפה</v>
      </c>
      <c r="V374" s="1786" t="str">
        <f t="shared" si="64"/>
        <v>511446551</v>
      </c>
      <c r="W374" s="1789" t="str">
        <f t="shared" si="65"/>
        <v>אלטשולר שחם גמל ופנסיה בע"מ</v>
      </c>
      <c r="AC374" s="1759" t="s">
        <v>346</v>
      </c>
      <c r="AD374" s="1759"/>
      <c r="AE374" s="1760">
        <v>39601</v>
      </c>
      <c r="AF374" s="1759" t="s">
        <v>4151</v>
      </c>
      <c r="AG374" s="1759" t="s">
        <v>3931</v>
      </c>
      <c r="AH374" s="1759" t="s">
        <v>3658</v>
      </c>
      <c r="AI374" s="1759" t="s">
        <v>4334</v>
      </c>
      <c r="AJ374" s="1759" t="s">
        <v>4334</v>
      </c>
      <c r="AK374" s="1759">
        <v>9757</v>
      </c>
      <c r="AL374" s="1759" t="s">
        <v>2637</v>
      </c>
      <c r="AM374" s="1759">
        <v>1328</v>
      </c>
      <c r="AN374" s="1759" t="s">
        <v>5394</v>
      </c>
      <c r="AO374" s="1764"/>
      <c r="AP374" s="1759" t="s">
        <v>5375</v>
      </c>
      <c r="AQ374" s="1759" t="s">
        <v>5376</v>
      </c>
      <c r="AR374" s="1759" t="s">
        <v>2963</v>
      </c>
      <c r="AS374" s="1759" t="s">
        <v>523</v>
      </c>
      <c r="AT374" s="1759" t="s">
        <v>328</v>
      </c>
      <c r="AU374" s="1763"/>
      <c r="AV374" s="1763"/>
    </row>
    <row r="375" spans="1:48" ht="25">
      <c r="A375" s="1785" t="str">
        <f t="shared" si="55"/>
        <v>פנסיה</v>
      </c>
      <c r="B375" s="1786">
        <f t="shared" si="56"/>
        <v>12138</v>
      </c>
      <c r="C375" s="1787">
        <v>28946</v>
      </c>
      <c r="D375" s="1786" t="str">
        <f t="shared" si="57"/>
        <v>אלטשולר שחם פנסיה מקיפה מסלול בסיסי למקבלי קצבה</v>
      </c>
      <c r="E375" s="1786" t="s">
        <v>3929</v>
      </c>
      <c r="F375" s="1786" t="s">
        <v>2958</v>
      </c>
      <c r="G375" s="1786" t="s">
        <v>2959</v>
      </c>
      <c r="H375" s="1786" t="str">
        <f t="shared" si="58"/>
        <v>פעיל</v>
      </c>
      <c r="I375" s="1788">
        <f t="shared" si="59"/>
        <v>39601</v>
      </c>
      <c r="J375" s="1788" t="str">
        <f t="shared" si="60"/>
        <v/>
      </c>
      <c r="K375" s="1786">
        <v>0</v>
      </c>
      <c r="L375" s="1786" t="s">
        <v>1594</v>
      </c>
      <c r="M375" s="1786" t="s">
        <v>1653</v>
      </c>
      <c r="N375" s="1786" t="s">
        <v>1653</v>
      </c>
      <c r="O375" s="1786">
        <v>0</v>
      </c>
      <c r="P375" s="1786"/>
      <c r="Q375" s="1786">
        <v>0</v>
      </c>
      <c r="R375" s="1788"/>
      <c r="S375" s="1786">
        <f t="shared" si="61"/>
        <v>1328</v>
      </c>
      <c r="T375" s="1786" t="str">
        <f t="shared" si="62"/>
        <v>חברת תפעול גמל בע"מ</v>
      </c>
      <c r="U375" s="1786" t="str">
        <f t="shared" si="63"/>
        <v>אלטשולר שחם פנסיה מקיפה</v>
      </c>
      <c r="V375" s="1786" t="str">
        <f t="shared" si="64"/>
        <v>511446551</v>
      </c>
      <c r="W375" s="1789" t="str">
        <f t="shared" si="65"/>
        <v>אלטשולר שחם גמל ופנסיה בע"מ</v>
      </c>
      <c r="AC375" s="1761" t="s">
        <v>346</v>
      </c>
      <c r="AD375" s="1761"/>
      <c r="AE375" s="1762">
        <v>39601</v>
      </c>
      <c r="AF375" s="1761" t="s">
        <v>3956</v>
      </c>
      <c r="AG375" s="1761" t="s">
        <v>70</v>
      </c>
      <c r="AH375" s="1761" t="s">
        <v>1594</v>
      </c>
      <c r="AI375" s="1761" t="s">
        <v>4172</v>
      </c>
      <c r="AJ375" s="1761" t="s">
        <v>4172</v>
      </c>
      <c r="AK375" s="1761">
        <v>12138</v>
      </c>
      <c r="AL375" s="1761" t="s">
        <v>2637</v>
      </c>
      <c r="AM375" s="1761">
        <v>1328</v>
      </c>
      <c r="AN375" s="1761" t="s">
        <v>5394</v>
      </c>
      <c r="AO375" s="1764"/>
      <c r="AP375" s="1761" t="s">
        <v>5375</v>
      </c>
      <c r="AQ375" s="1761" t="s">
        <v>5376</v>
      </c>
      <c r="AR375" s="1761" t="s">
        <v>2963</v>
      </c>
      <c r="AS375" s="1761" t="s">
        <v>523</v>
      </c>
      <c r="AT375" s="1761" t="s">
        <v>328</v>
      </c>
      <c r="AU375" s="1763"/>
      <c r="AV375" s="1763"/>
    </row>
    <row r="376" spans="1:48" ht="25">
      <c r="A376" s="1785" t="str">
        <f t="shared" si="55"/>
        <v>פנסיה</v>
      </c>
      <c r="B376" s="1786">
        <f t="shared" si="56"/>
        <v>12419</v>
      </c>
      <c r="C376" s="1787">
        <v>28946</v>
      </c>
      <c r="D376" s="1786" t="str">
        <f t="shared" si="57"/>
        <v xml:space="preserve">אלטשולר שחם פנסיה מקיפה מניות </v>
      </c>
      <c r="E376" s="1786" t="s">
        <v>3929</v>
      </c>
      <c r="F376" s="1786" t="s">
        <v>2958</v>
      </c>
      <c r="G376" s="1786" t="s">
        <v>2959</v>
      </c>
      <c r="H376" s="1786" t="str">
        <f t="shared" si="58"/>
        <v>פעיל</v>
      </c>
      <c r="I376" s="1788">
        <f t="shared" si="59"/>
        <v>39601</v>
      </c>
      <c r="J376" s="1788" t="str">
        <f t="shared" si="60"/>
        <v/>
      </c>
      <c r="K376" s="1786">
        <v>0</v>
      </c>
      <c r="L376" s="1786" t="s">
        <v>1594</v>
      </c>
      <c r="M376" s="1786" t="s">
        <v>1653</v>
      </c>
      <c r="N376" s="1786" t="s">
        <v>1653</v>
      </c>
      <c r="O376" s="1786">
        <v>0</v>
      </c>
      <c r="P376" s="1786"/>
      <c r="Q376" s="1786">
        <v>0</v>
      </c>
      <c r="R376" s="1788"/>
      <c r="S376" s="1786">
        <f t="shared" si="61"/>
        <v>1328</v>
      </c>
      <c r="T376" s="1786" t="str">
        <f t="shared" si="62"/>
        <v>חברת תפעול גמל בע"מ</v>
      </c>
      <c r="U376" s="1786" t="str">
        <f t="shared" si="63"/>
        <v>אלטשולר שחם פנסיה מקיפה</v>
      </c>
      <c r="V376" s="1786" t="str">
        <f t="shared" si="64"/>
        <v>511446551</v>
      </c>
      <c r="W376" s="1789" t="str">
        <f t="shared" si="65"/>
        <v>אלטשולר שחם גמל ופנסיה בע"מ</v>
      </c>
      <c r="AC376" s="1759" t="s">
        <v>346</v>
      </c>
      <c r="AD376" s="1759"/>
      <c r="AE376" s="1760">
        <v>39601</v>
      </c>
      <c r="AF376" s="1759" t="s">
        <v>1595</v>
      </c>
      <c r="AG376" s="1759" t="s">
        <v>75</v>
      </c>
      <c r="AH376" s="1759" t="s">
        <v>1594</v>
      </c>
      <c r="AI376" s="1759" t="s">
        <v>5521</v>
      </c>
      <c r="AJ376" s="1759" t="s">
        <v>5521</v>
      </c>
      <c r="AK376" s="1759">
        <v>12419</v>
      </c>
      <c r="AL376" s="1759" t="s">
        <v>2637</v>
      </c>
      <c r="AM376" s="1759">
        <v>1328</v>
      </c>
      <c r="AN376" s="1759" t="s">
        <v>5394</v>
      </c>
      <c r="AO376" s="1764"/>
      <c r="AP376" s="1759" t="s">
        <v>5375</v>
      </c>
      <c r="AQ376" s="1759" t="s">
        <v>5376</v>
      </c>
      <c r="AR376" s="1759" t="s">
        <v>2963</v>
      </c>
      <c r="AS376" s="1759" t="s">
        <v>523</v>
      </c>
      <c r="AT376" s="1759" t="s">
        <v>328</v>
      </c>
      <c r="AU376" s="1763"/>
      <c r="AV376" s="1763"/>
    </row>
    <row r="377" spans="1:48" ht="25">
      <c r="A377" s="1785" t="str">
        <f t="shared" si="55"/>
        <v>פנסיה</v>
      </c>
      <c r="B377" s="1786">
        <f t="shared" si="56"/>
        <v>12036</v>
      </c>
      <c r="C377" s="1787">
        <v>28946</v>
      </c>
      <c r="D377" s="1786" t="str">
        <f t="shared" si="57"/>
        <v xml:space="preserve">אלטשולר שחם פנסיה מקיפה מניות מניות </v>
      </c>
      <c r="E377" s="1786" t="s">
        <v>3929</v>
      </c>
      <c r="F377" s="1786" t="s">
        <v>2958</v>
      </c>
      <c r="G377" s="1786" t="s">
        <v>2959</v>
      </c>
      <c r="H377" s="1786" t="str">
        <f t="shared" si="58"/>
        <v>לא פעיל</v>
      </c>
      <c r="I377" s="1788">
        <f t="shared" si="59"/>
        <v>39601</v>
      </c>
      <c r="J377" s="1788">
        <f t="shared" si="60"/>
        <v>43163.657407407401</v>
      </c>
      <c r="K377" s="1786">
        <v>0</v>
      </c>
      <c r="L377" s="1786" t="s">
        <v>1594</v>
      </c>
      <c r="M377" s="1786" t="s">
        <v>1653</v>
      </c>
      <c r="N377" s="1786" t="s">
        <v>1653</v>
      </c>
      <c r="O377" s="1786">
        <v>0</v>
      </c>
      <c r="P377" s="1786"/>
      <c r="Q377" s="1786">
        <v>0</v>
      </c>
      <c r="R377" s="1788"/>
      <c r="S377" s="1786">
        <f t="shared" si="61"/>
        <v>1328</v>
      </c>
      <c r="T377" s="1786" t="str">
        <f t="shared" si="62"/>
        <v>חברת תפעול גמל בע"מ</v>
      </c>
      <c r="U377" s="1786" t="str">
        <f t="shared" si="63"/>
        <v>אלטשולר שחם פנסיה מקיפה</v>
      </c>
      <c r="V377" s="1786" t="str">
        <f t="shared" si="64"/>
        <v>511446551</v>
      </c>
      <c r="W377" s="1789" t="str">
        <f t="shared" si="65"/>
        <v>אלטשולר שחם גמל ופנסיה בע"מ</v>
      </c>
      <c r="AC377" s="1761" t="s">
        <v>1586</v>
      </c>
      <c r="AD377" s="1762">
        <v>43163.657407407401</v>
      </c>
      <c r="AE377" s="1762">
        <v>39601</v>
      </c>
      <c r="AF377" s="1761" t="s">
        <v>1595</v>
      </c>
      <c r="AG377" s="1761" t="s">
        <v>75</v>
      </c>
      <c r="AH377" s="1761" t="s">
        <v>1594</v>
      </c>
      <c r="AI377" s="1761" t="s">
        <v>5522</v>
      </c>
      <c r="AJ377" s="1761" t="s">
        <v>5522</v>
      </c>
      <c r="AK377" s="1761">
        <v>12036</v>
      </c>
      <c r="AL377" s="1761" t="s">
        <v>2637</v>
      </c>
      <c r="AM377" s="1761">
        <v>1328</v>
      </c>
      <c r="AN377" s="1761" t="s">
        <v>5394</v>
      </c>
      <c r="AO377" s="1764"/>
      <c r="AP377" s="1761" t="s">
        <v>5375</v>
      </c>
      <c r="AQ377" s="1761" t="s">
        <v>5376</v>
      </c>
      <c r="AR377" s="1761" t="s">
        <v>2963</v>
      </c>
      <c r="AS377" s="1761" t="s">
        <v>523</v>
      </c>
      <c r="AT377" s="1761" t="s">
        <v>328</v>
      </c>
      <c r="AU377" s="1763"/>
      <c r="AV377" s="1763"/>
    </row>
    <row r="378" spans="1:48" ht="25" hidden="1">
      <c r="A378" s="1785" t="str">
        <f t="shared" si="55"/>
        <v>גמל</v>
      </c>
      <c r="B378" s="1786">
        <f t="shared" si="56"/>
        <v>1326</v>
      </c>
      <c r="C378" s="1787">
        <v>28946</v>
      </c>
      <c r="D378" s="1786" t="str">
        <f t="shared" si="57"/>
        <v>הדס ארזים לפרישה 2035</v>
      </c>
      <c r="E378" s="1786" t="s">
        <v>3929</v>
      </c>
      <c r="F378" s="1786" t="s">
        <v>2958</v>
      </c>
      <c r="G378" s="1786" t="s">
        <v>2959</v>
      </c>
      <c r="H378" s="1786" t="str">
        <f t="shared" si="58"/>
        <v>לא פעיל</v>
      </c>
      <c r="I378" s="1788">
        <f t="shared" si="59"/>
        <v>39595</v>
      </c>
      <c r="J378" s="1788">
        <f t="shared" si="60"/>
        <v>41547.519583333298</v>
      </c>
      <c r="K378" s="1786">
        <v>0</v>
      </c>
      <c r="L378" s="1786" t="s">
        <v>1594</v>
      </c>
      <c r="M378" s="1786" t="s">
        <v>1653</v>
      </c>
      <c r="N378" s="1786" t="s">
        <v>1653</v>
      </c>
      <c r="O378" s="1786">
        <v>0</v>
      </c>
      <c r="P378" s="1786"/>
      <c r="Q378" s="1786">
        <v>0</v>
      </c>
      <c r="R378" s="1788"/>
      <c r="S378" s="1786">
        <f t="shared" si="61"/>
        <v>1323</v>
      </c>
      <c r="T378" s="1786" t="str">
        <f t="shared" si="62"/>
        <v>בנק הפועלים בע"מ</v>
      </c>
      <c r="U378" s="1786" t="str">
        <f t="shared" si="63"/>
        <v>הדס ארזים לפרישה 2020</v>
      </c>
      <c r="V378" s="1786" t="str">
        <f t="shared" si="64"/>
        <v>513163105</v>
      </c>
      <c r="W378" s="1789" t="str">
        <f t="shared" si="65"/>
        <v>הלמן - אלדובי קופות גמל ופנסיה בע"מ</v>
      </c>
      <c r="AC378" s="1759" t="s">
        <v>1586</v>
      </c>
      <c r="AD378" s="1760">
        <v>41547.519583333298</v>
      </c>
      <c r="AE378" s="1760">
        <v>39595</v>
      </c>
      <c r="AF378" s="1759" t="s">
        <v>1583</v>
      </c>
      <c r="AG378" s="1759" t="s">
        <v>1583</v>
      </c>
      <c r="AH378" s="1759" t="s">
        <v>1583</v>
      </c>
      <c r="AI378" s="1759" t="s">
        <v>2405</v>
      </c>
      <c r="AJ378" s="1759" t="s">
        <v>2405</v>
      </c>
      <c r="AK378" s="1759">
        <v>1326</v>
      </c>
      <c r="AL378" s="1759" t="s">
        <v>699</v>
      </c>
      <c r="AM378" s="1759">
        <v>1323</v>
      </c>
      <c r="AN378" s="1759" t="s">
        <v>1695</v>
      </c>
      <c r="AO378" s="1764"/>
      <c r="AP378" s="1759" t="s">
        <v>5371</v>
      </c>
      <c r="AQ378" s="1759" t="s">
        <v>5372</v>
      </c>
      <c r="AR378" s="1759" t="s">
        <v>354</v>
      </c>
      <c r="AS378" s="1759" t="s">
        <v>355</v>
      </c>
      <c r="AT378" s="1759" t="s">
        <v>327</v>
      </c>
      <c r="AU378" s="1763"/>
      <c r="AV378" s="1763"/>
    </row>
    <row r="379" spans="1:48" ht="25" hidden="1">
      <c r="A379" s="1785" t="str">
        <f t="shared" si="55"/>
        <v>גמל</v>
      </c>
      <c r="B379" s="1786">
        <f t="shared" si="56"/>
        <v>1327</v>
      </c>
      <c r="C379" s="1787">
        <v>28946</v>
      </c>
      <c r="D379" s="1786" t="str">
        <f t="shared" si="57"/>
        <v>הדס ארזים לפרישה 2040</v>
      </c>
      <c r="E379" s="1786" t="s">
        <v>3929</v>
      </c>
      <c r="F379" s="1786" t="s">
        <v>2958</v>
      </c>
      <c r="G379" s="1786" t="s">
        <v>2959</v>
      </c>
      <c r="H379" s="1786" t="str">
        <f t="shared" si="58"/>
        <v>לא פעיל</v>
      </c>
      <c r="I379" s="1788">
        <f t="shared" si="59"/>
        <v>39595</v>
      </c>
      <c r="J379" s="1788">
        <f t="shared" si="60"/>
        <v>40916.665567129603</v>
      </c>
      <c r="K379" s="1786">
        <v>0</v>
      </c>
      <c r="L379" s="1786" t="s">
        <v>1594</v>
      </c>
      <c r="M379" s="1786" t="s">
        <v>1653</v>
      </c>
      <c r="N379" s="1786" t="s">
        <v>1653</v>
      </c>
      <c r="O379" s="1786">
        <v>0</v>
      </c>
      <c r="P379" s="1786"/>
      <c r="Q379" s="1786">
        <v>0</v>
      </c>
      <c r="R379" s="1788"/>
      <c r="S379" s="1786">
        <f t="shared" si="61"/>
        <v>1323</v>
      </c>
      <c r="T379" s="1786" t="str">
        <f t="shared" si="62"/>
        <v>בנק הפועלים בע"מ</v>
      </c>
      <c r="U379" s="1786" t="str">
        <f t="shared" si="63"/>
        <v>הדס ארזים לפרישה 2020</v>
      </c>
      <c r="V379" s="1786">
        <f t="shared" si="64"/>
        <v>0</v>
      </c>
      <c r="W379" s="1789" t="str">
        <f t="shared" si="65"/>
        <v>הדס ארזים קופות גמל בע"מ</v>
      </c>
      <c r="AC379" s="1761" t="s">
        <v>1586</v>
      </c>
      <c r="AD379" s="1762">
        <v>40916.665567129603</v>
      </c>
      <c r="AE379" s="1762">
        <v>39595</v>
      </c>
      <c r="AF379" s="1761" t="s">
        <v>1583</v>
      </c>
      <c r="AG379" s="1761" t="s">
        <v>1583</v>
      </c>
      <c r="AH379" s="1761" t="s">
        <v>1583</v>
      </c>
      <c r="AI379" s="1761" t="s">
        <v>2406</v>
      </c>
      <c r="AJ379" s="1761" t="s">
        <v>2406</v>
      </c>
      <c r="AK379" s="1761">
        <v>1327</v>
      </c>
      <c r="AL379" s="1761" t="s">
        <v>699</v>
      </c>
      <c r="AM379" s="1761">
        <v>1323</v>
      </c>
      <c r="AN379" s="1761" t="s">
        <v>1695</v>
      </c>
      <c r="AO379" s="1764"/>
      <c r="AP379" s="1761"/>
      <c r="AQ379" s="1761"/>
      <c r="AR379" s="1761" t="s">
        <v>373</v>
      </c>
      <c r="AS379" s="1761" t="s">
        <v>374</v>
      </c>
      <c r="AT379" s="1761" t="s">
        <v>327</v>
      </c>
      <c r="AU379" s="1763"/>
      <c r="AV379" s="1763"/>
    </row>
    <row r="380" spans="1:48" ht="25" hidden="1">
      <c r="A380" s="1785" t="str">
        <f t="shared" si="55"/>
        <v>גמל</v>
      </c>
      <c r="B380" s="1786">
        <f t="shared" si="56"/>
        <v>1323</v>
      </c>
      <c r="C380" s="1787">
        <v>28946</v>
      </c>
      <c r="D380" s="1786" t="str">
        <f t="shared" si="57"/>
        <v>הדס ארזים לפרישה 2020</v>
      </c>
      <c r="E380" s="1786" t="s">
        <v>3929</v>
      </c>
      <c r="F380" s="1786" t="s">
        <v>2958</v>
      </c>
      <c r="G380" s="1786" t="s">
        <v>2959</v>
      </c>
      <c r="H380" s="1786" t="str">
        <f t="shared" si="58"/>
        <v>לא פעיל</v>
      </c>
      <c r="I380" s="1788">
        <f t="shared" si="59"/>
        <v>39595</v>
      </c>
      <c r="J380" s="1788">
        <f t="shared" si="60"/>
        <v>41547.519583333298</v>
      </c>
      <c r="K380" s="1786">
        <v>0</v>
      </c>
      <c r="L380" s="1786" t="s">
        <v>1594</v>
      </c>
      <c r="M380" s="1786" t="s">
        <v>1653</v>
      </c>
      <c r="N380" s="1786" t="s">
        <v>1653</v>
      </c>
      <c r="O380" s="1786">
        <v>0</v>
      </c>
      <c r="P380" s="1786"/>
      <c r="Q380" s="1786">
        <v>0</v>
      </c>
      <c r="R380" s="1788"/>
      <c r="S380" s="1786">
        <f t="shared" si="61"/>
        <v>1323</v>
      </c>
      <c r="T380" s="1786" t="str">
        <f t="shared" si="62"/>
        <v>בנק הפועלים בע"מ</v>
      </c>
      <c r="U380" s="1786" t="str">
        <f t="shared" si="63"/>
        <v>הדס ארזים לפרישה 2020</v>
      </c>
      <c r="V380" s="1786" t="str">
        <f t="shared" si="64"/>
        <v>513163105</v>
      </c>
      <c r="W380" s="1789" t="str">
        <f t="shared" si="65"/>
        <v>הלמן - אלדובי קופות גמל ופנסיה בע"מ</v>
      </c>
      <c r="AC380" s="1759" t="s">
        <v>1586</v>
      </c>
      <c r="AD380" s="1760">
        <v>41547.519583333298</v>
      </c>
      <c r="AE380" s="1760">
        <v>39595</v>
      </c>
      <c r="AF380" s="1759" t="s">
        <v>1583</v>
      </c>
      <c r="AG380" s="1759" t="s">
        <v>1583</v>
      </c>
      <c r="AH380" s="1759" t="s">
        <v>1583</v>
      </c>
      <c r="AI380" s="1759" t="s">
        <v>699</v>
      </c>
      <c r="AJ380" s="1759" t="s">
        <v>699</v>
      </c>
      <c r="AK380" s="1759">
        <v>1323</v>
      </c>
      <c r="AL380" s="1759" t="s">
        <v>699</v>
      </c>
      <c r="AM380" s="1759">
        <v>1323</v>
      </c>
      <c r="AN380" s="1759" t="s">
        <v>1695</v>
      </c>
      <c r="AO380" s="1764"/>
      <c r="AP380" s="1759" t="s">
        <v>5371</v>
      </c>
      <c r="AQ380" s="1759" t="s">
        <v>5372</v>
      </c>
      <c r="AR380" s="1759" t="s">
        <v>354</v>
      </c>
      <c r="AS380" s="1759" t="s">
        <v>355</v>
      </c>
      <c r="AT380" s="1759" t="s">
        <v>327</v>
      </c>
      <c r="AU380" s="1763"/>
      <c r="AV380" s="1763"/>
    </row>
    <row r="381" spans="1:48" ht="25" hidden="1">
      <c r="A381" s="1785" t="str">
        <f t="shared" si="55"/>
        <v>גמל</v>
      </c>
      <c r="B381" s="1786">
        <f t="shared" si="56"/>
        <v>1324</v>
      </c>
      <c r="C381" s="1787">
        <v>28946</v>
      </c>
      <c r="D381" s="1786" t="str">
        <f t="shared" si="57"/>
        <v>הדס ארזים לפרישה 2025</v>
      </c>
      <c r="E381" s="1786" t="s">
        <v>3929</v>
      </c>
      <c r="F381" s="1786" t="s">
        <v>2958</v>
      </c>
      <c r="G381" s="1786" t="s">
        <v>2959</v>
      </c>
      <c r="H381" s="1786" t="str">
        <f t="shared" si="58"/>
        <v>לא פעיל</v>
      </c>
      <c r="I381" s="1788">
        <f t="shared" si="59"/>
        <v>39595</v>
      </c>
      <c r="J381" s="1788">
        <f t="shared" si="60"/>
        <v>41547.519583333298</v>
      </c>
      <c r="K381" s="1786">
        <v>0</v>
      </c>
      <c r="L381" s="1786" t="s">
        <v>1594</v>
      </c>
      <c r="M381" s="1786" t="s">
        <v>1653</v>
      </c>
      <c r="N381" s="1786" t="s">
        <v>1653</v>
      </c>
      <c r="O381" s="1786">
        <v>0</v>
      </c>
      <c r="P381" s="1786"/>
      <c r="Q381" s="1786">
        <v>0</v>
      </c>
      <c r="R381" s="1788"/>
      <c r="S381" s="1786">
        <f t="shared" si="61"/>
        <v>1323</v>
      </c>
      <c r="T381" s="1786" t="str">
        <f t="shared" si="62"/>
        <v>בנק הפועלים בע"מ</v>
      </c>
      <c r="U381" s="1786" t="str">
        <f t="shared" si="63"/>
        <v>הדס ארזים לפרישה 2020</v>
      </c>
      <c r="V381" s="1786" t="str">
        <f t="shared" si="64"/>
        <v>513163105</v>
      </c>
      <c r="W381" s="1789" t="str">
        <f t="shared" si="65"/>
        <v>הלמן - אלדובי קופות גמל ופנסיה בע"מ</v>
      </c>
      <c r="AC381" s="1761" t="s">
        <v>1586</v>
      </c>
      <c r="AD381" s="1762">
        <v>41547.519583333298</v>
      </c>
      <c r="AE381" s="1762">
        <v>39595</v>
      </c>
      <c r="AF381" s="1761" t="s">
        <v>1583</v>
      </c>
      <c r="AG381" s="1761" t="s">
        <v>1583</v>
      </c>
      <c r="AH381" s="1761" t="s">
        <v>1583</v>
      </c>
      <c r="AI381" s="1761" t="s">
        <v>2403</v>
      </c>
      <c r="AJ381" s="1761" t="s">
        <v>2403</v>
      </c>
      <c r="AK381" s="1761">
        <v>1324</v>
      </c>
      <c r="AL381" s="1761" t="s">
        <v>699</v>
      </c>
      <c r="AM381" s="1761">
        <v>1323</v>
      </c>
      <c r="AN381" s="1761" t="s">
        <v>1695</v>
      </c>
      <c r="AO381" s="1764"/>
      <c r="AP381" s="1761" t="s">
        <v>5371</v>
      </c>
      <c r="AQ381" s="1761" t="s">
        <v>5372</v>
      </c>
      <c r="AR381" s="1761" t="s">
        <v>354</v>
      </c>
      <c r="AS381" s="1761" t="s">
        <v>355</v>
      </c>
      <c r="AT381" s="1761" t="s">
        <v>327</v>
      </c>
      <c r="AU381" s="1763"/>
      <c r="AV381" s="1763"/>
    </row>
    <row r="382" spans="1:48" ht="25" hidden="1">
      <c r="A382" s="1785" t="str">
        <f t="shared" si="55"/>
        <v>גמל</v>
      </c>
      <c r="B382" s="1786">
        <f t="shared" si="56"/>
        <v>1325</v>
      </c>
      <c r="C382" s="1787">
        <v>28946</v>
      </c>
      <c r="D382" s="1786" t="str">
        <f t="shared" si="57"/>
        <v>הדס ארזים לפרישה 2030</v>
      </c>
      <c r="E382" s="1786" t="s">
        <v>3929</v>
      </c>
      <c r="F382" s="1786" t="s">
        <v>2958</v>
      </c>
      <c r="G382" s="1786" t="s">
        <v>2959</v>
      </c>
      <c r="H382" s="1786" t="str">
        <f t="shared" si="58"/>
        <v>לא פעיל</v>
      </c>
      <c r="I382" s="1788">
        <f t="shared" si="59"/>
        <v>39595</v>
      </c>
      <c r="J382" s="1788">
        <f t="shared" si="60"/>
        <v>41547.519583333298</v>
      </c>
      <c r="K382" s="1786">
        <v>0</v>
      </c>
      <c r="L382" s="1786" t="s">
        <v>1594</v>
      </c>
      <c r="M382" s="1786" t="s">
        <v>1653</v>
      </c>
      <c r="N382" s="1786" t="s">
        <v>1653</v>
      </c>
      <c r="O382" s="1786">
        <v>0</v>
      </c>
      <c r="P382" s="1786"/>
      <c r="Q382" s="1786">
        <v>0</v>
      </c>
      <c r="R382" s="1788"/>
      <c r="S382" s="1786">
        <f t="shared" si="61"/>
        <v>1323</v>
      </c>
      <c r="T382" s="1786" t="str">
        <f t="shared" si="62"/>
        <v>בנק הפועלים בע"מ</v>
      </c>
      <c r="U382" s="1786" t="str">
        <f t="shared" si="63"/>
        <v>הדס ארזים לפרישה 2020</v>
      </c>
      <c r="V382" s="1786" t="str">
        <f t="shared" si="64"/>
        <v>513163105</v>
      </c>
      <c r="W382" s="1789" t="str">
        <f t="shared" si="65"/>
        <v>הלמן - אלדובי קופות גמל ופנסיה בע"מ</v>
      </c>
      <c r="AC382" s="1759" t="s">
        <v>1586</v>
      </c>
      <c r="AD382" s="1760">
        <v>41547.519583333298</v>
      </c>
      <c r="AE382" s="1760">
        <v>39595</v>
      </c>
      <c r="AF382" s="1759" t="s">
        <v>1583</v>
      </c>
      <c r="AG382" s="1759" t="s">
        <v>1583</v>
      </c>
      <c r="AH382" s="1759" t="s">
        <v>1583</v>
      </c>
      <c r="AI382" s="1759" t="s">
        <v>2404</v>
      </c>
      <c r="AJ382" s="1759" t="s">
        <v>2404</v>
      </c>
      <c r="AK382" s="1759">
        <v>1325</v>
      </c>
      <c r="AL382" s="1759" t="s">
        <v>699</v>
      </c>
      <c r="AM382" s="1759">
        <v>1323</v>
      </c>
      <c r="AN382" s="1759" t="s">
        <v>1695</v>
      </c>
      <c r="AO382" s="1764"/>
      <c r="AP382" s="1759" t="s">
        <v>5371</v>
      </c>
      <c r="AQ382" s="1759" t="s">
        <v>5372</v>
      </c>
      <c r="AR382" s="1759" t="s">
        <v>354</v>
      </c>
      <c r="AS382" s="1759" t="s">
        <v>355</v>
      </c>
      <c r="AT382" s="1759" t="s">
        <v>327</v>
      </c>
      <c r="AU382" s="1763"/>
      <c r="AV382" s="1763"/>
    </row>
    <row r="383" spans="1:48" ht="25" hidden="1">
      <c r="A383" s="1785" t="str">
        <f t="shared" si="55"/>
        <v>גמל</v>
      </c>
      <c r="B383" s="1786">
        <f t="shared" si="56"/>
        <v>1415</v>
      </c>
      <c r="C383" s="1787">
        <v>28946</v>
      </c>
      <c r="D383" s="1786" t="str">
        <f t="shared" si="57"/>
        <v>הדס ארזים לפרישה כספית</v>
      </c>
      <c r="E383" s="1786" t="s">
        <v>3929</v>
      </c>
      <c r="F383" s="1786" t="s">
        <v>2958</v>
      </c>
      <c r="G383" s="1786" t="s">
        <v>2959</v>
      </c>
      <c r="H383" s="1786" t="str">
        <f t="shared" si="58"/>
        <v>לא פעיל</v>
      </c>
      <c r="I383" s="1788">
        <f t="shared" si="59"/>
        <v>39595</v>
      </c>
      <c r="J383" s="1788">
        <f t="shared" si="60"/>
        <v>41547.519583333298</v>
      </c>
      <c r="K383" s="1786">
        <v>0</v>
      </c>
      <c r="L383" s="1786" t="s">
        <v>1594</v>
      </c>
      <c r="M383" s="1786" t="s">
        <v>1653</v>
      </c>
      <c r="N383" s="1786" t="s">
        <v>1653</v>
      </c>
      <c r="O383" s="1786">
        <v>0</v>
      </c>
      <c r="P383" s="1786"/>
      <c r="Q383" s="1786">
        <v>0</v>
      </c>
      <c r="R383" s="1788"/>
      <c r="S383" s="1786">
        <f t="shared" si="61"/>
        <v>1323</v>
      </c>
      <c r="T383" s="1786" t="str">
        <f t="shared" si="62"/>
        <v>בנק הפועלים בע"מ</v>
      </c>
      <c r="U383" s="1786" t="str">
        <f t="shared" si="63"/>
        <v>הדס ארזים לפרישה 2020</v>
      </c>
      <c r="V383" s="1786" t="str">
        <f t="shared" si="64"/>
        <v>513163105</v>
      </c>
      <c r="W383" s="1789" t="str">
        <f t="shared" si="65"/>
        <v>הלמן - אלדובי קופות גמל ופנסיה בע"מ</v>
      </c>
      <c r="AC383" s="1761" t="s">
        <v>1586</v>
      </c>
      <c r="AD383" s="1762">
        <v>41547.519583333298</v>
      </c>
      <c r="AE383" s="1762">
        <v>39595</v>
      </c>
      <c r="AF383" s="1761" t="s">
        <v>2409</v>
      </c>
      <c r="AG383" s="1761" t="s">
        <v>1614</v>
      </c>
      <c r="AH383" s="1761" t="s">
        <v>1594</v>
      </c>
      <c r="AI383" s="1761" t="s">
        <v>2452</v>
      </c>
      <c r="AJ383" s="1761" t="s">
        <v>2452</v>
      </c>
      <c r="AK383" s="1761">
        <v>1415</v>
      </c>
      <c r="AL383" s="1761" t="s">
        <v>699</v>
      </c>
      <c r="AM383" s="1761">
        <v>1323</v>
      </c>
      <c r="AN383" s="1761" t="s">
        <v>1695</v>
      </c>
      <c r="AO383" s="1764"/>
      <c r="AP383" s="1761" t="s">
        <v>5371</v>
      </c>
      <c r="AQ383" s="1761" t="s">
        <v>5372</v>
      </c>
      <c r="AR383" s="1761" t="s">
        <v>354</v>
      </c>
      <c r="AS383" s="1761" t="s">
        <v>355</v>
      </c>
      <c r="AT383" s="1761" t="s">
        <v>327</v>
      </c>
      <c r="AU383" s="1763"/>
      <c r="AV383" s="1763"/>
    </row>
    <row r="384" spans="1:48" ht="25" hidden="1">
      <c r="A384" s="1785" t="str">
        <f t="shared" si="55"/>
        <v>גמל</v>
      </c>
      <c r="B384" s="1786">
        <f t="shared" si="56"/>
        <v>1320</v>
      </c>
      <c r="C384" s="1787">
        <v>28946</v>
      </c>
      <c r="D384" s="1786" t="str">
        <f t="shared" si="57"/>
        <v>מיטב וויזר גמל אג"ח</v>
      </c>
      <c r="E384" s="1786" t="s">
        <v>3929</v>
      </c>
      <c r="F384" s="1786" t="s">
        <v>2958</v>
      </c>
      <c r="G384" s="1786" t="s">
        <v>2959</v>
      </c>
      <c r="H384" s="1786" t="str">
        <f t="shared" si="58"/>
        <v>לא פעיל</v>
      </c>
      <c r="I384" s="1788">
        <f t="shared" si="59"/>
        <v>39587</v>
      </c>
      <c r="J384" s="1788">
        <f t="shared" si="60"/>
        <v>40633</v>
      </c>
      <c r="K384" s="1786">
        <v>0</v>
      </c>
      <c r="L384" s="1786" t="s">
        <v>1594</v>
      </c>
      <c r="M384" s="1786" t="s">
        <v>1653</v>
      </c>
      <c r="N384" s="1786" t="s">
        <v>1653</v>
      </c>
      <c r="O384" s="1786">
        <v>0</v>
      </c>
      <c r="P384" s="1786"/>
      <c r="Q384" s="1786">
        <v>0</v>
      </c>
      <c r="R384" s="1788"/>
      <c r="S384" s="1786">
        <f t="shared" si="61"/>
        <v>1320</v>
      </c>
      <c r="T384" s="1786" t="str">
        <f t="shared" si="62"/>
        <v>בנק הפועלים בע"מ</v>
      </c>
      <c r="U384" s="1786" t="str">
        <f t="shared" si="63"/>
        <v>מיטב וויזר גמל אג"ח</v>
      </c>
      <c r="V384" s="1786">
        <f t="shared" si="64"/>
        <v>0</v>
      </c>
      <c r="W384" s="1789" t="str">
        <f t="shared" si="65"/>
        <v>מיטב גמל ופנסיה בע"מ</v>
      </c>
      <c r="AC384" s="1759" t="s">
        <v>1586</v>
      </c>
      <c r="AD384" s="1760">
        <v>40633</v>
      </c>
      <c r="AE384" s="1760">
        <v>39587</v>
      </c>
      <c r="AF384" s="1759" t="s">
        <v>1653</v>
      </c>
      <c r="AG384" s="1759" t="s">
        <v>1653</v>
      </c>
      <c r="AH384" s="1759" t="s">
        <v>1594</v>
      </c>
      <c r="AI384" s="1759" t="s">
        <v>2401</v>
      </c>
      <c r="AJ384" s="1759" t="s">
        <v>2401</v>
      </c>
      <c r="AK384" s="1759">
        <v>1320</v>
      </c>
      <c r="AL384" s="1759" t="s">
        <v>2401</v>
      </c>
      <c r="AM384" s="1759">
        <v>1320</v>
      </c>
      <c r="AN384" s="1759" t="s">
        <v>1695</v>
      </c>
      <c r="AO384" s="1764"/>
      <c r="AP384" s="1759"/>
      <c r="AQ384" s="1759"/>
      <c r="AR384" s="1759" t="s">
        <v>365</v>
      </c>
      <c r="AS384" s="1759" t="s">
        <v>366</v>
      </c>
      <c r="AT384" s="1759" t="s">
        <v>327</v>
      </c>
      <c r="AU384" s="1763"/>
      <c r="AV384" s="1763"/>
    </row>
    <row r="385" spans="1:48" ht="37.5" hidden="1">
      <c r="A385" s="1785" t="str">
        <f t="shared" si="55"/>
        <v>גמל</v>
      </c>
      <c r="B385" s="1786">
        <f t="shared" si="56"/>
        <v>1315</v>
      </c>
      <c r="C385" s="1787">
        <v>28946</v>
      </c>
      <c r="D385" s="1786" t="str">
        <f t="shared" si="57"/>
        <v>גאון גמל מרכזית להשתתפות בפנסיה תקציבית</v>
      </c>
      <c r="E385" s="1786" t="s">
        <v>3929</v>
      </c>
      <c r="F385" s="1786" t="s">
        <v>2958</v>
      </c>
      <c r="G385" s="1786" t="s">
        <v>2959</v>
      </c>
      <c r="H385" s="1786" t="str">
        <f t="shared" si="58"/>
        <v>לא פעיל</v>
      </c>
      <c r="I385" s="1788">
        <f t="shared" si="59"/>
        <v>39587</v>
      </c>
      <c r="J385" s="1788">
        <f t="shared" si="60"/>
        <v>40111.497962963003</v>
      </c>
      <c r="K385" s="1786">
        <v>0</v>
      </c>
      <c r="L385" s="1786" t="s">
        <v>1594</v>
      </c>
      <c r="M385" s="1786" t="s">
        <v>1653</v>
      </c>
      <c r="N385" s="1786" t="s">
        <v>1653</v>
      </c>
      <c r="O385" s="1786">
        <v>0</v>
      </c>
      <c r="P385" s="1786"/>
      <c r="Q385" s="1786">
        <v>0</v>
      </c>
      <c r="R385" s="1788"/>
      <c r="S385" s="1786">
        <f t="shared" si="61"/>
        <v>1315</v>
      </c>
      <c r="T385" s="1786" t="str">
        <f t="shared" si="62"/>
        <v>בנק הפועלים בע"מ</v>
      </c>
      <c r="U385" s="1786" t="str">
        <f t="shared" si="63"/>
        <v>גאון גמל מרכזית להשתתפות בפנסיה תקציבית</v>
      </c>
      <c r="V385" s="1786">
        <f t="shared" si="64"/>
        <v>0</v>
      </c>
      <c r="W385" s="1789" t="str">
        <f t="shared" si="65"/>
        <v>גאון גמל בע"מ</v>
      </c>
      <c r="AC385" s="1761" t="s">
        <v>1586</v>
      </c>
      <c r="AD385" s="1762">
        <v>40111.497962963003</v>
      </c>
      <c r="AE385" s="1762">
        <v>39587</v>
      </c>
      <c r="AF385" s="1761" t="s">
        <v>1583</v>
      </c>
      <c r="AG385" s="1761" t="s">
        <v>1583</v>
      </c>
      <c r="AH385" s="1761" t="s">
        <v>1583</v>
      </c>
      <c r="AI385" s="1761" t="s">
        <v>2399</v>
      </c>
      <c r="AJ385" s="1761" t="s">
        <v>2399</v>
      </c>
      <c r="AK385" s="1761">
        <v>1315</v>
      </c>
      <c r="AL385" s="1761" t="s">
        <v>2399</v>
      </c>
      <c r="AM385" s="1761">
        <v>1315</v>
      </c>
      <c r="AN385" s="1761" t="s">
        <v>1695</v>
      </c>
      <c r="AO385" s="1764"/>
      <c r="AP385" s="1761"/>
      <c r="AQ385" s="1761"/>
      <c r="AR385" s="1761" t="s">
        <v>1848</v>
      </c>
      <c r="AS385" s="1761" t="s">
        <v>1847</v>
      </c>
      <c r="AT385" s="1761" t="s">
        <v>327</v>
      </c>
      <c r="AU385" s="1763"/>
      <c r="AV385" s="1763"/>
    </row>
    <row r="386" spans="1:48" ht="14.15" hidden="1" customHeight="1">
      <c r="A386" s="1785" t="str">
        <f t="shared" si="55"/>
        <v>גמל</v>
      </c>
      <c r="B386" s="1786">
        <f t="shared" si="56"/>
        <v>1314</v>
      </c>
      <c r="C386" s="1787">
        <v>28946</v>
      </c>
      <c r="D386" s="1786" t="str">
        <f t="shared" si="57"/>
        <v>הדס ארזים קופת גמל מרכזית להשתתפות בפנסיה תקציבית</v>
      </c>
      <c r="E386" s="1786" t="s">
        <v>3929</v>
      </c>
      <c r="F386" s="1786" t="s">
        <v>2958</v>
      </c>
      <c r="G386" s="1786" t="s">
        <v>2959</v>
      </c>
      <c r="H386" s="1786" t="str">
        <f t="shared" si="58"/>
        <v>לא פעיל</v>
      </c>
      <c r="I386" s="1788">
        <f t="shared" si="59"/>
        <v>39587</v>
      </c>
      <c r="J386" s="1788">
        <f t="shared" si="60"/>
        <v>42158.397152777798</v>
      </c>
      <c r="K386" s="1786">
        <v>0</v>
      </c>
      <c r="L386" s="1786" t="s">
        <v>1594</v>
      </c>
      <c r="M386" s="1786" t="s">
        <v>1653</v>
      </c>
      <c r="N386" s="1786" t="s">
        <v>1653</v>
      </c>
      <c r="O386" s="1786">
        <v>0</v>
      </c>
      <c r="P386" s="1786"/>
      <c r="Q386" s="1786">
        <v>0</v>
      </c>
      <c r="R386" s="1788"/>
      <c r="S386" s="1786">
        <f t="shared" si="61"/>
        <v>1314</v>
      </c>
      <c r="T386" s="1786" t="str">
        <f t="shared" si="62"/>
        <v>בנק הפועלים בע"מ</v>
      </c>
      <c r="U386" s="1786" t="str">
        <f t="shared" si="63"/>
        <v>הדס ארזים קופת גמל מרכזית להשתתפות בפנסיה תקציבית</v>
      </c>
      <c r="V386" s="1786" t="str">
        <f t="shared" si="64"/>
        <v>513163105</v>
      </c>
      <c r="W386" s="1789" t="str">
        <f t="shared" si="65"/>
        <v>הלמן - אלדובי קופות גמל ופנסיה בע"מ</v>
      </c>
      <c r="AC386" s="1759" t="s">
        <v>1586</v>
      </c>
      <c r="AD386" s="1760">
        <v>42158.397152777798</v>
      </c>
      <c r="AE386" s="1760">
        <v>39587</v>
      </c>
      <c r="AF386" s="1759" t="s">
        <v>1583</v>
      </c>
      <c r="AG386" s="1759" t="s">
        <v>1583</v>
      </c>
      <c r="AH386" s="1759" t="s">
        <v>1583</v>
      </c>
      <c r="AI386" s="1759" t="s">
        <v>3605</v>
      </c>
      <c r="AJ386" s="1759" t="s">
        <v>698</v>
      </c>
      <c r="AK386" s="1759">
        <v>1314</v>
      </c>
      <c r="AL386" s="1759" t="s">
        <v>698</v>
      </c>
      <c r="AM386" s="1759">
        <v>1314</v>
      </c>
      <c r="AN386" s="1759" t="s">
        <v>1695</v>
      </c>
      <c r="AO386" s="1764"/>
      <c r="AP386" s="1759" t="s">
        <v>5371</v>
      </c>
      <c r="AQ386" s="1759" t="s">
        <v>5372</v>
      </c>
      <c r="AR386" s="1759" t="s">
        <v>354</v>
      </c>
      <c r="AS386" s="1759" t="s">
        <v>355</v>
      </c>
      <c r="AT386" s="1759" t="s">
        <v>327</v>
      </c>
      <c r="AU386" s="1763"/>
      <c r="AV386" s="1763"/>
    </row>
    <row r="387" spans="1:48" ht="25" hidden="1">
      <c r="A387" s="1785" t="str">
        <f t="shared" si="55"/>
        <v>גמל</v>
      </c>
      <c r="B387" s="1786">
        <f t="shared" si="56"/>
        <v>1313</v>
      </c>
      <c r="C387" s="1787">
        <v>28946</v>
      </c>
      <c r="D387" s="1786" t="str">
        <f t="shared" si="57"/>
        <v>ישיר תקציבית</v>
      </c>
      <c r="E387" s="1786" t="s">
        <v>3929</v>
      </c>
      <c r="F387" s="1786" t="s">
        <v>2958</v>
      </c>
      <c r="G387" s="1786" t="s">
        <v>2959</v>
      </c>
      <c r="H387" s="1786" t="str">
        <f t="shared" si="58"/>
        <v>לא פעיל</v>
      </c>
      <c r="I387" s="1788">
        <f t="shared" si="59"/>
        <v>39579</v>
      </c>
      <c r="J387" s="1788">
        <f t="shared" si="60"/>
        <v>39819.482326388897</v>
      </c>
      <c r="K387" s="1786">
        <v>0</v>
      </c>
      <c r="L387" s="1786" t="s">
        <v>1594</v>
      </c>
      <c r="M387" s="1786" t="s">
        <v>1653</v>
      </c>
      <c r="N387" s="1786" t="s">
        <v>1653</v>
      </c>
      <c r="O387" s="1786">
        <v>0</v>
      </c>
      <c r="P387" s="1786"/>
      <c r="Q387" s="1786">
        <v>0</v>
      </c>
      <c r="R387" s="1788"/>
      <c r="S387" s="1786">
        <f t="shared" si="61"/>
        <v>1313</v>
      </c>
      <c r="T387" s="1786" t="str">
        <f t="shared" si="62"/>
        <v>הבנק הבינלאומי הראשון</v>
      </c>
      <c r="U387" s="1786" t="str">
        <f t="shared" si="63"/>
        <v>ישיר תקציבית</v>
      </c>
      <c r="V387" s="1786">
        <f t="shared" si="64"/>
        <v>0</v>
      </c>
      <c r="W387" s="1789" t="str">
        <f t="shared" si="65"/>
        <v>מיטב ישיר גמל בע"מ</v>
      </c>
      <c r="AC387" s="1761" t="s">
        <v>1586</v>
      </c>
      <c r="AD387" s="1762">
        <v>39819.482326388897</v>
      </c>
      <c r="AE387" s="1762">
        <v>39579</v>
      </c>
      <c r="AF387" s="1761" t="s">
        <v>1583</v>
      </c>
      <c r="AG387" s="1761" t="s">
        <v>1583</v>
      </c>
      <c r="AH387" s="1761" t="s">
        <v>1583</v>
      </c>
      <c r="AI387" s="1761" t="s">
        <v>2398</v>
      </c>
      <c r="AJ387" s="1761" t="s">
        <v>2398</v>
      </c>
      <c r="AK387" s="1761">
        <v>1313</v>
      </c>
      <c r="AL387" s="1761" t="s">
        <v>2398</v>
      </c>
      <c r="AM387" s="1761">
        <v>1313</v>
      </c>
      <c r="AN387" s="1761" t="s">
        <v>5384</v>
      </c>
      <c r="AO387" s="1764"/>
      <c r="AP387" s="1761"/>
      <c r="AQ387" s="1761"/>
      <c r="AR387" s="1761" t="s">
        <v>1589</v>
      </c>
      <c r="AS387" s="1761" t="s">
        <v>1588</v>
      </c>
      <c r="AT387" s="1761" t="s">
        <v>327</v>
      </c>
      <c r="AU387" s="1763"/>
      <c r="AV387" s="1763"/>
    </row>
    <row r="388" spans="1:48" ht="50" hidden="1">
      <c r="A388" s="1785" t="str">
        <f t="shared" si="55"/>
        <v>גמל</v>
      </c>
      <c r="B388" s="1786">
        <f t="shared" si="56"/>
        <v>1310</v>
      </c>
      <c r="C388" s="1787">
        <v>28946</v>
      </c>
      <c r="D388" s="1786" t="str">
        <f t="shared" si="57"/>
        <v>קופת גמל מרכזית להשתתפות בפנסיה תקציבית של עובדי האוניברסיטה העברית</v>
      </c>
      <c r="E388" s="1786" t="s">
        <v>3929</v>
      </c>
      <c r="F388" s="1786" t="s">
        <v>2958</v>
      </c>
      <c r="G388" s="1786" t="s">
        <v>2959</v>
      </c>
      <c r="H388" s="1786" t="str">
        <f t="shared" si="58"/>
        <v>לא פעיל</v>
      </c>
      <c r="I388" s="1788">
        <f t="shared" si="59"/>
        <v>39544</v>
      </c>
      <c r="J388" s="1788">
        <f t="shared" si="60"/>
        <v>39960.580520833297</v>
      </c>
      <c r="K388" s="1786">
        <v>0</v>
      </c>
      <c r="L388" s="1786" t="s">
        <v>1594</v>
      </c>
      <c r="M388" s="1786" t="s">
        <v>1653</v>
      </c>
      <c r="N388" s="1786" t="s">
        <v>1653</v>
      </c>
      <c r="O388" s="1786">
        <v>0</v>
      </c>
      <c r="P388" s="1786"/>
      <c r="Q388" s="1786">
        <v>0</v>
      </c>
      <c r="R388" s="1788"/>
      <c r="S388" s="1786">
        <f t="shared" si="61"/>
        <v>1310</v>
      </c>
      <c r="T388" s="1786">
        <f t="shared" si="62"/>
        <v>0</v>
      </c>
      <c r="U388" s="1786" t="str">
        <f t="shared" si="63"/>
        <v>קופת גמל מרכזית להשתתפות בפנסיה תקציבית של עובדי האוניברסיטה העברית</v>
      </c>
      <c r="V388" s="1786">
        <f t="shared" si="64"/>
        <v>0</v>
      </c>
      <c r="W388" s="1789" t="str">
        <f t="shared" si="65"/>
        <v>חברה לניהול קופות גמל של העובדים באוניברסיטה העברית בירושלים בע"מ</v>
      </c>
      <c r="AC388" s="1759" t="s">
        <v>1586</v>
      </c>
      <c r="AD388" s="1760">
        <v>39960.580520833297</v>
      </c>
      <c r="AE388" s="1760">
        <v>39544</v>
      </c>
      <c r="AF388" s="1759" t="s">
        <v>1583</v>
      </c>
      <c r="AG388" s="1759" t="s">
        <v>1583</v>
      </c>
      <c r="AH388" s="1759" t="s">
        <v>1583</v>
      </c>
      <c r="AI388" s="1759" t="s">
        <v>3602</v>
      </c>
      <c r="AJ388" s="1759" t="s">
        <v>2395</v>
      </c>
      <c r="AK388" s="1759">
        <v>1310</v>
      </c>
      <c r="AL388" s="1759" t="s">
        <v>2395</v>
      </c>
      <c r="AM388" s="1759">
        <v>1310</v>
      </c>
      <c r="AN388" s="1759"/>
      <c r="AO388" s="1764"/>
      <c r="AP388" s="1759"/>
      <c r="AQ388" s="1759"/>
      <c r="AR388" s="1759" t="s">
        <v>636</v>
      </c>
      <c r="AS388" s="1759" t="s">
        <v>637</v>
      </c>
      <c r="AT388" s="1759" t="s">
        <v>327</v>
      </c>
      <c r="AU388" s="1763"/>
      <c r="AV388" s="1763"/>
    </row>
    <row r="389" spans="1:48" ht="37.5" hidden="1">
      <c r="A389" s="1785" t="str">
        <f t="shared" si="55"/>
        <v>גמל</v>
      </c>
      <c r="B389" s="1786">
        <f t="shared" si="56"/>
        <v>1309</v>
      </c>
      <c r="C389" s="1787">
        <v>28946</v>
      </c>
      <c r="D389" s="1786" t="str">
        <f t="shared" si="57"/>
        <v>פסגות עתיד גמל מרכזית להשתתפות בפנסיה תקציבית מסלול אג"ח</v>
      </c>
      <c r="E389" s="1786" t="s">
        <v>3929</v>
      </c>
      <c r="F389" s="1786" t="s">
        <v>2958</v>
      </c>
      <c r="G389" s="1786" t="s">
        <v>2959</v>
      </c>
      <c r="H389" s="1786" t="str">
        <f t="shared" si="58"/>
        <v>פעיל</v>
      </c>
      <c r="I389" s="1788">
        <f t="shared" si="59"/>
        <v>39544</v>
      </c>
      <c r="J389" s="1788" t="str">
        <f t="shared" si="60"/>
        <v/>
      </c>
      <c r="K389" s="1786">
        <v>0</v>
      </c>
      <c r="L389" s="1786" t="s">
        <v>1594</v>
      </c>
      <c r="M389" s="1786" t="s">
        <v>1653</v>
      </c>
      <c r="N389" s="1786" t="s">
        <v>1653</v>
      </c>
      <c r="O389" s="1786">
        <v>0</v>
      </c>
      <c r="P389" s="1786"/>
      <c r="Q389" s="1786">
        <v>0</v>
      </c>
      <c r="R389" s="1788"/>
      <c r="S389" s="1786">
        <f t="shared" si="61"/>
        <v>1309</v>
      </c>
      <c r="T389" s="1786" t="str">
        <f t="shared" si="62"/>
        <v>בנק לאומי בע"מ</v>
      </c>
      <c r="U389" s="1786" t="str">
        <f t="shared" si="63"/>
        <v>פסגות עתיד גמל מרכזית להשתתפות בפנסיה תקציבית</v>
      </c>
      <c r="V389" s="1786" t="str">
        <f t="shared" si="64"/>
        <v>513767079</v>
      </c>
      <c r="W389" s="1789" t="str">
        <f t="shared" si="65"/>
        <v>פסגות קופות גמל ופנסיה בע"מ</v>
      </c>
      <c r="AC389" s="1761" t="s">
        <v>346</v>
      </c>
      <c r="AD389" s="1761"/>
      <c r="AE389" s="1762">
        <v>39544</v>
      </c>
      <c r="AF389" s="1761" t="s">
        <v>1653</v>
      </c>
      <c r="AG389" s="1761" t="s">
        <v>1653</v>
      </c>
      <c r="AH389" s="1761" t="s">
        <v>1594</v>
      </c>
      <c r="AI389" s="1761" t="s">
        <v>4610</v>
      </c>
      <c r="AJ389" s="1761" t="s">
        <v>4609</v>
      </c>
      <c r="AK389" s="1761">
        <v>1309</v>
      </c>
      <c r="AL389" s="1761" t="s">
        <v>697</v>
      </c>
      <c r="AM389" s="1761">
        <v>1309</v>
      </c>
      <c r="AN389" s="1761" t="s">
        <v>5470</v>
      </c>
      <c r="AO389" s="1764"/>
      <c r="AP389" s="1761" t="s">
        <v>5365</v>
      </c>
      <c r="AQ389" s="1761" t="s">
        <v>5366</v>
      </c>
      <c r="AR389" s="1761" t="s">
        <v>351</v>
      </c>
      <c r="AS389" s="1761" t="s">
        <v>352</v>
      </c>
      <c r="AT389" s="1761" t="s">
        <v>327</v>
      </c>
      <c r="AU389" s="1763"/>
      <c r="AV389" s="1763"/>
    </row>
    <row r="390" spans="1:48" ht="37.5" hidden="1">
      <c r="A390" s="1785" t="str">
        <f t="shared" si="55"/>
        <v>גמל</v>
      </c>
      <c r="B390" s="1786">
        <f t="shared" si="56"/>
        <v>1912</v>
      </c>
      <c r="C390" s="1787">
        <v>28946</v>
      </c>
      <c r="D390" s="1786" t="str">
        <f t="shared" si="57"/>
        <v>פסגות עתיד גמל מרכזית להשתתפות בפנסיה תקציבית כללי כללי</v>
      </c>
      <c r="E390" s="1786" t="s">
        <v>3929</v>
      </c>
      <c r="F390" s="1786" t="s">
        <v>2958</v>
      </c>
      <c r="G390" s="1786" t="s">
        <v>2959</v>
      </c>
      <c r="H390" s="1786" t="str">
        <f t="shared" si="58"/>
        <v>פעיל</v>
      </c>
      <c r="I390" s="1788">
        <f t="shared" si="59"/>
        <v>39544</v>
      </c>
      <c r="J390" s="1788" t="str">
        <f t="shared" si="60"/>
        <v/>
      </c>
      <c r="K390" s="1786">
        <v>0</v>
      </c>
      <c r="L390" s="1786" t="s">
        <v>1594</v>
      </c>
      <c r="M390" s="1786" t="s">
        <v>1653</v>
      </c>
      <c r="N390" s="1786" t="s">
        <v>1653</v>
      </c>
      <c r="O390" s="1786">
        <v>0</v>
      </c>
      <c r="P390" s="1786"/>
      <c r="Q390" s="1786">
        <v>0</v>
      </c>
      <c r="R390" s="1788"/>
      <c r="S390" s="1786">
        <f t="shared" si="61"/>
        <v>1309</v>
      </c>
      <c r="T390" s="1786" t="str">
        <f t="shared" si="62"/>
        <v>בנק לאומי בע"מ</v>
      </c>
      <c r="U390" s="1786" t="str">
        <f t="shared" si="63"/>
        <v>פסגות עתיד גמל מרכזית להשתתפות בפנסיה תקציבית</v>
      </c>
      <c r="V390" s="1786" t="str">
        <f t="shared" si="64"/>
        <v>513767079</v>
      </c>
      <c r="W390" s="1789" t="str">
        <f t="shared" si="65"/>
        <v>פסגות קופות גמל ופנסיה בע"מ</v>
      </c>
      <c r="AC390" s="1759" t="s">
        <v>346</v>
      </c>
      <c r="AD390" s="1759"/>
      <c r="AE390" s="1760">
        <v>39544</v>
      </c>
      <c r="AF390" s="1759" t="s">
        <v>1583</v>
      </c>
      <c r="AG390" s="1759" t="s">
        <v>1583</v>
      </c>
      <c r="AH390" s="1759" t="s">
        <v>1583</v>
      </c>
      <c r="AI390" s="1759" t="s">
        <v>4627</v>
      </c>
      <c r="AJ390" s="1759" t="s">
        <v>4626</v>
      </c>
      <c r="AK390" s="1759">
        <v>1912</v>
      </c>
      <c r="AL390" s="1759" t="s">
        <v>697</v>
      </c>
      <c r="AM390" s="1759">
        <v>1309</v>
      </c>
      <c r="AN390" s="1759" t="s">
        <v>5470</v>
      </c>
      <c r="AO390" s="1764"/>
      <c r="AP390" s="1759" t="s">
        <v>5365</v>
      </c>
      <c r="AQ390" s="1759" t="s">
        <v>5366</v>
      </c>
      <c r="AR390" s="1759" t="s">
        <v>351</v>
      </c>
      <c r="AS390" s="1759" t="s">
        <v>352</v>
      </c>
      <c r="AT390" s="1759" t="s">
        <v>327</v>
      </c>
      <c r="AU390" s="1763"/>
      <c r="AV390" s="1763"/>
    </row>
    <row r="391" spans="1:48" ht="37.5" hidden="1">
      <c r="A391" s="1785" t="str">
        <f t="shared" si="55"/>
        <v>גמל</v>
      </c>
      <c r="B391" s="1786">
        <f t="shared" si="56"/>
        <v>1304</v>
      </c>
      <c r="C391" s="1787">
        <v>28946</v>
      </c>
      <c r="D391" s="1786" t="str">
        <f t="shared" si="57"/>
        <v>מקפת תקציבית</v>
      </c>
      <c r="E391" s="1786" t="s">
        <v>3929</v>
      </c>
      <c r="F391" s="1786" t="s">
        <v>2958</v>
      </c>
      <c r="G391" s="1786" t="s">
        <v>2959</v>
      </c>
      <c r="H391" s="1786" t="str">
        <f t="shared" si="58"/>
        <v>פעיל</v>
      </c>
      <c r="I391" s="1788">
        <f t="shared" si="59"/>
        <v>39496</v>
      </c>
      <c r="J391" s="1788" t="str">
        <f t="shared" si="60"/>
        <v/>
      </c>
      <c r="K391" s="1786">
        <v>0</v>
      </c>
      <c r="L391" s="1786" t="s">
        <v>1594</v>
      </c>
      <c r="M391" s="1786" t="s">
        <v>1653</v>
      </c>
      <c r="N391" s="1786" t="s">
        <v>1653</v>
      </c>
      <c r="O391" s="1786">
        <v>0</v>
      </c>
      <c r="P391" s="1786"/>
      <c r="Q391" s="1786">
        <v>0</v>
      </c>
      <c r="R391" s="1788"/>
      <c r="S391" s="1786">
        <f t="shared" si="61"/>
        <v>1304</v>
      </c>
      <c r="T391" s="1786" t="str">
        <f t="shared" si="62"/>
        <v>לאומי</v>
      </c>
      <c r="U391" s="1786" t="str">
        <f t="shared" si="63"/>
        <v>מקפת תקציבית</v>
      </c>
      <c r="V391" s="1786" t="str">
        <f t="shared" si="64"/>
        <v>510464803</v>
      </c>
      <c r="W391" s="1789" t="str">
        <f t="shared" si="65"/>
        <v>מגדל מקפת קרנות פנסיה וקופות גמל בע"מ</v>
      </c>
      <c r="AC391" s="1761" t="s">
        <v>346</v>
      </c>
      <c r="AD391" s="1761"/>
      <c r="AE391" s="1762">
        <v>39496</v>
      </c>
      <c r="AF391" s="1761" t="s">
        <v>1583</v>
      </c>
      <c r="AG391" s="1761" t="s">
        <v>1583</v>
      </c>
      <c r="AH391" s="1761" t="s">
        <v>1583</v>
      </c>
      <c r="AI391" s="1761" t="s">
        <v>696</v>
      </c>
      <c r="AJ391" s="1761" t="s">
        <v>696</v>
      </c>
      <c r="AK391" s="1761">
        <v>1304</v>
      </c>
      <c r="AL391" s="1761" t="s">
        <v>696</v>
      </c>
      <c r="AM391" s="1761">
        <v>1304</v>
      </c>
      <c r="AN391" s="1761" t="s">
        <v>5305</v>
      </c>
      <c r="AO391" s="1764"/>
      <c r="AP391" s="1761" t="s">
        <v>5382</v>
      </c>
      <c r="AQ391" s="1761" t="s">
        <v>5383</v>
      </c>
      <c r="AR391" s="1761" t="s">
        <v>394</v>
      </c>
      <c r="AS391" s="1761" t="s">
        <v>395</v>
      </c>
      <c r="AT391" s="1761" t="s">
        <v>327</v>
      </c>
      <c r="AU391" s="1763"/>
      <c r="AV391" s="1763"/>
    </row>
    <row r="392" spans="1:48" ht="25" hidden="1">
      <c r="A392" s="1785" t="str">
        <f t="shared" si="55"/>
        <v>גמל</v>
      </c>
      <c r="B392" s="1786">
        <f t="shared" si="56"/>
        <v>1303</v>
      </c>
      <c r="C392" s="1787">
        <v>28946</v>
      </c>
      <c r="D392" s="1786" t="str">
        <f t="shared" si="57"/>
        <v>פסגות לעמיתי חבר זהב</v>
      </c>
      <c r="E392" s="1786" t="s">
        <v>3929</v>
      </c>
      <c r="F392" s="1786" t="s">
        <v>2958</v>
      </c>
      <c r="G392" s="1786" t="s">
        <v>2959</v>
      </c>
      <c r="H392" s="1786" t="str">
        <f t="shared" si="58"/>
        <v>לא פעיל</v>
      </c>
      <c r="I392" s="1788">
        <f t="shared" si="59"/>
        <v>39503</v>
      </c>
      <c r="J392" s="1788">
        <f t="shared" si="60"/>
        <v>42373.448391203703</v>
      </c>
      <c r="K392" s="1786">
        <v>0</v>
      </c>
      <c r="L392" s="1786" t="s">
        <v>1594</v>
      </c>
      <c r="M392" s="1786" t="s">
        <v>1653</v>
      </c>
      <c r="N392" s="1786" t="s">
        <v>1653</v>
      </c>
      <c r="O392" s="1786">
        <v>0</v>
      </c>
      <c r="P392" s="1786"/>
      <c r="Q392" s="1786">
        <v>0</v>
      </c>
      <c r="R392" s="1788"/>
      <c r="S392" s="1786">
        <f t="shared" si="61"/>
        <v>1303</v>
      </c>
      <c r="T392" s="1786">
        <f t="shared" si="62"/>
        <v>0</v>
      </c>
      <c r="U392" s="1786" t="str">
        <f t="shared" si="63"/>
        <v>פסגות לעמיתי חבר זהב</v>
      </c>
      <c r="V392" s="1786" t="str">
        <f t="shared" si="64"/>
        <v>513767079</v>
      </c>
      <c r="W392" s="1789" t="str">
        <f t="shared" si="65"/>
        <v>פסגות קופות גמל ופנסיה בע"מ</v>
      </c>
      <c r="AC392" s="1759" t="s">
        <v>1586</v>
      </c>
      <c r="AD392" s="1760">
        <v>42373.448391203703</v>
      </c>
      <c r="AE392" s="1760">
        <v>39503</v>
      </c>
      <c r="AF392" s="1759" t="s">
        <v>1583</v>
      </c>
      <c r="AG392" s="1759" t="s">
        <v>1583</v>
      </c>
      <c r="AH392" s="1759" t="s">
        <v>1583</v>
      </c>
      <c r="AI392" s="1759" t="s">
        <v>3599</v>
      </c>
      <c r="AJ392" s="1759" t="s">
        <v>3599</v>
      </c>
      <c r="AK392" s="1759">
        <v>1303</v>
      </c>
      <c r="AL392" s="1759" t="s">
        <v>3599</v>
      </c>
      <c r="AM392" s="1759">
        <v>1303</v>
      </c>
      <c r="AN392" s="1759"/>
      <c r="AO392" s="1764"/>
      <c r="AP392" s="1759" t="s">
        <v>5365</v>
      </c>
      <c r="AQ392" s="1759" t="s">
        <v>5366</v>
      </c>
      <c r="AR392" s="1759" t="s">
        <v>351</v>
      </c>
      <c r="AS392" s="1759" t="s">
        <v>352</v>
      </c>
      <c r="AT392" s="1759" t="s">
        <v>327</v>
      </c>
      <c r="AU392" s="1763"/>
      <c r="AV392" s="1763"/>
    </row>
    <row r="393" spans="1:48" ht="25" hidden="1">
      <c r="A393" s="1785" t="str">
        <f t="shared" si="55"/>
        <v>גמל</v>
      </c>
      <c r="B393" s="1786">
        <f t="shared" si="56"/>
        <v>9844</v>
      </c>
      <c r="C393" s="1787">
        <v>28946</v>
      </c>
      <c r="D393" s="1786" t="str">
        <f t="shared" si="57"/>
        <v>פסגות לעמיתי חבר עד 50</v>
      </c>
      <c r="E393" s="1786" t="s">
        <v>3929</v>
      </c>
      <c r="F393" s="1786" t="s">
        <v>2958</v>
      </c>
      <c r="G393" s="1786" t="s">
        <v>2959</v>
      </c>
      <c r="H393" s="1786" t="str">
        <f t="shared" si="58"/>
        <v>פעיל</v>
      </c>
      <c r="I393" s="1788">
        <f t="shared" si="59"/>
        <v>39503</v>
      </c>
      <c r="J393" s="1788" t="str">
        <f t="shared" si="60"/>
        <v/>
      </c>
      <c r="K393" s="1786">
        <v>0</v>
      </c>
      <c r="L393" s="1786" t="s">
        <v>1594</v>
      </c>
      <c r="M393" s="1786" t="s">
        <v>1653</v>
      </c>
      <c r="N393" s="1786" t="s">
        <v>1653</v>
      </c>
      <c r="O393" s="1786">
        <v>0</v>
      </c>
      <c r="P393" s="1786"/>
      <c r="Q393" s="1786">
        <v>0</v>
      </c>
      <c r="R393" s="1788"/>
      <c r="S393" s="1786">
        <f t="shared" si="61"/>
        <v>1303</v>
      </c>
      <c r="T393" s="1786">
        <f t="shared" si="62"/>
        <v>0</v>
      </c>
      <c r="U393" s="1786" t="str">
        <f t="shared" si="63"/>
        <v>פסגות לעמיתי חבר זהב</v>
      </c>
      <c r="V393" s="1786" t="str">
        <f t="shared" si="64"/>
        <v>513767079</v>
      </c>
      <c r="W393" s="1789" t="str">
        <f t="shared" si="65"/>
        <v>פסגות קופות גמל ופנסיה בע"מ</v>
      </c>
      <c r="AC393" s="1761" t="s">
        <v>346</v>
      </c>
      <c r="AD393" s="1761"/>
      <c r="AE393" s="1762">
        <v>39503</v>
      </c>
      <c r="AF393" s="1761" t="s">
        <v>4151</v>
      </c>
      <c r="AG393" s="1761" t="s">
        <v>3931</v>
      </c>
      <c r="AH393" s="1761" t="s">
        <v>3658</v>
      </c>
      <c r="AI393" s="1761" t="s">
        <v>4402</v>
      </c>
      <c r="AJ393" s="1761" t="s">
        <v>4402</v>
      </c>
      <c r="AK393" s="1761">
        <v>9844</v>
      </c>
      <c r="AL393" s="1761" t="s">
        <v>3599</v>
      </c>
      <c r="AM393" s="1761">
        <v>1303</v>
      </c>
      <c r="AN393" s="1761"/>
      <c r="AO393" s="1764"/>
      <c r="AP393" s="1761" t="s">
        <v>5365</v>
      </c>
      <c r="AQ393" s="1761" t="s">
        <v>5366</v>
      </c>
      <c r="AR393" s="1761" t="s">
        <v>351</v>
      </c>
      <c r="AS393" s="1761" t="s">
        <v>352</v>
      </c>
      <c r="AT393" s="1761" t="s">
        <v>327</v>
      </c>
      <c r="AU393" s="1763"/>
      <c r="AV393" s="1763"/>
    </row>
    <row r="394" spans="1:48" ht="25" hidden="1">
      <c r="A394" s="1785" t="str">
        <f t="shared" si="55"/>
        <v>גמל</v>
      </c>
      <c r="B394" s="1786">
        <f t="shared" si="56"/>
        <v>9845</v>
      </c>
      <c r="C394" s="1787">
        <v>28946</v>
      </c>
      <c r="D394" s="1786" t="str">
        <f t="shared" si="57"/>
        <v>פסגות לעמיתי חבר לבני 50-60</v>
      </c>
      <c r="E394" s="1786" t="s">
        <v>3929</v>
      </c>
      <c r="F394" s="1786" t="s">
        <v>2958</v>
      </c>
      <c r="G394" s="1786" t="s">
        <v>2959</v>
      </c>
      <c r="H394" s="1786" t="str">
        <f t="shared" si="58"/>
        <v>פעיל</v>
      </c>
      <c r="I394" s="1788">
        <f t="shared" si="59"/>
        <v>39503</v>
      </c>
      <c r="J394" s="1788" t="str">
        <f t="shared" si="60"/>
        <v/>
      </c>
      <c r="K394" s="1786">
        <v>0</v>
      </c>
      <c r="L394" s="1786" t="s">
        <v>1594</v>
      </c>
      <c r="M394" s="1786" t="s">
        <v>1653</v>
      </c>
      <c r="N394" s="1786" t="s">
        <v>1653</v>
      </c>
      <c r="O394" s="1786">
        <v>0</v>
      </c>
      <c r="P394" s="1786"/>
      <c r="Q394" s="1786">
        <v>0</v>
      </c>
      <c r="R394" s="1788"/>
      <c r="S394" s="1786">
        <f t="shared" si="61"/>
        <v>1303</v>
      </c>
      <c r="T394" s="1786">
        <f t="shared" si="62"/>
        <v>0</v>
      </c>
      <c r="U394" s="1786" t="str">
        <f t="shared" si="63"/>
        <v>פסגות לעמיתי חבר זהב</v>
      </c>
      <c r="V394" s="1786" t="str">
        <f t="shared" si="64"/>
        <v>513767079</v>
      </c>
      <c r="W394" s="1789" t="str">
        <f t="shared" si="65"/>
        <v>פסגות קופות גמל ופנסיה בע"מ</v>
      </c>
      <c r="AC394" s="1759" t="s">
        <v>346</v>
      </c>
      <c r="AD394" s="1759"/>
      <c r="AE394" s="1760">
        <v>39503</v>
      </c>
      <c r="AF394" s="1759" t="s">
        <v>3932</v>
      </c>
      <c r="AG394" s="1759" t="s">
        <v>3931</v>
      </c>
      <c r="AH394" s="1759" t="s">
        <v>3658</v>
      </c>
      <c r="AI394" s="1759" t="s">
        <v>4403</v>
      </c>
      <c r="AJ394" s="1759" t="s">
        <v>4403</v>
      </c>
      <c r="AK394" s="1759">
        <v>9845</v>
      </c>
      <c r="AL394" s="1759" t="s">
        <v>3599</v>
      </c>
      <c r="AM394" s="1759">
        <v>1303</v>
      </c>
      <c r="AN394" s="1759"/>
      <c r="AO394" s="1764"/>
      <c r="AP394" s="1759" t="s">
        <v>5365</v>
      </c>
      <c r="AQ394" s="1759" t="s">
        <v>5366</v>
      </c>
      <c r="AR394" s="1759" t="s">
        <v>351</v>
      </c>
      <c r="AS394" s="1759" t="s">
        <v>352</v>
      </c>
      <c r="AT394" s="1759" t="s">
        <v>327</v>
      </c>
      <c r="AU394" s="1763"/>
      <c r="AV394" s="1763"/>
    </row>
    <row r="395" spans="1:48" ht="25" hidden="1">
      <c r="A395" s="1785" t="str">
        <f t="shared" si="55"/>
        <v>גמל</v>
      </c>
      <c r="B395" s="1786">
        <f t="shared" si="56"/>
        <v>9846</v>
      </c>
      <c r="C395" s="1787">
        <v>28946</v>
      </c>
      <c r="D395" s="1786" t="str">
        <f t="shared" si="57"/>
        <v>פסגות לעמיתי חבר לבני 60 ומעלה</v>
      </c>
      <c r="E395" s="1786" t="s">
        <v>3929</v>
      </c>
      <c r="F395" s="1786" t="s">
        <v>2958</v>
      </c>
      <c r="G395" s="1786" t="s">
        <v>2959</v>
      </c>
      <c r="H395" s="1786" t="str">
        <f t="shared" si="58"/>
        <v>פעיל</v>
      </c>
      <c r="I395" s="1788">
        <f t="shared" si="59"/>
        <v>39503</v>
      </c>
      <c r="J395" s="1788" t="str">
        <f t="shared" si="60"/>
        <v/>
      </c>
      <c r="K395" s="1786">
        <v>0</v>
      </c>
      <c r="L395" s="1786" t="s">
        <v>1594</v>
      </c>
      <c r="M395" s="1786" t="s">
        <v>1653</v>
      </c>
      <c r="N395" s="1786" t="s">
        <v>1653</v>
      </c>
      <c r="O395" s="1786">
        <v>0</v>
      </c>
      <c r="P395" s="1786"/>
      <c r="Q395" s="1786">
        <v>0</v>
      </c>
      <c r="R395" s="1788"/>
      <c r="S395" s="1786">
        <f t="shared" si="61"/>
        <v>1303</v>
      </c>
      <c r="T395" s="1786">
        <f t="shared" si="62"/>
        <v>0</v>
      </c>
      <c r="U395" s="1786" t="str">
        <f t="shared" si="63"/>
        <v>פסגות לעמיתי חבר זהב</v>
      </c>
      <c r="V395" s="1786" t="str">
        <f t="shared" si="64"/>
        <v>513767079</v>
      </c>
      <c r="W395" s="1789" t="str">
        <f t="shared" si="65"/>
        <v>פסגות קופות גמל ופנסיה בע"מ</v>
      </c>
      <c r="AC395" s="1761" t="s">
        <v>346</v>
      </c>
      <c r="AD395" s="1761"/>
      <c r="AE395" s="1762">
        <v>39503</v>
      </c>
      <c r="AF395" s="1761" t="s">
        <v>3963</v>
      </c>
      <c r="AG395" s="1761" t="s">
        <v>3931</v>
      </c>
      <c r="AH395" s="1761" t="s">
        <v>3658</v>
      </c>
      <c r="AI395" s="1761" t="s">
        <v>4404</v>
      </c>
      <c r="AJ395" s="1761" t="s">
        <v>4404</v>
      </c>
      <c r="AK395" s="1761">
        <v>9846</v>
      </c>
      <c r="AL395" s="1761" t="s">
        <v>3599</v>
      </c>
      <c r="AM395" s="1761">
        <v>1303</v>
      </c>
      <c r="AN395" s="1761"/>
      <c r="AO395" s="1764"/>
      <c r="AP395" s="1761" t="s">
        <v>5365</v>
      </c>
      <c r="AQ395" s="1761" t="s">
        <v>5366</v>
      </c>
      <c r="AR395" s="1761" t="s">
        <v>351</v>
      </c>
      <c r="AS395" s="1761" t="s">
        <v>352</v>
      </c>
      <c r="AT395" s="1761" t="s">
        <v>327</v>
      </c>
      <c r="AU395" s="1763"/>
      <c r="AV395" s="1763"/>
    </row>
    <row r="396" spans="1:48" ht="25" hidden="1">
      <c r="A396" s="1785" t="str">
        <f t="shared" si="55"/>
        <v>גמל</v>
      </c>
      <c r="B396" s="1786">
        <f t="shared" si="56"/>
        <v>1306</v>
      </c>
      <c r="C396" s="1787">
        <v>28946</v>
      </c>
      <c r="D396" s="1786" t="str">
        <f t="shared" si="57"/>
        <v>פסגות לעמיתי חבר מנייתי</v>
      </c>
      <c r="E396" s="1786" t="s">
        <v>3929</v>
      </c>
      <c r="F396" s="1786" t="s">
        <v>2958</v>
      </c>
      <c r="G396" s="1786" t="s">
        <v>2959</v>
      </c>
      <c r="H396" s="1786" t="str">
        <f t="shared" si="58"/>
        <v>לא פעיל</v>
      </c>
      <c r="I396" s="1788">
        <f t="shared" si="59"/>
        <v>39503</v>
      </c>
      <c r="J396" s="1788">
        <f t="shared" si="60"/>
        <v>42373.448391203703</v>
      </c>
      <c r="K396" s="1786">
        <v>0</v>
      </c>
      <c r="L396" s="1786" t="s">
        <v>1594</v>
      </c>
      <c r="M396" s="1786" t="s">
        <v>1653</v>
      </c>
      <c r="N396" s="1786" t="s">
        <v>1653</v>
      </c>
      <c r="O396" s="1786">
        <v>0</v>
      </c>
      <c r="P396" s="1786"/>
      <c r="Q396" s="1786">
        <v>0</v>
      </c>
      <c r="R396" s="1788"/>
      <c r="S396" s="1786">
        <f t="shared" si="61"/>
        <v>1303</v>
      </c>
      <c r="T396" s="1786">
        <f t="shared" si="62"/>
        <v>0</v>
      </c>
      <c r="U396" s="1786" t="str">
        <f t="shared" si="63"/>
        <v>פסגות לעמיתי חבר זהב</v>
      </c>
      <c r="V396" s="1786" t="str">
        <f t="shared" si="64"/>
        <v>513767079</v>
      </c>
      <c r="W396" s="1789" t="str">
        <f t="shared" si="65"/>
        <v>פסגות קופות גמל ופנסיה בע"מ</v>
      </c>
      <c r="AC396" s="1759" t="s">
        <v>1586</v>
      </c>
      <c r="AD396" s="1760">
        <v>42373.448391203703</v>
      </c>
      <c r="AE396" s="1760">
        <v>39503</v>
      </c>
      <c r="AF396" s="1759" t="s">
        <v>1595</v>
      </c>
      <c r="AG396" s="1759" t="s">
        <v>75</v>
      </c>
      <c r="AH396" s="1759" t="s">
        <v>1594</v>
      </c>
      <c r="AI396" s="1759" t="s">
        <v>3601</v>
      </c>
      <c r="AJ396" s="1759" t="s">
        <v>3601</v>
      </c>
      <c r="AK396" s="1759">
        <v>1306</v>
      </c>
      <c r="AL396" s="1759" t="s">
        <v>3599</v>
      </c>
      <c r="AM396" s="1759">
        <v>1303</v>
      </c>
      <c r="AN396" s="1759"/>
      <c r="AO396" s="1764"/>
      <c r="AP396" s="1759" t="s">
        <v>5365</v>
      </c>
      <c r="AQ396" s="1759" t="s">
        <v>5366</v>
      </c>
      <c r="AR396" s="1759" t="s">
        <v>351</v>
      </c>
      <c r="AS396" s="1759" t="s">
        <v>352</v>
      </c>
      <c r="AT396" s="1759" t="s">
        <v>327</v>
      </c>
      <c r="AU396" s="1763"/>
      <c r="AV396" s="1763"/>
    </row>
    <row r="397" spans="1:48" ht="25" hidden="1">
      <c r="A397" s="1785" t="str">
        <f t="shared" si="55"/>
        <v>גמל</v>
      </c>
      <c r="B397" s="1786">
        <f t="shared" si="56"/>
        <v>1305</v>
      </c>
      <c r="C397" s="1787">
        <v>28946</v>
      </c>
      <c r="D397" s="1786" t="str">
        <f t="shared" si="57"/>
        <v>פסגות לעמיתי חבר כללי</v>
      </c>
      <c r="E397" s="1786" t="s">
        <v>3929</v>
      </c>
      <c r="F397" s="1786" t="s">
        <v>2958</v>
      </c>
      <c r="G397" s="1786" t="s">
        <v>2959</v>
      </c>
      <c r="H397" s="1786" t="str">
        <f t="shared" si="58"/>
        <v>לא פעיל</v>
      </c>
      <c r="I397" s="1788">
        <f t="shared" si="59"/>
        <v>39503</v>
      </c>
      <c r="J397" s="1788">
        <f t="shared" si="60"/>
        <v>42373.448391203703</v>
      </c>
      <c r="K397" s="1786">
        <v>0</v>
      </c>
      <c r="L397" s="1786" t="s">
        <v>1594</v>
      </c>
      <c r="M397" s="1786" t="s">
        <v>1653</v>
      </c>
      <c r="N397" s="1786" t="s">
        <v>1653</v>
      </c>
      <c r="O397" s="1786">
        <v>0</v>
      </c>
      <c r="P397" s="1786"/>
      <c r="Q397" s="1786">
        <v>0</v>
      </c>
      <c r="R397" s="1788"/>
      <c r="S397" s="1786">
        <f t="shared" si="61"/>
        <v>1303</v>
      </c>
      <c r="T397" s="1786">
        <f t="shared" si="62"/>
        <v>0</v>
      </c>
      <c r="U397" s="1786" t="str">
        <f t="shared" si="63"/>
        <v>פסגות לעמיתי חבר זהב</v>
      </c>
      <c r="V397" s="1786" t="str">
        <f t="shared" si="64"/>
        <v>513767079</v>
      </c>
      <c r="W397" s="1789" t="str">
        <f t="shared" si="65"/>
        <v>פסגות קופות גמל ופנסיה בע"מ</v>
      </c>
      <c r="AC397" s="1761" t="s">
        <v>1586</v>
      </c>
      <c r="AD397" s="1762">
        <v>42373.448391203703</v>
      </c>
      <c r="AE397" s="1762">
        <v>39503</v>
      </c>
      <c r="AF397" s="1761" t="s">
        <v>1583</v>
      </c>
      <c r="AG397" s="1761" t="s">
        <v>1583</v>
      </c>
      <c r="AH397" s="1761" t="s">
        <v>1583</v>
      </c>
      <c r="AI397" s="1761" t="s">
        <v>3600</v>
      </c>
      <c r="AJ397" s="1761" t="s">
        <v>3600</v>
      </c>
      <c r="AK397" s="1761">
        <v>1305</v>
      </c>
      <c r="AL397" s="1761" t="s">
        <v>3599</v>
      </c>
      <c r="AM397" s="1761">
        <v>1303</v>
      </c>
      <c r="AN397" s="1761"/>
      <c r="AO397" s="1764"/>
      <c r="AP397" s="1761" t="s">
        <v>5365</v>
      </c>
      <c r="AQ397" s="1761" t="s">
        <v>5366</v>
      </c>
      <c r="AR397" s="1761" t="s">
        <v>351</v>
      </c>
      <c r="AS397" s="1761" t="s">
        <v>352</v>
      </c>
      <c r="AT397" s="1761" t="s">
        <v>327</v>
      </c>
      <c r="AU397" s="1763"/>
      <c r="AV397" s="1763"/>
    </row>
    <row r="398" spans="1:48" ht="25" hidden="1">
      <c r="A398" s="1785" t="str">
        <f t="shared" si="55"/>
        <v>גמל</v>
      </c>
      <c r="B398" s="1786">
        <f t="shared" si="56"/>
        <v>1302</v>
      </c>
      <c r="C398" s="1787">
        <v>28946</v>
      </c>
      <c r="D398" s="1786" t="str">
        <f t="shared" si="57"/>
        <v>קואטרו השתלמות כללי 4</v>
      </c>
      <c r="E398" s="1786" t="s">
        <v>3929</v>
      </c>
      <c r="F398" s="1786" t="s">
        <v>2958</v>
      </c>
      <c r="G398" s="1786" t="s">
        <v>2959</v>
      </c>
      <c r="H398" s="1786" t="str">
        <f t="shared" si="58"/>
        <v>לא פעיל</v>
      </c>
      <c r="I398" s="1788">
        <f t="shared" si="59"/>
        <v>39474</v>
      </c>
      <c r="J398" s="1788">
        <f t="shared" si="60"/>
        <v>39965</v>
      </c>
      <c r="K398" s="1786">
        <v>0</v>
      </c>
      <c r="L398" s="1786" t="s">
        <v>1594</v>
      </c>
      <c r="M398" s="1786" t="s">
        <v>1653</v>
      </c>
      <c r="N398" s="1786" t="s">
        <v>1653</v>
      </c>
      <c r="O398" s="1786">
        <v>0</v>
      </c>
      <c r="P398" s="1786"/>
      <c r="Q398" s="1786">
        <v>0</v>
      </c>
      <c r="R398" s="1788"/>
      <c r="S398" s="1786">
        <f t="shared" si="61"/>
        <v>1302</v>
      </c>
      <c r="T398" s="1786" t="str">
        <f t="shared" si="62"/>
        <v>בנק הפועלים בע"מ</v>
      </c>
      <c r="U398" s="1786" t="str">
        <f t="shared" si="63"/>
        <v>קואטרו השתלמות כללי 4</v>
      </c>
      <c r="V398" s="1786">
        <f t="shared" si="64"/>
        <v>0</v>
      </c>
      <c r="W398" s="1789" t="str">
        <f t="shared" si="65"/>
        <v>קואטרו גמל בע"מ</v>
      </c>
      <c r="AC398" s="1759" t="s">
        <v>1586</v>
      </c>
      <c r="AD398" s="1760">
        <v>39965</v>
      </c>
      <c r="AE398" s="1760">
        <v>39474</v>
      </c>
      <c r="AF398" s="1759" t="s">
        <v>1583</v>
      </c>
      <c r="AG398" s="1759" t="s">
        <v>1583</v>
      </c>
      <c r="AH398" s="1759" t="s">
        <v>1583</v>
      </c>
      <c r="AI398" s="1759" t="s">
        <v>3598</v>
      </c>
      <c r="AJ398" s="1759" t="s">
        <v>2394</v>
      </c>
      <c r="AK398" s="1759">
        <v>1302</v>
      </c>
      <c r="AL398" s="1759" t="s">
        <v>2394</v>
      </c>
      <c r="AM398" s="1759">
        <v>1302</v>
      </c>
      <c r="AN398" s="1759" t="s">
        <v>1695</v>
      </c>
      <c r="AO398" s="1764"/>
      <c r="AP398" s="1759"/>
      <c r="AQ398" s="1759"/>
      <c r="AR398" s="1759" t="s">
        <v>2241</v>
      </c>
      <c r="AS398" s="1759" t="s">
        <v>2240</v>
      </c>
      <c r="AT398" s="1759" t="s">
        <v>327</v>
      </c>
      <c r="AU398" s="1763"/>
      <c r="AV398" s="1763"/>
    </row>
    <row r="399" spans="1:48" ht="25" hidden="1">
      <c r="A399" s="1785" t="str">
        <f t="shared" si="55"/>
        <v>גמל</v>
      </c>
      <c r="B399" s="1786">
        <f t="shared" si="56"/>
        <v>1301</v>
      </c>
      <c r="C399" s="1787">
        <v>28946</v>
      </c>
      <c r="D399" s="1786" t="str">
        <f t="shared" si="57"/>
        <v>קואטרו השתלמות כללי 3</v>
      </c>
      <c r="E399" s="1786" t="s">
        <v>3929</v>
      </c>
      <c r="F399" s="1786" t="s">
        <v>2958</v>
      </c>
      <c r="G399" s="1786" t="s">
        <v>2959</v>
      </c>
      <c r="H399" s="1786" t="str">
        <f t="shared" si="58"/>
        <v>לא פעיל</v>
      </c>
      <c r="I399" s="1788">
        <f t="shared" si="59"/>
        <v>39474</v>
      </c>
      <c r="J399" s="1788">
        <f t="shared" si="60"/>
        <v>39965</v>
      </c>
      <c r="K399" s="1786">
        <v>0</v>
      </c>
      <c r="L399" s="1786" t="s">
        <v>1594</v>
      </c>
      <c r="M399" s="1786" t="s">
        <v>1653</v>
      </c>
      <c r="N399" s="1786" t="s">
        <v>1653</v>
      </c>
      <c r="O399" s="1786">
        <v>0</v>
      </c>
      <c r="P399" s="1786"/>
      <c r="Q399" s="1786">
        <v>0</v>
      </c>
      <c r="R399" s="1788"/>
      <c r="S399" s="1786">
        <f t="shared" si="61"/>
        <v>1301</v>
      </c>
      <c r="T399" s="1786" t="str">
        <f t="shared" si="62"/>
        <v>בנק הפועלים בע"מ</v>
      </c>
      <c r="U399" s="1786" t="str">
        <f t="shared" si="63"/>
        <v>קואטרו השתלמות כללי 3</v>
      </c>
      <c r="V399" s="1786">
        <f t="shared" si="64"/>
        <v>0</v>
      </c>
      <c r="W399" s="1789" t="str">
        <f t="shared" si="65"/>
        <v>קואטרו גמל בע"מ</v>
      </c>
      <c r="AC399" s="1761" t="s">
        <v>1586</v>
      </c>
      <c r="AD399" s="1762">
        <v>39965</v>
      </c>
      <c r="AE399" s="1762">
        <v>39474</v>
      </c>
      <c r="AF399" s="1761" t="s">
        <v>1583</v>
      </c>
      <c r="AG399" s="1761" t="s">
        <v>1583</v>
      </c>
      <c r="AH399" s="1761" t="s">
        <v>1583</v>
      </c>
      <c r="AI399" s="1761" t="s">
        <v>3597</v>
      </c>
      <c r="AJ399" s="1761" t="s">
        <v>2393</v>
      </c>
      <c r="AK399" s="1761">
        <v>1301</v>
      </c>
      <c r="AL399" s="1761" t="s">
        <v>2393</v>
      </c>
      <c r="AM399" s="1761">
        <v>1301</v>
      </c>
      <c r="AN399" s="1761" t="s">
        <v>1695</v>
      </c>
      <c r="AO399" s="1764"/>
      <c r="AP399" s="1761"/>
      <c r="AQ399" s="1761"/>
      <c r="AR399" s="1761" t="s">
        <v>2241</v>
      </c>
      <c r="AS399" s="1761" t="s">
        <v>2240</v>
      </c>
      <c r="AT399" s="1761" t="s">
        <v>327</v>
      </c>
      <c r="AU399" s="1763"/>
      <c r="AV399" s="1763"/>
    </row>
    <row r="400" spans="1:48" ht="25" hidden="1">
      <c r="A400" s="1785" t="str">
        <f t="shared" si="55"/>
        <v>גמל</v>
      </c>
      <c r="B400" s="1786">
        <f t="shared" si="56"/>
        <v>1300</v>
      </c>
      <c r="C400" s="1787">
        <v>28946</v>
      </c>
      <c r="D400" s="1786" t="str">
        <f t="shared" si="57"/>
        <v>קואטרו מנורה השתלמות ב'</v>
      </c>
      <c r="E400" s="1786" t="s">
        <v>3929</v>
      </c>
      <c r="F400" s="1786" t="s">
        <v>2958</v>
      </c>
      <c r="G400" s="1786" t="s">
        <v>2959</v>
      </c>
      <c r="H400" s="1786" t="str">
        <f t="shared" si="58"/>
        <v>לא פעיל</v>
      </c>
      <c r="I400" s="1788">
        <f t="shared" si="59"/>
        <v>39474</v>
      </c>
      <c r="J400" s="1788">
        <f t="shared" si="60"/>
        <v>40402.700972222199</v>
      </c>
      <c r="K400" s="1786">
        <v>0</v>
      </c>
      <c r="L400" s="1786" t="s">
        <v>1594</v>
      </c>
      <c r="M400" s="1786" t="s">
        <v>1653</v>
      </c>
      <c r="N400" s="1786" t="s">
        <v>1653</v>
      </c>
      <c r="O400" s="1786">
        <v>0</v>
      </c>
      <c r="P400" s="1786"/>
      <c r="Q400" s="1786">
        <v>0</v>
      </c>
      <c r="R400" s="1788"/>
      <c r="S400" s="1786">
        <f t="shared" si="61"/>
        <v>1300</v>
      </c>
      <c r="T400" s="1786" t="str">
        <f t="shared" si="62"/>
        <v>בנק הפועלים בע"מ</v>
      </c>
      <c r="U400" s="1786" t="str">
        <f t="shared" si="63"/>
        <v>קואטרו מנורה השתלמות ב'</v>
      </c>
      <c r="V400" s="1786">
        <f t="shared" si="64"/>
        <v>0</v>
      </c>
      <c r="W400" s="1789" t="str">
        <f t="shared" si="65"/>
        <v>מנורה מבטחים גמל בע"מ</v>
      </c>
      <c r="AC400" s="1759" t="s">
        <v>1586</v>
      </c>
      <c r="AD400" s="1760">
        <v>40402.700972222199</v>
      </c>
      <c r="AE400" s="1760">
        <v>39474</v>
      </c>
      <c r="AF400" s="1759" t="s">
        <v>1583</v>
      </c>
      <c r="AG400" s="1759" t="s">
        <v>1583</v>
      </c>
      <c r="AH400" s="1759" t="s">
        <v>1583</v>
      </c>
      <c r="AI400" s="1759" t="s">
        <v>2392</v>
      </c>
      <c r="AJ400" s="1759" t="s">
        <v>2392</v>
      </c>
      <c r="AK400" s="1759">
        <v>1300</v>
      </c>
      <c r="AL400" s="1759" t="s">
        <v>2392</v>
      </c>
      <c r="AM400" s="1759">
        <v>1300</v>
      </c>
      <c r="AN400" s="1759" t="s">
        <v>1695</v>
      </c>
      <c r="AO400" s="1764"/>
      <c r="AP400" s="1759"/>
      <c r="AQ400" s="1759"/>
      <c r="AR400" s="1759" t="s">
        <v>363</v>
      </c>
      <c r="AS400" s="1759" t="s">
        <v>364</v>
      </c>
      <c r="AT400" s="1759" t="s">
        <v>327</v>
      </c>
      <c r="AU400" s="1763"/>
      <c r="AV400" s="1763"/>
    </row>
    <row r="401" spans="1:48" ht="25" hidden="1">
      <c r="A401" s="1785" t="str">
        <f t="shared" si="55"/>
        <v>גמל</v>
      </c>
      <c r="B401" s="1786">
        <f t="shared" si="56"/>
        <v>1299</v>
      </c>
      <c r="C401" s="1787">
        <v>28946</v>
      </c>
      <c r="D401" s="1786" t="str">
        <f t="shared" si="57"/>
        <v>קואטרו תגמולים כללי 4</v>
      </c>
      <c r="E401" s="1786" t="s">
        <v>3929</v>
      </c>
      <c r="F401" s="1786" t="s">
        <v>2958</v>
      </c>
      <c r="G401" s="1786" t="s">
        <v>2959</v>
      </c>
      <c r="H401" s="1786" t="str">
        <f t="shared" si="58"/>
        <v>לא פעיל</v>
      </c>
      <c r="I401" s="1788">
        <f t="shared" si="59"/>
        <v>39474</v>
      </c>
      <c r="J401" s="1788">
        <f t="shared" si="60"/>
        <v>39965</v>
      </c>
      <c r="K401" s="1786">
        <v>0</v>
      </c>
      <c r="L401" s="1786" t="s">
        <v>1594</v>
      </c>
      <c r="M401" s="1786" t="s">
        <v>1653</v>
      </c>
      <c r="N401" s="1786" t="s">
        <v>1653</v>
      </c>
      <c r="O401" s="1786">
        <v>0</v>
      </c>
      <c r="P401" s="1786"/>
      <c r="Q401" s="1786">
        <v>0</v>
      </c>
      <c r="R401" s="1788"/>
      <c r="S401" s="1786">
        <f t="shared" si="61"/>
        <v>1299</v>
      </c>
      <c r="T401" s="1786" t="str">
        <f t="shared" si="62"/>
        <v>בנק הפועלים בע"מ</v>
      </c>
      <c r="U401" s="1786" t="str">
        <f t="shared" si="63"/>
        <v>קואטרו תגמולים כללי 4</v>
      </c>
      <c r="V401" s="1786">
        <f t="shared" si="64"/>
        <v>0</v>
      </c>
      <c r="W401" s="1789" t="str">
        <f t="shared" si="65"/>
        <v>קואטרו גמל בע"מ</v>
      </c>
      <c r="AC401" s="1761" t="s">
        <v>1586</v>
      </c>
      <c r="AD401" s="1762">
        <v>39965</v>
      </c>
      <c r="AE401" s="1762">
        <v>39474</v>
      </c>
      <c r="AF401" s="1761" t="s">
        <v>1583</v>
      </c>
      <c r="AG401" s="1761" t="s">
        <v>1583</v>
      </c>
      <c r="AH401" s="1761" t="s">
        <v>1583</v>
      </c>
      <c r="AI401" s="1761" t="s">
        <v>3596</v>
      </c>
      <c r="AJ401" s="1761" t="s">
        <v>2391</v>
      </c>
      <c r="AK401" s="1761">
        <v>1299</v>
      </c>
      <c r="AL401" s="1761" t="s">
        <v>2391</v>
      </c>
      <c r="AM401" s="1761">
        <v>1299</v>
      </c>
      <c r="AN401" s="1761" t="s">
        <v>1695</v>
      </c>
      <c r="AO401" s="1764"/>
      <c r="AP401" s="1761"/>
      <c r="AQ401" s="1761"/>
      <c r="AR401" s="1761" t="s">
        <v>2241</v>
      </c>
      <c r="AS401" s="1761" t="s">
        <v>2240</v>
      </c>
      <c r="AT401" s="1761" t="s">
        <v>327</v>
      </c>
      <c r="AU401" s="1763"/>
      <c r="AV401" s="1763"/>
    </row>
    <row r="402" spans="1:48" ht="25" hidden="1">
      <c r="A402" s="1785" t="str">
        <f t="shared" si="55"/>
        <v>גמל</v>
      </c>
      <c r="B402" s="1786">
        <f t="shared" si="56"/>
        <v>1298</v>
      </c>
      <c r="C402" s="1787">
        <v>28946</v>
      </c>
      <c r="D402" s="1786" t="str">
        <f t="shared" si="57"/>
        <v>קואטרו תגמולים כללי 3</v>
      </c>
      <c r="E402" s="1786" t="s">
        <v>3929</v>
      </c>
      <c r="F402" s="1786" t="s">
        <v>2958</v>
      </c>
      <c r="G402" s="1786" t="s">
        <v>2959</v>
      </c>
      <c r="H402" s="1786" t="str">
        <f t="shared" si="58"/>
        <v>לא פעיל</v>
      </c>
      <c r="I402" s="1788">
        <f t="shared" si="59"/>
        <v>39474</v>
      </c>
      <c r="J402" s="1788">
        <f t="shared" si="60"/>
        <v>39965</v>
      </c>
      <c r="K402" s="1786">
        <v>0</v>
      </c>
      <c r="L402" s="1786" t="s">
        <v>1594</v>
      </c>
      <c r="M402" s="1786" t="s">
        <v>1653</v>
      </c>
      <c r="N402" s="1786" t="s">
        <v>1653</v>
      </c>
      <c r="O402" s="1786">
        <v>0</v>
      </c>
      <c r="P402" s="1786"/>
      <c r="Q402" s="1786">
        <v>0</v>
      </c>
      <c r="R402" s="1788"/>
      <c r="S402" s="1786">
        <f t="shared" si="61"/>
        <v>1298</v>
      </c>
      <c r="T402" s="1786" t="str">
        <f t="shared" si="62"/>
        <v>בנק הפועלים בע"מ</v>
      </c>
      <c r="U402" s="1786" t="str">
        <f t="shared" si="63"/>
        <v>קואטרו תגמולים כללי 3</v>
      </c>
      <c r="V402" s="1786">
        <f t="shared" si="64"/>
        <v>0</v>
      </c>
      <c r="W402" s="1789" t="str">
        <f t="shared" si="65"/>
        <v>קואטרו גמל בע"מ</v>
      </c>
      <c r="AC402" s="1759" t="s">
        <v>1586</v>
      </c>
      <c r="AD402" s="1760">
        <v>39965</v>
      </c>
      <c r="AE402" s="1760">
        <v>39474</v>
      </c>
      <c r="AF402" s="1759" t="s">
        <v>1583</v>
      </c>
      <c r="AG402" s="1759" t="s">
        <v>1583</v>
      </c>
      <c r="AH402" s="1759" t="s">
        <v>1583</v>
      </c>
      <c r="AI402" s="1759" t="s">
        <v>3595</v>
      </c>
      <c r="AJ402" s="1759" t="s">
        <v>2390</v>
      </c>
      <c r="AK402" s="1759">
        <v>1298</v>
      </c>
      <c r="AL402" s="1759" t="s">
        <v>2390</v>
      </c>
      <c r="AM402" s="1759">
        <v>1298</v>
      </c>
      <c r="AN402" s="1759" t="s">
        <v>1695</v>
      </c>
      <c r="AO402" s="1764"/>
      <c r="AP402" s="1759"/>
      <c r="AQ402" s="1759"/>
      <c r="AR402" s="1759" t="s">
        <v>2241</v>
      </c>
      <c r="AS402" s="1759" t="s">
        <v>2240</v>
      </c>
      <c r="AT402" s="1759" t="s">
        <v>327</v>
      </c>
      <c r="AU402" s="1763"/>
      <c r="AV402" s="1763"/>
    </row>
    <row r="403" spans="1:48" ht="25" hidden="1">
      <c r="A403" s="1785" t="str">
        <f t="shared" si="55"/>
        <v>גמל</v>
      </c>
      <c r="B403" s="1786">
        <f t="shared" si="56"/>
        <v>1297</v>
      </c>
      <c r="C403" s="1787">
        <v>28946</v>
      </c>
      <c r="D403" s="1786" t="str">
        <f t="shared" si="57"/>
        <v>קואטרו מנורה תגמולים ב'</v>
      </c>
      <c r="E403" s="1786" t="s">
        <v>3929</v>
      </c>
      <c r="F403" s="1786" t="s">
        <v>2958</v>
      </c>
      <c r="G403" s="1786" t="s">
        <v>2959</v>
      </c>
      <c r="H403" s="1786" t="str">
        <f t="shared" si="58"/>
        <v>לא פעיל</v>
      </c>
      <c r="I403" s="1788">
        <f t="shared" si="59"/>
        <v>39474</v>
      </c>
      <c r="J403" s="1788">
        <f t="shared" si="60"/>
        <v>40402.712337962999</v>
      </c>
      <c r="K403" s="1786">
        <v>0</v>
      </c>
      <c r="L403" s="1786" t="s">
        <v>1594</v>
      </c>
      <c r="M403" s="1786" t="s">
        <v>1653</v>
      </c>
      <c r="N403" s="1786" t="s">
        <v>1653</v>
      </c>
      <c r="O403" s="1786">
        <v>0</v>
      </c>
      <c r="P403" s="1786"/>
      <c r="Q403" s="1786">
        <v>0</v>
      </c>
      <c r="R403" s="1788"/>
      <c r="S403" s="1786">
        <f t="shared" si="61"/>
        <v>1297</v>
      </c>
      <c r="T403" s="1786" t="str">
        <f t="shared" si="62"/>
        <v>בנק הפועלים בע"מ</v>
      </c>
      <c r="U403" s="1786" t="str">
        <f t="shared" si="63"/>
        <v>קואטרו מנורה תגמולים ב'</v>
      </c>
      <c r="V403" s="1786">
        <f t="shared" si="64"/>
        <v>0</v>
      </c>
      <c r="W403" s="1789" t="str">
        <f t="shared" si="65"/>
        <v>מנורה מבטחים גמל בע"מ</v>
      </c>
      <c r="AC403" s="1761" t="s">
        <v>1586</v>
      </c>
      <c r="AD403" s="1762">
        <v>40402.712337962999</v>
      </c>
      <c r="AE403" s="1762">
        <v>39474</v>
      </c>
      <c r="AF403" s="1761" t="s">
        <v>1583</v>
      </c>
      <c r="AG403" s="1761" t="s">
        <v>1583</v>
      </c>
      <c r="AH403" s="1761" t="s">
        <v>1583</v>
      </c>
      <c r="AI403" s="1761" t="s">
        <v>2389</v>
      </c>
      <c r="AJ403" s="1761" t="s">
        <v>2389</v>
      </c>
      <c r="AK403" s="1761">
        <v>1297</v>
      </c>
      <c r="AL403" s="1761" t="s">
        <v>2389</v>
      </c>
      <c r="AM403" s="1761">
        <v>1297</v>
      </c>
      <c r="AN403" s="1761" t="s">
        <v>1695</v>
      </c>
      <c r="AO403" s="1764"/>
      <c r="AP403" s="1761"/>
      <c r="AQ403" s="1761"/>
      <c r="AR403" s="1761" t="s">
        <v>363</v>
      </c>
      <c r="AS403" s="1761" t="s">
        <v>364</v>
      </c>
      <c r="AT403" s="1761" t="s">
        <v>327</v>
      </c>
      <c r="AU403" s="1763"/>
      <c r="AV403" s="1763"/>
    </row>
    <row r="404" spans="1:48" ht="37.5" hidden="1">
      <c r="A404" s="1785" t="str">
        <f t="shared" si="55"/>
        <v>גמל</v>
      </c>
      <c r="B404" s="1786">
        <f t="shared" si="56"/>
        <v>1296</v>
      </c>
      <c r="C404" s="1787">
        <v>28946</v>
      </c>
      <c r="D404" s="1786" t="str">
        <f t="shared" si="57"/>
        <v>הראל קופה לפנסיה תקציבית</v>
      </c>
      <c r="E404" s="1786" t="s">
        <v>3929</v>
      </c>
      <c r="F404" s="1786" t="s">
        <v>2958</v>
      </c>
      <c r="G404" s="1786" t="s">
        <v>2959</v>
      </c>
      <c r="H404" s="1786" t="str">
        <f t="shared" si="58"/>
        <v>פעיל</v>
      </c>
      <c r="I404" s="1788">
        <f t="shared" si="59"/>
        <v>39468</v>
      </c>
      <c r="J404" s="1788" t="str">
        <f t="shared" si="60"/>
        <v/>
      </c>
      <c r="K404" s="1786">
        <v>0</v>
      </c>
      <c r="L404" s="1786" t="s">
        <v>1594</v>
      </c>
      <c r="M404" s="1786" t="s">
        <v>1653</v>
      </c>
      <c r="N404" s="1786" t="s">
        <v>1653</v>
      </c>
      <c r="O404" s="1786">
        <v>0</v>
      </c>
      <c r="P404" s="1786"/>
      <c r="Q404" s="1786">
        <v>0</v>
      </c>
      <c r="R404" s="1788"/>
      <c r="S404" s="1786">
        <f t="shared" si="61"/>
        <v>1296</v>
      </c>
      <c r="T404" s="1786" t="str">
        <f t="shared" si="62"/>
        <v>בנק הפועלים בע"מ</v>
      </c>
      <c r="U404" s="1786" t="str">
        <f t="shared" si="63"/>
        <v>הראל קופה לפנסיה תקציבית</v>
      </c>
      <c r="V404" s="1786" t="str">
        <f t="shared" si="64"/>
        <v>520033986</v>
      </c>
      <c r="W404" s="1789" t="str">
        <f t="shared" si="65"/>
        <v>הראל פנסיה וגמל בע"מ</v>
      </c>
      <c r="AC404" s="1759" t="s">
        <v>346</v>
      </c>
      <c r="AD404" s="1759"/>
      <c r="AE404" s="1760">
        <v>39468</v>
      </c>
      <c r="AF404" s="1759" t="s">
        <v>1583</v>
      </c>
      <c r="AG404" s="1759" t="s">
        <v>1583</v>
      </c>
      <c r="AH404" s="1759" t="s">
        <v>1583</v>
      </c>
      <c r="AI404" s="1759" t="s">
        <v>695</v>
      </c>
      <c r="AJ404" s="1759" t="s">
        <v>695</v>
      </c>
      <c r="AK404" s="1759">
        <v>1296</v>
      </c>
      <c r="AL404" s="1759" t="s">
        <v>695</v>
      </c>
      <c r="AM404" s="1759">
        <v>1296</v>
      </c>
      <c r="AN404" s="1759" t="s">
        <v>1695</v>
      </c>
      <c r="AO404" s="1764"/>
      <c r="AP404" s="1759" t="s">
        <v>5396</v>
      </c>
      <c r="AQ404" s="1759" t="s">
        <v>5397</v>
      </c>
      <c r="AR404" s="1759" t="s">
        <v>4588</v>
      </c>
      <c r="AS404" s="1759" t="s">
        <v>405</v>
      </c>
      <c r="AT404" s="1759" t="s">
        <v>327</v>
      </c>
      <c r="AU404" s="1763"/>
      <c r="AV404" s="1763"/>
    </row>
    <row r="405" spans="1:48" ht="25" hidden="1">
      <c r="A405" s="1785" t="str">
        <f t="shared" si="55"/>
        <v>גמל</v>
      </c>
      <c r="B405" s="1786">
        <f t="shared" si="56"/>
        <v>9789</v>
      </c>
      <c r="C405" s="1787">
        <v>28946</v>
      </c>
      <c r="D405" s="1786" t="str">
        <f t="shared" si="57"/>
        <v>מור מנורה מבטחים לבני עד 50</v>
      </c>
      <c r="E405" s="1786" t="s">
        <v>3929</v>
      </c>
      <c r="F405" s="1786" t="s">
        <v>2958</v>
      </c>
      <c r="G405" s="1786" t="s">
        <v>2959</v>
      </c>
      <c r="H405" s="1786" t="str">
        <f t="shared" si="58"/>
        <v>פעיל</v>
      </c>
      <c r="I405" s="1788">
        <f t="shared" si="59"/>
        <v>39455</v>
      </c>
      <c r="J405" s="1788" t="str">
        <f t="shared" si="60"/>
        <v/>
      </c>
      <c r="K405" s="1786">
        <v>0</v>
      </c>
      <c r="L405" s="1786" t="s">
        <v>1594</v>
      </c>
      <c r="M405" s="1786" t="s">
        <v>1653</v>
      </c>
      <c r="N405" s="1786" t="s">
        <v>1653</v>
      </c>
      <c r="O405" s="1786">
        <v>0</v>
      </c>
      <c r="P405" s="1786"/>
      <c r="Q405" s="1786">
        <v>0</v>
      </c>
      <c r="R405" s="1788"/>
      <c r="S405" s="1786">
        <f t="shared" si="61"/>
        <v>1292</v>
      </c>
      <c r="T405" s="1786" t="str">
        <f t="shared" si="62"/>
        <v>בנק לאומי בע"מ</v>
      </c>
      <c r="U405" s="1786" t="str">
        <f t="shared" si="63"/>
        <v>מור מנורה מבטחים מסלול כללי</v>
      </c>
      <c r="V405" s="1786" t="str">
        <f t="shared" si="64"/>
        <v>520007469</v>
      </c>
      <c r="W405" s="1789" t="str">
        <f t="shared" si="65"/>
        <v>מנורה מבטחים פנסיה וגמל בע"מ</v>
      </c>
      <c r="AC405" s="1761" t="s">
        <v>346</v>
      </c>
      <c r="AD405" s="1759"/>
      <c r="AE405" s="1762">
        <v>39455</v>
      </c>
      <c r="AF405" s="1761" t="s">
        <v>4151</v>
      </c>
      <c r="AG405" s="1761" t="s">
        <v>3931</v>
      </c>
      <c r="AH405" s="1761" t="s">
        <v>3658</v>
      </c>
      <c r="AI405" s="1761" t="s">
        <v>4355</v>
      </c>
      <c r="AJ405" s="1761" t="s">
        <v>4354</v>
      </c>
      <c r="AK405" s="1761">
        <v>9789</v>
      </c>
      <c r="AL405" s="1761" t="s">
        <v>694</v>
      </c>
      <c r="AM405" s="1761">
        <v>1292</v>
      </c>
      <c r="AN405" s="1761" t="s">
        <v>5470</v>
      </c>
      <c r="AO405" s="1764"/>
      <c r="AP405" s="1761" t="s">
        <v>5377</v>
      </c>
      <c r="AQ405" s="1761" t="s">
        <v>5378</v>
      </c>
      <c r="AR405" s="1761" t="s">
        <v>2971</v>
      </c>
      <c r="AS405" s="1761" t="s">
        <v>396</v>
      </c>
      <c r="AT405" s="1761" t="s">
        <v>327</v>
      </c>
      <c r="AU405" s="1763"/>
      <c r="AV405" s="1763"/>
    </row>
    <row r="406" spans="1:48" ht="25" hidden="1">
      <c r="A406" s="1785" t="str">
        <f t="shared" si="55"/>
        <v>גמל</v>
      </c>
      <c r="B406" s="1786">
        <f t="shared" si="56"/>
        <v>9790</v>
      </c>
      <c r="C406" s="1787">
        <v>28946</v>
      </c>
      <c r="D406" s="1786" t="str">
        <f t="shared" si="57"/>
        <v>מור מנורה מבטחים - לבני 50-60</v>
      </c>
      <c r="E406" s="1786" t="s">
        <v>3929</v>
      </c>
      <c r="F406" s="1786" t="s">
        <v>2958</v>
      </c>
      <c r="G406" s="1786" t="s">
        <v>2959</v>
      </c>
      <c r="H406" s="1786" t="str">
        <f t="shared" si="58"/>
        <v>פעיל</v>
      </c>
      <c r="I406" s="1788">
        <f t="shared" si="59"/>
        <v>39455</v>
      </c>
      <c r="J406" s="1788" t="str">
        <f t="shared" si="60"/>
        <v/>
      </c>
      <c r="K406" s="1786">
        <v>0</v>
      </c>
      <c r="L406" s="1786" t="s">
        <v>1594</v>
      </c>
      <c r="M406" s="1786" t="s">
        <v>1653</v>
      </c>
      <c r="N406" s="1786" t="s">
        <v>1653</v>
      </c>
      <c r="O406" s="1786">
        <v>0</v>
      </c>
      <c r="P406" s="1786"/>
      <c r="Q406" s="1786">
        <v>0</v>
      </c>
      <c r="R406" s="1788"/>
      <c r="S406" s="1786">
        <f t="shared" si="61"/>
        <v>1292</v>
      </c>
      <c r="T406" s="1786" t="str">
        <f t="shared" si="62"/>
        <v>בנק לאומי בע"מ</v>
      </c>
      <c r="U406" s="1786" t="str">
        <f t="shared" si="63"/>
        <v>מור מנורה מבטחים מסלול כללי</v>
      </c>
      <c r="V406" s="1786" t="str">
        <f t="shared" si="64"/>
        <v>520007469</v>
      </c>
      <c r="W406" s="1789" t="str">
        <f t="shared" si="65"/>
        <v>מנורה מבטחים פנסיה וגמל בע"מ</v>
      </c>
      <c r="AC406" s="1759" t="s">
        <v>346</v>
      </c>
      <c r="AD406" s="1759"/>
      <c r="AE406" s="1760">
        <v>39455</v>
      </c>
      <c r="AF406" s="1759" t="s">
        <v>3932</v>
      </c>
      <c r="AG406" s="1759" t="s">
        <v>3931</v>
      </c>
      <c r="AH406" s="1759" t="s">
        <v>3658</v>
      </c>
      <c r="AI406" s="1759" t="s">
        <v>4357</v>
      </c>
      <c r="AJ406" s="1759" t="s">
        <v>4356</v>
      </c>
      <c r="AK406" s="1759">
        <v>9790</v>
      </c>
      <c r="AL406" s="1759" t="s">
        <v>694</v>
      </c>
      <c r="AM406" s="1759">
        <v>1292</v>
      </c>
      <c r="AN406" s="1759" t="s">
        <v>5470</v>
      </c>
      <c r="AO406" s="1764"/>
      <c r="AP406" s="1759" t="s">
        <v>5377</v>
      </c>
      <c r="AQ406" s="1759" t="s">
        <v>5378</v>
      </c>
      <c r="AR406" s="1759" t="s">
        <v>2971</v>
      </c>
      <c r="AS406" s="1759" t="s">
        <v>396</v>
      </c>
      <c r="AT406" s="1759" t="s">
        <v>327</v>
      </c>
      <c r="AU406" s="1763"/>
      <c r="AV406" s="1763"/>
    </row>
    <row r="407" spans="1:48" ht="25" hidden="1">
      <c r="A407" s="1785" t="str">
        <f t="shared" ref="A407:A470" si="66">AT407</f>
        <v>גמל</v>
      </c>
      <c r="B407" s="1786">
        <f t="shared" ref="B407:B470" si="67">AK407</f>
        <v>1294</v>
      </c>
      <c r="C407" s="1787">
        <v>28946</v>
      </c>
      <c r="D407" s="1786" t="str">
        <f t="shared" ref="D407:D470" si="68">AJ407</f>
        <v>מור מנורה מבטחים מסלול מניות</v>
      </c>
      <c r="E407" s="1786" t="s">
        <v>3929</v>
      </c>
      <c r="F407" s="1786" t="s">
        <v>2958</v>
      </c>
      <c r="G407" s="1786" t="s">
        <v>2959</v>
      </c>
      <c r="H407" s="1786" t="str">
        <f t="shared" ref="H407:H470" si="69">AC407</f>
        <v>פעיל</v>
      </c>
      <c r="I407" s="1788">
        <f t="shared" ref="I407:I470" si="70">IF(AE407="","",AE407)</f>
        <v>39455</v>
      </c>
      <c r="J407" s="1788" t="str">
        <f t="shared" ref="J407:J470" si="71">IF(AD407="","",AD407)</f>
        <v/>
      </c>
      <c r="K407" s="1786">
        <v>0</v>
      </c>
      <c r="L407" s="1786" t="s">
        <v>1594</v>
      </c>
      <c r="M407" s="1786" t="s">
        <v>1653</v>
      </c>
      <c r="N407" s="1786" t="s">
        <v>1653</v>
      </c>
      <c r="O407" s="1786">
        <v>0</v>
      </c>
      <c r="P407" s="1786"/>
      <c r="Q407" s="1786">
        <v>0</v>
      </c>
      <c r="R407" s="1788"/>
      <c r="S407" s="1786">
        <f t="shared" ref="S407:S470" si="72">AM407</f>
        <v>1292</v>
      </c>
      <c r="T407" s="1786" t="str">
        <f t="shared" ref="T407:T470" si="73">AN407</f>
        <v>בנק לאומי בע"מ</v>
      </c>
      <c r="U407" s="1786" t="str">
        <f t="shared" ref="U407:U470" si="74">AL407</f>
        <v>מור מנורה מבטחים מסלול כללי</v>
      </c>
      <c r="V407" s="1786" t="str">
        <f t="shared" ref="V407:V470" si="75">AQ407</f>
        <v>520007469</v>
      </c>
      <c r="W407" s="1789" t="str">
        <f t="shared" ref="W407:W470" si="76">AR407</f>
        <v>מנורה מבטחים פנסיה וגמל בע"מ</v>
      </c>
      <c r="AC407" s="1761" t="s">
        <v>346</v>
      </c>
      <c r="AD407" s="1761"/>
      <c r="AE407" s="1762">
        <v>39455</v>
      </c>
      <c r="AF407" s="1761" t="s">
        <v>1595</v>
      </c>
      <c r="AG407" s="1761" t="s">
        <v>75</v>
      </c>
      <c r="AH407" s="1761" t="s">
        <v>1594</v>
      </c>
      <c r="AI407" s="1761" t="s">
        <v>5523</v>
      </c>
      <c r="AJ407" s="1761" t="s">
        <v>4054</v>
      </c>
      <c r="AK407" s="1761">
        <v>1294</v>
      </c>
      <c r="AL407" s="1761" t="s">
        <v>694</v>
      </c>
      <c r="AM407" s="1761">
        <v>1292</v>
      </c>
      <c r="AN407" s="1761" t="s">
        <v>5470</v>
      </c>
      <c r="AO407" s="1764"/>
      <c r="AP407" s="1761" t="s">
        <v>5377</v>
      </c>
      <c r="AQ407" s="1761" t="s">
        <v>5378</v>
      </c>
      <c r="AR407" s="1761" t="s">
        <v>2971</v>
      </c>
      <c r="AS407" s="1761" t="s">
        <v>396</v>
      </c>
      <c r="AT407" s="1761" t="s">
        <v>327</v>
      </c>
      <c r="AU407" s="1763"/>
      <c r="AV407" s="1763"/>
    </row>
    <row r="408" spans="1:48" ht="25" hidden="1">
      <c r="A408" s="1785" t="str">
        <f t="shared" si="66"/>
        <v>גמל</v>
      </c>
      <c r="B408" s="1786">
        <f t="shared" si="67"/>
        <v>1292</v>
      </c>
      <c r="C408" s="1787">
        <v>28946</v>
      </c>
      <c r="D408" s="1786" t="str">
        <f t="shared" si="68"/>
        <v>מור מנורה מבטחים מסלול כללי</v>
      </c>
      <c r="E408" s="1786" t="s">
        <v>3929</v>
      </c>
      <c r="F408" s="1786" t="s">
        <v>2958</v>
      </c>
      <c r="G408" s="1786" t="s">
        <v>2959</v>
      </c>
      <c r="H408" s="1786" t="str">
        <f t="shared" si="69"/>
        <v>לא פעיל</v>
      </c>
      <c r="I408" s="1788">
        <f t="shared" si="70"/>
        <v>39455</v>
      </c>
      <c r="J408" s="1788">
        <f t="shared" si="71"/>
        <v>42373.445416666698</v>
      </c>
      <c r="K408" s="1786">
        <v>0</v>
      </c>
      <c r="L408" s="1786" t="s">
        <v>1594</v>
      </c>
      <c r="M408" s="1786" t="s">
        <v>1653</v>
      </c>
      <c r="N408" s="1786" t="s">
        <v>1653</v>
      </c>
      <c r="O408" s="1786">
        <v>0</v>
      </c>
      <c r="P408" s="1786"/>
      <c r="Q408" s="1786">
        <v>0</v>
      </c>
      <c r="R408" s="1788"/>
      <c r="S408" s="1786">
        <f t="shared" si="72"/>
        <v>1292</v>
      </c>
      <c r="T408" s="1786" t="str">
        <f t="shared" si="73"/>
        <v>בנק לאומי בע"מ</v>
      </c>
      <c r="U408" s="1786" t="str">
        <f t="shared" si="74"/>
        <v>מור מנורה מבטחים מסלול כללי</v>
      </c>
      <c r="V408" s="1786" t="str">
        <f t="shared" si="75"/>
        <v>520007469</v>
      </c>
      <c r="W408" s="1789" t="str">
        <f t="shared" si="76"/>
        <v>מנורה מבטחים פנסיה וגמל בע"מ</v>
      </c>
      <c r="AC408" s="1759" t="s">
        <v>1586</v>
      </c>
      <c r="AD408" s="1760">
        <v>42373.445416666698</v>
      </c>
      <c r="AE408" s="1760">
        <v>39455</v>
      </c>
      <c r="AF408" s="1759" t="s">
        <v>1583</v>
      </c>
      <c r="AG408" s="1759" t="s">
        <v>1583</v>
      </c>
      <c r="AH408" s="1759" t="s">
        <v>1583</v>
      </c>
      <c r="AI408" s="1759" t="s">
        <v>3592</v>
      </c>
      <c r="AJ408" s="1759" t="s">
        <v>694</v>
      </c>
      <c r="AK408" s="1759">
        <v>1292</v>
      </c>
      <c r="AL408" s="1759" t="s">
        <v>694</v>
      </c>
      <c r="AM408" s="1759">
        <v>1292</v>
      </c>
      <c r="AN408" s="1759" t="s">
        <v>5470</v>
      </c>
      <c r="AO408" s="1764"/>
      <c r="AP408" s="1759" t="s">
        <v>5377</v>
      </c>
      <c r="AQ408" s="1759" t="s">
        <v>5378</v>
      </c>
      <c r="AR408" s="1759" t="s">
        <v>2971</v>
      </c>
      <c r="AS408" s="1759" t="s">
        <v>396</v>
      </c>
      <c r="AT408" s="1759" t="s">
        <v>327</v>
      </c>
      <c r="AU408" s="1763"/>
      <c r="AV408" s="1763"/>
    </row>
    <row r="409" spans="1:48" ht="25" hidden="1">
      <c r="A409" s="1785" t="str">
        <f t="shared" si="66"/>
        <v>גמל</v>
      </c>
      <c r="B409" s="1786">
        <f t="shared" si="67"/>
        <v>1293</v>
      </c>
      <c r="C409" s="1787">
        <v>28946</v>
      </c>
      <c r="D409" s="1786" t="str">
        <f t="shared" si="68"/>
        <v>מור מנורה מבטחים מסלול כללי ב'</v>
      </c>
      <c r="E409" s="1786" t="s">
        <v>3929</v>
      </c>
      <c r="F409" s="1786" t="s">
        <v>2958</v>
      </c>
      <c r="G409" s="1786" t="s">
        <v>2959</v>
      </c>
      <c r="H409" s="1786" t="str">
        <f t="shared" si="69"/>
        <v>לא פעיל</v>
      </c>
      <c r="I409" s="1788">
        <f t="shared" si="70"/>
        <v>39455</v>
      </c>
      <c r="J409" s="1788">
        <f t="shared" si="71"/>
        <v>42373.445416666698</v>
      </c>
      <c r="K409" s="1786">
        <v>0</v>
      </c>
      <c r="L409" s="1786" t="s">
        <v>1594</v>
      </c>
      <c r="M409" s="1786" t="s">
        <v>1653</v>
      </c>
      <c r="N409" s="1786" t="s">
        <v>1653</v>
      </c>
      <c r="O409" s="1786">
        <v>0</v>
      </c>
      <c r="P409" s="1786"/>
      <c r="Q409" s="1786">
        <v>0</v>
      </c>
      <c r="R409" s="1788"/>
      <c r="S409" s="1786">
        <f t="shared" si="72"/>
        <v>1292</v>
      </c>
      <c r="T409" s="1786" t="str">
        <f t="shared" si="73"/>
        <v>בנק לאומי בע"מ</v>
      </c>
      <c r="U409" s="1786" t="str">
        <f t="shared" si="74"/>
        <v>מור מנורה מבטחים מסלול כללי</v>
      </c>
      <c r="V409" s="1786" t="str">
        <f t="shared" si="75"/>
        <v>520007469</v>
      </c>
      <c r="W409" s="1789" t="str">
        <f t="shared" si="76"/>
        <v>מנורה מבטחים פנסיה וגמל בע"מ</v>
      </c>
      <c r="AC409" s="1761" t="s">
        <v>1586</v>
      </c>
      <c r="AD409" s="1762">
        <v>42373.445416666698</v>
      </c>
      <c r="AE409" s="1762">
        <v>39455</v>
      </c>
      <c r="AF409" s="1761" t="s">
        <v>2025</v>
      </c>
      <c r="AG409" s="1761" t="s">
        <v>1583</v>
      </c>
      <c r="AH409" s="1761" t="s">
        <v>1583</v>
      </c>
      <c r="AI409" s="1761" t="s">
        <v>3593</v>
      </c>
      <c r="AJ409" s="1761" t="s">
        <v>2387</v>
      </c>
      <c r="AK409" s="1761">
        <v>1293</v>
      </c>
      <c r="AL409" s="1761" t="s">
        <v>694</v>
      </c>
      <c r="AM409" s="1761">
        <v>1292</v>
      </c>
      <c r="AN409" s="1761" t="s">
        <v>5470</v>
      </c>
      <c r="AO409" s="1764"/>
      <c r="AP409" s="1761" t="s">
        <v>5377</v>
      </c>
      <c r="AQ409" s="1761" t="s">
        <v>5378</v>
      </c>
      <c r="AR409" s="1761" t="s">
        <v>2971</v>
      </c>
      <c r="AS409" s="1761" t="s">
        <v>396</v>
      </c>
      <c r="AT409" s="1761" t="s">
        <v>327</v>
      </c>
      <c r="AU409" s="1763"/>
      <c r="AV409" s="1763"/>
    </row>
    <row r="410" spans="1:48" ht="25" hidden="1">
      <c r="A410" s="1785" t="str">
        <f t="shared" si="66"/>
        <v>גמל</v>
      </c>
      <c r="B410" s="1786">
        <f t="shared" si="67"/>
        <v>9791</v>
      </c>
      <c r="C410" s="1787">
        <v>28946</v>
      </c>
      <c r="D410" s="1786" t="str">
        <f t="shared" si="68"/>
        <v>מור מנורה מבטחים - לבני 60 ומעלה</v>
      </c>
      <c r="E410" s="1786" t="s">
        <v>3929</v>
      </c>
      <c r="F410" s="1786" t="s">
        <v>2958</v>
      </c>
      <c r="G410" s="1786" t="s">
        <v>2959</v>
      </c>
      <c r="H410" s="1786" t="str">
        <f t="shared" si="69"/>
        <v>פעיל</v>
      </c>
      <c r="I410" s="1788">
        <f t="shared" si="70"/>
        <v>39455</v>
      </c>
      <c r="J410" s="1788" t="str">
        <f t="shared" si="71"/>
        <v/>
      </c>
      <c r="K410" s="1786">
        <v>0</v>
      </c>
      <c r="L410" s="1786" t="s">
        <v>1594</v>
      </c>
      <c r="M410" s="1786" t="s">
        <v>1653</v>
      </c>
      <c r="N410" s="1786" t="s">
        <v>1653</v>
      </c>
      <c r="O410" s="1786">
        <v>0</v>
      </c>
      <c r="P410" s="1786"/>
      <c r="Q410" s="1786">
        <v>0</v>
      </c>
      <c r="R410" s="1788"/>
      <c r="S410" s="1786">
        <f t="shared" si="72"/>
        <v>1292</v>
      </c>
      <c r="T410" s="1786" t="str">
        <f t="shared" si="73"/>
        <v>בנק לאומי בע"מ</v>
      </c>
      <c r="U410" s="1786" t="str">
        <f t="shared" si="74"/>
        <v>מור מנורה מבטחים מסלול כללי</v>
      </c>
      <c r="V410" s="1786" t="str">
        <f t="shared" si="75"/>
        <v>520007469</v>
      </c>
      <c r="W410" s="1789" t="str">
        <f t="shared" si="76"/>
        <v>מנורה מבטחים פנסיה וגמל בע"מ</v>
      </c>
      <c r="AC410" s="1759" t="s">
        <v>346</v>
      </c>
      <c r="AD410" s="1759"/>
      <c r="AE410" s="1760">
        <v>39455</v>
      </c>
      <c r="AF410" s="1759" t="s">
        <v>3963</v>
      </c>
      <c r="AG410" s="1759" t="s">
        <v>3931</v>
      </c>
      <c r="AH410" s="1759" t="s">
        <v>3658</v>
      </c>
      <c r="AI410" s="1759" t="s">
        <v>4359</v>
      </c>
      <c r="AJ410" s="1759" t="s">
        <v>4358</v>
      </c>
      <c r="AK410" s="1759">
        <v>9791</v>
      </c>
      <c r="AL410" s="1759" t="s">
        <v>694</v>
      </c>
      <c r="AM410" s="1759">
        <v>1292</v>
      </c>
      <c r="AN410" s="1759" t="s">
        <v>5470</v>
      </c>
      <c r="AO410" s="1764"/>
      <c r="AP410" s="1759" t="s">
        <v>5377</v>
      </c>
      <c r="AQ410" s="1759" t="s">
        <v>5378</v>
      </c>
      <c r="AR410" s="1759" t="s">
        <v>2971</v>
      </c>
      <c r="AS410" s="1759" t="s">
        <v>396</v>
      </c>
      <c r="AT410" s="1759" t="s">
        <v>327</v>
      </c>
      <c r="AU410" s="1763"/>
      <c r="AV410" s="1763"/>
    </row>
    <row r="411" spans="1:48" ht="25">
      <c r="A411" s="1785" t="str">
        <f t="shared" si="66"/>
        <v>פנסיה</v>
      </c>
      <c r="B411" s="1786">
        <f t="shared" si="67"/>
        <v>2211</v>
      </c>
      <c r="C411" s="1787">
        <v>28946</v>
      </c>
      <c r="D411" s="1786" t="str">
        <f t="shared" si="68"/>
        <v>מיטב תשואה פנסיונית - פנסיונרים</v>
      </c>
      <c r="E411" s="1786" t="s">
        <v>3929</v>
      </c>
      <c r="F411" s="1786" t="s">
        <v>2958</v>
      </c>
      <c r="G411" s="1786" t="s">
        <v>2959</v>
      </c>
      <c r="H411" s="1786" t="str">
        <f t="shared" si="69"/>
        <v>לא פעיל</v>
      </c>
      <c r="I411" s="1788">
        <f t="shared" si="70"/>
        <v>39443</v>
      </c>
      <c r="J411" s="1788">
        <f t="shared" si="71"/>
        <v>41280.393750000003</v>
      </c>
      <c r="K411" s="1786">
        <v>0</v>
      </c>
      <c r="L411" s="1786" t="s">
        <v>1594</v>
      </c>
      <c r="M411" s="1786" t="s">
        <v>1653</v>
      </c>
      <c r="N411" s="1786" t="s">
        <v>1653</v>
      </c>
      <c r="O411" s="1786">
        <v>0</v>
      </c>
      <c r="P411" s="1786"/>
      <c r="Q411" s="1786">
        <v>0</v>
      </c>
      <c r="R411" s="1788"/>
      <c r="S411" s="1786">
        <f t="shared" si="72"/>
        <v>1286</v>
      </c>
      <c r="T411" s="1786">
        <f t="shared" si="73"/>
        <v>0</v>
      </c>
      <c r="U411" s="1786" t="str">
        <f t="shared" si="74"/>
        <v>מיטב תשואה פנסיונית</v>
      </c>
      <c r="V411" s="1786" t="str">
        <f t="shared" si="75"/>
        <v>520043795</v>
      </c>
      <c r="W411" s="1789" t="str">
        <f t="shared" si="76"/>
        <v>מיטב דש גמל ופנסיה בע"מ</v>
      </c>
      <c r="AC411" s="1761" t="s">
        <v>1586</v>
      </c>
      <c r="AD411" s="1762">
        <v>41280.393750000003</v>
      </c>
      <c r="AE411" s="1762">
        <v>39443</v>
      </c>
      <c r="AF411" s="1761" t="s">
        <v>4160</v>
      </c>
      <c r="AG411" s="1761" t="s">
        <v>2614</v>
      </c>
      <c r="AH411" s="1761" t="s">
        <v>3658</v>
      </c>
      <c r="AI411" s="1761" t="s">
        <v>2650</v>
      </c>
      <c r="AJ411" s="1761" t="s">
        <v>2650</v>
      </c>
      <c r="AK411" s="1761">
        <v>2211</v>
      </c>
      <c r="AL411" s="1761" t="s">
        <v>693</v>
      </c>
      <c r="AM411" s="1761">
        <v>1286</v>
      </c>
      <c r="AN411" s="1761"/>
      <c r="AO411" s="1764"/>
      <c r="AP411" s="1761" t="s">
        <v>5373</v>
      </c>
      <c r="AQ411" s="1761" t="s">
        <v>5374</v>
      </c>
      <c r="AR411" s="1761" t="s">
        <v>2899</v>
      </c>
      <c r="AS411" s="1761" t="s">
        <v>349</v>
      </c>
      <c r="AT411" s="1761" t="s">
        <v>328</v>
      </c>
      <c r="AU411" s="1763"/>
      <c r="AV411" s="1763"/>
    </row>
    <row r="412" spans="1:48" ht="25">
      <c r="A412" s="1785" t="str">
        <f t="shared" si="66"/>
        <v>פנסיה</v>
      </c>
      <c r="B412" s="1786">
        <f t="shared" si="67"/>
        <v>2211</v>
      </c>
      <c r="C412" s="1787">
        <v>28946</v>
      </c>
      <c r="D412" s="1786" t="str">
        <f t="shared" si="68"/>
        <v>מיטב תשואה פנסיונית - פנסיונרים</v>
      </c>
      <c r="E412" s="1786" t="s">
        <v>3929</v>
      </c>
      <c r="F412" s="1786" t="s">
        <v>2958</v>
      </c>
      <c r="G412" s="1786" t="s">
        <v>2959</v>
      </c>
      <c r="H412" s="1786" t="str">
        <f t="shared" si="69"/>
        <v>לא פעיל</v>
      </c>
      <c r="I412" s="1788">
        <f t="shared" si="70"/>
        <v>39443</v>
      </c>
      <c r="J412" s="1788">
        <f t="shared" si="71"/>
        <v>41280.393750000003</v>
      </c>
      <c r="K412" s="1786">
        <v>0</v>
      </c>
      <c r="L412" s="1786" t="s">
        <v>1594</v>
      </c>
      <c r="M412" s="1786" t="s">
        <v>1653</v>
      </c>
      <c r="N412" s="1786" t="s">
        <v>1653</v>
      </c>
      <c r="O412" s="1786">
        <v>0</v>
      </c>
      <c r="P412" s="1786"/>
      <c r="Q412" s="1786">
        <v>0</v>
      </c>
      <c r="R412" s="1788"/>
      <c r="S412" s="1786">
        <f t="shared" si="72"/>
        <v>1286</v>
      </c>
      <c r="T412" s="1786">
        <f t="shared" si="73"/>
        <v>0</v>
      </c>
      <c r="U412" s="1786" t="str">
        <f t="shared" si="74"/>
        <v>מיטב תשואה פנסיונית</v>
      </c>
      <c r="V412" s="1786" t="str">
        <f t="shared" si="75"/>
        <v>520043795</v>
      </c>
      <c r="W412" s="1789" t="str">
        <f t="shared" si="76"/>
        <v>מיטב דש גמל ופנסיה בע"מ</v>
      </c>
      <c r="AC412" s="1759" t="s">
        <v>1586</v>
      </c>
      <c r="AD412" s="1760">
        <v>41280.393750000003</v>
      </c>
      <c r="AE412" s="1760">
        <v>39443</v>
      </c>
      <c r="AF412" s="1759" t="s">
        <v>4160</v>
      </c>
      <c r="AG412" s="1759" t="s">
        <v>2614</v>
      </c>
      <c r="AH412" s="1759" t="s">
        <v>3658</v>
      </c>
      <c r="AI412" s="1759" t="s">
        <v>2650</v>
      </c>
      <c r="AJ412" s="1759" t="s">
        <v>2650</v>
      </c>
      <c r="AK412" s="1759">
        <v>2211</v>
      </c>
      <c r="AL412" s="1759" t="s">
        <v>693</v>
      </c>
      <c r="AM412" s="1759">
        <v>1286</v>
      </c>
      <c r="AN412" s="1759"/>
      <c r="AO412" s="1764"/>
      <c r="AP412" s="1759" t="s">
        <v>5373</v>
      </c>
      <c r="AQ412" s="1759" t="s">
        <v>5374</v>
      </c>
      <c r="AR412" s="1759" t="s">
        <v>2899</v>
      </c>
      <c r="AS412" s="1759" t="s">
        <v>349</v>
      </c>
      <c r="AT412" s="1759" t="s">
        <v>328</v>
      </c>
      <c r="AU412" s="1763"/>
      <c r="AV412" s="1763"/>
    </row>
    <row r="413" spans="1:48" ht="25">
      <c r="A413" s="1785" t="str">
        <f t="shared" si="66"/>
        <v>פנסיה</v>
      </c>
      <c r="B413" s="1786">
        <f t="shared" si="67"/>
        <v>2110</v>
      </c>
      <c r="C413" s="1787">
        <v>28946</v>
      </c>
      <c r="D413" s="1786" t="str">
        <f t="shared" si="68"/>
        <v>מיטב תשואה פנסיונית - מסלול כהלכה</v>
      </c>
      <c r="E413" s="1786" t="s">
        <v>3929</v>
      </c>
      <c r="F413" s="1786" t="s">
        <v>2958</v>
      </c>
      <c r="G413" s="1786" t="s">
        <v>2959</v>
      </c>
      <c r="H413" s="1786" t="str">
        <f t="shared" si="69"/>
        <v>לא פעיל</v>
      </c>
      <c r="I413" s="1788">
        <f t="shared" si="70"/>
        <v>39443</v>
      </c>
      <c r="J413" s="1788">
        <f t="shared" si="71"/>
        <v>41277.667268518497</v>
      </c>
      <c r="K413" s="1786">
        <v>0</v>
      </c>
      <c r="L413" s="1786" t="s">
        <v>1594</v>
      </c>
      <c r="M413" s="1786" t="s">
        <v>1653</v>
      </c>
      <c r="N413" s="1786" t="s">
        <v>1653</v>
      </c>
      <c r="O413" s="1786">
        <v>0</v>
      </c>
      <c r="P413" s="1786"/>
      <c r="Q413" s="1786">
        <v>0</v>
      </c>
      <c r="R413" s="1788"/>
      <c r="S413" s="1786">
        <f t="shared" si="72"/>
        <v>1286</v>
      </c>
      <c r="T413" s="1786">
        <f t="shared" si="73"/>
        <v>0</v>
      </c>
      <c r="U413" s="1786" t="str">
        <f t="shared" si="74"/>
        <v>מיטב תשואה פנסיונית</v>
      </c>
      <c r="V413" s="1786" t="str">
        <f t="shared" si="75"/>
        <v>520043795</v>
      </c>
      <c r="W413" s="1789" t="str">
        <f t="shared" si="76"/>
        <v>מיטב דש גמל ופנסיה בע"מ</v>
      </c>
      <c r="AC413" s="1761" t="s">
        <v>1586</v>
      </c>
      <c r="AD413" s="1762">
        <v>41277.667268518497</v>
      </c>
      <c r="AE413" s="1762">
        <v>39443</v>
      </c>
      <c r="AF413" s="1761" t="s">
        <v>4603</v>
      </c>
      <c r="AG413" s="1761" t="s">
        <v>2029</v>
      </c>
      <c r="AH413" s="1761" t="s">
        <v>2028</v>
      </c>
      <c r="AI413" s="1761" t="s">
        <v>2562</v>
      </c>
      <c r="AJ413" s="1761" t="s">
        <v>2562</v>
      </c>
      <c r="AK413" s="1761">
        <v>2110</v>
      </c>
      <c r="AL413" s="1761" t="s">
        <v>693</v>
      </c>
      <c r="AM413" s="1761">
        <v>1286</v>
      </c>
      <c r="AN413" s="1761"/>
      <c r="AO413" s="1764"/>
      <c r="AP413" s="1761" t="s">
        <v>5373</v>
      </c>
      <c r="AQ413" s="1761" t="s">
        <v>5374</v>
      </c>
      <c r="AR413" s="1761" t="s">
        <v>2899</v>
      </c>
      <c r="AS413" s="1761" t="s">
        <v>349</v>
      </c>
      <c r="AT413" s="1761" t="s">
        <v>328</v>
      </c>
      <c r="AU413" s="1763"/>
      <c r="AV413" s="1763"/>
    </row>
    <row r="414" spans="1:48" ht="25">
      <c r="A414" s="1785" t="str">
        <f t="shared" si="66"/>
        <v>פנסיה</v>
      </c>
      <c r="B414" s="1786">
        <f t="shared" si="67"/>
        <v>2107</v>
      </c>
      <c r="C414" s="1787">
        <v>28946</v>
      </c>
      <c r="D414" s="1786" t="str">
        <f t="shared" si="68"/>
        <v>מיטב תשואה פנסיונית - כללי</v>
      </c>
      <c r="E414" s="1786" t="s">
        <v>3929</v>
      </c>
      <c r="F414" s="1786" t="s">
        <v>2958</v>
      </c>
      <c r="G414" s="1786" t="s">
        <v>2959</v>
      </c>
      <c r="H414" s="1786" t="str">
        <f t="shared" si="69"/>
        <v>לא פעיל</v>
      </c>
      <c r="I414" s="1788">
        <f t="shared" si="70"/>
        <v>39443</v>
      </c>
      <c r="J414" s="1788">
        <f t="shared" si="71"/>
        <v>41280.3933217593</v>
      </c>
      <c r="K414" s="1786">
        <v>0</v>
      </c>
      <c r="L414" s="1786" t="s">
        <v>1594</v>
      </c>
      <c r="M414" s="1786" t="s">
        <v>1653</v>
      </c>
      <c r="N414" s="1786" t="s">
        <v>1653</v>
      </c>
      <c r="O414" s="1786">
        <v>0</v>
      </c>
      <c r="P414" s="1786"/>
      <c r="Q414" s="1786">
        <v>0</v>
      </c>
      <c r="R414" s="1788"/>
      <c r="S414" s="1786">
        <f t="shared" si="72"/>
        <v>1286</v>
      </c>
      <c r="T414" s="1786">
        <f t="shared" si="73"/>
        <v>0</v>
      </c>
      <c r="U414" s="1786" t="str">
        <f t="shared" si="74"/>
        <v>מיטב תשואה פנסיונית</v>
      </c>
      <c r="V414" s="1786" t="str">
        <f t="shared" si="75"/>
        <v>520043795</v>
      </c>
      <c r="W414" s="1789" t="str">
        <f t="shared" si="76"/>
        <v>מיטב דש גמל ופנסיה בע"מ</v>
      </c>
      <c r="AC414" s="1759" t="s">
        <v>1586</v>
      </c>
      <c r="AD414" s="1760">
        <v>41280.3933217593</v>
      </c>
      <c r="AE414" s="1760">
        <v>39443</v>
      </c>
      <c r="AF414" s="1759" t="s">
        <v>1583</v>
      </c>
      <c r="AG414" s="1759" t="s">
        <v>1583</v>
      </c>
      <c r="AH414" s="1759" t="s">
        <v>1583</v>
      </c>
      <c r="AI414" s="1759" t="s">
        <v>2596</v>
      </c>
      <c r="AJ414" s="1759" t="s">
        <v>2596</v>
      </c>
      <c r="AK414" s="1759">
        <v>2107</v>
      </c>
      <c r="AL414" s="1759" t="s">
        <v>693</v>
      </c>
      <c r="AM414" s="1759">
        <v>1286</v>
      </c>
      <c r="AN414" s="1759"/>
      <c r="AO414" s="1764"/>
      <c r="AP414" s="1759" t="s">
        <v>5373</v>
      </c>
      <c r="AQ414" s="1759" t="s">
        <v>5374</v>
      </c>
      <c r="AR414" s="1759" t="s">
        <v>2899</v>
      </c>
      <c r="AS414" s="1759" t="s">
        <v>349</v>
      </c>
      <c r="AT414" s="1759" t="s">
        <v>328</v>
      </c>
      <c r="AU414" s="1763"/>
      <c r="AV414" s="1763"/>
    </row>
    <row r="415" spans="1:48" ht="25">
      <c r="A415" s="1785" t="str">
        <f t="shared" si="66"/>
        <v>פנסיה</v>
      </c>
      <c r="B415" s="1786">
        <f t="shared" si="67"/>
        <v>2110</v>
      </c>
      <c r="C415" s="1787">
        <v>28946</v>
      </c>
      <c r="D415" s="1786" t="str">
        <f t="shared" si="68"/>
        <v>מיטב תשואה פנסיונית - מסלול כהלכה</v>
      </c>
      <c r="E415" s="1786" t="s">
        <v>3929</v>
      </c>
      <c r="F415" s="1786" t="s">
        <v>2958</v>
      </c>
      <c r="G415" s="1786" t="s">
        <v>2959</v>
      </c>
      <c r="H415" s="1786" t="str">
        <f t="shared" si="69"/>
        <v>לא פעיל</v>
      </c>
      <c r="I415" s="1788">
        <f t="shared" si="70"/>
        <v>39443</v>
      </c>
      <c r="J415" s="1788">
        <f t="shared" si="71"/>
        <v>41277.667268518497</v>
      </c>
      <c r="K415" s="1786">
        <v>0</v>
      </c>
      <c r="L415" s="1786" t="s">
        <v>1594</v>
      </c>
      <c r="M415" s="1786" t="s">
        <v>1653</v>
      </c>
      <c r="N415" s="1786" t="s">
        <v>1653</v>
      </c>
      <c r="O415" s="1786">
        <v>0</v>
      </c>
      <c r="P415" s="1786"/>
      <c r="Q415" s="1786">
        <v>0</v>
      </c>
      <c r="R415" s="1788"/>
      <c r="S415" s="1786">
        <f t="shared" si="72"/>
        <v>1286</v>
      </c>
      <c r="T415" s="1786">
        <f t="shared" si="73"/>
        <v>0</v>
      </c>
      <c r="U415" s="1786" t="str">
        <f t="shared" si="74"/>
        <v>מיטב תשואה פנסיונית</v>
      </c>
      <c r="V415" s="1786" t="str">
        <f t="shared" si="75"/>
        <v>520043795</v>
      </c>
      <c r="W415" s="1789" t="str">
        <f t="shared" si="76"/>
        <v>מיטב דש גמל ופנסיה בע"מ</v>
      </c>
      <c r="AC415" s="1761" t="s">
        <v>1586</v>
      </c>
      <c r="AD415" s="1762">
        <v>41277.667268518497</v>
      </c>
      <c r="AE415" s="1762">
        <v>39443</v>
      </c>
      <c r="AF415" s="1761" t="s">
        <v>4603</v>
      </c>
      <c r="AG415" s="1761" t="s">
        <v>2029</v>
      </c>
      <c r="AH415" s="1761" t="s">
        <v>2028</v>
      </c>
      <c r="AI415" s="1761" t="s">
        <v>2562</v>
      </c>
      <c r="AJ415" s="1761" t="s">
        <v>2562</v>
      </c>
      <c r="AK415" s="1761">
        <v>2110</v>
      </c>
      <c r="AL415" s="1761" t="s">
        <v>693</v>
      </c>
      <c r="AM415" s="1761">
        <v>1286</v>
      </c>
      <c r="AN415" s="1761"/>
      <c r="AO415" s="1764"/>
      <c r="AP415" s="1761" t="s">
        <v>5373</v>
      </c>
      <c r="AQ415" s="1761" t="s">
        <v>5374</v>
      </c>
      <c r="AR415" s="1761" t="s">
        <v>2899</v>
      </c>
      <c r="AS415" s="1761" t="s">
        <v>349</v>
      </c>
      <c r="AT415" s="1761" t="s">
        <v>328</v>
      </c>
      <c r="AU415" s="1763"/>
      <c r="AV415" s="1763"/>
    </row>
    <row r="416" spans="1:48" ht="25">
      <c r="A416" s="1785" t="str">
        <f t="shared" si="66"/>
        <v>פנסיה</v>
      </c>
      <c r="B416" s="1786">
        <f t="shared" si="67"/>
        <v>2107</v>
      </c>
      <c r="C416" s="1787">
        <v>28946</v>
      </c>
      <c r="D416" s="1786" t="str">
        <f t="shared" si="68"/>
        <v>מיטב תשואה פנסיונית - כללי</v>
      </c>
      <c r="E416" s="1786" t="s">
        <v>3929</v>
      </c>
      <c r="F416" s="1786" t="s">
        <v>2958</v>
      </c>
      <c r="G416" s="1786" t="s">
        <v>2959</v>
      </c>
      <c r="H416" s="1786" t="str">
        <f t="shared" si="69"/>
        <v>לא פעיל</v>
      </c>
      <c r="I416" s="1788">
        <f t="shared" si="70"/>
        <v>39443</v>
      </c>
      <c r="J416" s="1788">
        <f t="shared" si="71"/>
        <v>41280.3933217593</v>
      </c>
      <c r="K416" s="1786">
        <v>0</v>
      </c>
      <c r="L416" s="1786" t="s">
        <v>1594</v>
      </c>
      <c r="M416" s="1786" t="s">
        <v>1653</v>
      </c>
      <c r="N416" s="1786" t="s">
        <v>1653</v>
      </c>
      <c r="O416" s="1786">
        <v>0</v>
      </c>
      <c r="P416" s="1786"/>
      <c r="Q416" s="1786">
        <v>0</v>
      </c>
      <c r="R416" s="1788"/>
      <c r="S416" s="1786">
        <f t="shared" si="72"/>
        <v>1286</v>
      </c>
      <c r="T416" s="1786">
        <f t="shared" si="73"/>
        <v>0</v>
      </c>
      <c r="U416" s="1786" t="str">
        <f t="shared" si="74"/>
        <v>מיטב תשואה פנסיונית</v>
      </c>
      <c r="V416" s="1786" t="str">
        <f t="shared" si="75"/>
        <v>520043795</v>
      </c>
      <c r="W416" s="1789" t="str">
        <f t="shared" si="76"/>
        <v>מיטב דש גמל ופנסיה בע"מ</v>
      </c>
      <c r="AC416" s="1759" t="s">
        <v>1586</v>
      </c>
      <c r="AD416" s="1760">
        <v>41280.3933217593</v>
      </c>
      <c r="AE416" s="1760">
        <v>39443</v>
      </c>
      <c r="AF416" s="1759" t="s">
        <v>1583</v>
      </c>
      <c r="AG416" s="1759" t="s">
        <v>1583</v>
      </c>
      <c r="AH416" s="1759" t="s">
        <v>1583</v>
      </c>
      <c r="AI416" s="1759" t="s">
        <v>2596</v>
      </c>
      <c r="AJ416" s="1759" t="s">
        <v>2596</v>
      </c>
      <c r="AK416" s="1759">
        <v>2107</v>
      </c>
      <c r="AL416" s="1759" t="s">
        <v>693</v>
      </c>
      <c r="AM416" s="1759">
        <v>1286</v>
      </c>
      <c r="AN416" s="1759"/>
      <c r="AO416" s="1764"/>
      <c r="AP416" s="1759" t="s">
        <v>5373</v>
      </c>
      <c r="AQ416" s="1759" t="s">
        <v>5374</v>
      </c>
      <c r="AR416" s="1759" t="s">
        <v>2899</v>
      </c>
      <c r="AS416" s="1759" t="s">
        <v>349</v>
      </c>
      <c r="AT416" s="1759" t="s">
        <v>328</v>
      </c>
      <c r="AU416" s="1763"/>
      <c r="AV416" s="1763"/>
    </row>
    <row r="417" spans="1:48" ht="25" hidden="1">
      <c r="A417" s="1785" t="str">
        <f t="shared" si="66"/>
        <v>גמל</v>
      </c>
      <c r="B417" s="1786">
        <f t="shared" si="67"/>
        <v>1285</v>
      </c>
      <c r="C417" s="1787">
        <v>28946</v>
      </c>
      <c r="D417" s="1786" t="str">
        <f t="shared" si="68"/>
        <v>פסגות תגמולים</v>
      </c>
      <c r="E417" s="1786" t="s">
        <v>3929</v>
      </c>
      <c r="F417" s="1786" t="s">
        <v>2958</v>
      </c>
      <c r="G417" s="1786" t="s">
        <v>2959</v>
      </c>
      <c r="H417" s="1786" t="str">
        <f t="shared" si="69"/>
        <v>לא פעיל</v>
      </c>
      <c r="I417" s="1788">
        <f t="shared" si="70"/>
        <v>39417</v>
      </c>
      <c r="J417" s="1788">
        <f t="shared" si="71"/>
        <v>40133.745543981502</v>
      </c>
      <c r="K417" s="1786">
        <v>0</v>
      </c>
      <c r="L417" s="1786" t="s">
        <v>1594</v>
      </c>
      <c r="M417" s="1786" t="s">
        <v>1653</v>
      </c>
      <c r="N417" s="1786" t="s">
        <v>1653</v>
      </c>
      <c r="O417" s="1786">
        <v>0</v>
      </c>
      <c r="P417" s="1786"/>
      <c r="Q417" s="1786">
        <v>0</v>
      </c>
      <c r="R417" s="1788"/>
      <c r="S417" s="1786">
        <f t="shared" si="72"/>
        <v>1285</v>
      </c>
      <c r="T417" s="1786" t="str">
        <f t="shared" si="73"/>
        <v>בנק הפועלים בע"מ</v>
      </c>
      <c r="U417" s="1786" t="str">
        <f t="shared" si="74"/>
        <v>פסגות תגמולים</v>
      </c>
      <c r="V417" s="1786" t="str">
        <f t="shared" si="75"/>
        <v>513767079</v>
      </c>
      <c r="W417" s="1789" t="str">
        <f t="shared" si="76"/>
        <v>פסגות קופות גמל ופנסיה בע"מ</v>
      </c>
      <c r="AC417" s="1761" t="s">
        <v>1586</v>
      </c>
      <c r="AD417" s="1762">
        <v>40133.745543981502</v>
      </c>
      <c r="AE417" s="1762">
        <v>39417</v>
      </c>
      <c r="AF417" s="1761" t="s">
        <v>1583</v>
      </c>
      <c r="AG417" s="1761" t="s">
        <v>1583</v>
      </c>
      <c r="AH417" s="1761" t="s">
        <v>1583</v>
      </c>
      <c r="AI417" s="1761" t="s">
        <v>2382</v>
      </c>
      <c r="AJ417" s="1761" t="s">
        <v>2382</v>
      </c>
      <c r="AK417" s="1761">
        <v>1285</v>
      </c>
      <c r="AL417" s="1761" t="s">
        <v>2382</v>
      </c>
      <c r="AM417" s="1761">
        <v>1285</v>
      </c>
      <c r="AN417" s="1761" t="s">
        <v>1695</v>
      </c>
      <c r="AO417" s="1764"/>
      <c r="AP417" s="1761" t="s">
        <v>5365</v>
      </c>
      <c r="AQ417" s="1761" t="s">
        <v>5366</v>
      </c>
      <c r="AR417" s="1761" t="s">
        <v>351</v>
      </c>
      <c r="AS417" s="1761" t="s">
        <v>352</v>
      </c>
      <c r="AT417" s="1761" t="s">
        <v>327</v>
      </c>
      <c r="AU417" s="1763"/>
      <c r="AV417" s="1763"/>
    </row>
    <row r="418" spans="1:48" ht="25" hidden="1">
      <c r="A418" s="1785" t="str">
        <f t="shared" si="66"/>
        <v>גמל</v>
      </c>
      <c r="B418" s="1786">
        <f t="shared" si="67"/>
        <v>1284</v>
      </c>
      <c r="C418" s="1787">
        <v>28946</v>
      </c>
      <c r="D418" s="1786" t="str">
        <f t="shared" si="68"/>
        <v>כלל תקציבית</v>
      </c>
      <c r="E418" s="1786" t="s">
        <v>3929</v>
      </c>
      <c r="F418" s="1786" t="s">
        <v>2958</v>
      </c>
      <c r="G418" s="1786" t="s">
        <v>2959</v>
      </c>
      <c r="H418" s="1786" t="str">
        <f t="shared" si="69"/>
        <v>פעיל</v>
      </c>
      <c r="I418" s="1788">
        <f t="shared" si="70"/>
        <v>39496</v>
      </c>
      <c r="J418" s="1788" t="str">
        <f t="shared" si="71"/>
        <v/>
      </c>
      <c r="K418" s="1786">
        <v>0</v>
      </c>
      <c r="L418" s="1786" t="s">
        <v>1594</v>
      </c>
      <c r="M418" s="1786" t="s">
        <v>1653</v>
      </c>
      <c r="N418" s="1786" t="s">
        <v>1653</v>
      </c>
      <c r="O418" s="1786">
        <v>0</v>
      </c>
      <c r="P418" s="1786"/>
      <c r="Q418" s="1786">
        <v>0</v>
      </c>
      <c r="R418" s="1788"/>
      <c r="S418" s="1786">
        <f t="shared" si="72"/>
        <v>1284</v>
      </c>
      <c r="T418" s="1786" t="str">
        <f t="shared" si="73"/>
        <v>ד.ס.ש ייעוץ ושירותים בע"מ</v>
      </c>
      <c r="U418" s="1786" t="str">
        <f t="shared" si="74"/>
        <v>כלל תקציבית</v>
      </c>
      <c r="V418" s="1786">
        <f t="shared" si="75"/>
        <v>0</v>
      </c>
      <c r="W418" s="1789" t="str">
        <f t="shared" si="76"/>
        <v>כלל פנסיה וגמל בע"מ</v>
      </c>
      <c r="AC418" s="1759" t="s">
        <v>346</v>
      </c>
      <c r="AD418" s="1759"/>
      <c r="AE418" s="1760">
        <v>39496</v>
      </c>
      <c r="AF418" s="1759" t="s">
        <v>1583</v>
      </c>
      <c r="AG418" s="1759" t="s">
        <v>1583</v>
      </c>
      <c r="AH418" s="1759" t="s">
        <v>1583</v>
      </c>
      <c r="AI418" s="1759" t="s">
        <v>692</v>
      </c>
      <c r="AJ418" s="1759" t="s">
        <v>692</v>
      </c>
      <c r="AK418" s="1759">
        <v>1284</v>
      </c>
      <c r="AL418" s="1759" t="s">
        <v>692</v>
      </c>
      <c r="AM418" s="1759">
        <v>1284</v>
      </c>
      <c r="AN418" s="1759" t="s">
        <v>5393</v>
      </c>
      <c r="AO418" s="1764"/>
      <c r="AP418" s="1759"/>
      <c r="AQ418" s="1759"/>
      <c r="AR418" s="1759" t="s">
        <v>378</v>
      </c>
      <c r="AS418" s="1759" t="s">
        <v>379</v>
      </c>
      <c r="AT418" s="1759" t="s">
        <v>327</v>
      </c>
      <c r="AU418" s="1763"/>
      <c r="AV418" s="1763"/>
    </row>
    <row r="419" spans="1:48" ht="25" hidden="1">
      <c r="A419" s="1785" t="str">
        <f t="shared" si="66"/>
        <v>גמל</v>
      </c>
      <c r="B419" s="1786">
        <f t="shared" si="67"/>
        <v>1283</v>
      </c>
      <c r="C419" s="1787">
        <v>28946</v>
      </c>
      <c r="D419" s="1786" t="str">
        <f t="shared" si="68"/>
        <v>פסגות מרכזית להשתתפות בפנסיה תקציבית</v>
      </c>
      <c r="E419" s="1786" t="s">
        <v>3929</v>
      </c>
      <c r="F419" s="1786" t="s">
        <v>2958</v>
      </c>
      <c r="G419" s="1786" t="s">
        <v>2959</v>
      </c>
      <c r="H419" s="1786" t="str">
        <f t="shared" si="69"/>
        <v>לא פעיל</v>
      </c>
      <c r="I419" s="1788">
        <f t="shared" si="70"/>
        <v>39432</v>
      </c>
      <c r="J419" s="1788">
        <f t="shared" si="71"/>
        <v>41655.617164351897</v>
      </c>
      <c r="K419" s="1786">
        <v>0</v>
      </c>
      <c r="L419" s="1786" t="s">
        <v>1594</v>
      </c>
      <c r="M419" s="1786" t="s">
        <v>1653</v>
      </c>
      <c r="N419" s="1786" t="s">
        <v>1653</v>
      </c>
      <c r="O419" s="1786">
        <v>0</v>
      </c>
      <c r="P419" s="1786"/>
      <c r="Q419" s="1786">
        <v>0</v>
      </c>
      <c r="R419" s="1788"/>
      <c r="S419" s="1786">
        <f t="shared" si="72"/>
        <v>1283</v>
      </c>
      <c r="T419" s="1786" t="str">
        <f t="shared" si="73"/>
        <v>בנק הפועלים בע"מ</v>
      </c>
      <c r="U419" s="1786" t="str">
        <f t="shared" si="74"/>
        <v>פסגות מרכזית להשתתפות בפנסיה תקציבית</v>
      </c>
      <c r="V419" s="1786" t="str">
        <f t="shared" si="75"/>
        <v>513767079</v>
      </c>
      <c r="W419" s="1789" t="str">
        <f t="shared" si="76"/>
        <v>פסגות קופות גמל ופנסיה בע"מ</v>
      </c>
      <c r="AC419" s="1761" t="s">
        <v>1586</v>
      </c>
      <c r="AD419" s="1762">
        <v>41655.617164351897</v>
      </c>
      <c r="AE419" s="1762">
        <v>39432</v>
      </c>
      <c r="AF419" s="1761" t="s">
        <v>1583</v>
      </c>
      <c r="AG419" s="1761" t="s">
        <v>1583</v>
      </c>
      <c r="AH419" s="1761" t="s">
        <v>1583</v>
      </c>
      <c r="AI419" s="1761" t="s">
        <v>691</v>
      </c>
      <c r="AJ419" s="1761" t="s">
        <v>691</v>
      </c>
      <c r="AK419" s="1761">
        <v>1283</v>
      </c>
      <c r="AL419" s="1761" t="s">
        <v>691</v>
      </c>
      <c r="AM419" s="1761">
        <v>1283</v>
      </c>
      <c r="AN419" s="1761" t="s">
        <v>1695</v>
      </c>
      <c r="AO419" s="1764"/>
      <c r="AP419" s="1761" t="s">
        <v>5365</v>
      </c>
      <c r="AQ419" s="1761" t="s">
        <v>5366</v>
      </c>
      <c r="AR419" s="1761" t="s">
        <v>351</v>
      </c>
      <c r="AS419" s="1761" t="s">
        <v>352</v>
      </c>
      <c r="AT419" s="1761" t="s">
        <v>327</v>
      </c>
      <c r="AU419" s="1763"/>
      <c r="AV419" s="1763"/>
    </row>
    <row r="420" spans="1:48" ht="50" hidden="1">
      <c r="A420" s="1785" t="str">
        <f t="shared" si="66"/>
        <v>גמל</v>
      </c>
      <c r="B420" s="1786">
        <f t="shared" si="67"/>
        <v>1282</v>
      </c>
      <c r="C420" s="1787">
        <v>28946</v>
      </c>
      <c r="D420" s="1786" t="str">
        <f t="shared" si="68"/>
        <v>קופה מרכזית להשתתפות בפנסיה תקציבית של העובדים בעיריית תל-אביב יפו</v>
      </c>
      <c r="E420" s="1786" t="s">
        <v>3929</v>
      </c>
      <c r="F420" s="1786" t="s">
        <v>2958</v>
      </c>
      <c r="G420" s="1786" t="s">
        <v>2959</v>
      </c>
      <c r="H420" s="1786" t="str">
        <f t="shared" si="69"/>
        <v>פעיל</v>
      </c>
      <c r="I420" s="1788">
        <f t="shared" si="70"/>
        <v>39432</v>
      </c>
      <c r="J420" s="1788" t="str">
        <f t="shared" si="71"/>
        <v/>
      </c>
      <c r="K420" s="1786">
        <v>0</v>
      </c>
      <c r="L420" s="1786" t="s">
        <v>1594</v>
      </c>
      <c r="M420" s="1786" t="s">
        <v>1653</v>
      </c>
      <c r="N420" s="1786" t="s">
        <v>1653</v>
      </c>
      <c r="O420" s="1786">
        <v>0</v>
      </c>
      <c r="P420" s="1786"/>
      <c r="Q420" s="1786">
        <v>0</v>
      </c>
      <c r="R420" s="1788"/>
      <c r="S420" s="1786">
        <f t="shared" si="72"/>
        <v>1282</v>
      </c>
      <c r="T420" s="1786" t="str">
        <f t="shared" si="73"/>
        <v>ניהול  עצמי</v>
      </c>
      <c r="U420" s="1786" t="str">
        <f t="shared" si="74"/>
        <v>קופה מרכזית להשתתפות בפנסיה תקציבית של העובדים בעיריית תל-אביב יפו</v>
      </c>
      <c r="V420" s="1786">
        <f t="shared" si="75"/>
        <v>0</v>
      </c>
      <c r="W420" s="1789" t="str">
        <f t="shared" si="76"/>
        <v>חברה לניהול קופות גמל של העובדים בעיריית תל - אביב יפו בע"מ</v>
      </c>
      <c r="AC420" s="1759" t="s">
        <v>346</v>
      </c>
      <c r="AD420" s="1759"/>
      <c r="AE420" s="1760">
        <v>39432</v>
      </c>
      <c r="AF420" s="1759" t="s">
        <v>1583</v>
      </c>
      <c r="AG420" s="1759" t="s">
        <v>1583</v>
      </c>
      <c r="AH420" s="1759" t="s">
        <v>1583</v>
      </c>
      <c r="AI420" s="1759" t="s">
        <v>3589</v>
      </c>
      <c r="AJ420" s="1759" t="s">
        <v>690</v>
      </c>
      <c r="AK420" s="1759">
        <v>1282</v>
      </c>
      <c r="AL420" s="1759" t="s">
        <v>690</v>
      </c>
      <c r="AM420" s="1759">
        <v>1282</v>
      </c>
      <c r="AN420" s="1759" t="s">
        <v>5524</v>
      </c>
      <c r="AO420" s="1764"/>
      <c r="AP420" s="1759"/>
      <c r="AQ420" s="1759"/>
      <c r="AR420" s="1759" t="s">
        <v>627</v>
      </c>
      <c r="AS420" s="1759" t="s">
        <v>628</v>
      </c>
      <c r="AT420" s="1759" t="s">
        <v>327</v>
      </c>
      <c r="AU420" s="1763"/>
      <c r="AV420" s="1763"/>
    </row>
    <row r="421" spans="1:48" ht="37.5" hidden="1">
      <c r="A421" s="1785" t="str">
        <f t="shared" si="66"/>
        <v>גמל</v>
      </c>
      <c r="B421" s="1786">
        <f t="shared" si="67"/>
        <v>1281</v>
      </c>
      <c r="C421" s="1787">
        <v>28946</v>
      </c>
      <c r="D421" s="1786" t="str">
        <f t="shared" si="68"/>
        <v>מיטב קופת גמל מרכזית להשתתפות בפנסיה תקציבית</v>
      </c>
      <c r="E421" s="1786" t="s">
        <v>3929</v>
      </c>
      <c r="F421" s="1786" t="s">
        <v>2958</v>
      </c>
      <c r="G421" s="1786" t="s">
        <v>2959</v>
      </c>
      <c r="H421" s="1786" t="str">
        <f t="shared" si="69"/>
        <v>לא פעיל</v>
      </c>
      <c r="I421" s="1788">
        <f t="shared" si="70"/>
        <v>39432</v>
      </c>
      <c r="J421" s="1788">
        <f t="shared" si="71"/>
        <v>40006.509270833303</v>
      </c>
      <c r="K421" s="1786">
        <v>0</v>
      </c>
      <c r="L421" s="1786" t="s">
        <v>1594</v>
      </c>
      <c r="M421" s="1786" t="s">
        <v>1653</v>
      </c>
      <c r="N421" s="1786" t="s">
        <v>1653</v>
      </c>
      <c r="O421" s="1786">
        <v>0</v>
      </c>
      <c r="P421" s="1786"/>
      <c r="Q421" s="1786">
        <v>0</v>
      </c>
      <c r="R421" s="1788"/>
      <c r="S421" s="1786">
        <f t="shared" si="72"/>
        <v>1281</v>
      </c>
      <c r="T421" s="1786" t="str">
        <f t="shared" si="73"/>
        <v>ד.ס.ש ייעוץ ושירותים בע"מ</v>
      </c>
      <c r="U421" s="1786" t="str">
        <f t="shared" si="74"/>
        <v>מיטב קופת גמל מרכזית להשתתפות בפנסיה תקציבית</v>
      </c>
      <c r="V421" s="1786">
        <f t="shared" si="75"/>
        <v>0</v>
      </c>
      <c r="W421" s="1789" t="str">
        <f t="shared" si="76"/>
        <v>מיטב גמל ופנסיה בע"מ</v>
      </c>
      <c r="AC421" s="1761" t="s">
        <v>1586</v>
      </c>
      <c r="AD421" s="1762">
        <v>40006.509270833303</v>
      </c>
      <c r="AE421" s="1762">
        <v>39432</v>
      </c>
      <c r="AF421" s="1761" t="s">
        <v>1583</v>
      </c>
      <c r="AG421" s="1761" t="s">
        <v>1583</v>
      </c>
      <c r="AH421" s="1761" t="s">
        <v>1583</v>
      </c>
      <c r="AI421" s="1761" t="s">
        <v>3588</v>
      </c>
      <c r="AJ421" s="1761" t="s">
        <v>2381</v>
      </c>
      <c r="AK421" s="1761">
        <v>1281</v>
      </c>
      <c r="AL421" s="1761" t="s">
        <v>2381</v>
      </c>
      <c r="AM421" s="1761">
        <v>1281</v>
      </c>
      <c r="AN421" s="1761" t="s">
        <v>5393</v>
      </c>
      <c r="AO421" s="1764"/>
      <c r="AP421" s="1761"/>
      <c r="AQ421" s="1761"/>
      <c r="AR421" s="1761" t="s">
        <v>365</v>
      </c>
      <c r="AS421" s="1761" t="s">
        <v>366</v>
      </c>
      <c r="AT421" s="1761" t="s">
        <v>327</v>
      </c>
      <c r="AU421" s="1763"/>
      <c r="AV421" s="1763"/>
    </row>
    <row r="422" spans="1:48" ht="25" hidden="1">
      <c r="A422" s="1785" t="str">
        <f t="shared" si="66"/>
        <v>גמל</v>
      </c>
      <c r="B422" s="1786">
        <f t="shared" si="67"/>
        <v>1280</v>
      </c>
      <c r="C422" s="1787">
        <v>28946</v>
      </c>
      <c r="D422" s="1786" t="str">
        <f t="shared" si="68"/>
        <v>מנורה מבטחים משתתפת בפנסיה תקציבית</v>
      </c>
      <c r="E422" s="1786" t="s">
        <v>3929</v>
      </c>
      <c r="F422" s="1786" t="s">
        <v>2958</v>
      </c>
      <c r="G422" s="1786" t="s">
        <v>2959</v>
      </c>
      <c r="H422" s="1786" t="str">
        <f t="shared" si="69"/>
        <v>פעיל</v>
      </c>
      <c r="I422" s="1788">
        <f t="shared" si="70"/>
        <v>39417</v>
      </c>
      <c r="J422" s="1788" t="str">
        <f t="shared" si="71"/>
        <v/>
      </c>
      <c r="K422" s="1786">
        <v>0</v>
      </c>
      <c r="L422" s="1786" t="s">
        <v>1594</v>
      </c>
      <c r="M422" s="1786" t="s">
        <v>1653</v>
      </c>
      <c r="N422" s="1786" t="s">
        <v>1653</v>
      </c>
      <c r="O422" s="1786">
        <v>0</v>
      </c>
      <c r="P422" s="1786"/>
      <c r="Q422" s="1786">
        <v>0</v>
      </c>
      <c r="R422" s="1788"/>
      <c r="S422" s="1786">
        <f t="shared" si="72"/>
        <v>1280</v>
      </c>
      <c r="T422" s="1786" t="str">
        <f t="shared" si="73"/>
        <v>בנק הפועלים בע"מ</v>
      </c>
      <c r="U422" s="1786" t="str">
        <f t="shared" si="74"/>
        <v>מנורה מבטחים משתתפת בפנסיה תקציבית</v>
      </c>
      <c r="V422" s="1786" t="str">
        <f t="shared" si="75"/>
        <v>520007469</v>
      </c>
      <c r="W422" s="1789" t="str">
        <f t="shared" si="76"/>
        <v>מנורה מבטחים פנסיה וגמל בע"מ</v>
      </c>
      <c r="AC422" s="1759" t="s">
        <v>346</v>
      </c>
      <c r="AD422" s="1759"/>
      <c r="AE422" s="1760">
        <v>39417</v>
      </c>
      <c r="AF422" s="1759" t="s">
        <v>1583</v>
      </c>
      <c r="AG422" s="1759" t="s">
        <v>1583</v>
      </c>
      <c r="AH422" s="1759" t="s">
        <v>1583</v>
      </c>
      <c r="AI422" s="1759" t="s">
        <v>689</v>
      </c>
      <c r="AJ422" s="1759" t="s">
        <v>689</v>
      </c>
      <c r="AK422" s="1759">
        <v>1280</v>
      </c>
      <c r="AL422" s="1759" t="s">
        <v>689</v>
      </c>
      <c r="AM422" s="1759">
        <v>1280</v>
      </c>
      <c r="AN422" s="1759" t="s">
        <v>1695</v>
      </c>
      <c r="AO422" s="1764"/>
      <c r="AP422" s="1759" t="s">
        <v>5377</v>
      </c>
      <c r="AQ422" s="1759" t="s">
        <v>5378</v>
      </c>
      <c r="AR422" s="1759" t="s">
        <v>2971</v>
      </c>
      <c r="AS422" s="1759" t="s">
        <v>396</v>
      </c>
      <c r="AT422" s="1759" t="s">
        <v>327</v>
      </c>
      <c r="AU422" s="1763"/>
      <c r="AV422" s="1763"/>
    </row>
    <row r="423" spans="1:48" ht="25" hidden="1">
      <c r="A423" s="1785" t="str">
        <f t="shared" si="66"/>
        <v>גמל</v>
      </c>
      <c r="B423" s="1786">
        <f t="shared" si="67"/>
        <v>1359</v>
      </c>
      <c r="C423" s="1787">
        <v>28946</v>
      </c>
      <c r="D423" s="1786" t="str">
        <f t="shared" si="68"/>
        <v>מנורה מבטחים משתתפת בפנסיה תקציבית מסלול ללא מניות</v>
      </c>
      <c r="E423" s="1786" t="s">
        <v>3929</v>
      </c>
      <c r="F423" s="1786" t="s">
        <v>2958</v>
      </c>
      <c r="G423" s="1786" t="s">
        <v>2959</v>
      </c>
      <c r="H423" s="1786" t="str">
        <f t="shared" si="69"/>
        <v>פעיל</v>
      </c>
      <c r="I423" s="1788">
        <f t="shared" si="70"/>
        <v>39417</v>
      </c>
      <c r="J423" s="1788" t="str">
        <f t="shared" si="71"/>
        <v/>
      </c>
      <c r="K423" s="1786">
        <v>0</v>
      </c>
      <c r="L423" s="1786" t="s">
        <v>1594</v>
      </c>
      <c r="M423" s="1786" t="s">
        <v>1653</v>
      </c>
      <c r="N423" s="1786" t="s">
        <v>1653</v>
      </c>
      <c r="O423" s="1786">
        <v>0</v>
      </c>
      <c r="P423" s="1786"/>
      <c r="Q423" s="1786">
        <v>0</v>
      </c>
      <c r="R423" s="1788"/>
      <c r="S423" s="1786">
        <f t="shared" si="72"/>
        <v>1280</v>
      </c>
      <c r="T423" s="1786" t="str">
        <f t="shared" si="73"/>
        <v>בנק הפועלים בע"מ</v>
      </c>
      <c r="U423" s="1786" t="str">
        <f t="shared" si="74"/>
        <v>מנורה מבטחים משתתפת בפנסיה תקציבית</v>
      </c>
      <c r="V423" s="1786" t="str">
        <f t="shared" si="75"/>
        <v>520007469</v>
      </c>
      <c r="W423" s="1789" t="str">
        <f t="shared" si="76"/>
        <v>מנורה מבטחים פנסיה וגמל בע"מ</v>
      </c>
      <c r="AC423" s="1761" t="s">
        <v>346</v>
      </c>
      <c r="AD423" s="1759"/>
      <c r="AE423" s="1762">
        <v>39417</v>
      </c>
      <c r="AF423" s="1761" t="s">
        <v>1681</v>
      </c>
      <c r="AG423" s="1761" t="s">
        <v>1583</v>
      </c>
      <c r="AH423" s="1761" t="s">
        <v>1583</v>
      </c>
      <c r="AI423" s="1761" t="s">
        <v>3617</v>
      </c>
      <c r="AJ423" s="1761" t="s">
        <v>2422</v>
      </c>
      <c r="AK423" s="1761">
        <v>1359</v>
      </c>
      <c r="AL423" s="1761" t="s">
        <v>689</v>
      </c>
      <c r="AM423" s="1761">
        <v>1280</v>
      </c>
      <c r="AN423" s="1761" t="s">
        <v>1695</v>
      </c>
      <c r="AO423" s="1764"/>
      <c r="AP423" s="1761" t="s">
        <v>5377</v>
      </c>
      <c r="AQ423" s="1761" t="s">
        <v>5378</v>
      </c>
      <c r="AR423" s="1761" t="s">
        <v>2971</v>
      </c>
      <c r="AS423" s="1761" t="s">
        <v>396</v>
      </c>
      <c r="AT423" s="1761" t="s">
        <v>327</v>
      </c>
      <c r="AU423" s="1763"/>
      <c r="AV423" s="1763"/>
    </row>
    <row r="424" spans="1:48" ht="25" hidden="1">
      <c r="A424" s="1785" t="str">
        <f t="shared" si="66"/>
        <v>גמל</v>
      </c>
      <c r="B424" s="1786">
        <f t="shared" si="67"/>
        <v>1279</v>
      </c>
      <c r="C424" s="1787">
        <v>28946</v>
      </c>
      <c r="D424" s="1786" t="str">
        <f t="shared" si="68"/>
        <v>ספרינט קופה מרכזית לפיצויים</v>
      </c>
      <c r="E424" s="1786" t="s">
        <v>3929</v>
      </c>
      <c r="F424" s="1786" t="s">
        <v>2958</v>
      </c>
      <c r="G424" s="1786" t="s">
        <v>2959</v>
      </c>
      <c r="H424" s="1786" t="str">
        <f t="shared" si="69"/>
        <v>לא פעיל</v>
      </c>
      <c r="I424" s="1788">
        <f t="shared" si="70"/>
        <v>39427</v>
      </c>
      <c r="J424" s="1788">
        <f t="shared" si="71"/>
        <v>40282.672627314802</v>
      </c>
      <c r="K424" s="1786">
        <v>0</v>
      </c>
      <c r="L424" s="1786" t="s">
        <v>1594</v>
      </c>
      <c r="M424" s="1786" t="s">
        <v>1653</v>
      </c>
      <c r="N424" s="1786" t="s">
        <v>1653</v>
      </c>
      <c r="O424" s="1786">
        <v>0</v>
      </c>
      <c r="P424" s="1786"/>
      <c r="Q424" s="1786">
        <v>0</v>
      </c>
      <c r="R424" s="1788"/>
      <c r="S424" s="1786">
        <f t="shared" si="72"/>
        <v>1279</v>
      </c>
      <c r="T424" s="1786" t="str">
        <f t="shared" si="73"/>
        <v>בנק הפועלים בע"מ</v>
      </c>
      <c r="U424" s="1786" t="str">
        <f t="shared" si="74"/>
        <v>ספרינט קופה מרכזית לפיצויים</v>
      </c>
      <c r="V424" s="1786">
        <f t="shared" si="75"/>
        <v>0</v>
      </c>
      <c r="W424" s="1789" t="str">
        <f t="shared" si="76"/>
        <v>מיטב גמל ופנסיה בע"מ</v>
      </c>
      <c r="AC424" s="1759" t="s">
        <v>1586</v>
      </c>
      <c r="AD424" s="1760">
        <v>40282.672627314802</v>
      </c>
      <c r="AE424" s="1760">
        <v>39427</v>
      </c>
      <c r="AF424" s="1759" t="s">
        <v>1583</v>
      </c>
      <c r="AG424" s="1759" t="s">
        <v>1583</v>
      </c>
      <c r="AH424" s="1759" t="s">
        <v>1583</v>
      </c>
      <c r="AI424" s="1759" t="s">
        <v>3587</v>
      </c>
      <c r="AJ424" s="1759" t="s">
        <v>2380</v>
      </c>
      <c r="AK424" s="1759">
        <v>1279</v>
      </c>
      <c r="AL424" s="1759" t="s">
        <v>2380</v>
      </c>
      <c r="AM424" s="1759">
        <v>1279</v>
      </c>
      <c r="AN424" s="1759" t="s">
        <v>1695</v>
      </c>
      <c r="AO424" s="1764"/>
      <c r="AP424" s="1759"/>
      <c r="AQ424" s="1759"/>
      <c r="AR424" s="1759" t="s">
        <v>365</v>
      </c>
      <c r="AS424" s="1759" t="s">
        <v>366</v>
      </c>
      <c r="AT424" s="1759" t="s">
        <v>327</v>
      </c>
      <c r="AU424" s="1763"/>
      <c r="AV424" s="1763"/>
    </row>
    <row r="425" spans="1:48" ht="25" hidden="1">
      <c r="A425" s="1785" t="str">
        <f t="shared" si="66"/>
        <v>גמל</v>
      </c>
      <c r="B425" s="1786">
        <f t="shared" si="67"/>
        <v>1278</v>
      </c>
      <c r="C425" s="1787">
        <v>28946</v>
      </c>
      <c r="D425" s="1786" t="str">
        <f t="shared" si="68"/>
        <v>ספרינט קרן השתלמות</v>
      </c>
      <c r="E425" s="1786" t="s">
        <v>3929</v>
      </c>
      <c r="F425" s="1786" t="s">
        <v>2958</v>
      </c>
      <c r="G425" s="1786" t="s">
        <v>2959</v>
      </c>
      <c r="H425" s="1786" t="str">
        <f t="shared" si="69"/>
        <v>לא פעיל</v>
      </c>
      <c r="I425" s="1788">
        <f t="shared" si="70"/>
        <v>39427</v>
      </c>
      <c r="J425" s="1788">
        <f t="shared" si="71"/>
        <v>40282.6729976852</v>
      </c>
      <c r="K425" s="1786">
        <v>0</v>
      </c>
      <c r="L425" s="1786" t="s">
        <v>1594</v>
      </c>
      <c r="M425" s="1786" t="s">
        <v>1653</v>
      </c>
      <c r="N425" s="1786" t="s">
        <v>1653</v>
      </c>
      <c r="O425" s="1786">
        <v>0</v>
      </c>
      <c r="P425" s="1786"/>
      <c r="Q425" s="1786">
        <v>0</v>
      </c>
      <c r="R425" s="1788"/>
      <c r="S425" s="1786">
        <f t="shared" si="72"/>
        <v>1278</v>
      </c>
      <c r="T425" s="1786" t="str">
        <f t="shared" si="73"/>
        <v>בנק הפועלים בע"מ</v>
      </c>
      <c r="U425" s="1786" t="str">
        <f t="shared" si="74"/>
        <v>ספרינט קרן השתלמות</v>
      </c>
      <c r="V425" s="1786">
        <f t="shared" si="75"/>
        <v>0</v>
      </c>
      <c r="W425" s="1789" t="str">
        <f t="shared" si="76"/>
        <v>מיטב גמל ופנסיה בע"מ</v>
      </c>
      <c r="AC425" s="1761" t="s">
        <v>1586</v>
      </c>
      <c r="AD425" s="1762">
        <v>40282.6729976852</v>
      </c>
      <c r="AE425" s="1762">
        <v>39427</v>
      </c>
      <c r="AF425" s="1761" t="s">
        <v>1583</v>
      </c>
      <c r="AG425" s="1761" t="s">
        <v>1583</v>
      </c>
      <c r="AH425" s="1761" t="s">
        <v>1583</v>
      </c>
      <c r="AI425" s="1761" t="s">
        <v>3586</v>
      </c>
      <c r="AJ425" s="1761" t="s">
        <v>2379</v>
      </c>
      <c r="AK425" s="1761">
        <v>1278</v>
      </c>
      <c r="AL425" s="1761" t="s">
        <v>2379</v>
      </c>
      <c r="AM425" s="1761">
        <v>1278</v>
      </c>
      <c r="AN425" s="1761" t="s">
        <v>1695</v>
      </c>
      <c r="AO425" s="1764"/>
      <c r="AP425" s="1761"/>
      <c r="AQ425" s="1761"/>
      <c r="AR425" s="1761" t="s">
        <v>365</v>
      </c>
      <c r="AS425" s="1761" t="s">
        <v>366</v>
      </c>
      <c r="AT425" s="1761" t="s">
        <v>327</v>
      </c>
      <c r="AU425" s="1763"/>
      <c r="AV425" s="1763"/>
    </row>
    <row r="426" spans="1:48" ht="25" hidden="1">
      <c r="A426" s="1785" t="str">
        <f t="shared" si="66"/>
        <v>גמל</v>
      </c>
      <c r="B426" s="1786">
        <f t="shared" si="67"/>
        <v>1277</v>
      </c>
      <c r="C426" s="1787">
        <v>28946</v>
      </c>
      <c r="D426" s="1786" t="str">
        <f t="shared" si="68"/>
        <v>ספרינט גמל לתגמולים ופיצויים</v>
      </c>
      <c r="E426" s="1786" t="s">
        <v>3929</v>
      </c>
      <c r="F426" s="1786" t="s">
        <v>2958</v>
      </c>
      <c r="G426" s="1786" t="s">
        <v>2959</v>
      </c>
      <c r="H426" s="1786" t="str">
        <f t="shared" si="69"/>
        <v>לא פעיל</v>
      </c>
      <c r="I426" s="1788">
        <f t="shared" si="70"/>
        <v>39427</v>
      </c>
      <c r="J426" s="1788">
        <f t="shared" si="71"/>
        <v>40282.6713773148</v>
      </c>
      <c r="K426" s="1786">
        <v>0</v>
      </c>
      <c r="L426" s="1786" t="s">
        <v>1594</v>
      </c>
      <c r="M426" s="1786" t="s">
        <v>1653</v>
      </c>
      <c r="N426" s="1786" t="s">
        <v>1653</v>
      </c>
      <c r="O426" s="1786">
        <v>0</v>
      </c>
      <c r="P426" s="1786"/>
      <c r="Q426" s="1786">
        <v>0</v>
      </c>
      <c r="R426" s="1788"/>
      <c r="S426" s="1786">
        <f t="shared" si="72"/>
        <v>1277</v>
      </c>
      <c r="T426" s="1786" t="str">
        <f t="shared" si="73"/>
        <v>בנק הפועלים בע"מ</v>
      </c>
      <c r="U426" s="1786" t="str">
        <f t="shared" si="74"/>
        <v>ספרינט גמל לתגמולים ופיצויים</v>
      </c>
      <c r="V426" s="1786">
        <f t="shared" si="75"/>
        <v>0</v>
      </c>
      <c r="W426" s="1789" t="str">
        <f t="shared" si="76"/>
        <v>מיטב גמל ופנסיה בע"מ</v>
      </c>
      <c r="AC426" s="1759" t="s">
        <v>1586</v>
      </c>
      <c r="AD426" s="1760">
        <v>40282.6713773148</v>
      </c>
      <c r="AE426" s="1760">
        <v>39427</v>
      </c>
      <c r="AF426" s="1759" t="s">
        <v>1583</v>
      </c>
      <c r="AG426" s="1759" t="s">
        <v>1583</v>
      </c>
      <c r="AH426" s="1759" t="s">
        <v>1583</v>
      </c>
      <c r="AI426" s="1759" t="s">
        <v>3585</v>
      </c>
      <c r="AJ426" s="1759" t="s">
        <v>2378</v>
      </c>
      <c r="AK426" s="1759">
        <v>1277</v>
      </c>
      <c r="AL426" s="1759" t="s">
        <v>2378</v>
      </c>
      <c r="AM426" s="1759">
        <v>1277</v>
      </c>
      <c r="AN426" s="1759" t="s">
        <v>1695</v>
      </c>
      <c r="AO426" s="1764"/>
      <c r="AP426" s="1759"/>
      <c r="AQ426" s="1759"/>
      <c r="AR426" s="1759" t="s">
        <v>365</v>
      </c>
      <c r="AS426" s="1759" t="s">
        <v>366</v>
      </c>
      <c r="AT426" s="1759" t="s">
        <v>327</v>
      </c>
      <c r="AU426" s="1763"/>
      <c r="AV426" s="1763"/>
    </row>
    <row r="427" spans="1:48" ht="25" hidden="1">
      <c r="A427" s="1785" t="str">
        <f t="shared" si="66"/>
        <v>גמל</v>
      </c>
      <c r="B427" s="1786">
        <f t="shared" si="67"/>
        <v>1271</v>
      </c>
      <c r="C427" s="1787">
        <v>28946</v>
      </c>
      <c r="D427" s="1786" t="str">
        <f t="shared" si="68"/>
        <v>קואטרו מנורה מרכזית לפיצויים</v>
      </c>
      <c r="E427" s="1786" t="s">
        <v>3929</v>
      </c>
      <c r="F427" s="1786" t="s">
        <v>2958</v>
      </c>
      <c r="G427" s="1786" t="s">
        <v>2959</v>
      </c>
      <c r="H427" s="1786" t="str">
        <f t="shared" si="69"/>
        <v>לא פעיל</v>
      </c>
      <c r="I427" s="1788">
        <f t="shared" si="70"/>
        <v>39408</v>
      </c>
      <c r="J427" s="1788">
        <f t="shared" si="71"/>
        <v>40402.714467592603</v>
      </c>
      <c r="K427" s="1786">
        <v>0</v>
      </c>
      <c r="L427" s="1786" t="s">
        <v>1594</v>
      </c>
      <c r="M427" s="1786" t="s">
        <v>1653</v>
      </c>
      <c r="N427" s="1786" t="s">
        <v>1653</v>
      </c>
      <c r="O427" s="1786">
        <v>0</v>
      </c>
      <c r="P427" s="1786"/>
      <c r="Q427" s="1786">
        <v>0</v>
      </c>
      <c r="R427" s="1788"/>
      <c r="S427" s="1786">
        <f t="shared" si="72"/>
        <v>1271</v>
      </c>
      <c r="T427" s="1786" t="str">
        <f t="shared" si="73"/>
        <v>בנק הפועלים בע"מ</v>
      </c>
      <c r="U427" s="1786" t="str">
        <f t="shared" si="74"/>
        <v>קואטרו מנורה מרכזית לפיצויים</v>
      </c>
      <c r="V427" s="1786">
        <f t="shared" si="75"/>
        <v>0</v>
      </c>
      <c r="W427" s="1789" t="str">
        <f t="shared" si="76"/>
        <v>מנורה מבטחים גמל בע"מ</v>
      </c>
      <c r="AC427" s="1761" t="s">
        <v>1586</v>
      </c>
      <c r="AD427" s="1762">
        <v>40402.714467592603</v>
      </c>
      <c r="AE427" s="1762">
        <v>39408</v>
      </c>
      <c r="AF427" s="1761" t="s">
        <v>1583</v>
      </c>
      <c r="AG427" s="1761" t="s">
        <v>1583</v>
      </c>
      <c r="AH427" s="1761" t="s">
        <v>1583</v>
      </c>
      <c r="AI427" s="1761" t="s">
        <v>2373</v>
      </c>
      <c r="AJ427" s="1761" t="s">
        <v>2373</v>
      </c>
      <c r="AK427" s="1761">
        <v>1271</v>
      </c>
      <c r="AL427" s="1761" t="s">
        <v>2373</v>
      </c>
      <c r="AM427" s="1761">
        <v>1271</v>
      </c>
      <c r="AN427" s="1761" t="s">
        <v>1695</v>
      </c>
      <c r="AO427" s="1764"/>
      <c r="AP427" s="1761"/>
      <c r="AQ427" s="1761"/>
      <c r="AR427" s="1761" t="s">
        <v>363</v>
      </c>
      <c r="AS427" s="1761" t="s">
        <v>364</v>
      </c>
      <c r="AT427" s="1761" t="s">
        <v>327</v>
      </c>
      <c r="AU427" s="1763"/>
      <c r="AV427" s="1763"/>
    </row>
    <row r="428" spans="1:48" ht="25" hidden="1">
      <c r="A428" s="1785" t="str">
        <f t="shared" si="66"/>
        <v>גמל</v>
      </c>
      <c r="B428" s="1786">
        <f t="shared" si="67"/>
        <v>1270</v>
      </c>
      <c r="C428" s="1787">
        <v>28946</v>
      </c>
      <c r="D428" s="1786" t="str">
        <f t="shared" si="68"/>
        <v>קואטרו מנורה השתלמות א'</v>
      </c>
      <c r="E428" s="1786" t="s">
        <v>3929</v>
      </c>
      <c r="F428" s="1786" t="s">
        <v>2958</v>
      </c>
      <c r="G428" s="1786" t="s">
        <v>2959</v>
      </c>
      <c r="H428" s="1786" t="str">
        <f t="shared" si="69"/>
        <v>לא פעיל</v>
      </c>
      <c r="I428" s="1788">
        <f t="shared" si="70"/>
        <v>39408</v>
      </c>
      <c r="J428" s="1788">
        <f t="shared" si="71"/>
        <v>40402.700659722199</v>
      </c>
      <c r="K428" s="1786">
        <v>0</v>
      </c>
      <c r="L428" s="1786" t="s">
        <v>1594</v>
      </c>
      <c r="M428" s="1786" t="s">
        <v>1653</v>
      </c>
      <c r="N428" s="1786" t="s">
        <v>1653</v>
      </c>
      <c r="O428" s="1786">
        <v>0</v>
      </c>
      <c r="P428" s="1786"/>
      <c r="Q428" s="1786">
        <v>0</v>
      </c>
      <c r="R428" s="1788"/>
      <c r="S428" s="1786">
        <f t="shared" si="72"/>
        <v>1270</v>
      </c>
      <c r="T428" s="1786" t="str">
        <f t="shared" si="73"/>
        <v>בנק הפועלים בע"מ</v>
      </c>
      <c r="U428" s="1786" t="str">
        <f t="shared" si="74"/>
        <v>קואטרו מנורה השתלמות א'</v>
      </c>
      <c r="V428" s="1786">
        <f t="shared" si="75"/>
        <v>0</v>
      </c>
      <c r="W428" s="1789" t="str">
        <f t="shared" si="76"/>
        <v>מנורה מבטחים גמל בע"מ</v>
      </c>
      <c r="AC428" s="1759" t="s">
        <v>1586</v>
      </c>
      <c r="AD428" s="1760">
        <v>40402.700659722199</v>
      </c>
      <c r="AE428" s="1760">
        <v>39408</v>
      </c>
      <c r="AF428" s="1759" t="s">
        <v>1583</v>
      </c>
      <c r="AG428" s="1759" t="s">
        <v>1583</v>
      </c>
      <c r="AH428" s="1759" t="s">
        <v>1583</v>
      </c>
      <c r="AI428" s="1759" t="s">
        <v>2372</v>
      </c>
      <c r="AJ428" s="1759" t="s">
        <v>2372</v>
      </c>
      <c r="AK428" s="1759">
        <v>1270</v>
      </c>
      <c r="AL428" s="1759" t="s">
        <v>2372</v>
      </c>
      <c r="AM428" s="1759">
        <v>1270</v>
      </c>
      <c r="AN428" s="1759" t="s">
        <v>1695</v>
      </c>
      <c r="AO428" s="1764"/>
      <c r="AP428" s="1759"/>
      <c r="AQ428" s="1759"/>
      <c r="AR428" s="1759" t="s">
        <v>363</v>
      </c>
      <c r="AS428" s="1759" t="s">
        <v>364</v>
      </c>
      <c r="AT428" s="1759" t="s">
        <v>327</v>
      </c>
      <c r="AU428" s="1763"/>
      <c r="AV428" s="1763"/>
    </row>
    <row r="429" spans="1:48" ht="25" hidden="1">
      <c r="A429" s="1785" t="str">
        <f t="shared" si="66"/>
        <v>גמל</v>
      </c>
      <c r="B429" s="1786">
        <f t="shared" si="67"/>
        <v>1269</v>
      </c>
      <c r="C429" s="1787">
        <v>28946</v>
      </c>
      <c r="D429" s="1786" t="str">
        <f t="shared" si="68"/>
        <v>קואטרו מנורה תגמולים א'</v>
      </c>
      <c r="E429" s="1786" t="s">
        <v>3929</v>
      </c>
      <c r="F429" s="1786" t="s">
        <v>2958</v>
      </c>
      <c r="G429" s="1786" t="s">
        <v>2959</v>
      </c>
      <c r="H429" s="1786" t="str">
        <f t="shared" si="69"/>
        <v>לא פעיל</v>
      </c>
      <c r="I429" s="1788">
        <f t="shared" si="70"/>
        <v>39408</v>
      </c>
      <c r="J429" s="1788">
        <f t="shared" si="71"/>
        <v>40402.7120138889</v>
      </c>
      <c r="K429" s="1786">
        <v>0</v>
      </c>
      <c r="L429" s="1786" t="s">
        <v>1594</v>
      </c>
      <c r="M429" s="1786" t="s">
        <v>1653</v>
      </c>
      <c r="N429" s="1786" t="s">
        <v>1653</v>
      </c>
      <c r="O429" s="1786">
        <v>0</v>
      </c>
      <c r="P429" s="1786"/>
      <c r="Q429" s="1786">
        <v>0</v>
      </c>
      <c r="R429" s="1788"/>
      <c r="S429" s="1786">
        <f t="shared" si="72"/>
        <v>1269</v>
      </c>
      <c r="T429" s="1786" t="str">
        <f t="shared" si="73"/>
        <v>בנק הפועלים בע"מ</v>
      </c>
      <c r="U429" s="1786" t="str">
        <f t="shared" si="74"/>
        <v>קואטרו מנורה תגמולים א'</v>
      </c>
      <c r="V429" s="1786">
        <f t="shared" si="75"/>
        <v>0</v>
      </c>
      <c r="W429" s="1789" t="str">
        <f t="shared" si="76"/>
        <v>מנורה מבטחים גמל בע"מ</v>
      </c>
      <c r="AC429" s="1761" t="s">
        <v>1586</v>
      </c>
      <c r="AD429" s="1762">
        <v>40402.7120138889</v>
      </c>
      <c r="AE429" s="1762">
        <v>39408</v>
      </c>
      <c r="AF429" s="1761" t="s">
        <v>1583</v>
      </c>
      <c r="AG429" s="1761" t="s">
        <v>1583</v>
      </c>
      <c r="AH429" s="1761" t="s">
        <v>1583</v>
      </c>
      <c r="AI429" s="1761" t="s">
        <v>2371</v>
      </c>
      <c r="AJ429" s="1761" t="s">
        <v>2371</v>
      </c>
      <c r="AK429" s="1761">
        <v>1269</v>
      </c>
      <c r="AL429" s="1761" t="s">
        <v>2371</v>
      </c>
      <c r="AM429" s="1761">
        <v>1269</v>
      </c>
      <c r="AN429" s="1761" t="s">
        <v>1695</v>
      </c>
      <c r="AO429" s="1764"/>
      <c r="AP429" s="1761"/>
      <c r="AQ429" s="1761"/>
      <c r="AR429" s="1761" t="s">
        <v>363</v>
      </c>
      <c r="AS429" s="1761" t="s">
        <v>364</v>
      </c>
      <c r="AT429" s="1761" t="s">
        <v>327</v>
      </c>
      <c r="AU429" s="1763"/>
      <c r="AV429" s="1763"/>
    </row>
    <row r="430" spans="1:48" ht="25" hidden="1">
      <c r="A430" s="1785" t="str">
        <f t="shared" si="66"/>
        <v>גמל</v>
      </c>
      <c r="B430" s="1786">
        <f t="shared" si="67"/>
        <v>1268</v>
      </c>
      <c r="C430" s="1787">
        <v>28946</v>
      </c>
      <c r="D430" s="1786" t="str">
        <f t="shared" si="68"/>
        <v>אלומות מסלולית לפיצויים מסלול כללי</v>
      </c>
      <c r="E430" s="1786" t="s">
        <v>3929</v>
      </c>
      <c r="F430" s="1786" t="s">
        <v>2958</v>
      </c>
      <c r="G430" s="1786" t="s">
        <v>2959</v>
      </c>
      <c r="H430" s="1786" t="str">
        <f t="shared" si="69"/>
        <v>לא פעיל</v>
      </c>
      <c r="I430" s="1788">
        <f t="shared" si="70"/>
        <v>39400</v>
      </c>
      <c r="J430" s="1788">
        <f t="shared" si="71"/>
        <v>40281.504328703697</v>
      </c>
      <c r="K430" s="1786">
        <v>0</v>
      </c>
      <c r="L430" s="1786" t="s">
        <v>1594</v>
      </c>
      <c r="M430" s="1786" t="s">
        <v>1653</v>
      </c>
      <c r="N430" s="1786" t="s">
        <v>1653</v>
      </c>
      <c r="O430" s="1786">
        <v>0</v>
      </c>
      <c r="P430" s="1786"/>
      <c r="Q430" s="1786">
        <v>0</v>
      </c>
      <c r="R430" s="1788"/>
      <c r="S430" s="1786">
        <f t="shared" si="72"/>
        <v>1268</v>
      </c>
      <c r="T430" s="1786" t="str">
        <f t="shared" si="73"/>
        <v>בנק מזרחי טפחות בע"מ</v>
      </c>
      <c r="U430" s="1786" t="str">
        <f t="shared" si="74"/>
        <v>אלומות מסלולית לפיצויים מסלול כללי</v>
      </c>
      <c r="V430" s="1786">
        <f t="shared" si="75"/>
        <v>0</v>
      </c>
      <c r="W430" s="1789" t="str">
        <f t="shared" si="76"/>
        <v>אלומות ספרינט קופות גמל בע"מ</v>
      </c>
      <c r="AC430" s="1759" t="s">
        <v>1586</v>
      </c>
      <c r="AD430" s="1760">
        <v>40281.504328703697</v>
      </c>
      <c r="AE430" s="1760">
        <v>39400</v>
      </c>
      <c r="AF430" s="1759" t="s">
        <v>1583</v>
      </c>
      <c r="AG430" s="1759" t="s">
        <v>1583</v>
      </c>
      <c r="AH430" s="1759" t="s">
        <v>1583</v>
      </c>
      <c r="AI430" s="1759" t="s">
        <v>2370</v>
      </c>
      <c r="AJ430" s="1759" t="s">
        <v>2370</v>
      </c>
      <c r="AK430" s="1759">
        <v>1268</v>
      </c>
      <c r="AL430" s="1759" t="s">
        <v>2370</v>
      </c>
      <c r="AM430" s="1759">
        <v>1268</v>
      </c>
      <c r="AN430" s="1759" t="s">
        <v>5370</v>
      </c>
      <c r="AO430" s="1764"/>
      <c r="AP430" s="1759"/>
      <c r="AQ430" s="1759"/>
      <c r="AR430" s="1759" t="s">
        <v>2365</v>
      </c>
      <c r="AS430" s="1759" t="s">
        <v>2364</v>
      </c>
      <c r="AT430" s="1759" t="s">
        <v>327</v>
      </c>
      <c r="AU430" s="1763"/>
      <c r="AV430" s="1763"/>
    </row>
    <row r="431" spans="1:48" ht="25" hidden="1">
      <c r="A431" s="1785" t="str">
        <f t="shared" si="66"/>
        <v>גמל</v>
      </c>
      <c r="B431" s="1786">
        <f t="shared" si="67"/>
        <v>1338</v>
      </c>
      <c r="C431" s="1787">
        <v>28946</v>
      </c>
      <c r="D431" s="1786" t="str">
        <f t="shared" si="68"/>
        <v>אלומות מסלולית לפיצויים מסלול אג"ח ללא מניות</v>
      </c>
      <c r="E431" s="1786" t="s">
        <v>3929</v>
      </c>
      <c r="F431" s="1786" t="s">
        <v>2958</v>
      </c>
      <c r="G431" s="1786" t="s">
        <v>2959</v>
      </c>
      <c r="H431" s="1786" t="str">
        <f t="shared" si="69"/>
        <v>לא פעיל</v>
      </c>
      <c r="I431" s="1788">
        <f t="shared" si="70"/>
        <v>39400</v>
      </c>
      <c r="J431" s="1788">
        <f t="shared" si="71"/>
        <v>40281.504664351902</v>
      </c>
      <c r="K431" s="1786">
        <v>0</v>
      </c>
      <c r="L431" s="1786" t="s">
        <v>1594</v>
      </c>
      <c r="M431" s="1786" t="s">
        <v>1653</v>
      </c>
      <c r="N431" s="1786" t="s">
        <v>1653</v>
      </c>
      <c r="O431" s="1786">
        <v>0</v>
      </c>
      <c r="P431" s="1786"/>
      <c r="Q431" s="1786">
        <v>0</v>
      </c>
      <c r="R431" s="1788"/>
      <c r="S431" s="1786">
        <f t="shared" si="72"/>
        <v>1268</v>
      </c>
      <c r="T431" s="1786" t="str">
        <f t="shared" si="73"/>
        <v>בנק מזרחי טפחות בע"מ</v>
      </c>
      <c r="U431" s="1786" t="str">
        <f t="shared" si="74"/>
        <v>אלומות מסלולית לפיצויים מסלול כללי</v>
      </c>
      <c r="V431" s="1786">
        <f t="shared" si="75"/>
        <v>0</v>
      </c>
      <c r="W431" s="1789" t="str">
        <f t="shared" si="76"/>
        <v>אלומות ספרינט קופות גמל בע"מ</v>
      </c>
      <c r="AC431" s="1761" t="s">
        <v>1586</v>
      </c>
      <c r="AD431" s="1762">
        <v>40281.504664351902</v>
      </c>
      <c r="AE431" s="1762">
        <v>39400</v>
      </c>
      <c r="AF431" s="1761" t="s">
        <v>1681</v>
      </c>
      <c r="AG431" s="1761" t="s">
        <v>1653</v>
      </c>
      <c r="AH431" s="1761" t="s">
        <v>1594</v>
      </c>
      <c r="AI431" s="1761" t="s">
        <v>3611</v>
      </c>
      <c r="AJ431" s="1761" t="s">
        <v>2412</v>
      </c>
      <c r="AK431" s="1761">
        <v>1338</v>
      </c>
      <c r="AL431" s="1761" t="s">
        <v>2370</v>
      </c>
      <c r="AM431" s="1761">
        <v>1268</v>
      </c>
      <c r="AN431" s="1761" t="s">
        <v>5370</v>
      </c>
      <c r="AO431" s="1764"/>
      <c r="AP431" s="1761"/>
      <c r="AQ431" s="1761"/>
      <c r="AR431" s="1761" t="s">
        <v>2365</v>
      </c>
      <c r="AS431" s="1761" t="s">
        <v>2364</v>
      </c>
      <c r="AT431" s="1761" t="s">
        <v>327</v>
      </c>
      <c r="AU431" s="1763"/>
      <c r="AV431" s="1763"/>
    </row>
    <row r="432" spans="1:48" ht="25" hidden="1">
      <c r="A432" s="1785" t="str">
        <f t="shared" si="66"/>
        <v>גמל</v>
      </c>
      <c r="B432" s="1786">
        <f t="shared" si="67"/>
        <v>1339</v>
      </c>
      <c r="C432" s="1787">
        <v>28946</v>
      </c>
      <c r="D432" s="1786" t="str">
        <f t="shared" si="68"/>
        <v>אלומות קרן השתלמות מסלול מנייתי</v>
      </c>
      <c r="E432" s="1786" t="s">
        <v>3929</v>
      </c>
      <c r="F432" s="1786" t="s">
        <v>2958</v>
      </c>
      <c r="G432" s="1786" t="s">
        <v>2959</v>
      </c>
      <c r="H432" s="1786" t="str">
        <f t="shared" si="69"/>
        <v>לא פעיל</v>
      </c>
      <c r="I432" s="1788">
        <f t="shared" si="70"/>
        <v>39400</v>
      </c>
      <c r="J432" s="1788">
        <f t="shared" si="71"/>
        <v>40281.506527777798</v>
      </c>
      <c r="K432" s="1786">
        <v>0</v>
      </c>
      <c r="L432" s="1786" t="s">
        <v>1594</v>
      </c>
      <c r="M432" s="1786" t="s">
        <v>1653</v>
      </c>
      <c r="N432" s="1786" t="s">
        <v>1653</v>
      </c>
      <c r="O432" s="1786">
        <v>0</v>
      </c>
      <c r="P432" s="1786"/>
      <c r="Q432" s="1786">
        <v>0</v>
      </c>
      <c r="R432" s="1788"/>
      <c r="S432" s="1786">
        <f t="shared" si="72"/>
        <v>1267</v>
      </c>
      <c r="T432" s="1786" t="str">
        <f t="shared" si="73"/>
        <v>בנק מזרחי טפחות בע"מ</v>
      </c>
      <c r="U432" s="1786" t="str">
        <f t="shared" si="74"/>
        <v>אלומות קרן השתלמות מסלול כללי</v>
      </c>
      <c r="V432" s="1786">
        <f t="shared" si="75"/>
        <v>0</v>
      </c>
      <c r="W432" s="1789" t="str">
        <f t="shared" si="76"/>
        <v>אלומות ספרינט קופות גמל בע"מ</v>
      </c>
      <c r="AC432" s="1759" t="s">
        <v>1586</v>
      </c>
      <c r="AD432" s="1760">
        <v>40281.506527777798</v>
      </c>
      <c r="AE432" s="1760">
        <v>39400</v>
      </c>
      <c r="AF432" s="1759" t="s">
        <v>1595</v>
      </c>
      <c r="AG432" s="1759" t="s">
        <v>75</v>
      </c>
      <c r="AH432" s="1759" t="s">
        <v>1594</v>
      </c>
      <c r="AI432" s="1759" t="s">
        <v>3612</v>
      </c>
      <c r="AJ432" s="1759" t="s">
        <v>2413</v>
      </c>
      <c r="AK432" s="1759">
        <v>1339</v>
      </c>
      <c r="AL432" s="1759" t="s">
        <v>2369</v>
      </c>
      <c r="AM432" s="1759">
        <v>1267</v>
      </c>
      <c r="AN432" s="1759" t="s">
        <v>5370</v>
      </c>
      <c r="AO432" s="1764"/>
      <c r="AP432" s="1759"/>
      <c r="AQ432" s="1759"/>
      <c r="AR432" s="1759" t="s">
        <v>2365</v>
      </c>
      <c r="AS432" s="1759" t="s">
        <v>2364</v>
      </c>
      <c r="AT432" s="1759" t="s">
        <v>327</v>
      </c>
      <c r="AU432" s="1763"/>
      <c r="AV432" s="1763"/>
    </row>
    <row r="433" spans="1:48" ht="25" hidden="1">
      <c r="A433" s="1785" t="str">
        <f t="shared" si="66"/>
        <v>גמל</v>
      </c>
      <c r="B433" s="1786">
        <f t="shared" si="67"/>
        <v>1267</v>
      </c>
      <c r="C433" s="1787">
        <v>28946</v>
      </c>
      <c r="D433" s="1786" t="str">
        <f t="shared" si="68"/>
        <v>אלומות קרן השתלמות מסלול כללי</v>
      </c>
      <c r="E433" s="1786" t="s">
        <v>3929</v>
      </c>
      <c r="F433" s="1786" t="s">
        <v>2958</v>
      </c>
      <c r="G433" s="1786" t="s">
        <v>2959</v>
      </c>
      <c r="H433" s="1786" t="str">
        <f t="shared" si="69"/>
        <v>לא פעיל</v>
      </c>
      <c r="I433" s="1788">
        <f t="shared" si="70"/>
        <v>39400</v>
      </c>
      <c r="J433" s="1788">
        <f t="shared" si="71"/>
        <v>40281.502557870401</v>
      </c>
      <c r="K433" s="1786">
        <v>0</v>
      </c>
      <c r="L433" s="1786" t="s">
        <v>1594</v>
      </c>
      <c r="M433" s="1786" t="s">
        <v>1653</v>
      </c>
      <c r="N433" s="1786" t="s">
        <v>1653</v>
      </c>
      <c r="O433" s="1786">
        <v>0</v>
      </c>
      <c r="P433" s="1786"/>
      <c r="Q433" s="1786">
        <v>0</v>
      </c>
      <c r="R433" s="1788"/>
      <c r="S433" s="1786">
        <f t="shared" si="72"/>
        <v>1267</v>
      </c>
      <c r="T433" s="1786" t="str">
        <f t="shared" si="73"/>
        <v>בנק מזרחי טפחות בע"מ</v>
      </c>
      <c r="U433" s="1786" t="str">
        <f t="shared" si="74"/>
        <v>אלומות קרן השתלמות מסלול כללי</v>
      </c>
      <c r="V433" s="1786">
        <f t="shared" si="75"/>
        <v>0</v>
      </c>
      <c r="W433" s="1789" t="str">
        <f t="shared" si="76"/>
        <v>אלומות ספרינט קופות גמל בע"מ</v>
      </c>
      <c r="AC433" s="1761" t="s">
        <v>1586</v>
      </c>
      <c r="AD433" s="1762">
        <v>40281.502557870401</v>
      </c>
      <c r="AE433" s="1762">
        <v>39400</v>
      </c>
      <c r="AF433" s="1761" t="s">
        <v>1583</v>
      </c>
      <c r="AG433" s="1761" t="s">
        <v>1583</v>
      </c>
      <c r="AH433" s="1761" t="s">
        <v>1583</v>
      </c>
      <c r="AI433" s="1761" t="s">
        <v>2369</v>
      </c>
      <c r="AJ433" s="1761" t="s">
        <v>2369</v>
      </c>
      <c r="AK433" s="1761">
        <v>1267</v>
      </c>
      <c r="AL433" s="1761" t="s">
        <v>2369</v>
      </c>
      <c r="AM433" s="1761">
        <v>1267</v>
      </c>
      <c r="AN433" s="1761" t="s">
        <v>5370</v>
      </c>
      <c r="AO433" s="1764"/>
      <c r="AP433" s="1761"/>
      <c r="AQ433" s="1761"/>
      <c r="AR433" s="1761" t="s">
        <v>2365</v>
      </c>
      <c r="AS433" s="1761" t="s">
        <v>2364</v>
      </c>
      <c r="AT433" s="1761" t="s">
        <v>327</v>
      </c>
      <c r="AU433" s="1763"/>
      <c r="AV433" s="1763"/>
    </row>
    <row r="434" spans="1:48" ht="25" hidden="1">
      <c r="A434" s="1785" t="str">
        <f t="shared" si="66"/>
        <v>גמל</v>
      </c>
      <c r="B434" s="1786">
        <f t="shared" si="67"/>
        <v>1340</v>
      </c>
      <c r="C434" s="1787">
        <v>28946</v>
      </c>
      <c r="D434" s="1786" t="str">
        <f t="shared" si="68"/>
        <v>אלומות קרן השתלמות מסלול אג"ח ללא מניות</v>
      </c>
      <c r="E434" s="1786" t="s">
        <v>3929</v>
      </c>
      <c r="F434" s="1786" t="s">
        <v>2958</v>
      </c>
      <c r="G434" s="1786" t="s">
        <v>2959</v>
      </c>
      <c r="H434" s="1786" t="str">
        <f t="shared" si="69"/>
        <v>לא פעיל</v>
      </c>
      <c r="I434" s="1788">
        <f t="shared" si="70"/>
        <v>39400</v>
      </c>
      <c r="J434" s="1788">
        <f t="shared" si="71"/>
        <v>40281.503657407397</v>
      </c>
      <c r="K434" s="1786">
        <v>0</v>
      </c>
      <c r="L434" s="1786" t="s">
        <v>1594</v>
      </c>
      <c r="M434" s="1786" t="s">
        <v>1653</v>
      </c>
      <c r="N434" s="1786" t="s">
        <v>1653</v>
      </c>
      <c r="O434" s="1786">
        <v>0</v>
      </c>
      <c r="P434" s="1786"/>
      <c r="Q434" s="1786">
        <v>0</v>
      </c>
      <c r="R434" s="1788"/>
      <c r="S434" s="1786">
        <f t="shared" si="72"/>
        <v>1267</v>
      </c>
      <c r="T434" s="1786" t="str">
        <f t="shared" si="73"/>
        <v>בנק מזרחי טפחות בע"מ</v>
      </c>
      <c r="U434" s="1786" t="str">
        <f t="shared" si="74"/>
        <v>אלומות קרן השתלמות מסלול כללי</v>
      </c>
      <c r="V434" s="1786">
        <f t="shared" si="75"/>
        <v>0</v>
      </c>
      <c r="W434" s="1789" t="str">
        <f t="shared" si="76"/>
        <v>אלומות ספרינט קופות גמל בע"מ</v>
      </c>
      <c r="AC434" s="1759" t="s">
        <v>1586</v>
      </c>
      <c r="AD434" s="1760">
        <v>40281.503657407397</v>
      </c>
      <c r="AE434" s="1760">
        <v>39400</v>
      </c>
      <c r="AF434" s="1759" t="s">
        <v>1681</v>
      </c>
      <c r="AG434" s="1759" t="s">
        <v>1653</v>
      </c>
      <c r="AH434" s="1759" t="s">
        <v>1594</v>
      </c>
      <c r="AI434" s="1759" t="s">
        <v>3613</v>
      </c>
      <c r="AJ434" s="1759" t="s">
        <v>2414</v>
      </c>
      <c r="AK434" s="1759">
        <v>1340</v>
      </c>
      <c r="AL434" s="1759" t="s">
        <v>2369</v>
      </c>
      <c r="AM434" s="1759">
        <v>1267</v>
      </c>
      <c r="AN434" s="1759" t="s">
        <v>5370</v>
      </c>
      <c r="AO434" s="1764"/>
      <c r="AP434" s="1759"/>
      <c r="AQ434" s="1759"/>
      <c r="AR434" s="1759" t="s">
        <v>2365</v>
      </c>
      <c r="AS434" s="1759" t="s">
        <v>2364</v>
      </c>
      <c r="AT434" s="1759" t="s">
        <v>327</v>
      </c>
      <c r="AU434" s="1763"/>
      <c r="AV434" s="1763"/>
    </row>
    <row r="435" spans="1:48" ht="25" hidden="1">
      <c r="A435" s="1785" t="str">
        <f t="shared" si="66"/>
        <v>גמל</v>
      </c>
      <c r="B435" s="1786">
        <f t="shared" si="67"/>
        <v>1263</v>
      </c>
      <c r="C435" s="1787">
        <v>28946</v>
      </c>
      <c r="D435" s="1786" t="str">
        <f t="shared" si="68"/>
        <v>אלומות תגמולים ופיצויים מסלול כללי</v>
      </c>
      <c r="E435" s="1786" t="s">
        <v>3929</v>
      </c>
      <c r="F435" s="1786" t="s">
        <v>2958</v>
      </c>
      <c r="G435" s="1786" t="s">
        <v>2959</v>
      </c>
      <c r="H435" s="1786" t="str">
        <f t="shared" si="69"/>
        <v>לא פעיל</v>
      </c>
      <c r="I435" s="1788">
        <f t="shared" si="70"/>
        <v>39400</v>
      </c>
      <c r="J435" s="1788">
        <f t="shared" si="71"/>
        <v>40281.455810185202</v>
      </c>
      <c r="K435" s="1786">
        <v>0</v>
      </c>
      <c r="L435" s="1786" t="s">
        <v>1594</v>
      </c>
      <c r="M435" s="1786" t="s">
        <v>1653</v>
      </c>
      <c r="N435" s="1786" t="s">
        <v>1653</v>
      </c>
      <c r="O435" s="1786">
        <v>0</v>
      </c>
      <c r="P435" s="1786"/>
      <c r="Q435" s="1786">
        <v>0</v>
      </c>
      <c r="R435" s="1788"/>
      <c r="S435" s="1786">
        <f t="shared" si="72"/>
        <v>1263</v>
      </c>
      <c r="T435" s="1786" t="str">
        <f t="shared" si="73"/>
        <v>בנק מזרחי טפחות בע"מ</v>
      </c>
      <c r="U435" s="1786" t="str">
        <f t="shared" si="74"/>
        <v>אלומות תגמולים ופיצויים מסלול כללי</v>
      </c>
      <c r="V435" s="1786">
        <f t="shared" si="75"/>
        <v>0</v>
      </c>
      <c r="W435" s="1789" t="str">
        <f t="shared" si="76"/>
        <v>אלומות ספרינט קופות גמל בע"מ</v>
      </c>
      <c r="AC435" s="1761" t="s">
        <v>1586</v>
      </c>
      <c r="AD435" s="1762">
        <v>40281.455810185202</v>
      </c>
      <c r="AE435" s="1762">
        <v>39400</v>
      </c>
      <c r="AF435" s="1761" t="s">
        <v>1583</v>
      </c>
      <c r="AG435" s="1761" t="s">
        <v>1583</v>
      </c>
      <c r="AH435" s="1761" t="s">
        <v>1583</v>
      </c>
      <c r="AI435" s="1761" t="s">
        <v>3580</v>
      </c>
      <c r="AJ435" s="1761" t="s">
        <v>2363</v>
      </c>
      <c r="AK435" s="1761">
        <v>1263</v>
      </c>
      <c r="AL435" s="1761" t="s">
        <v>2363</v>
      </c>
      <c r="AM435" s="1761">
        <v>1263</v>
      </c>
      <c r="AN435" s="1761" t="s">
        <v>5370</v>
      </c>
      <c r="AO435" s="1764"/>
      <c r="AP435" s="1761"/>
      <c r="AQ435" s="1761"/>
      <c r="AR435" s="1761" t="s">
        <v>2365</v>
      </c>
      <c r="AS435" s="1761" t="s">
        <v>2364</v>
      </c>
      <c r="AT435" s="1761" t="s">
        <v>327</v>
      </c>
      <c r="AU435" s="1763"/>
      <c r="AV435" s="1763"/>
    </row>
    <row r="436" spans="1:48" ht="25" hidden="1">
      <c r="A436" s="1785" t="str">
        <f t="shared" si="66"/>
        <v>גמל</v>
      </c>
      <c r="B436" s="1786">
        <f t="shared" si="67"/>
        <v>1266</v>
      </c>
      <c r="C436" s="1787">
        <v>28946</v>
      </c>
      <c r="D436" s="1786" t="str">
        <f t="shared" si="68"/>
        <v>אלומות תגמולים ופיצויים מסלול מנייתי</v>
      </c>
      <c r="E436" s="1786" t="s">
        <v>3929</v>
      </c>
      <c r="F436" s="1786" t="s">
        <v>2958</v>
      </c>
      <c r="G436" s="1786" t="s">
        <v>2959</v>
      </c>
      <c r="H436" s="1786" t="str">
        <f t="shared" si="69"/>
        <v>לא פעיל</v>
      </c>
      <c r="I436" s="1788">
        <f t="shared" si="70"/>
        <v>39400</v>
      </c>
      <c r="J436" s="1788">
        <f t="shared" si="71"/>
        <v>40281.501851851899</v>
      </c>
      <c r="K436" s="1786">
        <v>0</v>
      </c>
      <c r="L436" s="1786" t="s">
        <v>1594</v>
      </c>
      <c r="M436" s="1786" t="s">
        <v>1653</v>
      </c>
      <c r="N436" s="1786" t="s">
        <v>1653</v>
      </c>
      <c r="O436" s="1786">
        <v>0</v>
      </c>
      <c r="P436" s="1786"/>
      <c r="Q436" s="1786">
        <v>0</v>
      </c>
      <c r="R436" s="1788"/>
      <c r="S436" s="1786">
        <f t="shared" si="72"/>
        <v>1263</v>
      </c>
      <c r="T436" s="1786" t="str">
        <f t="shared" si="73"/>
        <v>בנק מזרחי טפחות בע"מ</v>
      </c>
      <c r="U436" s="1786" t="str">
        <f t="shared" si="74"/>
        <v>אלומות תגמולים ופיצויים מסלול כללי</v>
      </c>
      <c r="V436" s="1786">
        <f t="shared" si="75"/>
        <v>0</v>
      </c>
      <c r="W436" s="1789" t="str">
        <f t="shared" si="76"/>
        <v>אלומות ספרינט קופות גמל בע"מ</v>
      </c>
      <c r="AC436" s="1759" t="s">
        <v>1586</v>
      </c>
      <c r="AD436" s="1760">
        <v>40281.501851851899</v>
      </c>
      <c r="AE436" s="1760">
        <v>39400</v>
      </c>
      <c r="AF436" s="1759" t="s">
        <v>1595</v>
      </c>
      <c r="AG436" s="1759" t="s">
        <v>75</v>
      </c>
      <c r="AH436" s="1759" t="s">
        <v>1594</v>
      </c>
      <c r="AI436" s="1759" t="s">
        <v>3583</v>
      </c>
      <c r="AJ436" s="1759" t="s">
        <v>2368</v>
      </c>
      <c r="AK436" s="1759">
        <v>1266</v>
      </c>
      <c r="AL436" s="1759" t="s">
        <v>2363</v>
      </c>
      <c r="AM436" s="1759">
        <v>1263</v>
      </c>
      <c r="AN436" s="1759" t="s">
        <v>5370</v>
      </c>
      <c r="AO436" s="1764"/>
      <c r="AP436" s="1759"/>
      <c r="AQ436" s="1759"/>
      <c r="AR436" s="1759" t="s">
        <v>2365</v>
      </c>
      <c r="AS436" s="1759" t="s">
        <v>2364</v>
      </c>
      <c r="AT436" s="1759" t="s">
        <v>327</v>
      </c>
      <c r="AU436" s="1763"/>
      <c r="AV436" s="1763"/>
    </row>
    <row r="437" spans="1:48" ht="25" hidden="1">
      <c r="A437" s="1785" t="str">
        <f t="shared" si="66"/>
        <v>גמל</v>
      </c>
      <c r="B437" s="1786">
        <f t="shared" si="67"/>
        <v>1265</v>
      </c>
      <c r="C437" s="1787">
        <v>28946</v>
      </c>
      <c r="D437" s="1786" t="str">
        <f t="shared" si="68"/>
        <v>אלומות תגמולים ופיצויים מסלול אג"ח ב</v>
      </c>
      <c r="E437" s="1786" t="s">
        <v>3929</v>
      </c>
      <c r="F437" s="1786" t="s">
        <v>2958</v>
      </c>
      <c r="G437" s="1786" t="s">
        <v>2959</v>
      </c>
      <c r="H437" s="1786" t="str">
        <f t="shared" si="69"/>
        <v>לא פעיל</v>
      </c>
      <c r="I437" s="1788">
        <f t="shared" si="70"/>
        <v>39400</v>
      </c>
      <c r="J437" s="1788">
        <f t="shared" si="71"/>
        <v>40281.501030092601</v>
      </c>
      <c r="K437" s="1786">
        <v>0</v>
      </c>
      <c r="L437" s="1786" t="s">
        <v>1594</v>
      </c>
      <c r="M437" s="1786" t="s">
        <v>1653</v>
      </c>
      <c r="N437" s="1786" t="s">
        <v>1653</v>
      </c>
      <c r="O437" s="1786">
        <v>0</v>
      </c>
      <c r="P437" s="1786"/>
      <c r="Q437" s="1786">
        <v>0</v>
      </c>
      <c r="R437" s="1788"/>
      <c r="S437" s="1786">
        <f t="shared" si="72"/>
        <v>1263</v>
      </c>
      <c r="T437" s="1786" t="str">
        <f t="shared" si="73"/>
        <v>בנק מזרחי טפחות בע"מ</v>
      </c>
      <c r="U437" s="1786" t="str">
        <f t="shared" si="74"/>
        <v>אלומות תגמולים ופיצויים מסלול כללי</v>
      </c>
      <c r="V437" s="1786">
        <f t="shared" si="75"/>
        <v>0</v>
      </c>
      <c r="W437" s="1789" t="str">
        <f t="shared" si="76"/>
        <v>אלומות ספרינט קופות גמל בע"מ</v>
      </c>
      <c r="AC437" s="1761" t="s">
        <v>1586</v>
      </c>
      <c r="AD437" s="1762">
        <v>40281.501030092601</v>
      </c>
      <c r="AE437" s="1762">
        <v>39400</v>
      </c>
      <c r="AF437" s="1761" t="s">
        <v>1653</v>
      </c>
      <c r="AG437" s="1761" t="s">
        <v>1653</v>
      </c>
      <c r="AH437" s="1761" t="s">
        <v>1594</v>
      </c>
      <c r="AI437" s="1761" t="s">
        <v>3582</v>
      </c>
      <c r="AJ437" s="1761" t="s">
        <v>2367</v>
      </c>
      <c r="AK437" s="1761">
        <v>1265</v>
      </c>
      <c r="AL437" s="1761" t="s">
        <v>2363</v>
      </c>
      <c r="AM437" s="1761">
        <v>1263</v>
      </c>
      <c r="AN437" s="1761" t="s">
        <v>5370</v>
      </c>
      <c r="AO437" s="1764"/>
      <c r="AP437" s="1761"/>
      <c r="AQ437" s="1761"/>
      <c r="AR437" s="1761" t="s">
        <v>2365</v>
      </c>
      <c r="AS437" s="1761" t="s">
        <v>2364</v>
      </c>
      <c r="AT437" s="1761" t="s">
        <v>327</v>
      </c>
      <c r="AU437" s="1763"/>
      <c r="AV437" s="1763"/>
    </row>
    <row r="438" spans="1:48" ht="25" hidden="1">
      <c r="A438" s="1785" t="str">
        <f t="shared" si="66"/>
        <v>גמל</v>
      </c>
      <c r="B438" s="1786">
        <f t="shared" si="67"/>
        <v>1264</v>
      </c>
      <c r="C438" s="1787">
        <v>28946</v>
      </c>
      <c r="D438" s="1786" t="str">
        <f t="shared" si="68"/>
        <v>אלומות תגמולים ופיצויים מסלול אג"ח א</v>
      </c>
      <c r="E438" s="1786" t="s">
        <v>3929</v>
      </c>
      <c r="F438" s="1786" t="s">
        <v>2958</v>
      </c>
      <c r="G438" s="1786" t="s">
        <v>2959</v>
      </c>
      <c r="H438" s="1786" t="str">
        <f t="shared" si="69"/>
        <v>לא פעיל</v>
      </c>
      <c r="I438" s="1788">
        <f t="shared" si="70"/>
        <v>39400</v>
      </c>
      <c r="J438" s="1788">
        <f t="shared" si="71"/>
        <v>40281.456562500003</v>
      </c>
      <c r="K438" s="1786">
        <v>0</v>
      </c>
      <c r="L438" s="1786" t="s">
        <v>1594</v>
      </c>
      <c r="M438" s="1786" t="s">
        <v>1653</v>
      </c>
      <c r="N438" s="1786" t="s">
        <v>1653</v>
      </c>
      <c r="O438" s="1786">
        <v>0</v>
      </c>
      <c r="P438" s="1786"/>
      <c r="Q438" s="1786">
        <v>0</v>
      </c>
      <c r="R438" s="1788"/>
      <c r="S438" s="1786">
        <f t="shared" si="72"/>
        <v>1263</v>
      </c>
      <c r="T438" s="1786" t="str">
        <f t="shared" si="73"/>
        <v>בנק מזרחי טפחות בע"מ</v>
      </c>
      <c r="U438" s="1786" t="str">
        <f t="shared" si="74"/>
        <v>אלומות תגמולים ופיצויים מסלול כללי</v>
      </c>
      <c r="V438" s="1786">
        <f t="shared" si="75"/>
        <v>0</v>
      </c>
      <c r="W438" s="1789" t="str">
        <f t="shared" si="76"/>
        <v>אלומות ספרינט קופות גמל בע"מ</v>
      </c>
      <c r="AC438" s="1759" t="s">
        <v>1586</v>
      </c>
      <c r="AD438" s="1760">
        <v>40281.456562500003</v>
      </c>
      <c r="AE438" s="1760">
        <v>39400</v>
      </c>
      <c r="AF438" s="1759" t="s">
        <v>1653</v>
      </c>
      <c r="AG438" s="1759" t="s">
        <v>1653</v>
      </c>
      <c r="AH438" s="1759" t="s">
        <v>1594</v>
      </c>
      <c r="AI438" s="1759" t="s">
        <v>3581</v>
      </c>
      <c r="AJ438" s="1759" t="s">
        <v>2366</v>
      </c>
      <c r="AK438" s="1759">
        <v>1264</v>
      </c>
      <c r="AL438" s="1759" t="s">
        <v>2363</v>
      </c>
      <c r="AM438" s="1759">
        <v>1263</v>
      </c>
      <c r="AN438" s="1759" t="s">
        <v>5370</v>
      </c>
      <c r="AO438" s="1764"/>
      <c r="AP438" s="1759"/>
      <c r="AQ438" s="1759"/>
      <c r="AR438" s="1759" t="s">
        <v>2365</v>
      </c>
      <c r="AS438" s="1759" t="s">
        <v>2364</v>
      </c>
      <c r="AT438" s="1759" t="s">
        <v>327</v>
      </c>
      <c r="AU438" s="1763"/>
      <c r="AV438" s="1763"/>
    </row>
    <row r="439" spans="1:48" ht="25" hidden="1">
      <c r="A439" s="1785" t="str">
        <f t="shared" si="66"/>
        <v>גמל</v>
      </c>
      <c r="B439" s="1786">
        <f t="shared" si="67"/>
        <v>1261</v>
      </c>
      <c r="C439" s="1787">
        <v>28946</v>
      </c>
      <c r="D439" s="1786" t="str">
        <f t="shared" si="68"/>
        <v>פסגות גוונים כללי</v>
      </c>
      <c r="E439" s="1786" t="s">
        <v>3929</v>
      </c>
      <c r="F439" s="1786" t="s">
        <v>2958</v>
      </c>
      <c r="G439" s="1786" t="s">
        <v>2959</v>
      </c>
      <c r="H439" s="1786" t="str">
        <f t="shared" si="69"/>
        <v>לא פעיל</v>
      </c>
      <c r="I439" s="1788">
        <f t="shared" si="70"/>
        <v>39397</v>
      </c>
      <c r="J439" s="1788">
        <f t="shared" si="71"/>
        <v>40118</v>
      </c>
      <c r="K439" s="1786">
        <v>0</v>
      </c>
      <c r="L439" s="1786" t="s">
        <v>1594</v>
      </c>
      <c r="M439" s="1786" t="s">
        <v>1653</v>
      </c>
      <c r="N439" s="1786" t="s">
        <v>1653</v>
      </c>
      <c r="O439" s="1786">
        <v>0</v>
      </c>
      <c r="P439" s="1786"/>
      <c r="Q439" s="1786">
        <v>0</v>
      </c>
      <c r="R439" s="1788"/>
      <c r="S439" s="1786">
        <f t="shared" si="72"/>
        <v>1261</v>
      </c>
      <c r="T439" s="1786" t="str">
        <f t="shared" si="73"/>
        <v>בנק הפועלים בע"מ</v>
      </c>
      <c r="U439" s="1786" t="str">
        <f t="shared" si="74"/>
        <v>פסגות גוונים כללי</v>
      </c>
      <c r="V439" s="1786" t="str">
        <f t="shared" si="75"/>
        <v>513767079</v>
      </c>
      <c r="W439" s="1789" t="str">
        <f t="shared" si="76"/>
        <v>פסגות קופות גמל ופנסיה בע"מ</v>
      </c>
      <c r="AC439" s="1761" t="s">
        <v>1586</v>
      </c>
      <c r="AD439" s="1762">
        <v>40118</v>
      </c>
      <c r="AE439" s="1762">
        <v>39397</v>
      </c>
      <c r="AF439" s="1761" t="s">
        <v>1583</v>
      </c>
      <c r="AG439" s="1761" t="s">
        <v>1583</v>
      </c>
      <c r="AH439" s="1761" t="s">
        <v>1583</v>
      </c>
      <c r="AI439" s="1761" t="s">
        <v>2362</v>
      </c>
      <c r="AJ439" s="1761" t="s">
        <v>2362</v>
      </c>
      <c r="AK439" s="1761">
        <v>1261</v>
      </c>
      <c r="AL439" s="1761" t="s">
        <v>2362</v>
      </c>
      <c r="AM439" s="1761">
        <v>1261</v>
      </c>
      <c r="AN439" s="1761" t="s">
        <v>1695</v>
      </c>
      <c r="AO439" s="1764"/>
      <c r="AP439" s="1761" t="s">
        <v>5365</v>
      </c>
      <c r="AQ439" s="1761" t="s">
        <v>5366</v>
      </c>
      <c r="AR439" s="1761" t="s">
        <v>351</v>
      </c>
      <c r="AS439" s="1761" t="s">
        <v>352</v>
      </c>
      <c r="AT439" s="1761" t="s">
        <v>327</v>
      </c>
      <c r="AU439" s="1763"/>
      <c r="AV439" s="1763"/>
    </row>
    <row r="440" spans="1:48" ht="25" hidden="1">
      <c r="A440" s="1785" t="str">
        <f t="shared" si="66"/>
        <v>גמל</v>
      </c>
      <c r="B440" s="1786">
        <f t="shared" si="67"/>
        <v>1259</v>
      </c>
      <c r="C440" s="1787">
        <v>28946</v>
      </c>
      <c r="D440" s="1786" t="str">
        <f t="shared" si="68"/>
        <v>פסגות גוונים מסלול קידום כללי</v>
      </c>
      <c r="E440" s="1786" t="s">
        <v>3929</v>
      </c>
      <c r="F440" s="1786" t="s">
        <v>2958</v>
      </c>
      <c r="G440" s="1786" t="s">
        <v>2959</v>
      </c>
      <c r="H440" s="1786" t="str">
        <f t="shared" si="69"/>
        <v>לא פעיל</v>
      </c>
      <c r="I440" s="1788">
        <f t="shared" si="70"/>
        <v>39363</v>
      </c>
      <c r="J440" s="1788">
        <f t="shared" si="71"/>
        <v>40118</v>
      </c>
      <c r="K440" s="1786">
        <v>0</v>
      </c>
      <c r="L440" s="1786" t="s">
        <v>1594</v>
      </c>
      <c r="M440" s="1786" t="s">
        <v>1653</v>
      </c>
      <c r="N440" s="1786" t="s">
        <v>1653</v>
      </c>
      <c r="O440" s="1786">
        <v>0</v>
      </c>
      <c r="P440" s="1786"/>
      <c r="Q440" s="1786">
        <v>0</v>
      </c>
      <c r="R440" s="1788"/>
      <c r="S440" s="1786">
        <f t="shared" si="72"/>
        <v>1259</v>
      </c>
      <c r="T440" s="1786" t="str">
        <f t="shared" si="73"/>
        <v>בנק הפועלים בע"מ</v>
      </c>
      <c r="U440" s="1786" t="str">
        <f t="shared" si="74"/>
        <v>פסגות גוונים מסלול קידום כללי</v>
      </c>
      <c r="V440" s="1786" t="str">
        <f t="shared" si="75"/>
        <v>513767079</v>
      </c>
      <c r="W440" s="1789" t="str">
        <f t="shared" si="76"/>
        <v>פסגות קופות גמל ופנסיה בע"מ</v>
      </c>
      <c r="AC440" s="1759" t="s">
        <v>1586</v>
      </c>
      <c r="AD440" s="1760">
        <v>40118</v>
      </c>
      <c r="AE440" s="1760">
        <v>39363</v>
      </c>
      <c r="AF440" s="1759" t="s">
        <v>1583</v>
      </c>
      <c r="AG440" s="1759" t="s">
        <v>1583</v>
      </c>
      <c r="AH440" s="1759" t="s">
        <v>1583</v>
      </c>
      <c r="AI440" s="1759" t="s">
        <v>3579</v>
      </c>
      <c r="AJ440" s="1759" t="s">
        <v>2360</v>
      </c>
      <c r="AK440" s="1759">
        <v>1259</v>
      </c>
      <c r="AL440" s="1759" t="s">
        <v>2360</v>
      </c>
      <c r="AM440" s="1759">
        <v>1259</v>
      </c>
      <c r="AN440" s="1759" t="s">
        <v>1695</v>
      </c>
      <c r="AO440" s="1764"/>
      <c r="AP440" s="1759" t="s">
        <v>5365</v>
      </c>
      <c r="AQ440" s="1759" t="s">
        <v>5366</v>
      </c>
      <c r="AR440" s="1759" t="s">
        <v>351</v>
      </c>
      <c r="AS440" s="1759" t="s">
        <v>352</v>
      </c>
      <c r="AT440" s="1759" t="s">
        <v>327</v>
      </c>
      <c r="AU440" s="1763"/>
      <c r="AV440" s="1763"/>
    </row>
    <row r="441" spans="1:48" ht="25" hidden="1">
      <c r="A441" s="1785" t="str">
        <f t="shared" si="66"/>
        <v>גמל</v>
      </c>
      <c r="B441" s="1786">
        <f t="shared" si="67"/>
        <v>1250</v>
      </c>
      <c r="C441" s="1787">
        <v>28946</v>
      </c>
      <c r="D441" s="1786" t="str">
        <f t="shared" si="68"/>
        <v>מיטב השתלמות חכם מסלול מנייתי</v>
      </c>
      <c r="E441" s="1786" t="s">
        <v>3929</v>
      </c>
      <c r="F441" s="1786" t="s">
        <v>2958</v>
      </c>
      <c r="G441" s="1786" t="s">
        <v>2959</v>
      </c>
      <c r="H441" s="1786" t="str">
        <f t="shared" si="69"/>
        <v>לא פעיל</v>
      </c>
      <c r="I441" s="1788">
        <f t="shared" si="70"/>
        <v>39392</v>
      </c>
      <c r="J441" s="1788">
        <f t="shared" si="71"/>
        <v>41828.6105439815</v>
      </c>
      <c r="K441" s="1786">
        <v>0</v>
      </c>
      <c r="L441" s="1786" t="s">
        <v>1594</v>
      </c>
      <c r="M441" s="1786" t="s">
        <v>1653</v>
      </c>
      <c r="N441" s="1786" t="s">
        <v>1653</v>
      </c>
      <c r="O441" s="1786">
        <v>0</v>
      </c>
      <c r="P441" s="1786"/>
      <c r="Q441" s="1786">
        <v>0</v>
      </c>
      <c r="R441" s="1788"/>
      <c r="S441" s="1786">
        <f t="shared" si="72"/>
        <v>1250</v>
      </c>
      <c r="T441" s="1786" t="str">
        <f t="shared" si="73"/>
        <v>הבנק הבינלאומי הראשון</v>
      </c>
      <c r="U441" s="1786" t="str">
        <f t="shared" si="74"/>
        <v>מיטב השתלמות חכם מסלולית - מנייתי</v>
      </c>
      <c r="V441" s="1786" t="str">
        <f t="shared" si="75"/>
        <v>520043795</v>
      </c>
      <c r="W441" s="1789" t="str">
        <f t="shared" si="76"/>
        <v>מיטב דש גמל ופנסיה בע"מ</v>
      </c>
      <c r="AC441" s="1761" t="s">
        <v>1586</v>
      </c>
      <c r="AD441" s="1762">
        <v>41828.6105439815</v>
      </c>
      <c r="AE441" s="1762">
        <v>39392</v>
      </c>
      <c r="AF441" s="1761" t="s">
        <v>1595</v>
      </c>
      <c r="AG441" s="1761" t="s">
        <v>75</v>
      </c>
      <c r="AH441" s="1761" t="s">
        <v>1594</v>
      </c>
      <c r="AI441" s="1761" t="s">
        <v>3574</v>
      </c>
      <c r="AJ441" s="1761" t="s">
        <v>3574</v>
      </c>
      <c r="AK441" s="1761">
        <v>1250</v>
      </c>
      <c r="AL441" s="1761" t="s">
        <v>688</v>
      </c>
      <c r="AM441" s="1761">
        <v>1250</v>
      </c>
      <c r="AN441" s="1761" t="s">
        <v>5384</v>
      </c>
      <c r="AO441" s="1764"/>
      <c r="AP441" s="1761" t="s">
        <v>5373</v>
      </c>
      <c r="AQ441" s="1761" t="s">
        <v>5374</v>
      </c>
      <c r="AR441" s="1761" t="s">
        <v>2899</v>
      </c>
      <c r="AS441" s="1761" t="s">
        <v>349</v>
      </c>
      <c r="AT441" s="1761" t="s">
        <v>327</v>
      </c>
      <c r="AU441" s="1763"/>
      <c r="AV441" s="1763"/>
    </row>
    <row r="442" spans="1:48" ht="25" hidden="1">
      <c r="A442" s="1785" t="str">
        <f t="shared" si="66"/>
        <v>גמל</v>
      </c>
      <c r="B442" s="1786">
        <f t="shared" si="67"/>
        <v>1250</v>
      </c>
      <c r="C442" s="1787">
        <v>28946</v>
      </c>
      <c r="D442" s="1786" t="str">
        <f t="shared" si="68"/>
        <v>מיטב השתלמות חכם מסלול מנייתי</v>
      </c>
      <c r="E442" s="1786" t="s">
        <v>3929</v>
      </c>
      <c r="F442" s="1786" t="s">
        <v>2958</v>
      </c>
      <c r="G442" s="1786" t="s">
        <v>2959</v>
      </c>
      <c r="H442" s="1786" t="str">
        <f t="shared" si="69"/>
        <v>לא פעיל</v>
      </c>
      <c r="I442" s="1788">
        <f t="shared" si="70"/>
        <v>39392</v>
      </c>
      <c r="J442" s="1788">
        <f t="shared" si="71"/>
        <v>41828.6105439815</v>
      </c>
      <c r="K442" s="1786">
        <v>0</v>
      </c>
      <c r="L442" s="1786" t="s">
        <v>1594</v>
      </c>
      <c r="M442" s="1786" t="s">
        <v>1653</v>
      </c>
      <c r="N442" s="1786" t="s">
        <v>1653</v>
      </c>
      <c r="O442" s="1786">
        <v>0</v>
      </c>
      <c r="P442" s="1786"/>
      <c r="Q442" s="1786">
        <v>0</v>
      </c>
      <c r="R442" s="1788"/>
      <c r="S442" s="1786">
        <f t="shared" si="72"/>
        <v>1250</v>
      </c>
      <c r="T442" s="1786" t="str">
        <f t="shared" si="73"/>
        <v>הבנק הבינלאומי הראשון</v>
      </c>
      <c r="U442" s="1786" t="str">
        <f t="shared" si="74"/>
        <v>מיטב השתלמות חכם מסלולית - מנייתי</v>
      </c>
      <c r="V442" s="1786" t="str">
        <f t="shared" si="75"/>
        <v>520043795</v>
      </c>
      <c r="W442" s="1789" t="str">
        <f t="shared" si="76"/>
        <v>מיטב דש גמל ופנסיה בע"מ</v>
      </c>
      <c r="AC442" s="1759" t="s">
        <v>1586</v>
      </c>
      <c r="AD442" s="1760">
        <v>41828.6105439815</v>
      </c>
      <c r="AE442" s="1760">
        <v>39392</v>
      </c>
      <c r="AF442" s="1759" t="s">
        <v>1595</v>
      </c>
      <c r="AG442" s="1759" t="s">
        <v>75</v>
      </c>
      <c r="AH442" s="1759" t="s">
        <v>1594</v>
      </c>
      <c r="AI442" s="1759" t="s">
        <v>3574</v>
      </c>
      <c r="AJ442" s="1759" t="s">
        <v>3574</v>
      </c>
      <c r="AK442" s="1759">
        <v>1250</v>
      </c>
      <c r="AL442" s="1759" t="s">
        <v>688</v>
      </c>
      <c r="AM442" s="1759">
        <v>1250</v>
      </c>
      <c r="AN442" s="1759" t="s">
        <v>5384</v>
      </c>
      <c r="AO442" s="1764"/>
      <c r="AP442" s="1759" t="s">
        <v>5373</v>
      </c>
      <c r="AQ442" s="1759" t="s">
        <v>5374</v>
      </c>
      <c r="AR442" s="1759" t="s">
        <v>2899</v>
      </c>
      <c r="AS442" s="1759" t="s">
        <v>349</v>
      </c>
      <c r="AT442" s="1759" t="s">
        <v>327</v>
      </c>
      <c r="AU442" s="1763"/>
      <c r="AV442" s="1763"/>
    </row>
    <row r="443" spans="1:48" ht="25" hidden="1">
      <c r="A443" s="1785" t="str">
        <f t="shared" si="66"/>
        <v>גמל</v>
      </c>
      <c r="B443" s="1786">
        <f t="shared" si="67"/>
        <v>1251</v>
      </c>
      <c r="C443" s="1787">
        <v>28946</v>
      </c>
      <c r="D443" s="1786" t="str">
        <f t="shared" si="68"/>
        <v>מיטב השתלמות חכם מסלול כללי</v>
      </c>
      <c r="E443" s="1786" t="s">
        <v>3929</v>
      </c>
      <c r="F443" s="1786" t="s">
        <v>2958</v>
      </c>
      <c r="G443" s="1786" t="s">
        <v>2959</v>
      </c>
      <c r="H443" s="1786" t="str">
        <f t="shared" si="69"/>
        <v>לא פעיל</v>
      </c>
      <c r="I443" s="1788">
        <f t="shared" si="70"/>
        <v>39392</v>
      </c>
      <c r="J443" s="1788">
        <f t="shared" si="71"/>
        <v>41828.574421296304</v>
      </c>
      <c r="K443" s="1786">
        <v>0</v>
      </c>
      <c r="L443" s="1786" t="s">
        <v>1594</v>
      </c>
      <c r="M443" s="1786" t="s">
        <v>1653</v>
      </c>
      <c r="N443" s="1786" t="s">
        <v>1653</v>
      </c>
      <c r="O443" s="1786">
        <v>0</v>
      </c>
      <c r="P443" s="1786"/>
      <c r="Q443" s="1786">
        <v>0</v>
      </c>
      <c r="R443" s="1788"/>
      <c r="S443" s="1786">
        <f t="shared" si="72"/>
        <v>1250</v>
      </c>
      <c r="T443" s="1786" t="str">
        <f t="shared" si="73"/>
        <v>הבנק הבינלאומי הראשון</v>
      </c>
      <c r="U443" s="1786" t="str">
        <f t="shared" si="74"/>
        <v>מיטב השתלמות חכם מסלולית - מנייתי</v>
      </c>
      <c r="V443" s="1786" t="str">
        <f t="shared" si="75"/>
        <v>520043795</v>
      </c>
      <c r="W443" s="1789" t="str">
        <f t="shared" si="76"/>
        <v>מיטב דש גמל ופנסיה בע"מ</v>
      </c>
      <c r="AC443" s="1761" t="s">
        <v>1586</v>
      </c>
      <c r="AD443" s="1762">
        <v>41828.574421296304</v>
      </c>
      <c r="AE443" s="1762">
        <v>39392</v>
      </c>
      <c r="AF443" s="1761" t="s">
        <v>1583</v>
      </c>
      <c r="AG443" s="1761" t="s">
        <v>1583</v>
      </c>
      <c r="AH443" s="1761" t="s">
        <v>1583</v>
      </c>
      <c r="AI443" s="1761" t="s">
        <v>3575</v>
      </c>
      <c r="AJ443" s="1761" t="s">
        <v>3575</v>
      </c>
      <c r="AK443" s="1761">
        <v>1251</v>
      </c>
      <c r="AL443" s="1761" t="s">
        <v>688</v>
      </c>
      <c r="AM443" s="1761">
        <v>1250</v>
      </c>
      <c r="AN443" s="1761" t="s">
        <v>5384</v>
      </c>
      <c r="AO443" s="1764"/>
      <c r="AP443" s="1761" t="s">
        <v>5373</v>
      </c>
      <c r="AQ443" s="1761" t="s">
        <v>5374</v>
      </c>
      <c r="AR443" s="1761" t="s">
        <v>2899</v>
      </c>
      <c r="AS443" s="1761" t="s">
        <v>349</v>
      </c>
      <c r="AT443" s="1761" t="s">
        <v>327</v>
      </c>
      <c r="AU443" s="1763"/>
      <c r="AV443" s="1763"/>
    </row>
    <row r="444" spans="1:48" ht="25" hidden="1">
      <c r="A444" s="1785" t="str">
        <f t="shared" si="66"/>
        <v>גמל</v>
      </c>
      <c r="B444" s="1786">
        <f t="shared" si="67"/>
        <v>1251</v>
      </c>
      <c r="C444" s="1787">
        <v>28946</v>
      </c>
      <c r="D444" s="1786" t="str">
        <f t="shared" si="68"/>
        <v>מיטב השתלמות חכם מסלול כללי</v>
      </c>
      <c r="E444" s="1786" t="s">
        <v>3929</v>
      </c>
      <c r="F444" s="1786" t="s">
        <v>2958</v>
      </c>
      <c r="G444" s="1786" t="s">
        <v>2959</v>
      </c>
      <c r="H444" s="1786" t="str">
        <f t="shared" si="69"/>
        <v>לא פעיל</v>
      </c>
      <c r="I444" s="1788">
        <f t="shared" si="70"/>
        <v>39392</v>
      </c>
      <c r="J444" s="1788">
        <f t="shared" si="71"/>
        <v>41828.574421296304</v>
      </c>
      <c r="K444" s="1786">
        <v>0</v>
      </c>
      <c r="L444" s="1786" t="s">
        <v>1594</v>
      </c>
      <c r="M444" s="1786" t="s">
        <v>1653</v>
      </c>
      <c r="N444" s="1786" t="s">
        <v>1653</v>
      </c>
      <c r="O444" s="1786">
        <v>0</v>
      </c>
      <c r="P444" s="1786"/>
      <c r="Q444" s="1786">
        <v>0</v>
      </c>
      <c r="R444" s="1788"/>
      <c r="S444" s="1786">
        <f t="shared" si="72"/>
        <v>1250</v>
      </c>
      <c r="T444" s="1786" t="str">
        <f t="shared" si="73"/>
        <v>הבנק הבינלאומי הראשון</v>
      </c>
      <c r="U444" s="1786" t="str">
        <f t="shared" si="74"/>
        <v>מיטב השתלמות חכם מסלולית - מנייתי</v>
      </c>
      <c r="V444" s="1786" t="str">
        <f t="shared" si="75"/>
        <v>520043795</v>
      </c>
      <c r="W444" s="1789" t="str">
        <f t="shared" si="76"/>
        <v>מיטב דש גמל ופנסיה בע"מ</v>
      </c>
      <c r="AC444" s="1759" t="s">
        <v>1586</v>
      </c>
      <c r="AD444" s="1760">
        <v>41828.574421296304</v>
      </c>
      <c r="AE444" s="1760">
        <v>39392</v>
      </c>
      <c r="AF444" s="1759" t="s">
        <v>1583</v>
      </c>
      <c r="AG444" s="1759" t="s">
        <v>1583</v>
      </c>
      <c r="AH444" s="1759" t="s">
        <v>1583</v>
      </c>
      <c r="AI444" s="1759" t="s">
        <v>3575</v>
      </c>
      <c r="AJ444" s="1759" t="s">
        <v>3575</v>
      </c>
      <c r="AK444" s="1759">
        <v>1251</v>
      </c>
      <c r="AL444" s="1759" t="s">
        <v>688</v>
      </c>
      <c r="AM444" s="1759">
        <v>1250</v>
      </c>
      <c r="AN444" s="1759" t="s">
        <v>5384</v>
      </c>
      <c r="AO444" s="1764"/>
      <c r="AP444" s="1759" t="s">
        <v>5373</v>
      </c>
      <c r="AQ444" s="1759" t="s">
        <v>5374</v>
      </c>
      <c r="AR444" s="1759" t="s">
        <v>2899</v>
      </c>
      <c r="AS444" s="1759" t="s">
        <v>349</v>
      </c>
      <c r="AT444" s="1759" t="s">
        <v>327</v>
      </c>
      <c r="AU444" s="1763"/>
      <c r="AV444" s="1763"/>
    </row>
    <row r="445" spans="1:48" ht="25" hidden="1">
      <c r="A445" s="1785" t="str">
        <f t="shared" si="66"/>
        <v>גמל</v>
      </c>
      <c r="B445" s="1786">
        <f t="shared" si="67"/>
        <v>1252</v>
      </c>
      <c r="C445" s="1787">
        <v>28946</v>
      </c>
      <c r="D445" s="1786" t="str">
        <f t="shared" si="68"/>
        <v>מיטב השתלמות חכם מסלול אג"ח ש</v>
      </c>
      <c r="E445" s="1786" t="s">
        <v>3929</v>
      </c>
      <c r="F445" s="1786" t="s">
        <v>2958</v>
      </c>
      <c r="G445" s="1786" t="s">
        <v>2959</v>
      </c>
      <c r="H445" s="1786" t="str">
        <f t="shared" si="69"/>
        <v>לא פעיל</v>
      </c>
      <c r="I445" s="1788">
        <f t="shared" si="70"/>
        <v>39392</v>
      </c>
      <c r="J445" s="1788">
        <f t="shared" si="71"/>
        <v>41828.571990740696</v>
      </c>
      <c r="K445" s="1786">
        <v>0</v>
      </c>
      <c r="L445" s="1786" t="s">
        <v>1594</v>
      </c>
      <c r="M445" s="1786" t="s">
        <v>1653</v>
      </c>
      <c r="N445" s="1786" t="s">
        <v>1653</v>
      </c>
      <c r="O445" s="1786">
        <v>0</v>
      </c>
      <c r="P445" s="1786"/>
      <c r="Q445" s="1786">
        <v>0</v>
      </c>
      <c r="R445" s="1788"/>
      <c r="S445" s="1786">
        <f t="shared" si="72"/>
        <v>1250</v>
      </c>
      <c r="T445" s="1786" t="str">
        <f t="shared" si="73"/>
        <v>הבנק הבינלאומי הראשון</v>
      </c>
      <c r="U445" s="1786" t="str">
        <f t="shared" si="74"/>
        <v>מיטב השתלמות חכם מסלולית - מנייתי</v>
      </c>
      <c r="V445" s="1786" t="str">
        <f t="shared" si="75"/>
        <v>520043795</v>
      </c>
      <c r="W445" s="1789" t="str">
        <f t="shared" si="76"/>
        <v>מיטב דש גמל ופנסיה בע"מ</v>
      </c>
      <c r="AC445" s="1761" t="s">
        <v>1586</v>
      </c>
      <c r="AD445" s="1762">
        <v>41828.571990740696</v>
      </c>
      <c r="AE445" s="1762">
        <v>39392</v>
      </c>
      <c r="AF445" s="1761" t="s">
        <v>1583</v>
      </c>
      <c r="AG445" s="1761" t="s">
        <v>1583</v>
      </c>
      <c r="AH445" s="1761" t="s">
        <v>1583</v>
      </c>
      <c r="AI445" s="1761" t="s">
        <v>3576</v>
      </c>
      <c r="AJ445" s="1761" t="s">
        <v>3576</v>
      </c>
      <c r="AK445" s="1761">
        <v>1252</v>
      </c>
      <c r="AL445" s="1761" t="s">
        <v>688</v>
      </c>
      <c r="AM445" s="1761">
        <v>1250</v>
      </c>
      <c r="AN445" s="1761" t="s">
        <v>5384</v>
      </c>
      <c r="AO445" s="1764"/>
      <c r="AP445" s="1761" t="s">
        <v>5373</v>
      </c>
      <c r="AQ445" s="1761" t="s">
        <v>5374</v>
      </c>
      <c r="AR445" s="1761" t="s">
        <v>2899</v>
      </c>
      <c r="AS445" s="1761" t="s">
        <v>349</v>
      </c>
      <c r="AT445" s="1761" t="s">
        <v>327</v>
      </c>
      <c r="AU445" s="1763"/>
      <c r="AV445" s="1763"/>
    </row>
    <row r="446" spans="1:48" ht="25" hidden="1">
      <c r="A446" s="1785" t="str">
        <f t="shared" si="66"/>
        <v>גמל</v>
      </c>
      <c r="B446" s="1786">
        <f t="shared" si="67"/>
        <v>786</v>
      </c>
      <c r="C446" s="1787">
        <v>28946</v>
      </c>
      <c r="D446" s="1786" t="str">
        <f t="shared" si="68"/>
        <v>מיטב מאור</v>
      </c>
      <c r="E446" s="1786" t="s">
        <v>3929</v>
      </c>
      <c r="F446" s="1786" t="s">
        <v>2958</v>
      </c>
      <c r="G446" s="1786" t="s">
        <v>2959</v>
      </c>
      <c r="H446" s="1786" t="str">
        <f t="shared" si="69"/>
        <v>לא פעיל</v>
      </c>
      <c r="I446" s="1788">
        <f t="shared" si="70"/>
        <v>39392</v>
      </c>
      <c r="J446" s="1788">
        <f t="shared" si="71"/>
        <v>41828.611770833297</v>
      </c>
      <c r="K446" s="1786">
        <v>0</v>
      </c>
      <c r="L446" s="1786" t="s">
        <v>1594</v>
      </c>
      <c r="M446" s="1786" t="s">
        <v>1653</v>
      </c>
      <c r="N446" s="1786" t="s">
        <v>1653</v>
      </c>
      <c r="O446" s="1786">
        <v>0</v>
      </c>
      <c r="P446" s="1786"/>
      <c r="Q446" s="1786">
        <v>0</v>
      </c>
      <c r="R446" s="1788"/>
      <c r="S446" s="1786">
        <f t="shared" si="72"/>
        <v>1250</v>
      </c>
      <c r="T446" s="1786" t="str">
        <f t="shared" si="73"/>
        <v>הבנק הבינלאומי הראשון</v>
      </c>
      <c r="U446" s="1786" t="str">
        <f t="shared" si="74"/>
        <v>מיטב השתלמות חכם מסלולית - מנייתי</v>
      </c>
      <c r="V446" s="1786" t="str">
        <f t="shared" si="75"/>
        <v>520043795</v>
      </c>
      <c r="W446" s="1789" t="str">
        <f t="shared" si="76"/>
        <v>מיטב דש גמל ופנסיה בע"מ</v>
      </c>
      <c r="AC446" s="1759" t="s">
        <v>1586</v>
      </c>
      <c r="AD446" s="1760">
        <v>41828.611770833297</v>
      </c>
      <c r="AE446" s="1760">
        <v>39392</v>
      </c>
      <c r="AF446" s="1759" t="s">
        <v>1583</v>
      </c>
      <c r="AG446" s="1759" t="s">
        <v>1583</v>
      </c>
      <c r="AH446" s="1759" t="s">
        <v>1583</v>
      </c>
      <c r="AI446" s="1759" t="s">
        <v>2043</v>
      </c>
      <c r="AJ446" s="1759" t="s">
        <v>2043</v>
      </c>
      <c r="AK446" s="1759">
        <v>786</v>
      </c>
      <c r="AL446" s="1759" t="s">
        <v>688</v>
      </c>
      <c r="AM446" s="1759">
        <v>1250</v>
      </c>
      <c r="AN446" s="1759" t="s">
        <v>5384</v>
      </c>
      <c r="AO446" s="1764"/>
      <c r="AP446" s="1759" t="s">
        <v>5373</v>
      </c>
      <c r="AQ446" s="1759" t="s">
        <v>5374</v>
      </c>
      <c r="AR446" s="1759" t="s">
        <v>2899</v>
      </c>
      <c r="AS446" s="1759" t="s">
        <v>349</v>
      </c>
      <c r="AT446" s="1759" t="s">
        <v>327</v>
      </c>
      <c r="AU446" s="1763"/>
      <c r="AV446" s="1763"/>
    </row>
    <row r="447" spans="1:48" ht="25" hidden="1">
      <c r="A447" s="1785" t="str">
        <f t="shared" si="66"/>
        <v>גמל</v>
      </c>
      <c r="B447" s="1786">
        <f t="shared" si="67"/>
        <v>1254</v>
      </c>
      <c r="C447" s="1787">
        <v>28946</v>
      </c>
      <c r="D447" s="1786" t="str">
        <f t="shared" si="68"/>
        <v>מיטב השתלמות חכם מסלול אג"ח ב</v>
      </c>
      <c r="E447" s="1786" t="s">
        <v>3929</v>
      </c>
      <c r="F447" s="1786" t="s">
        <v>2958</v>
      </c>
      <c r="G447" s="1786" t="s">
        <v>2959</v>
      </c>
      <c r="H447" s="1786" t="str">
        <f t="shared" si="69"/>
        <v>לא פעיל</v>
      </c>
      <c r="I447" s="1788">
        <f t="shared" si="70"/>
        <v>39392</v>
      </c>
      <c r="J447" s="1788">
        <f t="shared" si="71"/>
        <v>41828.613206018497</v>
      </c>
      <c r="K447" s="1786">
        <v>0</v>
      </c>
      <c r="L447" s="1786" t="s">
        <v>1594</v>
      </c>
      <c r="M447" s="1786" t="s">
        <v>1653</v>
      </c>
      <c r="N447" s="1786" t="s">
        <v>1653</v>
      </c>
      <c r="O447" s="1786">
        <v>0</v>
      </c>
      <c r="P447" s="1786"/>
      <c r="Q447" s="1786">
        <v>0</v>
      </c>
      <c r="R447" s="1788"/>
      <c r="S447" s="1786">
        <f t="shared" si="72"/>
        <v>1250</v>
      </c>
      <c r="T447" s="1786" t="str">
        <f t="shared" si="73"/>
        <v>הבנק הבינלאומי הראשון</v>
      </c>
      <c r="U447" s="1786" t="str">
        <f t="shared" si="74"/>
        <v>מיטב השתלמות חכם מסלולית - מנייתי</v>
      </c>
      <c r="V447" s="1786" t="str">
        <f t="shared" si="75"/>
        <v>520043795</v>
      </c>
      <c r="W447" s="1789" t="str">
        <f t="shared" si="76"/>
        <v>מיטב דש גמל ופנסיה בע"מ</v>
      </c>
      <c r="AC447" s="1761" t="s">
        <v>1586</v>
      </c>
      <c r="AD447" s="1762">
        <v>41828.613206018497</v>
      </c>
      <c r="AE447" s="1762">
        <v>39392</v>
      </c>
      <c r="AF447" s="1761" t="s">
        <v>1681</v>
      </c>
      <c r="AG447" s="1761" t="s">
        <v>1653</v>
      </c>
      <c r="AH447" s="1761" t="s">
        <v>1594</v>
      </c>
      <c r="AI447" s="1761" t="s">
        <v>3578</v>
      </c>
      <c r="AJ447" s="1761" t="s">
        <v>3578</v>
      </c>
      <c r="AK447" s="1761">
        <v>1254</v>
      </c>
      <c r="AL447" s="1761" t="s">
        <v>688</v>
      </c>
      <c r="AM447" s="1761">
        <v>1250</v>
      </c>
      <c r="AN447" s="1761" t="s">
        <v>5384</v>
      </c>
      <c r="AO447" s="1764"/>
      <c r="AP447" s="1761" t="s">
        <v>5373</v>
      </c>
      <c r="AQ447" s="1761" t="s">
        <v>5374</v>
      </c>
      <c r="AR447" s="1761" t="s">
        <v>2899</v>
      </c>
      <c r="AS447" s="1761" t="s">
        <v>349</v>
      </c>
      <c r="AT447" s="1761" t="s">
        <v>327</v>
      </c>
      <c r="AU447" s="1763"/>
      <c r="AV447" s="1763"/>
    </row>
    <row r="448" spans="1:48" ht="25" hidden="1">
      <c r="A448" s="1785" t="str">
        <f t="shared" si="66"/>
        <v>גמל</v>
      </c>
      <c r="B448" s="1786">
        <f t="shared" si="67"/>
        <v>356</v>
      </c>
      <c r="C448" s="1787">
        <v>28946</v>
      </c>
      <c r="D448" s="1786" t="str">
        <f t="shared" si="68"/>
        <v>מיטב השתלמות חכם מסלול משתלם</v>
      </c>
      <c r="E448" s="1786" t="s">
        <v>3929</v>
      </c>
      <c r="F448" s="1786" t="s">
        <v>2958</v>
      </c>
      <c r="G448" s="1786" t="s">
        <v>2959</v>
      </c>
      <c r="H448" s="1786" t="str">
        <f t="shared" si="69"/>
        <v>לא פעיל</v>
      </c>
      <c r="I448" s="1788">
        <f t="shared" si="70"/>
        <v>39392</v>
      </c>
      <c r="J448" s="1788">
        <f t="shared" si="71"/>
        <v>41828.608807870398</v>
      </c>
      <c r="K448" s="1786">
        <v>0</v>
      </c>
      <c r="L448" s="1786" t="s">
        <v>1594</v>
      </c>
      <c r="M448" s="1786" t="s">
        <v>1653</v>
      </c>
      <c r="N448" s="1786" t="s">
        <v>1653</v>
      </c>
      <c r="O448" s="1786">
        <v>0</v>
      </c>
      <c r="P448" s="1786"/>
      <c r="Q448" s="1786">
        <v>0</v>
      </c>
      <c r="R448" s="1788"/>
      <c r="S448" s="1786">
        <f t="shared" si="72"/>
        <v>1250</v>
      </c>
      <c r="T448" s="1786" t="str">
        <f t="shared" si="73"/>
        <v>הבנק הבינלאומי הראשון</v>
      </c>
      <c r="U448" s="1786" t="str">
        <f t="shared" si="74"/>
        <v>מיטב השתלמות חכם מסלולית - מנייתי</v>
      </c>
      <c r="V448" s="1786" t="str">
        <f t="shared" si="75"/>
        <v>520043795</v>
      </c>
      <c r="W448" s="1789" t="str">
        <f t="shared" si="76"/>
        <v>מיטב דש גמל ופנסיה בע"מ</v>
      </c>
      <c r="AC448" s="1759" t="s">
        <v>1586</v>
      </c>
      <c r="AD448" s="1760">
        <v>41828.608807870398</v>
      </c>
      <c r="AE448" s="1760">
        <v>39392</v>
      </c>
      <c r="AF448" s="1759" t="s">
        <v>1583</v>
      </c>
      <c r="AG448" s="1759" t="s">
        <v>1583</v>
      </c>
      <c r="AH448" s="1759" t="s">
        <v>1583</v>
      </c>
      <c r="AI448" s="1759" t="s">
        <v>3080</v>
      </c>
      <c r="AJ448" s="1759" t="s">
        <v>3080</v>
      </c>
      <c r="AK448" s="1759">
        <v>356</v>
      </c>
      <c r="AL448" s="1759" t="s">
        <v>688</v>
      </c>
      <c r="AM448" s="1759">
        <v>1250</v>
      </c>
      <c r="AN448" s="1759" t="s">
        <v>5384</v>
      </c>
      <c r="AO448" s="1764"/>
      <c r="AP448" s="1759" t="s">
        <v>5373</v>
      </c>
      <c r="AQ448" s="1759" t="s">
        <v>5374</v>
      </c>
      <c r="AR448" s="1759" t="s">
        <v>2899</v>
      </c>
      <c r="AS448" s="1759" t="s">
        <v>349</v>
      </c>
      <c r="AT448" s="1759" t="s">
        <v>327</v>
      </c>
      <c r="AU448" s="1763"/>
      <c r="AV448" s="1763"/>
    </row>
    <row r="449" spans="1:48" ht="25" hidden="1">
      <c r="A449" s="1785" t="str">
        <f t="shared" si="66"/>
        <v>גמל</v>
      </c>
      <c r="B449" s="1786">
        <f t="shared" si="67"/>
        <v>356</v>
      </c>
      <c r="C449" s="1787">
        <v>28946</v>
      </c>
      <c r="D449" s="1786" t="str">
        <f t="shared" si="68"/>
        <v>מיטב השתלמות חכם מסלול משתלם</v>
      </c>
      <c r="E449" s="1786" t="s">
        <v>3929</v>
      </c>
      <c r="F449" s="1786" t="s">
        <v>2958</v>
      </c>
      <c r="G449" s="1786" t="s">
        <v>2959</v>
      </c>
      <c r="H449" s="1786" t="str">
        <f t="shared" si="69"/>
        <v>לא פעיל</v>
      </c>
      <c r="I449" s="1788">
        <f t="shared" si="70"/>
        <v>39392</v>
      </c>
      <c r="J449" s="1788">
        <f t="shared" si="71"/>
        <v>41828.608807870398</v>
      </c>
      <c r="K449" s="1786">
        <v>0</v>
      </c>
      <c r="L449" s="1786" t="s">
        <v>1594</v>
      </c>
      <c r="M449" s="1786" t="s">
        <v>1653</v>
      </c>
      <c r="N449" s="1786" t="s">
        <v>1653</v>
      </c>
      <c r="O449" s="1786">
        <v>0</v>
      </c>
      <c r="P449" s="1786"/>
      <c r="Q449" s="1786">
        <v>0</v>
      </c>
      <c r="R449" s="1788"/>
      <c r="S449" s="1786">
        <f t="shared" si="72"/>
        <v>1250</v>
      </c>
      <c r="T449" s="1786" t="str">
        <f t="shared" si="73"/>
        <v>הבנק הבינלאומי הראשון</v>
      </c>
      <c r="U449" s="1786" t="str">
        <f t="shared" si="74"/>
        <v>מיטב השתלמות חכם מסלולית - מנייתי</v>
      </c>
      <c r="V449" s="1786" t="str">
        <f t="shared" si="75"/>
        <v>520043795</v>
      </c>
      <c r="W449" s="1789" t="str">
        <f t="shared" si="76"/>
        <v>מיטב דש גמל ופנסיה בע"מ</v>
      </c>
      <c r="AC449" s="1761" t="s">
        <v>1586</v>
      </c>
      <c r="AD449" s="1762">
        <v>41828.608807870398</v>
      </c>
      <c r="AE449" s="1762">
        <v>39392</v>
      </c>
      <c r="AF449" s="1761" t="s">
        <v>1583</v>
      </c>
      <c r="AG449" s="1761" t="s">
        <v>1583</v>
      </c>
      <c r="AH449" s="1761" t="s">
        <v>1583</v>
      </c>
      <c r="AI449" s="1761" t="s">
        <v>3080</v>
      </c>
      <c r="AJ449" s="1761" t="s">
        <v>3080</v>
      </c>
      <c r="AK449" s="1761">
        <v>356</v>
      </c>
      <c r="AL449" s="1761" t="s">
        <v>688</v>
      </c>
      <c r="AM449" s="1761">
        <v>1250</v>
      </c>
      <c r="AN449" s="1761" t="s">
        <v>5384</v>
      </c>
      <c r="AO449" s="1764"/>
      <c r="AP449" s="1761" t="s">
        <v>5373</v>
      </c>
      <c r="AQ449" s="1761" t="s">
        <v>5374</v>
      </c>
      <c r="AR449" s="1761" t="s">
        <v>2899</v>
      </c>
      <c r="AS449" s="1761" t="s">
        <v>349</v>
      </c>
      <c r="AT449" s="1761" t="s">
        <v>327</v>
      </c>
      <c r="AU449" s="1763"/>
      <c r="AV449" s="1763"/>
    </row>
    <row r="450" spans="1:48" ht="25" hidden="1">
      <c r="A450" s="1785" t="str">
        <f t="shared" si="66"/>
        <v>גמל</v>
      </c>
      <c r="B450" s="1786">
        <f t="shared" si="67"/>
        <v>1252</v>
      </c>
      <c r="C450" s="1787">
        <v>28946</v>
      </c>
      <c r="D450" s="1786" t="str">
        <f t="shared" si="68"/>
        <v>מיטב השתלמות חכם מסלול אג"ח ש</v>
      </c>
      <c r="E450" s="1786" t="s">
        <v>3929</v>
      </c>
      <c r="F450" s="1786" t="s">
        <v>2958</v>
      </c>
      <c r="G450" s="1786" t="s">
        <v>2959</v>
      </c>
      <c r="H450" s="1786" t="str">
        <f t="shared" si="69"/>
        <v>לא פעיל</v>
      </c>
      <c r="I450" s="1788">
        <f t="shared" si="70"/>
        <v>39392</v>
      </c>
      <c r="J450" s="1788">
        <f t="shared" si="71"/>
        <v>41828.571990740696</v>
      </c>
      <c r="K450" s="1786">
        <v>0</v>
      </c>
      <c r="L450" s="1786" t="s">
        <v>1594</v>
      </c>
      <c r="M450" s="1786" t="s">
        <v>1653</v>
      </c>
      <c r="N450" s="1786" t="s">
        <v>1653</v>
      </c>
      <c r="O450" s="1786">
        <v>0</v>
      </c>
      <c r="P450" s="1786"/>
      <c r="Q450" s="1786">
        <v>0</v>
      </c>
      <c r="R450" s="1788"/>
      <c r="S450" s="1786">
        <f t="shared" si="72"/>
        <v>1250</v>
      </c>
      <c r="T450" s="1786" t="str">
        <f t="shared" si="73"/>
        <v>הבנק הבינלאומי הראשון</v>
      </c>
      <c r="U450" s="1786" t="str">
        <f t="shared" si="74"/>
        <v>מיטב השתלמות חכם מסלולית - מנייתי</v>
      </c>
      <c r="V450" s="1786" t="str">
        <f t="shared" si="75"/>
        <v>520043795</v>
      </c>
      <c r="W450" s="1789" t="str">
        <f t="shared" si="76"/>
        <v>מיטב דש גמל ופנסיה בע"מ</v>
      </c>
      <c r="AC450" s="1759" t="s">
        <v>1586</v>
      </c>
      <c r="AD450" s="1760">
        <v>41828.571990740696</v>
      </c>
      <c r="AE450" s="1760">
        <v>39392</v>
      </c>
      <c r="AF450" s="1759" t="s">
        <v>1583</v>
      </c>
      <c r="AG450" s="1759" t="s">
        <v>1583</v>
      </c>
      <c r="AH450" s="1759" t="s">
        <v>1583</v>
      </c>
      <c r="AI450" s="1759" t="s">
        <v>3576</v>
      </c>
      <c r="AJ450" s="1759" t="s">
        <v>3576</v>
      </c>
      <c r="AK450" s="1759">
        <v>1252</v>
      </c>
      <c r="AL450" s="1759" t="s">
        <v>688</v>
      </c>
      <c r="AM450" s="1759">
        <v>1250</v>
      </c>
      <c r="AN450" s="1759" t="s">
        <v>5384</v>
      </c>
      <c r="AO450" s="1764"/>
      <c r="AP450" s="1759" t="s">
        <v>5373</v>
      </c>
      <c r="AQ450" s="1759" t="s">
        <v>5374</v>
      </c>
      <c r="AR450" s="1759" t="s">
        <v>2899</v>
      </c>
      <c r="AS450" s="1759" t="s">
        <v>349</v>
      </c>
      <c r="AT450" s="1759" t="s">
        <v>327</v>
      </c>
      <c r="AU450" s="1763"/>
      <c r="AV450" s="1763"/>
    </row>
    <row r="451" spans="1:48" ht="25" hidden="1">
      <c r="A451" s="1785" t="str">
        <f t="shared" si="66"/>
        <v>גמל</v>
      </c>
      <c r="B451" s="1786">
        <f t="shared" si="67"/>
        <v>1253</v>
      </c>
      <c r="C451" s="1787">
        <v>28946</v>
      </c>
      <c r="D451" s="1786" t="str">
        <f t="shared" si="68"/>
        <v>מיטב השתלמות חכם מסלול אג"ח ח</v>
      </c>
      <c r="E451" s="1786" t="s">
        <v>3929</v>
      </c>
      <c r="F451" s="1786" t="s">
        <v>2958</v>
      </c>
      <c r="G451" s="1786" t="s">
        <v>2959</v>
      </c>
      <c r="H451" s="1786" t="str">
        <f t="shared" si="69"/>
        <v>לא פעיל</v>
      </c>
      <c r="I451" s="1788">
        <f t="shared" si="70"/>
        <v>39392</v>
      </c>
      <c r="J451" s="1788">
        <f t="shared" si="71"/>
        <v>41828.607766203699</v>
      </c>
      <c r="K451" s="1786">
        <v>0</v>
      </c>
      <c r="L451" s="1786" t="s">
        <v>1594</v>
      </c>
      <c r="M451" s="1786" t="s">
        <v>1653</v>
      </c>
      <c r="N451" s="1786" t="s">
        <v>1653</v>
      </c>
      <c r="O451" s="1786">
        <v>0</v>
      </c>
      <c r="P451" s="1786"/>
      <c r="Q451" s="1786">
        <v>0</v>
      </c>
      <c r="R451" s="1788"/>
      <c r="S451" s="1786">
        <f t="shared" si="72"/>
        <v>1250</v>
      </c>
      <c r="T451" s="1786" t="str">
        <f t="shared" si="73"/>
        <v>הבנק הבינלאומי הראשון</v>
      </c>
      <c r="U451" s="1786" t="str">
        <f t="shared" si="74"/>
        <v>מיטב השתלמות חכם מסלולית - מנייתי</v>
      </c>
      <c r="V451" s="1786" t="str">
        <f t="shared" si="75"/>
        <v>520043795</v>
      </c>
      <c r="W451" s="1789" t="str">
        <f t="shared" si="76"/>
        <v>מיטב דש גמל ופנסיה בע"מ</v>
      </c>
      <c r="AC451" s="1761" t="s">
        <v>1586</v>
      </c>
      <c r="AD451" s="1762">
        <v>41828.607766203699</v>
      </c>
      <c r="AE451" s="1762">
        <v>39392</v>
      </c>
      <c r="AF451" s="1761" t="s">
        <v>1653</v>
      </c>
      <c r="AG451" s="1761" t="s">
        <v>1653</v>
      </c>
      <c r="AH451" s="1761" t="s">
        <v>1594</v>
      </c>
      <c r="AI451" s="1761" t="s">
        <v>3577</v>
      </c>
      <c r="AJ451" s="1761" t="s">
        <v>3577</v>
      </c>
      <c r="AK451" s="1761">
        <v>1253</v>
      </c>
      <c r="AL451" s="1761" t="s">
        <v>688</v>
      </c>
      <c r="AM451" s="1761">
        <v>1250</v>
      </c>
      <c r="AN451" s="1761" t="s">
        <v>5384</v>
      </c>
      <c r="AO451" s="1764"/>
      <c r="AP451" s="1761" t="s">
        <v>5373</v>
      </c>
      <c r="AQ451" s="1761" t="s">
        <v>5374</v>
      </c>
      <c r="AR451" s="1761" t="s">
        <v>2899</v>
      </c>
      <c r="AS451" s="1761" t="s">
        <v>349</v>
      </c>
      <c r="AT451" s="1761" t="s">
        <v>327</v>
      </c>
      <c r="AU451" s="1763"/>
      <c r="AV451" s="1763"/>
    </row>
    <row r="452" spans="1:48" ht="25" hidden="1">
      <c r="A452" s="1785" t="str">
        <f t="shared" si="66"/>
        <v>גמל</v>
      </c>
      <c r="B452" s="1786">
        <f t="shared" si="67"/>
        <v>1253</v>
      </c>
      <c r="C452" s="1787">
        <v>28946</v>
      </c>
      <c r="D452" s="1786" t="str">
        <f t="shared" si="68"/>
        <v>מיטב השתלמות חכם מסלול אג"ח ח</v>
      </c>
      <c r="E452" s="1786" t="s">
        <v>3929</v>
      </c>
      <c r="F452" s="1786" t="s">
        <v>2958</v>
      </c>
      <c r="G452" s="1786" t="s">
        <v>2959</v>
      </c>
      <c r="H452" s="1786" t="str">
        <f t="shared" si="69"/>
        <v>לא פעיל</v>
      </c>
      <c r="I452" s="1788">
        <f t="shared" si="70"/>
        <v>39392</v>
      </c>
      <c r="J452" s="1788">
        <f t="shared" si="71"/>
        <v>41828.607766203699</v>
      </c>
      <c r="K452" s="1786">
        <v>0</v>
      </c>
      <c r="L452" s="1786" t="s">
        <v>1594</v>
      </c>
      <c r="M452" s="1786" t="s">
        <v>1653</v>
      </c>
      <c r="N452" s="1786" t="s">
        <v>1653</v>
      </c>
      <c r="O452" s="1786">
        <v>0</v>
      </c>
      <c r="P452" s="1786"/>
      <c r="Q452" s="1786">
        <v>0</v>
      </c>
      <c r="R452" s="1788"/>
      <c r="S452" s="1786">
        <f t="shared" si="72"/>
        <v>1250</v>
      </c>
      <c r="T452" s="1786" t="str">
        <f t="shared" si="73"/>
        <v>הבנק הבינלאומי הראשון</v>
      </c>
      <c r="U452" s="1786" t="str">
        <f t="shared" si="74"/>
        <v>מיטב השתלמות חכם מסלולית - מנייתי</v>
      </c>
      <c r="V452" s="1786" t="str">
        <f t="shared" si="75"/>
        <v>520043795</v>
      </c>
      <c r="W452" s="1789" t="str">
        <f t="shared" si="76"/>
        <v>מיטב דש גמל ופנסיה בע"מ</v>
      </c>
      <c r="AC452" s="1759" t="s">
        <v>1586</v>
      </c>
      <c r="AD452" s="1760">
        <v>41828.607766203699</v>
      </c>
      <c r="AE452" s="1760">
        <v>39392</v>
      </c>
      <c r="AF452" s="1759" t="s">
        <v>1653</v>
      </c>
      <c r="AG452" s="1759" t="s">
        <v>1653</v>
      </c>
      <c r="AH452" s="1759" t="s">
        <v>1594</v>
      </c>
      <c r="AI452" s="1759" t="s">
        <v>3577</v>
      </c>
      <c r="AJ452" s="1759" t="s">
        <v>3577</v>
      </c>
      <c r="AK452" s="1759">
        <v>1253</v>
      </c>
      <c r="AL452" s="1759" t="s">
        <v>688</v>
      </c>
      <c r="AM452" s="1759">
        <v>1250</v>
      </c>
      <c r="AN452" s="1759" t="s">
        <v>5384</v>
      </c>
      <c r="AO452" s="1764"/>
      <c r="AP452" s="1759" t="s">
        <v>5373</v>
      </c>
      <c r="AQ452" s="1759" t="s">
        <v>5374</v>
      </c>
      <c r="AR452" s="1759" t="s">
        <v>2899</v>
      </c>
      <c r="AS452" s="1759" t="s">
        <v>349</v>
      </c>
      <c r="AT452" s="1759" t="s">
        <v>327</v>
      </c>
      <c r="AU452" s="1763"/>
      <c r="AV452" s="1763"/>
    </row>
    <row r="453" spans="1:48" ht="25" hidden="1">
      <c r="A453" s="1785" t="str">
        <f t="shared" si="66"/>
        <v>גמל</v>
      </c>
      <c r="B453" s="1786">
        <f t="shared" si="67"/>
        <v>1254</v>
      </c>
      <c r="C453" s="1787">
        <v>28946</v>
      </c>
      <c r="D453" s="1786" t="str">
        <f t="shared" si="68"/>
        <v>מיטב השתלמות חכם מסלול אג"ח ב</v>
      </c>
      <c r="E453" s="1786" t="s">
        <v>3929</v>
      </c>
      <c r="F453" s="1786" t="s">
        <v>2958</v>
      </c>
      <c r="G453" s="1786" t="s">
        <v>2959</v>
      </c>
      <c r="H453" s="1786" t="str">
        <f t="shared" si="69"/>
        <v>לא פעיל</v>
      </c>
      <c r="I453" s="1788">
        <f t="shared" si="70"/>
        <v>39392</v>
      </c>
      <c r="J453" s="1788">
        <f t="shared" si="71"/>
        <v>41828.613206018497</v>
      </c>
      <c r="K453" s="1786">
        <v>0</v>
      </c>
      <c r="L453" s="1786" t="s">
        <v>1594</v>
      </c>
      <c r="M453" s="1786" t="s">
        <v>1653</v>
      </c>
      <c r="N453" s="1786" t="s">
        <v>1653</v>
      </c>
      <c r="O453" s="1786">
        <v>0</v>
      </c>
      <c r="P453" s="1786"/>
      <c r="Q453" s="1786">
        <v>0</v>
      </c>
      <c r="R453" s="1788"/>
      <c r="S453" s="1786">
        <f t="shared" si="72"/>
        <v>1250</v>
      </c>
      <c r="T453" s="1786" t="str">
        <f t="shared" si="73"/>
        <v>הבנק הבינלאומי הראשון</v>
      </c>
      <c r="U453" s="1786" t="str">
        <f t="shared" si="74"/>
        <v>מיטב השתלמות חכם מסלולית - מנייתי</v>
      </c>
      <c r="V453" s="1786" t="str">
        <f t="shared" si="75"/>
        <v>520043795</v>
      </c>
      <c r="W453" s="1789" t="str">
        <f t="shared" si="76"/>
        <v>מיטב דש גמל ופנסיה בע"מ</v>
      </c>
      <c r="AC453" s="1761" t="s">
        <v>1586</v>
      </c>
      <c r="AD453" s="1762">
        <v>41828.613206018497</v>
      </c>
      <c r="AE453" s="1762">
        <v>39392</v>
      </c>
      <c r="AF453" s="1761" t="s">
        <v>1681</v>
      </c>
      <c r="AG453" s="1761" t="s">
        <v>1653</v>
      </c>
      <c r="AH453" s="1761" t="s">
        <v>1594</v>
      </c>
      <c r="AI453" s="1761" t="s">
        <v>3578</v>
      </c>
      <c r="AJ453" s="1761" t="s">
        <v>3578</v>
      </c>
      <c r="AK453" s="1761">
        <v>1254</v>
      </c>
      <c r="AL453" s="1761" t="s">
        <v>688</v>
      </c>
      <c r="AM453" s="1761">
        <v>1250</v>
      </c>
      <c r="AN453" s="1761" t="s">
        <v>5384</v>
      </c>
      <c r="AO453" s="1764"/>
      <c r="AP453" s="1761" t="s">
        <v>5373</v>
      </c>
      <c r="AQ453" s="1761" t="s">
        <v>5374</v>
      </c>
      <c r="AR453" s="1761" t="s">
        <v>2899</v>
      </c>
      <c r="AS453" s="1761" t="s">
        <v>349</v>
      </c>
      <c r="AT453" s="1761" t="s">
        <v>327</v>
      </c>
      <c r="AU453" s="1763"/>
      <c r="AV453" s="1763"/>
    </row>
    <row r="454" spans="1:48" ht="25" hidden="1">
      <c r="A454" s="1785" t="str">
        <f t="shared" si="66"/>
        <v>גמל</v>
      </c>
      <c r="B454" s="1786">
        <f t="shared" si="67"/>
        <v>786</v>
      </c>
      <c r="C454" s="1787">
        <v>28946</v>
      </c>
      <c r="D454" s="1786" t="str">
        <f t="shared" si="68"/>
        <v>מיטב מאור</v>
      </c>
      <c r="E454" s="1786" t="s">
        <v>3929</v>
      </c>
      <c r="F454" s="1786" t="s">
        <v>2958</v>
      </c>
      <c r="G454" s="1786" t="s">
        <v>2959</v>
      </c>
      <c r="H454" s="1786" t="str">
        <f t="shared" si="69"/>
        <v>לא פעיל</v>
      </c>
      <c r="I454" s="1788">
        <f t="shared" si="70"/>
        <v>39392</v>
      </c>
      <c r="J454" s="1788">
        <f t="shared" si="71"/>
        <v>41828.611770833297</v>
      </c>
      <c r="K454" s="1786">
        <v>0</v>
      </c>
      <c r="L454" s="1786" t="s">
        <v>1594</v>
      </c>
      <c r="M454" s="1786" t="s">
        <v>1653</v>
      </c>
      <c r="N454" s="1786" t="s">
        <v>1653</v>
      </c>
      <c r="O454" s="1786">
        <v>0</v>
      </c>
      <c r="P454" s="1786"/>
      <c r="Q454" s="1786">
        <v>0</v>
      </c>
      <c r="R454" s="1788"/>
      <c r="S454" s="1786">
        <f t="shared" si="72"/>
        <v>1250</v>
      </c>
      <c r="T454" s="1786" t="str">
        <f t="shared" si="73"/>
        <v>הבנק הבינלאומי הראשון</v>
      </c>
      <c r="U454" s="1786" t="str">
        <f t="shared" si="74"/>
        <v>מיטב השתלמות חכם מסלולית - מנייתי</v>
      </c>
      <c r="V454" s="1786" t="str">
        <f t="shared" si="75"/>
        <v>520043795</v>
      </c>
      <c r="W454" s="1789" t="str">
        <f t="shared" si="76"/>
        <v>מיטב דש גמל ופנסיה בע"מ</v>
      </c>
      <c r="AC454" s="1759" t="s">
        <v>1586</v>
      </c>
      <c r="AD454" s="1760">
        <v>41828.611770833297</v>
      </c>
      <c r="AE454" s="1760">
        <v>39392</v>
      </c>
      <c r="AF454" s="1759" t="s">
        <v>1583</v>
      </c>
      <c r="AG454" s="1759" t="s">
        <v>1583</v>
      </c>
      <c r="AH454" s="1759" t="s">
        <v>1583</v>
      </c>
      <c r="AI454" s="1759" t="s">
        <v>2043</v>
      </c>
      <c r="AJ454" s="1759" t="s">
        <v>2043</v>
      </c>
      <c r="AK454" s="1759">
        <v>786</v>
      </c>
      <c r="AL454" s="1759" t="s">
        <v>688</v>
      </c>
      <c r="AM454" s="1759">
        <v>1250</v>
      </c>
      <c r="AN454" s="1759" t="s">
        <v>5384</v>
      </c>
      <c r="AO454" s="1764"/>
      <c r="AP454" s="1759" t="s">
        <v>5373</v>
      </c>
      <c r="AQ454" s="1759" t="s">
        <v>5374</v>
      </c>
      <c r="AR454" s="1759" t="s">
        <v>2899</v>
      </c>
      <c r="AS454" s="1759" t="s">
        <v>349</v>
      </c>
      <c r="AT454" s="1759" t="s">
        <v>327</v>
      </c>
      <c r="AU454" s="1763"/>
      <c r="AV454" s="1763"/>
    </row>
    <row r="455" spans="1:48" ht="25" hidden="1">
      <c r="A455" s="1785" t="str">
        <f t="shared" si="66"/>
        <v>גמל</v>
      </c>
      <c r="B455" s="1786">
        <f t="shared" si="67"/>
        <v>1246</v>
      </c>
      <c r="C455" s="1787">
        <v>28946</v>
      </c>
      <c r="D455" s="1786" t="str">
        <f t="shared" si="68"/>
        <v>מיטב גמל חכם מסלול בין 40 ל-50</v>
      </c>
      <c r="E455" s="1786" t="s">
        <v>3929</v>
      </c>
      <c r="F455" s="1786" t="s">
        <v>2958</v>
      </c>
      <c r="G455" s="1786" t="s">
        <v>2959</v>
      </c>
      <c r="H455" s="1786" t="str">
        <f t="shared" si="69"/>
        <v>לא פעיל</v>
      </c>
      <c r="I455" s="1788">
        <f t="shared" si="70"/>
        <v>39392</v>
      </c>
      <c r="J455" s="1788">
        <f t="shared" si="71"/>
        <v>41828.471793981502</v>
      </c>
      <c r="K455" s="1786">
        <v>0</v>
      </c>
      <c r="L455" s="1786" t="s">
        <v>1594</v>
      </c>
      <c r="M455" s="1786" t="s">
        <v>1653</v>
      </c>
      <c r="N455" s="1786" t="s">
        <v>1653</v>
      </c>
      <c r="O455" s="1786">
        <v>0</v>
      </c>
      <c r="P455" s="1786"/>
      <c r="Q455" s="1786">
        <v>0</v>
      </c>
      <c r="R455" s="1788"/>
      <c r="S455" s="1786">
        <f t="shared" si="72"/>
        <v>1245</v>
      </c>
      <c r="T455" s="1786" t="str">
        <f t="shared" si="73"/>
        <v>הבנק הבינלאומי הראשון</v>
      </c>
      <c r="U455" s="1786" t="str">
        <f t="shared" si="74"/>
        <v>מיטב גמל חכם מסלול מנייתי</v>
      </c>
      <c r="V455" s="1786" t="str">
        <f t="shared" si="75"/>
        <v>520043795</v>
      </c>
      <c r="W455" s="1789" t="str">
        <f t="shared" si="76"/>
        <v>מיטב דש גמל ופנסיה בע"מ</v>
      </c>
      <c r="AC455" s="1761" t="s">
        <v>1586</v>
      </c>
      <c r="AD455" s="1762">
        <v>41828.471793981502</v>
      </c>
      <c r="AE455" s="1762">
        <v>39392</v>
      </c>
      <c r="AF455" s="1761" t="s">
        <v>1583</v>
      </c>
      <c r="AG455" s="1761" t="s">
        <v>1583</v>
      </c>
      <c r="AH455" s="1761" t="s">
        <v>1583</v>
      </c>
      <c r="AI455" s="1761" t="s">
        <v>3570</v>
      </c>
      <c r="AJ455" s="1761" t="s">
        <v>3570</v>
      </c>
      <c r="AK455" s="1761">
        <v>1246</v>
      </c>
      <c r="AL455" s="1761" t="s">
        <v>687</v>
      </c>
      <c r="AM455" s="1761">
        <v>1245</v>
      </c>
      <c r="AN455" s="1761" t="s">
        <v>5384</v>
      </c>
      <c r="AO455" s="1764"/>
      <c r="AP455" s="1761" t="s">
        <v>5373</v>
      </c>
      <c r="AQ455" s="1761" t="s">
        <v>5374</v>
      </c>
      <c r="AR455" s="1761" t="s">
        <v>2899</v>
      </c>
      <c r="AS455" s="1761" t="s">
        <v>349</v>
      </c>
      <c r="AT455" s="1761" t="s">
        <v>327</v>
      </c>
      <c r="AU455" s="1763"/>
      <c r="AV455" s="1763"/>
    </row>
    <row r="456" spans="1:48" ht="25" hidden="1">
      <c r="A456" s="1785" t="str">
        <f t="shared" si="66"/>
        <v>גמל</v>
      </c>
      <c r="B456" s="1786">
        <f t="shared" si="67"/>
        <v>1246</v>
      </c>
      <c r="C456" s="1787">
        <v>28946</v>
      </c>
      <c r="D456" s="1786" t="str">
        <f t="shared" si="68"/>
        <v>מיטב גמל חכם מסלול בין 40 ל-50</v>
      </c>
      <c r="E456" s="1786" t="s">
        <v>3929</v>
      </c>
      <c r="F456" s="1786" t="s">
        <v>2958</v>
      </c>
      <c r="G456" s="1786" t="s">
        <v>2959</v>
      </c>
      <c r="H456" s="1786" t="str">
        <f t="shared" si="69"/>
        <v>לא פעיל</v>
      </c>
      <c r="I456" s="1788">
        <f t="shared" si="70"/>
        <v>39392</v>
      </c>
      <c r="J456" s="1788">
        <f t="shared" si="71"/>
        <v>41828.471793981502</v>
      </c>
      <c r="K456" s="1786">
        <v>0</v>
      </c>
      <c r="L456" s="1786" t="s">
        <v>1594</v>
      </c>
      <c r="M456" s="1786" t="s">
        <v>1653</v>
      </c>
      <c r="N456" s="1786" t="s">
        <v>1653</v>
      </c>
      <c r="O456" s="1786">
        <v>0</v>
      </c>
      <c r="P456" s="1786"/>
      <c r="Q456" s="1786">
        <v>0</v>
      </c>
      <c r="R456" s="1788"/>
      <c r="S456" s="1786">
        <f t="shared" si="72"/>
        <v>1245</v>
      </c>
      <c r="T456" s="1786" t="str">
        <f t="shared" si="73"/>
        <v>הבנק הבינלאומי הראשון</v>
      </c>
      <c r="U456" s="1786" t="str">
        <f t="shared" si="74"/>
        <v>מיטב גמל חכם מסלול מנייתי</v>
      </c>
      <c r="V456" s="1786" t="str">
        <f t="shared" si="75"/>
        <v>520043795</v>
      </c>
      <c r="W456" s="1789" t="str">
        <f t="shared" si="76"/>
        <v>מיטב דש גמל ופנסיה בע"מ</v>
      </c>
      <c r="AC456" s="1759" t="s">
        <v>1586</v>
      </c>
      <c r="AD456" s="1760">
        <v>41828.471793981502</v>
      </c>
      <c r="AE456" s="1760">
        <v>39392</v>
      </c>
      <c r="AF456" s="1759" t="s">
        <v>1583</v>
      </c>
      <c r="AG456" s="1759" t="s">
        <v>1583</v>
      </c>
      <c r="AH456" s="1759" t="s">
        <v>1583</v>
      </c>
      <c r="AI456" s="1759" t="s">
        <v>3570</v>
      </c>
      <c r="AJ456" s="1759" t="s">
        <v>3570</v>
      </c>
      <c r="AK456" s="1759">
        <v>1246</v>
      </c>
      <c r="AL456" s="1759" t="s">
        <v>687</v>
      </c>
      <c r="AM456" s="1759">
        <v>1245</v>
      </c>
      <c r="AN456" s="1759" t="s">
        <v>5384</v>
      </c>
      <c r="AO456" s="1764"/>
      <c r="AP456" s="1759" t="s">
        <v>5373</v>
      </c>
      <c r="AQ456" s="1759" t="s">
        <v>5374</v>
      </c>
      <c r="AR456" s="1759" t="s">
        <v>2899</v>
      </c>
      <c r="AS456" s="1759" t="s">
        <v>349</v>
      </c>
      <c r="AT456" s="1759" t="s">
        <v>327</v>
      </c>
      <c r="AU456" s="1763"/>
      <c r="AV456" s="1763"/>
    </row>
    <row r="457" spans="1:48" ht="25" hidden="1">
      <c r="A457" s="1785" t="str">
        <f t="shared" si="66"/>
        <v>גמל</v>
      </c>
      <c r="B457" s="1786">
        <f t="shared" si="67"/>
        <v>1247</v>
      </c>
      <c r="C457" s="1787">
        <v>28946</v>
      </c>
      <c r="D457" s="1786" t="str">
        <f t="shared" si="68"/>
        <v>מיטב גמל חכם מסלול בין 50 ל-60</v>
      </c>
      <c r="E457" s="1786" t="s">
        <v>3929</v>
      </c>
      <c r="F457" s="1786" t="s">
        <v>2958</v>
      </c>
      <c r="G457" s="1786" t="s">
        <v>2959</v>
      </c>
      <c r="H457" s="1786" t="str">
        <f t="shared" si="69"/>
        <v>לא פעיל</v>
      </c>
      <c r="I457" s="1788">
        <f t="shared" si="70"/>
        <v>39392</v>
      </c>
      <c r="J457" s="1788">
        <f t="shared" si="71"/>
        <v>41828.502708333297</v>
      </c>
      <c r="K457" s="1786">
        <v>0</v>
      </c>
      <c r="L457" s="1786" t="s">
        <v>1594</v>
      </c>
      <c r="M457" s="1786" t="s">
        <v>1653</v>
      </c>
      <c r="N457" s="1786" t="s">
        <v>1653</v>
      </c>
      <c r="O457" s="1786">
        <v>0</v>
      </c>
      <c r="P457" s="1786"/>
      <c r="Q457" s="1786">
        <v>0</v>
      </c>
      <c r="R457" s="1788"/>
      <c r="S457" s="1786">
        <f t="shared" si="72"/>
        <v>1245</v>
      </c>
      <c r="T457" s="1786" t="str">
        <f t="shared" si="73"/>
        <v>הבנק הבינלאומי הראשון</v>
      </c>
      <c r="U457" s="1786" t="str">
        <f t="shared" si="74"/>
        <v>מיטב גמל חכם מסלול מנייתי</v>
      </c>
      <c r="V457" s="1786" t="str">
        <f t="shared" si="75"/>
        <v>520043795</v>
      </c>
      <c r="W457" s="1789" t="str">
        <f t="shared" si="76"/>
        <v>מיטב דש גמל ופנסיה בע"מ</v>
      </c>
      <c r="AC457" s="1761" t="s">
        <v>1586</v>
      </c>
      <c r="AD457" s="1762">
        <v>41828.502708333297</v>
      </c>
      <c r="AE457" s="1762">
        <v>39392</v>
      </c>
      <c r="AF457" s="1761" t="s">
        <v>1653</v>
      </c>
      <c r="AG457" s="1761" t="s">
        <v>1653</v>
      </c>
      <c r="AH457" s="1761" t="s">
        <v>1594</v>
      </c>
      <c r="AI457" s="1761" t="s">
        <v>3571</v>
      </c>
      <c r="AJ457" s="1761" t="s">
        <v>3571</v>
      </c>
      <c r="AK457" s="1761">
        <v>1247</v>
      </c>
      <c r="AL457" s="1761" t="s">
        <v>687</v>
      </c>
      <c r="AM457" s="1761">
        <v>1245</v>
      </c>
      <c r="AN457" s="1761" t="s">
        <v>5384</v>
      </c>
      <c r="AO457" s="1764"/>
      <c r="AP457" s="1761" t="s">
        <v>5373</v>
      </c>
      <c r="AQ457" s="1761" t="s">
        <v>5374</v>
      </c>
      <c r="AR457" s="1761" t="s">
        <v>2899</v>
      </c>
      <c r="AS457" s="1761" t="s">
        <v>349</v>
      </c>
      <c r="AT457" s="1761" t="s">
        <v>327</v>
      </c>
      <c r="AU457" s="1763"/>
      <c r="AV457" s="1763"/>
    </row>
    <row r="458" spans="1:48" ht="25" hidden="1">
      <c r="A458" s="1785" t="str">
        <f t="shared" si="66"/>
        <v>גמל</v>
      </c>
      <c r="B458" s="1786">
        <f t="shared" si="67"/>
        <v>1247</v>
      </c>
      <c r="C458" s="1787">
        <v>28946</v>
      </c>
      <c r="D458" s="1786" t="str">
        <f t="shared" si="68"/>
        <v>מיטב גמל חכם מסלול בין 50 ל-60</v>
      </c>
      <c r="E458" s="1786" t="s">
        <v>3929</v>
      </c>
      <c r="F458" s="1786" t="s">
        <v>2958</v>
      </c>
      <c r="G458" s="1786" t="s">
        <v>2959</v>
      </c>
      <c r="H458" s="1786" t="str">
        <f t="shared" si="69"/>
        <v>לא פעיל</v>
      </c>
      <c r="I458" s="1788">
        <f t="shared" si="70"/>
        <v>39392</v>
      </c>
      <c r="J458" s="1788">
        <f t="shared" si="71"/>
        <v>41828.502708333297</v>
      </c>
      <c r="K458" s="1786">
        <v>0</v>
      </c>
      <c r="L458" s="1786" t="s">
        <v>1594</v>
      </c>
      <c r="M458" s="1786" t="s">
        <v>1653</v>
      </c>
      <c r="N458" s="1786" t="s">
        <v>1653</v>
      </c>
      <c r="O458" s="1786">
        <v>0</v>
      </c>
      <c r="P458" s="1786"/>
      <c r="Q458" s="1786">
        <v>0</v>
      </c>
      <c r="R458" s="1788"/>
      <c r="S458" s="1786">
        <f t="shared" si="72"/>
        <v>1245</v>
      </c>
      <c r="T458" s="1786" t="str">
        <f t="shared" si="73"/>
        <v>הבנק הבינלאומי הראשון</v>
      </c>
      <c r="U458" s="1786" t="str">
        <f t="shared" si="74"/>
        <v>מיטב גמל חכם מסלול מנייתי</v>
      </c>
      <c r="V458" s="1786" t="str">
        <f t="shared" si="75"/>
        <v>520043795</v>
      </c>
      <c r="W458" s="1789" t="str">
        <f t="shared" si="76"/>
        <v>מיטב דש גמל ופנסיה בע"מ</v>
      </c>
      <c r="AC458" s="1759" t="s">
        <v>1586</v>
      </c>
      <c r="AD458" s="1760">
        <v>41828.502708333297</v>
      </c>
      <c r="AE458" s="1760">
        <v>39392</v>
      </c>
      <c r="AF458" s="1759" t="s">
        <v>1653</v>
      </c>
      <c r="AG458" s="1759" t="s">
        <v>1653</v>
      </c>
      <c r="AH458" s="1759" t="s">
        <v>1594</v>
      </c>
      <c r="AI458" s="1759" t="s">
        <v>3571</v>
      </c>
      <c r="AJ458" s="1759" t="s">
        <v>3571</v>
      </c>
      <c r="AK458" s="1759">
        <v>1247</v>
      </c>
      <c r="AL458" s="1759" t="s">
        <v>687</v>
      </c>
      <c r="AM458" s="1759">
        <v>1245</v>
      </c>
      <c r="AN458" s="1759" t="s">
        <v>5384</v>
      </c>
      <c r="AO458" s="1764"/>
      <c r="AP458" s="1759" t="s">
        <v>5373</v>
      </c>
      <c r="AQ458" s="1759" t="s">
        <v>5374</v>
      </c>
      <c r="AR458" s="1759" t="s">
        <v>2899</v>
      </c>
      <c r="AS458" s="1759" t="s">
        <v>349</v>
      </c>
      <c r="AT458" s="1759" t="s">
        <v>327</v>
      </c>
      <c r="AU458" s="1763"/>
      <c r="AV458" s="1763"/>
    </row>
    <row r="459" spans="1:48" ht="25" hidden="1">
      <c r="A459" s="1785" t="str">
        <f t="shared" si="66"/>
        <v>גמל</v>
      </c>
      <c r="B459" s="1786">
        <f t="shared" si="67"/>
        <v>111</v>
      </c>
      <c r="C459" s="1787">
        <v>28946</v>
      </c>
      <c r="D459" s="1786" t="str">
        <f t="shared" si="68"/>
        <v>מיטב מירון</v>
      </c>
      <c r="E459" s="1786" t="s">
        <v>3929</v>
      </c>
      <c r="F459" s="1786" t="s">
        <v>2958</v>
      </c>
      <c r="G459" s="1786" t="s">
        <v>2959</v>
      </c>
      <c r="H459" s="1786" t="str">
        <f t="shared" si="69"/>
        <v>לא פעיל</v>
      </c>
      <c r="I459" s="1788">
        <f t="shared" si="70"/>
        <v>39392</v>
      </c>
      <c r="J459" s="1788">
        <f t="shared" si="71"/>
        <v>41828.504814814798</v>
      </c>
      <c r="K459" s="1786">
        <v>0</v>
      </c>
      <c r="L459" s="1786" t="s">
        <v>1594</v>
      </c>
      <c r="M459" s="1786" t="s">
        <v>1653</v>
      </c>
      <c r="N459" s="1786" t="s">
        <v>1653</v>
      </c>
      <c r="O459" s="1786">
        <v>0</v>
      </c>
      <c r="P459" s="1786"/>
      <c r="Q459" s="1786">
        <v>0</v>
      </c>
      <c r="R459" s="1788"/>
      <c r="S459" s="1786">
        <f t="shared" si="72"/>
        <v>1245</v>
      </c>
      <c r="T459" s="1786" t="str">
        <f t="shared" si="73"/>
        <v>הבנק הבינלאומי הראשון</v>
      </c>
      <c r="U459" s="1786" t="str">
        <f t="shared" si="74"/>
        <v>מיטב גמל חכם מסלול מנייתי</v>
      </c>
      <c r="V459" s="1786" t="str">
        <f t="shared" si="75"/>
        <v>520043795</v>
      </c>
      <c r="W459" s="1789" t="str">
        <f t="shared" si="76"/>
        <v>מיטב דש גמל ופנסיה בע"מ</v>
      </c>
      <c r="AC459" s="1761" t="s">
        <v>1586</v>
      </c>
      <c r="AD459" s="1762">
        <v>41828.504814814798</v>
      </c>
      <c r="AE459" s="1762">
        <v>39392</v>
      </c>
      <c r="AF459" s="1761" t="s">
        <v>1583</v>
      </c>
      <c r="AG459" s="1761" t="s">
        <v>1583</v>
      </c>
      <c r="AH459" s="1761" t="s">
        <v>1583</v>
      </c>
      <c r="AI459" s="1761" t="s">
        <v>1599</v>
      </c>
      <c r="AJ459" s="1761" t="s">
        <v>1599</v>
      </c>
      <c r="AK459" s="1761">
        <v>111</v>
      </c>
      <c r="AL459" s="1761" t="s">
        <v>687</v>
      </c>
      <c r="AM459" s="1761">
        <v>1245</v>
      </c>
      <c r="AN459" s="1761" t="s">
        <v>5384</v>
      </c>
      <c r="AO459" s="1764"/>
      <c r="AP459" s="1761" t="s">
        <v>5373</v>
      </c>
      <c r="AQ459" s="1761" t="s">
        <v>5374</v>
      </c>
      <c r="AR459" s="1761" t="s">
        <v>2899</v>
      </c>
      <c r="AS459" s="1761" t="s">
        <v>349</v>
      </c>
      <c r="AT459" s="1761" t="s">
        <v>327</v>
      </c>
      <c r="AU459" s="1763"/>
      <c r="AV459" s="1763"/>
    </row>
    <row r="460" spans="1:48" ht="25" hidden="1">
      <c r="A460" s="1785" t="str">
        <f t="shared" si="66"/>
        <v>גמל</v>
      </c>
      <c r="B460" s="1786">
        <f t="shared" si="67"/>
        <v>1248</v>
      </c>
      <c r="C460" s="1787">
        <v>28946</v>
      </c>
      <c r="D460" s="1786" t="str">
        <f t="shared" si="68"/>
        <v>מיטב גמל חכם מסלול 60 פלוס</v>
      </c>
      <c r="E460" s="1786" t="s">
        <v>3929</v>
      </c>
      <c r="F460" s="1786" t="s">
        <v>2958</v>
      </c>
      <c r="G460" s="1786" t="s">
        <v>2959</v>
      </c>
      <c r="H460" s="1786" t="str">
        <f t="shared" si="69"/>
        <v>לא פעיל</v>
      </c>
      <c r="I460" s="1788">
        <f t="shared" si="70"/>
        <v>39392</v>
      </c>
      <c r="J460" s="1788">
        <f t="shared" si="71"/>
        <v>41828.5074537037</v>
      </c>
      <c r="K460" s="1786">
        <v>0</v>
      </c>
      <c r="L460" s="1786" t="s">
        <v>1594</v>
      </c>
      <c r="M460" s="1786" t="s">
        <v>1653</v>
      </c>
      <c r="N460" s="1786" t="s">
        <v>1653</v>
      </c>
      <c r="O460" s="1786">
        <v>0</v>
      </c>
      <c r="P460" s="1786"/>
      <c r="Q460" s="1786">
        <v>0</v>
      </c>
      <c r="R460" s="1788"/>
      <c r="S460" s="1786">
        <f t="shared" si="72"/>
        <v>1245</v>
      </c>
      <c r="T460" s="1786" t="str">
        <f t="shared" si="73"/>
        <v>הבנק הבינלאומי הראשון</v>
      </c>
      <c r="U460" s="1786" t="str">
        <f t="shared" si="74"/>
        <v>מיטב גמל חכם מסלול מנייתי</v>
      </c>
      <c r="V460" s="1786" t="str">
        <f t="shared" si="75"/>
        <v>520043795</v>
      </c>
      <c r="W460" s="1789" t="str">
        <f t="shared" si="76"/>
        <v>מיטב דש גמל ופנסיה בע"מ</v>
      </c>
      <c r="AC460" s="1759" t="s">
        <v>1586</v>
      </c>
      <c r="AD460" s="1760">
        <v>41828.5074537037</v>
      </c>
      <c r="AE460" s="1760">
        <v>39392</v>
      </c>
      <c r="AF460" s="1759" t="s">
        <v>1653</v>
      </c>
      <c r="AG460" s="1759" t="s">
        <v>1653</v>
      </c>
      <c r="AH460" s="1759" t="s">
        <v>1594</v>
      </c>
      <c r="AI460" s="1759" t="s">
        <v>3572</v>
      </c>
      <c r="AJ460" s="1759" t="s">
        <v>3572</v>
      </c>
      <c r="AK460" s="1759">
        <v>1248</v>
      </c>
      <c r="AL460" s="1759" t="s">
        <v>687</v>
      </c>
      <c r="AM460" s="1759">
        <v>1245</v>
      </c>
      <c r="AN460" s="1759" t="s">
        <v>5384</v>
      </c>
      <c r="AO460" s="1764"/>
      <c r="AP460" s="1759" t="s">
        <v>5373</v>
      </c>
      <c r="AQ460" s="1759" t="s">
        <v>5374</v>
      </c>
      <c r="AR460" s="1759" t="s">
        <v>2899</v>
      </c>
      <c r="AS460" s="1759" t="s">
        <v>349</v>
      </c>
      <c r="AT460" s="1759" t="s">
        <v>327</v>
      </c>
      <c r="AU460" s="1763"/>
      <c r="AV460" s="1763"/>
    </row>
    <row r="461" spans="1:48" ht="25" hidden="1">
      <c r="A461" s="1785" t="str">
        <f t="shared" si="66"/>
        <v>גמל</v>
      </c>
      <c r="B461" s="1786">
        <f t="shared" si="67"/>
        <v>1249</v>
      </c>
      <c r="C461" s="1787">
        <v>28946</v>
      </c>
      <c r="D461" s="1786" t="str">
        <f t="shared" si="68"/>
        <v>מיטב גמל חכם מסלול אג"ח ב</v>
      </c>
      <c r="E461" s="1786" t="s">
        <v>3929</v>
      </c>
      <c r="F461" s="1786" t="s">
        <v>2958</v>
      </c>
      <c r="G461" s="1786" t="s">
        <v>2959</v>
      </c>
      <c r="H461" s="1786" t="str">
        <f t="shared" si="69"/>
        <v>לא פעיל</v>
      </c>
      <c r="I461" s="1788">
        <f t="shared" si="70"/>
        <v>39392</v>
      </c>
      <c r="J461" s="1788">
        <f t="shared" si="71"/>
        <v>41828.557870370401</v>
      </c>
      <c r="K461" s="1786">
        <v>0</v>
      </c>
      <c r="L461" s="1786" t="s">
        <v>1594</v>
      </c>
      <c r="M461" s="1786" t="s">
        <v>1653</v>
      </c>
      <c r="N461" s="1786" t="s">
        <v>1653</v>
      </c>
      <c r="O461" s="1786">
        <v>0</v>
      </c>
      <c r="P461" s="1786"/>
      <c r="Q461" s="1786">
        <v>0</v>
      </c>
      <c r="R461" s="1788"/>
      <c r="S461" s="1786">
        <f t="shared" si="72"/>
        <v>1245</v>
      </c>
      <c r="T461" s="1786" t="str">
        <f t="shared" si="73"/>
        <v>הבנק הבינלאומי הראשון</v>
      </c>
      <c r="U461" s="1786" t="str">
        <f t="shared" si="74"/>
        <v>מיטב גמל חכם מסלול מנייתי</v>
      </c>
      <c r="V461" s="1786" t="str">
        <f t="shared" si="75"/>
        <v>520043795</v>
      </c>
      <c r="W461" s="1789" t="str">
        <f t="shared" si="76"/>
        <v>מיטב דש גמל ופנסיה בע"מ</v>
      </c>
      <c r="AC461" s="1761" t="s">
        <v>1586</v>
      </c>
      <c r="AD461" s="1762">
        <v>41828.557870370401</v>
      </c>
      <c r="AE461" s="1762">
        <v>39392</v>
      </c>
      <c r="AF461" s="1761" t="s">
        <v>1681</v>
      </c>
      <c r="AG461" s="1761" t="s">
        <v>1653</v>
      </c>
      <c r="AH461" s="1761" t="s">
        <v>1594</v>
      </c>
      <c r="AI461" s="1761" t="s">
        <v>3573</v>
      </c>
      <c r="AJ461" s="1761" t="s">
        <v>2358</v>
      </c>
      <c r="AK461" s="1761">
        <v>1249</v>
      </c>
      <c r="AL461" s="1761" t="s">
        <v>687</v>
      </c>
      <c r="AM461" s="1761">
        <v>1245</v>
      </c>
      <c r="AN461" s="1761" t="s">
        <v>5384</v>
      </c>
      <c r="AO461" s="1764"/>
      <c r="AP461" s="1761" t="s">
        <v>5373</v>
      </c>
      <c r="AQ461" s="1761" t="s">
        <v>5374</v>
      </c>
      <c r="AR461" s="1761" t="s">
        <v>2899</v>
      </c>
      <c r="AS461" s="1761" t="s">
        <v>349</v>
      </c>
      <c r="AT461" s="1761" t="s">
        <v>327</v>
      </c>
      <c r="AU461" s="1763"/>
      <c r="AV461" s="1763"/>
    </row>
    <row r="462" spans="1:48" ht="25" hidden="1">
      <c r="A462" s="1785" t="str">
        <f t="shared" si="66"/>
        <v>גמל</v>
      </c>
      <c r="B462" s="1786">
        <f t="shared" si="67"/>
        <v>1249</v>
      </c>
      <c r="C462" s="1787">
        <v>28946</v>
      </c>
      <c r="D462" s="1786" t="str">
        <f t="shared" si="68"/>
        <v>מיטב גמל חכם מסלול אג"ח ב</v>
      </c>
      <c r="E462" s="1786" t="s">
        <v>3929</v>
      </c>
      <c r="F462" s="1786" t="s">
        <v>2958</v>
      </c>
      <c r="G462" s="1786" t="s">
        <v>2959</v>
      </c>
      <c r="H462" s="1786" t="str">
        <f t="shared" si="69"/>
        <v>לא פעיל</v>
      </c>
      <c r="I462" s="1788">
        <f t="shared" si="70"/>
        <v>39392</v>
      </c>
      <c r="J462" s="1788">
        <f t="shared" si="71"/>
        <v>41828.557870370401</v>
      </c>
      <c r="K462" s="1786">
        <v>0</v>
      </c>
      <c r="L462" s="1786" t="s">
        <v>1594</v>
      </c>
      <c r="M462" s="1786" t="s">
        <v>1653</v>
      </c>
      <c r="N462" s="1786" t="s">
        <v>1653</v>
      </c>
      <c r="O462" s="1786">
        <v>0</v>
      </c>
      <c r="P462" s="1786"/>
      <c r="Q462" s="1786">
        <v>0</v>
      </c>
      <c r="R462" s="1788"/>
      <c r="S462" s="1786">
        <f t="shared" si="72"/>
        <v>1245</v>
      </c>
      <c r="T462" s="1786" t="str">
        <f t="shared" si="73"/>
        <v>הבנק הבינלאומי הראשון</v>
      </c>
      <c r="U462" s="1786" t="str">
        <f t="shared" si="74"/>
        <v>מיטב גמל חכם מסלול מנייתי</v>
      </c>
      <c r="V462" s="1786" t="str">
        <f t="shared" si="75"/>
        <v>520043795</v>
      </c>
      <c r="W462" s="1789" t="str">
        <f t="shared" si="76"/>
        <v>מיטב דש גמל ופנסיה בע"מ</v>
      </c>
      <c r="AC462" s="1759" t="s">
        <v>1586</v>
      </c>
      <c r="AD462" s="1760">
        <v>41828.557870370401</v>
      </c>
      <c r="AE462" s="1760">
        <v>39392</v>
      </c>
      <c r="AF462" s="1759" t="s">
        <v>1681</v>
      </c>
      <c r="AG462" s="1759" t="s">
        <v>1653</v>
      </c>
      <c r="AH462" s="1759" t="s">
        <v>1594</v>
      </c>
      <c r="AI462" s="1759" t="s">
        <v>3573</v>
      </c>
      <c r="AJ462" s="1759" t="s">
        <v>2358</v>
      </c>
      <c r="AK462" s="1759">
        <v>1249</v>
      </c>
      <c r="AL462" s="1759" t="s">
        <v>687</v>
      </c>
      <c r="AM462" s="1759">
        <v>1245</v>
      </c>
      <c r="AN462" s="1759" t="s">
        <v>5384</v>
      </c>
      <c r="AO462" s="1764"/>
      <c r="AP462" s="1759" t="s">
        <v>5373</v>
      </c>
      <c r="AQ462" s="1759" t="s">
        <v>5374</v>
      </c>
      <c r="AR462" s="1759" t="s">
        <v>2899</v>
      </c>
      <c r="AS462" s="1759" t="s">
        <v>349</v>
      </c>
      <c r="AT462" s="1759" t="s">
        <v>327</v>
      </c>
      <c r="AU462" s="1763"/>
      <c r="AV462" s="1763"/>
    </row>
    <row r="463" spans="1:48" ht="25" hidden="1">
      <c r="A463" s="1785" t="str">
        <f t="shared" si="66"/>
        <v>גמל</v>
      </c>
      <c r="B463" s="1786">
        <f t="shared" si="67"/>
        <v>111</v>
      </c>
      <c r="C463" s="1787">
        <v>28946</v>
      </c>
      <c r="D463" s="1786" t="str">
        <f t="shared" si="68"/>
        <v>מיטב מירון</v>
      </c>
      <c r="E463" s="1786" t="s">
        <v>3929</v>
      </c>
      <c r="F463" s="1786" t="s">
        <v>2958</v>
      </c>
      <c r="G463" s="1786" t="s">
        <v>2959</v>
      </c>
      <c r="H463" s="1786" t="str">
        <f t="shared" si="69"/>
        <v>לא פעיל</v>
      </c>
      <c r="I463" s="1788">
        <f t="shared" si="70"/>
        <v>39392</v>
      </c>
      <c r="J463" s="1788">
        <f t="shared" si="71"/>
        <v>41828.504814814798</v>
      </c>
      <c r="K463" s="1786">
        <v>0</v>
      </c>
      <c r="L463" s="1786" t="s">
        <v>1594</v>
      </c>
      <c r="M463" s="1786" t="s">
        <v>1653</v>
      </c>
      <c r="N463" s="1786" t="s">
        <v>1653</v>
      </c>
      <c r="O463" s="1786">
        <v>0</v>
      </c>
      <c r="P463" s="1786"/>
      <c r="Q463" s="1786">
        <v>0</v>
      </c>
      <c r="R463" s="1788"/>
      <c r="S463" s="1786">
        <f t="shared" si="72"/>
        <v>1245</v>
      </c>
      <c r="T463" s="1786" t="str">
        <f t="shared" si="73"/>
        <v>הבנק הבינלאומי הראשון</v>
      </c>
      <c r="U463" s="1786" t="str">
        <f t="shared" si="74"/>
        <v>מיטב גמל חכם מסלול מנייתי</v>
      </c>
      <c r="V463" s="1786" t="str">
        <f t="shared" si="75"/>
        <v>520043795</v>
      </c>
      <c r="W463" s="1789" t="str">
        <f t="shared" si="76"/>
        <v>מיטב דש גמל ופנסיה בע"מ</v>
      </c>
      <c r="AC463" s="1761" t="s">
        <v>1586</v>
      </c>
      <c r="AD463" s="1762">
        <v>41828.504814814798</v>
      </c>
      <c r="AE463" s="1762">
        <v>39392</v>
      </c>
      <c r="AF463" s="1761" t="s">
        <v>1583</v>
      </c>
      <c r="AG463" s="1761" t="s">
        <v>1583</v>
      </c>
      <c r="AH463" s="1761" t="s">
        <v>1583</v>
      </c>
      <c r="AI463" s="1761" t="s">
        <v>1599</v>
      </c>
      <c r="AJ463" s="1761" t="s">
        <v>1599</v>
      </c>
      <c r="AK463" s="1761">
        <v>111</v>
      </c>
      <c r="AL463" s="1761" t="s">
        <v>687</v>
      </c>
      <c r="AM463" s="1761">
        <v>1245</v>
      </c>
      <c r="AN463" s="1761" t="s">
        <v>5384</v>
      </c>
      <c r="AO463" s="1764"/>
      <c r="AP463" s="1761" t="s">
        <v>5373</v>
      </c>
      <c r="AQ463" s="1761" t="s">
        <v>5374</v>
      </c>
      <c r="AR463" s="1761" t="s">
        <v>2899</v>
      </c>
      <c r="AS463" s="1761" t="s">
        <v>349</v>
      </c>
      <c r="AT463" s="1761" t="s">
        <v>327</v>
      </c>
      <c r="AU463" s="1763"/>
      <c r="AV463" s="1763"/>
    </row>
    <row r="464" spans="1:48" ht="25" hidden="1">
      <c r="A464" s="1785" t="str">
        <f t="shared" si="66"/>
        <v>גמל</v>
      </c>
      <c r="B464" s="1786">
        <f t="shared" si="67"/>
        <v>1248</v>
      </c>
      <c r="C464" s="1787">
        <v>28946</v>
      </c>
      <c r="D464" s="1786" t="str">
        <f t="shared" si="68"/>
        <v>מיטב גמל חכם מסלול 60 פלוס</v>
      </c>
      <c r="E464" s="1786" t="s">
        <v>3929</v>
      </c>
      <c r="F464" s="1786" t="s">
        <v>2958</v>
      </c>
      <c r="G464" s="1786" t="s">
        <v>2959</v>
      </c>
      <c r="H464" s="1786" t="str">
        <f t="shared" si="69"/>
        <v>לא פעיל</v>
      </c>
      <c r="I464" s="1788">
        <f t="shared" si="70"/>
        <v>39392</v>
      </c>
      <c r="J464" s="1788">
        <f t="shared" si="71"/>
        <v>41828.5074537037</v>
      </c>
      <c r="K464" s="1786">
        <v>0</v>
      </c>
      <c r="L464" s="1786" t="s">
        <v>1594</v>
      </c>
      <c r="M464" s="1786" t="s">
        <v>1653</v>
      </c>
      <c r="N464" s="1786" t="s">
        <v>1653</v>
      </c>
      <c r="O464" s="1786">
        <v>0</v>
      </c>
      <c r="P464" s="1786"/>
      <c r="Q464" s="1786">
        <v>0</v>
      </c>
      <c r="R464" s="1788"/>
      <c r="S464" s="1786">
        <f t="shared" si="72"/>
        <v>1245</v>
      </c>
      <c r="T464" s="1786" t="str">
        <f t="shared" si="73"/>
        <v>הבנק הבינלאומי הראשון</v>
      </c>
      <c r="U464" s="1786" t="str">
        <f t="shared" si="74"/>
        <v>מיטב גמל חכם מסלול מנייתי</v>
      </c>
      <c r="V464" s="1786" t="str">
        <f t="shared" si="75"/>
        <v>520043795</v>
      </c>
      <c r="W464" s="1789" t="str">
        <f t="shared" si="76"/>
        <v>מיטב דש גמל ופנסיה בע"מ</v>
      </c>
      <c r="AC464" s="1759" t="s">
        <v>1586</v>
      </c>
      <c r="AD464" s="1760">
        <v>41828.5074537037</v>
      </c>
      <c r="AE464" s="1760">
        <v>39392</v>
      </c>
      <c r="AF464" s="1759" t="s">
        <v>1653</v>
      </c>
      <c r="AG464" s="1759" t="s">
        <v>1653</v>
      </c>
      <c r="AH464" s="1759" t="s">
        <v>1594</v>
      </c>
      <c r="AI464" s="1759" t="s">
        <v>3572</v>
      </c>
      <c r="AJ464" s="1759" t="s">
        <v>3572</v>
      </c>
      <c r="AK464" s="1759">
        <v>1248</v>
      </c>
      <c r="AL464" s="1759" t="s">
        <v>687</v>
      </c>
      <c r="AM464" s="1759">
        <v>1245</v>
      </c>
      <c r="AN464" s="1759" t="s">
        <v>5384</v>
      </c>
      <c r="AO464" s="1764"/>
      <c r="AP464" s="1759" t="s">
        <v>5373</v>
      </c>
      <c r="AQ464" s="1759" t="s">
        <v>5374</v>
      </c>
      <c r="AR464" s="1759" t="s">
        <v>2899</v>
      </c>
      <c r="AS464" s="1759" t="s">
        <v>349</v>
      </c>
      <c r="AT464" s="1759" t="s">
        <v>327</v>
      </c>
      <c r="AU464" s="1763"/>
      <c r="AV464" s="1763"/>
    </row>
    <row r="465" spans="1:48" ht="25" hidden="1">
      <c r="A465" s="1785" t="str">
        <f t="shared" si="66"/>
        <v>גמל</v>
      </c>
      <c r="B465" s="1786">
        <f t="shared" si="67"/>
        <v>1243</v>
      </c>
      <c r="C465" s="1787">
        <v>28946</v>
      </c>
      <c r="D465" s="1786" t="str">
        <f t="shared" si="68"/>
        <v>מיטב השתלמות אג"ח 50</v>
      </c>
      <c r="E465" s="1786" t="s">
        <v>3929</v>
      </c>
      <c r="F465" s="1786" t="s">
        <v>2958</v>
      </c>
      <c r="G465" s="1786" t="s">
        <v>2959</v>
      </c>
      <c r="H465" s="1786" t="str">
        <f t="shared" si="69"/>
        <v>לא פעיל</v>
      </c>
      <c r="I465" s="1788">
        <f t="shared" si="70"/>
        <v>39280</v>
      </c>
      <c r="J465" s="1788">
        <f t="shared" si="71"/>
        <v>40055</v>
      </c>
      <c r="K465" s="1786">
        <v>0</v>
      </c>
      <c r="L465" s="1786" t="s">
        <v>1594</v>
      </c>
      <c r="M465" s="1786" t="s">
        <v>1653</v>
      </c>
      <c r="N465" s="1786" t="s">
        <v>1653</v>
      </c>
      <c r="O465" s="1786">
        <v>0</v>
      </c>
      <c r="P465" s="1786"/>
      <c r="Q465" s="1786">
        <v>0</v>
      </c>
      <c r="R465" s="1788"/>
      <c r="S465" s="1786">
        <f t="shared" si="72"/>
        <v>1243</v>
      </c>
      <c r="T465" s="1786" t="str">
        <f t="shared" si="73"/>
        <v>ד.ס.ש ייעוץ ושירותים בע"מ</v>
      </c>
      <c r="U465" s="1786" t="str">
        <f t="shared" si="74"/>
        <v>מיטב השתלמות אג"ח 50</v>
      </c>
      <c r="V465" s="1786">
        <f t="shared" si="75"/>
        <v>0</v>
      </c>
      <c r="W465" s="1789" t="str">
        <f t="shared" si="76"/>
        <v>מיטב גמל ופנסיה בע"מ</v>
      </c>
      <c r="AC465" s="1761" t="s">
        <v>1586</v>
      </c>
      <c r="AD465" s="1762">
        <v>40055</v>
      </c>
      <c r="AE465" s="1762">
        <v>39280</v>
      </c>
      <c r="AF465" s="1761" t="s">
        <v>1653</v>
      </c>
      <c r="AG465" s="1761" t="s">
        <v>1653</v>
      </c>
      <c r="AH465" s="1761" t="s">
        <v>1594</v>
      </c>
      <c r="AI465" s="1761" t="s">
        <v>2356</v>
      </c>
      <c r="AJ465" s="1761" t="s">
        <v>2356</v>
      </c>
      <c r="AK465" s="1761">
        <v>1243</v>
      </c>
      <c r="AL465" s="1761" t="s">
        <v>2356</v>
      </c>
      <c r="AM465" s="1761">
        <v>1243</v>
      </c>
      <c r="AN465" s="1761" t="s">
        <v>5393</v>
      </c>
      <c r="AO465" s="1764"/>
      <c r="AP465" s="1761"/>
      <c r="AQ465" s="1761"/>
      <c r="AR465" s="1761" t="s">
        <v>365</v>
      </c>
      <c r="AS465" s="1761" t="s">
        <v>366</v>
      </c>
      <c r="AT465" s="1761" t="s">
        <v>327</v>
      </c>
      <c r="AU465" s="1763"/>
      <c r="AV465" s="1763"/>
    </row>
    <row r="466" spans="1:48" ht="25" hidden="1">
      <c r="A466" s="1785" t="str">
        <f t="shared" si="66"/>
        <v>גמל</v>
      </c>
      <c r="B466" s="1786">
        <f t="shared" si="67"/>
        <v>1242</v>
      </c>
      <c r="C466" s="1787">
        <v>28946</v>
      </c>
      <c r="D466" s="1786" t="str">
        <f t="shared" si="68"/>
        <v>מיטב השתלמות אג"ח 70</v>
      </c>
      <c r="E466" s="1786" t="s">
        <v>3929</v>
      </c>
      <c r="F466" s="1786" t="s">
        <v>2958</v>
      </c>
      <c r="G466" s="1786" t="s">
        <v>2959</v>
      </c>
      <c r="H466" s="1786" t="str">
        <f t="shared" si="69"/>
        <v>לא פעיל</v>
      </c>
      <c r="I466" s="1788">
        <f t="shared" si="70"/>
        <v>39280</v>
      </c>
      <c r="J466" s="1788">
        <f t="shared" si="71"/>
        <v>40055</v>
      </c>
      <c r="K466" s="1786">
        <v>0</v>
      </c>
      <c r="L466" s="1786" t="s">
        <v>1594</v>
      </c>
      <c r="M466" s="1786" t="s">
        <v>1653</v>
      </c>
      <c r="N466" s="1786" t="s">
        <v>1653</v>
      </c>
      <c r="O466" s="1786">
        <v>0</v>
      </c>
      <c r="P466" s="1786"/>
      <c r="Q466" s="1786">
        <v>0</v>
      </c>
      <c r="R466" s="1788"/>
      <c r="S466" s="1786">
        <f t="shared" si="72"/>
        <v>1242</v>
      </c>
      <c r="T466" s="1786" t="str">
        <f t="shared" si="73"/>
        <v>ד.ס.ש ייעוץ ושירותים בע"מ</v>
      </c>
      <c r="U466" s="1786" t="str">
        <f t="shared" si="74"/>
        <v>מיטב השתלמות אג"ח 70</v>
      </c>
      <c r="V466" s="1786">
        <f t="shared" si="75"/>
        <v>0</v>
      </c>
      <c r="W466" s="1789" t="str">
        <f t="shared" si="76"/>
        <v>מיטב גמל ופנסיה בע"מ</v>
      </c>
      <c r="AC466" s="1759" t="s">
        <v>1586</v>
      </c>
      <c r="AD466" s="1760">
        <v>40055</v>
      </c>
      <c r="AE466" s="1760">
        <v>39280</v>
      </c>
      <c r="AF466" s="1759" t="s">
        <v>1653</v>
      </c>
      <c r="AG466" s="1759" t="s">
        <v>1653</v>
      </c>
      <c r="AH466" s="1759" t="s">
        <v>1594</v>
      </c>
      <c r="AI466" s="1759" t="s">
        <v>2355</v>
      </c>
      <c r="AJ466" s="1759" t="s">
        <v>2355</v>
      </c>
      <c r="AK466" s="1759">
        <v>1242</v>
      </c>
      <c r="AL466" s="1759" t="s">
        <v>2355</v>
      </c>
      <c r="AM466" s="1759">
        <v>1242</v>
      </c>
      <c r="AN466" s="1759" t="s">
        <v>5393</v>
      </c>
      <c r="AO466" s="1764"/>
      <c r="AP466" s="1759"/>
      <c r="AQ466" s="1759"/>
      <c r="AR466" s="1759" t="s">
        <v>365</v>
      </c>
      <c r="AS466" s="1759" t="s">
        <v>366</v>
      </c>
      <c r="AT466" s="1759" t="s">
        <v>327</v>
      </c>
      <c r="AU466" s="1763"/>
      <c r="AV466" s="1763"/>
    </row>
    <row r="467" spans="1:48" ht="25" hidden="1">
      <c r="A467" s="1785" t="str">
        <f t="shared" si="66"/>
        <v>גמל</v>
      </c>
      <c r="B467" s="1786">
        <f t="shared" si="67"/>
        <v>879</v>
      </c>
      <c r="C467" s="1787">
        <v>28946</v>
      </c>
      <c r="D467" s="1786" t="str">
        <f t="shared" si="68"/>
        <v>מיטב השתלמות כללי</v>
      </c>
      <c r="E467" s="1786" t="s">
        <v>3929</v>
      </c>
      <c r="F467" s="1786" t="s">
        <v>2958</v>
      </c>
      <c r="G467" s="1786" t="s">
        <v>2959</v>
      </c>
      <c r="H467" s="1786" t="str">
        <f t="shared" si="69"/>
        <v>לא פעיל</v>
      </c>
      <c r="I467" s="1788">
        <f t="shared" si="70"/>
        <v>39280</v>
      </c>
      <c r="J467" s="1788">
        <f t="shared" si="71"/>
        <v>41554.435648148101</v>
      </c>
      <c r="K467" s="1786">
        <v>0</v>
      </c>
      <c r="L467" s="1786" t="s">
        <v>1594</v>
      </c>
      <c r="M467" s="1786" t="s">
        <v>1653</v>
      </c>
      <c r="N467" s="1786" t="s">
        <v>1653</v>
      </c>
      <c r="O467" s="1786">
        <v>0</v>
      </c>
      <c r="P467" s="1786"/>
      <c r="Q467" s="1786">
        <v>0</v>
      </c>
      <c r="R467" s="1788"/>
      <c r="S467" s="1786">
        <f t="shared" si="72"/>
        <v>1240</v>
      </c>
      <c r="T467" s="1786" t="str">
        <f t="shared" si="73"/>
        <v>ד.ס.ש ייעוץ ושירותים בע"מ</v>
      </c>
      <c r="U467" s="1786" t="str">
        <f t="shared" si="74"/>
        <v>מיטב השתלמות אג"ח (ללא מניות)</v>
      </c>
      <c r="V467" s="1786">
        <f t="shared" si="75"/>
        <v>0</v>
      </c>
      <c r="W467" s="1789" t="str">
        <f t="shared" si="76"/>
        <v>מיטב גמל ופנסיה בע"מ</v>
      </c>
      <c r="AC467" s="1761" t="s">
        <v>1586</v>
      </c>
      <c r="AD467" s="1762">
        <v>41554.435648148101</v>
      </c>
      <c r="AE467" s="1762">
        <v>39280</v>
      </c>
      <c r="AF467" s="1761" t="s">
        <v>1583</v>
      </c>
      <c r="AG467" s="1761" t="s">
        <v>1583</v>
      </c>
      <c r="AH467" s="1761" t="s">
        <v>1583</v>
      </c>
      <c r="AI467" s="1761" t="s">
        <v>2100</v>
      </c>
      <c r="AJ467" s="1761" t="s">
        <v>2100</v>
      </c>
      <c r="AK467" s="1761">
        <v>879</v>
      </c>
      <c r="AL467" s="1761" t="s">
        <v>686</v>
      </c>
      <c r="AM467" s="1761">
        <v>1240</v>
      </c>
      <c r="AN467" s="1761" t="s">
        <v>5393</v>
      </c>
      <c r="AO467" s="1764"/>
      <c r="AP467" s="1761"/>
      <c r="AQ467" s="1761"/>
      <c r="AR467" s="1761" t="s">
        <v>365</v>
      </c>
      <c r="AS467" s="1761" t="s">
        <v>366</v>
      </c>
      <c r="AT467" s="1761" t="s">
        <v>327</v>
      </c>
      <c r="AU467" s="1763"/>
      <c r="AV467" s="1763"/>
    </row>
    <row r="468" spans="1:48" ht="25" hidden="1">
      <c r="A468" s="1785" t="str">
        <f t="shared" si="66"/>
        <v>גמל</v>
      </c>
      <c r="B468" s="1786">
        <f t="shared" si="67"/>
        <v>1244</v>
      </c>
      <c r="C468" s="1787">
        <v>28946</v>
      </c>
      <c r="D468" s="1786" t="str">
        <f t="shared" si="68"/>
        <v>מיטב השתלמות מניות</v>
      </c>
      <c r="E468" s="1786" t="s">
        <v>3929</v>
      </c>
      <c r="F468" s="1786" t="s">
        <v>2958</v>
      </c>
      <c r="G468" s="1786" t="s">
        <v>2959</v>
      </c>
      <c r="H468" s="1786" t="str">
        <f t="shared" si="69"/>
        <v>לא פעיל</v>
      </c>
      <c r="I468" s="1788">
        <f t="shared" si="70"/>
        <v>39280</v>
      </c>
      <c r="J468" s="1788">
        <f t="shared" si="71"/>
        <v>41554.435648148101</v>
      </c>
      <c r="K468" s="1786">
        <v>0</v>
      </c>
      <c r="L468" s="1786" t="s">
        <v>1594</v>
      </c>
      <c r="M468" s="1786" t="s">
        <v>1653</v>
      </c>
      <c r="N468" s="1786" t="s">
        <v>1653</v>
      </c>
      <c r="O468" s="1786">
        <v>0</v>
      </c>
      <c r="P468" s="1786"/>
      <c r="Q468" s="1786">
        <v>0</v>
      </c>
      <c r="R468" s="1788"/>
      <c r="S468" s="1786">
        <f t="shared" si="72"/>
        <v>1240</v>
      </c>
      <c r="T468" s="1786" t="str">
        <f t="shared" si="73"/>
        <v>ד.ס.ש ייעוץ ושירותים בע"מ</v>
      </c>
      <c r="U468" s="1786" t="str">
        <f t="shared" si="74"/>
        <v>מיטב השתלמות אג"ח (ללא מניות)</v>
      </c>
      <c r="V468" s="1786">
        <f t="shared" si="75"/>
        <v>0</v>
      </c>
      <c r="W468" s="1789" t="str">
        <f t="shared" si="76"/>
        <v>מיטב גמל ופנסיה בע"מ</v>
      </c>
      <c r="AC468" s="1759" t="s">
        <v>1586</v>
      </c>
      <c r="AD468" s="1760">
        <v>41554.435648148101</v>
      </c>
      <c r="AE468" s="1760">
        <v>39280</v>
      </c>
      <c r="AF468" s="1759" t="s">
        <v>1595</v>
      </c>
      <c r="AG468" s="1759" t="s">
        <v>75</v>
      </c>
      <c r="AH468" s="1759" t="s">
        <v>1594</v>
      </c>
      <c r="AI468" s="1759" t="s">
        <v>2357</v>
      </c>
      <c r="AJ468" s="1759" t="s">
        <v>2357</v>
      </c>
      <c r="AK468" s="1759">
        <v>1244</v>
      </c>
      <c r="AL468" s="1759" t="s">
        <v>686</v>
      </c>
      <c r="AM468" s="1759">
        <v>1240</v>
      </c>
      <c r="AN468" s="1759" t="s">
        <v>5393</v>
      </c>
      <c r="AO468" s="1764"/>
      <c r="AP468" s="1759"/>
      <c r="AQ468" s="1759"/>
      <c r="AR468" s="1759" t="s">
        <v>365</v>
      </c>
      <c r="AS468" s="1759" t="s">
        <v>366</v>
      </c>
      <c r="AT468" s="1759" t="s">
        <v>327</v>
      </c>
      <c r="AU468" s="1763"/>
      <c r="AV468" s="1763"/>
    </row>
    <row r="469" spans="1:48" ht="25" hidden="1">
      <c r="A469" s="1785" t="str">
        <f t="shared" si="66"/>
        <v>גמל</v>
      </c>
      <c r="B469" s="1786">
        <f t="shared" si="67"/>
        <v>1238</v>
      </c>
      <c r="C469" s="1787">
        <v>28946</v>
      </c>
      <c r="D469" s="1786" t="str">
        <f t="shared" si="68"/>
        <v>מיטב גמל אג"ח 50</v>
      </c>
      <c r="E469" s="1786" t="s">
        <v>3929</v>
      </c>
      <c r="F469" s="1786" t="s">
        <v>2958</v>
      </c>
      <c r="G469" s="1786" t="s">
        <v>2959</v>
      </c>
      <c r="H469" s="1786" t="str">
        <f t="shared" si="69"/>
        <v>לא פעיל</v>
      </c>
      <c r="I469" s="1788">
        <f t="shared" si="70"/>
        <v>39280</v>
      </c>
      <c r="J469" s="1788">
        <f t="shared" si="71"/>
        <v>40055</v>
      </c>
      <c r="K469" s="1786">
        <v>0</v>
      </c>
      <c r="L469" s="1786" t="s">
        <v>1594</v>
      </c>
      <c r="M469" s="1786" t="s">
        <v>1653</v>
      </c>
      <c r="N469" s="1786" t="s">
        <v>1653</v>
      </c>
      <c r="O469" s="1786">
        <v>0</v>
      </c>
      <c r="P469" s="1786"/>
      <c r="Q469" s="1786">
        <v>0</v>
      </c>
      <c r="R469" s="1788"/>
      <c r="S469" s="1786">
        <f t="shared" si="72"/>
        <v>1238</v>
      </c>
      <c r="T469" s="1786" t="str">
        <f t="shared" si="73"/>
        <v>ד.ס.ש ייעוץ ושירותים בע"מ</v>
      </c>
      <c r="U469" s="1786" t="str">
        <f t="shared" si="74"/>
        <v>מיטב גמל אג"ח 50</v>
      </c>
      <c r="V469" s="1786">
        <f t="shared" si="75"/>
        <v>0</v>
      </c>
      <c r="W469" s="1789" t="str">
        <f t="shared" si="76"/>
        <v>מיטב גמל ופנסיה בע"מ</v>
      </c>
      <c r="AC469" s="1761" t="s">
        <v>1586</v>
      </c>
      <c r="AD469" s="1762">
        <v>40055</v>
      </c>
      <c r="AE469" s="1762">
        <v>39280</v>
      </c>
      <c r="AF469" s="1761" t="s">
        <v>1653</v>
      </c>
      <c r="AG469" s="1761" t="s">
        <v>1653</v>
      </c>
      <c r="AH469" s="1761" t="s">
        <v>1594</v>
      </c>
      <c r="AI469" s="1761" t="s">
        <v>2352</v>
      </c>
      <c r="AJ469" s="1761" t="s">
        <v>2352</v>
      </c>
      <c r="AK469" s="1761">
        <v>1238</v>
      </c>
      <c r="AL469" s="1761" t="s">
        <v>2352</v>
      </c>
      <c r="AM469" s="1761">
        <v>1238</v>
      </c>
      <c r="AN469" s="1761" t="s">
        <v>5393</v>
      </c>
      <c r="AO469" s="1764"/>
      <c r="AP469" s="1761"/>
      <c r="AQ469" s="1761"/>
      <c r="AR469" s="1761" t="s">
        <v>365</v>
      </c>
      <c r="AS469" s="1761" t="s">
        <v>366</v>
      </c>
      <c r="AT469" s="1761" t="s">
        <v>327</v>
      </c>
      <c r="AU469" s="1763"/>
      <c r="AV469" s="1763"/>
    </row>
    <row r="470" spans="1:48" ht="25" hidden="1">
      <c r="A470" s="1785" t="str">
        <f t="shared" si="66"/>
        <v>גמל</v>
      </c>
      <c r="B470" s="1786">
        <f t="shared" si="67"/>
        <v>1237</v>
      </c>
      <c r="C470" s="1787">
        <v>28946</v>
      </c>
      <c r="D470" s="1786" t="str">
        <f t="shared" si="68"/>
        <v>מיטב גמל אג"ח 70</v>
      </c>
      <c r="E470" s="1786" t="s">
        <v>3929</v>
      </c>
      <c r="F470" s="1786" t="s">
        <v>2958</v>
      </c>
      <c r="G470" s="1786" t="s">
        <v>2959</v>
      </c>
      <c r="H470" s="1786" t="str">
        <f t="shared" si="69"/>
        <v>לא פעיל</v>
      </c>
      <c r="I470" s="1788">
        <f t="shared" si="70"/>
        <v>39280</v>
      </c>
      <c r="J470" s="1788">
        <f t="shared" si="71"/>
        <v>40055</v>
      </c>
      <c r="K470" s="1786">
        <v>0</v>
      </c>
      <c r="L470" s="1786" t="s">
        <v>1594</v>
      </c>
      <c r="M470" s="1786" t="s">
        <v>1653</v>
      </c>
      <c r="N470" s="1786" t="s">
        <v>1653</v>
      </c>
      <c r="O470" s="1786">
        <v>0</v>
      </c>
      <c r="P470" s="1786"/>
      <c r="Q470" s="1786">
        <v>0</v>
      </c>
      <c r="R470" s="1788"/>
      <c r="S470" s="1786">
        <f t="shared" si="72"/>
        <v>1237</v>
      </c>
      <c r="T470" s="1786" t="str">
        <f t="shared" si="73"/>
        <v>ד.ס.ש ייעוץ ושירותים בע"מ</v>
      </c>
      <c r="U470" s="1786" t="str">
        <f t="shared" si="74"/>
        <v>מיטב גמל אג"ח 70</v>
      </c>
      <c r="V470" s="1786">
        <f t="shared" si="75"/>
        <v>0</v>
      </c>
      <c r="W470" s="1789" t="str">
        <f t="shared" si="76"/>
        <v>מיטב גמל ופנסיה בע"מ</v>
      </c>
      <c r="AC470" s="1759" t="s">
        <v>1586</v>
      </c>
      <c r="AD470" s="1760">
        <v>40055</v>
      </c>
      <c r="AE470" s="1760">
        <v>39280</v>
      </c>
      <c r="AF470" s="1759" t="s">
        <v>1653</v>
      </c>
      <c r="AG470" s="1759" t="s">
        <v>1653</v>
      </c>
      <c r="AH470" s="1759" t="s">
        <v>1594</v>
      </c>
      <c r="AI470" s="1759" t="s">
        <v>2351</v>
      </c>
      <c r="AJ470" s="1759" t="s">
        <v>2351</v>
      </c>
      <c r="AK470" s="1759">
        <v>1237</v>
      </c>
      <c r="AL470" s="1759" t="s">
        <v>2351</v>
      </c>
      <c r="AM470" s="1759">
        <v>1237</v>
      </c>
      <c r="AN470" s="1759" t="s">
        <v>5393</v>
      </c>
      <c r="AO470" s="1764"/>
      <c r="AP470" s="1759"/>
      <c r="AQ470" s="1759"/>
      <c r="AR470" s="1759" t="s">
        <v>365</v>
      </c>
      <c r="AS470" s="1759" t="s">
        <v>366</v>
      </c>
      <c r="AT470" s="1759" t="s">
        <v>327</v>
      </c>
      <c r="AU470" s="1763"/>
      <c r="AV470" s="1763"/>
    </row>
    <row r="471" spans="1:48" ht="25" hidden="1">
      <c r="A471" s="1785" t="str">
        <f t="shared" ref="A471:A534" si="77">AT471</f>
        <v>גמל</v>
      </c>
      <c r="B471" s="1786">
        <f t="shared" ref="B471:B534" si="78">AK471</f>
        <v>873</v>
      </c>
      <c r="C471" s="1787">
        <v>28946</v>
      </c>
      <c r="D471" s="1786" t="str">
        <f t="shared" ref="D471:D534" si="79">AJ471</f>
        <v>מיטב גמל כללי</v>
      </c>
      <c r="E471" s="1786" t="s">
        <v>3929</v>
      </c>
      <c r="F471" s="1786" t="s">
        <v>2958</v>
      </c>
      <c r="G471" s="1786" t="s">
        <v>2959</v>
      </c>
      <c r="H471" s="1786" t="str">
        <f t="shared" ref="H471:H534" si="80">AC471</f>
        <v>לא פעיל</v>
      </c>
      <c r="I471" s="1788">
        <f t="shared" ref="I471:I534" si="81">IF(AE471="","",AE471)</f>
        <v>39280</v>
      </c>
      <c r="J471" s="1788">
        <f t="shared" ref="J471:J534" si="82">IF(AD471="","",AD471)</f>
        <v>41554.3722569444</v>
      </c>
      <c r="K471" s="1786">
        <v>0</v>
      </c>
      <c r="L471" s="1786" t="s">
        <v>1594</v>
      </c>
      <c r="M471" s="1786" t="s">
        <v>1653</v>
      </c>
      <c r="N471" s="1786" t="s">
        <v>1653</v>
      </c>
      <c r="O471" s="1786">
        <v>0</v>
      </c>
      <c r="P471" s="1786"/>
      <c r="Q471" s="1786">
        <v>0</v>
      </c>
      <c r="R471" s="1788"/>
      <c r="S471" s="1786">
        <f t="shared" ref="S471:S534" si="83">AM471</f>
        <v>1235</v>
      </c>
      <c r="T471" s="1786" t="str">
        <f t="shared" ref="T471:T534" si="84">AN471</f>
        <v>ד.ס.ש ייעוץ ושירותים בע"מ</v>
      </c>
      <c r="U471" s="1786" t="str">
        <f t="shared" ref="U471:U534" si="85">AL471</f>
        <v>מיטב גמל אג"ח (ללא מניות)</v>
      </c>
      <c r="V471" s="1786">
        <f t="shared" ref="V471:V534" si="86">AQ471</f>
        <v>0</v>
      </c>
      <c r="W471" s="1789" t="str">
        <f t="shared" ref="W471:W534" si="87">AR471</f>
        <v>מיטב גמל ופנסיה בע"מ</v>
      </c>
      <c r="AC471" s="1761" t="s">
        <v>1586</v>
      </c>
      <c r="AD471" s="1762">
        <v>41554.3722569444</v>
      </c>
      <c r="AE471" s="1762">
        <v>39280</v>
      </c>
      <c r="AF471" s="1761" t="s">
        <v>1583</v>
      </c>
      <c r="AG471" s="1761" t="s">
        <v>1583</v>
      </c>
      <c r="AH471" s="1761" t="s">
        <v>1583</v>
      </c>
      <c r="AI471" s="1761" t="s">
        <v>2098</v>
      </c>
      <c r="AJ471" s="1761" t="s">
        <v>2098</v>
      </c>
      <c r="AK471" s="1761">
        <v>873</v>
      </c>
      <c r="AL471" s="1761" t="s">
        <v>685</v>
      </c>
      <c r="AM471" s="1761">
        <v>1235</v>
      </c>
      <c r="AN471" s="1761" t="s">
        <v>5393</v>
      </c>
      <c r="AO471" s="1764"/>
      <c r="AP471" s="1761"/>
      <c r="AQ471" s="1761"/>
      <c r="AR471" s="1761" t="s">
        <v>365</v>
      </c>
      <c r="AS471" s="1761" t="s">
        <v>366</v>
      </c>
      <c r="AT471" s="1761" t="s">
        <v>327</v>
      </c>
      <c r="AU471" s="1763"/>
      <c r="AV471" s="1763"/>
    </row>
    <row r="472" spans="1:48" ht="25" hidden="1">
      <c r="A472" s="1785" t="str">
        <f t="shared" si="77"/>
        <v>גמל</v>
      </c>
      <c r="B472" s="1786">
        <f t="shared" si="78"/>
        <v>1239</v>
      </c>
      <c r="C472" s="1787">
        <v>28946</v>
      </c>
      <c r="D472" s="1786" t="str">
        <f t="shared" si="79"/>
        <v>מיטב גמל מניות</v>
      </c>
      <c r="E472" s="1786" t="s">
        <v>3929</v>
      </c>
      <c r="F472" s="1786" t="s">
        <v>2958</v>
      </c>
      <c r="G472" s="1786" t="s">
        <v>2959</v>
      </c>
      <c r="H472" s="1786" t="str">
        <f t="shared" si="80"/>
        <v>לא פעיל</v>
      </c>
      <c r="I472" s="1788">
        <f t="shared" si="81"/>
        <v>39280</v>
      </c>
      <c r="J472" s="1788">
        <f t="shared" si="82"/>
        <v>41554.3722569444</v>
      </c>
      <c r="K472" s="1786">
        <v>0</v>
      </c>
      <c r="L472" s="1786" t="s">
        <v>1594</v>
      </c>
      <c r="M472" s="1786" t="s">
        <v>1653</v>
      </c>
      <c r="N472" s="1786" t="s">
        <v>1653</v>
      </c>
      <c r="O472" s="1786">
        <v>0</v>
      </c>
      <c r="P472" s="1786"/>
      <c r="Q472" s="1786">
        <v>0</v>
      </c>
      <c r="R472" s="1788"/>
      <c r="S472" s="1786">
        <f t="shared" si="83"/>
        <v>1235</v>
      </c>
      <c r="T472" s="1786" t="str">
        <f t="shared" si="84"/>
        <v>ד.ס.ש ייעוץ ושירותים בע"מ</v>
      </c>
      <c r="U472" s="1786" t="str">
        <f t="shared" si="85"/>
        <v>מיטב גמל אג"ח (ללא מניות)</v>
      </c>
      <c r="V472" s="1786">
        <f t="shared" si="86"/>
        <v>0</v>
      </c>
      <c r="W472" s="1789" t="str">
        <f t="shared" si="87"/>
        <v>מיטב גמל ופנסיה בע"מ</v>
      </c>
      <c r="AC472" s="1759" t="s">
        <v>1586</v>
      </c>
      <c r="AD472" s="1760">
        <v>41554.3722569444</v>
      </c>
      <c r="AE472" s="1760">
        <v>39280</v>
      </c>
      <c r="AF472" s="1759" t="s">
        <v>1595</v>
      </c>
      <c r="AG472" s="1759" t="s">
        <v>75</v>
      </c>
      <c r="AH472" s="1759" t="s">
        <v>1594</v>
      </c>
      <c r="AI472" s="1759" t="s">
        <v>2353</v>
      </c>
      <c r="AJ472" s="1759" t="s">
        <v>2353</v>
      </c>
      <c r="AK472" s="1759">
        <v>1239</v>
      </c>
      <c r="AL472" s="1759" t="s">
        <v>685</v>
      </c>
      <c r="AM472" s="1759">
        <v>1235</v>
      </c>
      <c r="AN472" s="1759" t="s">
        <v>5393</v>
      </c>
      <c r="AO472" s="1764"/>
      <c r="AP472" s="1759"/>
      <c r="AQ472" s="1759"/>
      <c r="AR472" s="1759" t="s">
        <v>365</v>
      </c>
      <c r="AS472" s="1759" t="s">
        <v>366</v>
      </c>
      <c r="AT472" s="1759" t="s">
        <v>327</v>
      </c>
      <c r="AU472" s="1763"/>
      <c r="AV472" s="1763"/>
    </row>
    <row r="473" spans="1:48" ht="37.5" hidden="1">
      <c r="A473" s="1785" t="str">
        <f t="shared" si="77"/>
        <v>גמל</v>
      </c>
      <c r="B473" s="1786">
        <f t="shared" si="78"/>
        <v>1228</v>
      </c>
      <c r="C473" s="1787">
        <v>28946</v>
      </c>
      <c r="D473" s="1786" t="str">
        <f t="shared" si="79"/>
        <v>קופה מרכזית לפיצויים של קבוצת בנק פועלי אגודת ישראל</v>
      </c>
      <c r="E473" s="1786" t="s">
        <v>3929</v>
      </c>
      <c r="F473" s="1786" t="s">
        <v>2958</v>
      </c>
      <c r="G473" s="1786" t="s">
        <v>2959</v>
      </c>
      <c r="H473" s="1786" t="str">
        <f t="shared" si="80"/>
        <v>לא פעיל</v>
      </c>
      <c r="I473" s="1788">
        <f t="shared" si="81"/>
        <v>39240</v>
      </c>
      <c r="J473" s="1788">
        <f t="shared" si="82"/>
        <v>41298.541423611103</v>
      </c>
      <c r="K473" s="1786">
        <v>0</v>
      </c>
      <c r="L473" s="1786" t="s">
        <v>1594</v>
      </c>
      <c r="M473" s="1786" t="s">
        <v>1653</v>
      </c>
      <c r="N473" s="1786" t="s">
        <v>1653</v>
      </c>
      <c r="O473" s="1786">
        <v>0</v>
      </c>
      <c r="P473" s="1786"/>
      <c r="Q473" s="1786">
        <v>0</v>
      </c>
      <c r="R473" s="1788"/>
      <c r="S473" s="1786">
        <f t="shared" si="83"/>
        <v>1228</v>
      </c>
      <c r="T473" s="1786">
        <f t="shared" si="84"/>
        <v>0</v>
      </c>
      <c r="U473" s="1786" t="str">
        <f t="shared" si="85"/>
        <v>קופה מרכזית לפיצויים של קבוצת בנק פועלי אגודת ישראל</v>
      </c>
      <c r="V473" s="1786">
        <f t="shared" si="86"/>
        <v>0</v>
      </c>
      <c r="W473" s="1789" t="str">
        <f t="shared" si="87"/>
        <v>קידמה חברה לניהול קופות גמל בע"מ</v>
      </c>
      <c r="AC473" s="1761" t="s">
        <v>1586</v>
      </c>
      <c r="AD473" s="1762">
        <v>41298.541423611103</v>
      </c>
      <c r="AE473" s="1762">
        <v>39240</v>
      </c>
      <c r="AF473" s="1761" t="s">
        <v>1583</v>
      </c>
      <c r="AG473" s="1761" t="s">
        <v>1583</v>
      </c>
      <c r="AH473" s="1761" t="s">
        <v>1583</v>
      </c>
      <c r="AI473" s="1761" t="s">
        <v>3561</v>
      </c>
      <c r="AJ473" s="1761" t="s">
        <v>684</v>
      </c>
      <c r="AK473" s="1761">
        <v>1228</v>
      </c>
      <c r="AL473" s="1761" t="s">
        <v>684</v>
      </c>
      <c r="AM473" s="1761">
        <v>1228</v>
      </c>
      <c r="AN473" s="1761"/>
      <c r="AO473" s="1764"/>
      <c r="AP473" s="1761"/>
      <c r="AQ473" s="1761"/>
      <c r="AR473" s="1761" t="s">
        <v>680</v>
      </c>
      <c r="AS473" s="1761" t="s">
        <v>681</v>
      </c>
      <c r="AT473" s="1761" t="s">
        <v>327</v>
      </c>
      <c r="AU473" s="1763"/>
      <c r="AV473" s="1763"/>
    </row>
    <row r="474" spans="1:48" ht="25" hidden="1">
      <c r="A474" s="1785" t="str">
        <f t="shared" si="77"/>
        <v>גמל</v>
      </c>
      <c r="B474" s="1786">
        <f t="shared" si="78"/>
        <v>1227</v>
      </c>
      <c r="C474" s="1787">
        <v>28946</v>
      </c>
      <c r="D474" s="1786" t="str">
        <f t="shared" si="79"/>
        <v>קופה מרכזית לפיצויים של קבוצת יובנק</v>
      </c>
      <c r="E474" s="1786" t="s">
        <v>3929</v>
      </c>
      <c r="F474" s="1786" t="s">
        <v>2958</v>
      </c>
      <c r="G474" s="1786" t="s">
        <v>2959</v>
      </c>
      <c r="H474" s="1786" t="str">
        <f t="shared" si="80"/>
        <v>לא פעיל</v>
      </c>
      <c r="I474" s="1788">
        <f t="shared" si="81"/>
        <v>39240</v>
      </c>
      <c r="J474" s="1788">
        <f t="shared" si="82"/>
        <v>41298.5411805556</v>
      </c>
      <c r="K474" s="1786">
        <v>0</v>
      </c>
      <c r="L474" s="1786" t="s">
        <v>1594</v>
      </c>
      <c r="M474" s="1786" t="s">
        <v>1653</v>
      </c>
      <c r="N474" s="1786" t="s">
        <v>1653</v>
      </c>
      <c r="O474" s="1786">
        <v>0</v>
      </c>
      <c r="P474" s="1786"/>
      <c r="Q474" s="1786">
        <v>0</v>
      </c>
      <c r="R474" s="1788"/>
      <c r="S474" s="1786">
        <f t="shared" si="83"/>
        <v>1227</v>
      </c>
      <c r="T474" s="1786" t="str">
        <f t="shared" si="84"/>
        <v>הבנק הבינלאומי הראשון</v>
      </c>
      <c r="U474" s="1786" t="str">
        <f t="shared" si="85"/>
        <v>קופה מרכזית לפיצויים של קבוצת יובנק</v>
      </c>
      <c r="V474" s="1786">
        <f t="shared" si="86"/>
        <v>0</v>
      </c>
      <c r="W474" s="1789" t="str">
        <f t="shared" si="87"/>
        <v>קידמה חברה לניהול קופות גמל בע"מ</v>
      </c>
      <c r="AC474" s="1759" t="s">
        <v>1586</v>
      </c>
      <c r="AD474" s="1760">
        <v>41298.5411805556</v>
      </c>
      <c r="AE474" s="1760">
        <v>39240</v>
      </c>
      <c r="AF474" s="1759" t="s">
        <v>1583</v>
      </c>
      <c r="AG474" s="1759" t="s">
        <v>1583</v>
      </c>
      <c r="AH474" s="1759" t="s">
        <v>1583</v>
      </c>
      <c r="AI474" s="1759" t="s">
        <v>3560</v>
      </c>
      <c r="AJ474" s="1759" t="s">
        <v>683</v>
      </c>
      <c r="AK474" s="1759">
        <v>1227</v>
      </c>
      <c r="AL474" s="1759" t="s">
        <v>683</v>
      </c>
      <c r="AM474" s="1759">
        <v>1227</v>
      </c>
      <c r="AN474" s="1759" t="s">
        <v>5384</v>
      </c>
      <c r="AO474" s="1764"/>
      <c r="AP474" s="1759"/>
      <c r="AQ474" s="1759"/>
      <c r="AR474" s="1759" t="s">
        <v>680</v>
      </c>
      <c r="AS474" s="1759" t="s">
        <v>681</v>
      </c>
      <c r="AT474" s="1759" t="s">
        <v>327</v>
      </c>
      <c r="AU474" s="1763"/>
      <c r="AV474" s="1763"/>
    </row>
    <row r="475" spans="1:48" ht="37.5" hidden="1">
      <c r="A475" s="1785" t="str">
        <f t="shared" si="77"/>
        <v>גמל</v>
      </c>
      <c r="B475" s="1786">
        <f t="shared" si="78"/>
        <v>1226</v>
      </c>
      <c r="C475" s="1787">
        <v>28946</v>
      </c>
      <c r="D475" s="1786" t="str">
        <f t="shared" si="79"/>
        <v>קופה מרכזית לפיצויים של קבוצת הבנק הבינלאומי הראשון</v>
      </c>
      <c r="E475" s="1786" t="s">
        <v>3929</v>
      </c>
      <c r="F475" s="1786" t="s">
        <v>2958</v>
      </c>
      <c r="G475" s="1786" t="s">
        <v>2959</v>
      </c>
      <c r="H475" s="1786" t="str">
        <f t="shared" si="80"/>
        <v>לא פעיל</v>
      </c>
      <c r="I475" s="1788">
        <f t="shared" si="81"/>
        <v>39240</v>
      </c>
      <c r="J475" s="1788">
        <f t="shared" si="82"/>
        <v>41298.5409490741</v>
      </c>
      <c r="K475" s="1786">
        <v>0</v>
      </c>
      <c r="L475" s="1786" t="s">
        <v>1594</v>
      </c>
      <c r="M475" s="1786" t="s">
        <v>1653</v>
      </c>
      <c r="N475" s="1786" t="s">
        <v>1653</v>
      </c>
      <c r="O475" s="1786">
        <v>0</v>
      </c>
      <c r="P475" s="1786"/>
      <c r="Q475" s="1786">
        <v>0</v>
      </c>
      <c r="R475" s="1788"/>
      <c r="S475" s="1786">
        <f t="shared" si="83"/>
        <v>1226</v>
      </c>
      <c r="T475" s="1786" t="str">
        <f t="shared" si="84"/>
        <v>הבנק הבינלאומי הראשון</v>
      </c>
      <c r="U475" s="1786" t="str">
        <f t="shared" si="85"/>
        <v>קופה מרכזית לפיצויים של קבוצת הבנק הבינלאומי הראשון</v>
      </c>
      <c r="V475" s="1786">
        <f t="shared" si="86"/>
        <v>0</v>
      </c>
      <c r="W475" s="1789" t="str">
        <f t="shared" si="87"/>
        <v>קידמה חברה לניהול קופות גמל בע"מ</v>
      </c>
      <c r="AC475" s="1761" t="s">
        <v>1586</v>
      </c>
      <c r="AD475" s="1762">
        <v>41298.5409490741</v>
      </c>
      <c r="AE475" s="1762">
        <v>39240</v>
      </c>
      <c r="AF475" s="1761" t="s">
        <v>1583</v>
      </c>
      <c r="AG475" s="1761" t="s">
        <v>1583</v>
      </c>
      <c r="AH475" s="1761" t="s">
        <v>1583</v>
      </c>
      <c r="AI475" s="1761" t="s">
        <v>3559</v>
      </c>
      <c r="AJ475" s="1761" t="s">
        <v>682</v>
      </c>
      <c r="AK475" s="1761">
        <v>1226</v>
      </c>
      <c r="AL475" s="1761" t="s">
        <v>682</v>
      </c>
      <c r="AM475" s="1761">
        <v>1226</v>
      </c>
      <c r="AN475" s="1761" t="s">
        <v>5384</v>
      </c>
      <c r="AO475" s="1764"/>
      <c r="AP475" s="1761"/>
      <c r="AQ475" s="1761"/>
      <c r="AR475" s="1761" t="s">
        <v>680</v>
      </c>
      <c r="AS475" s="1761" t="s">
        <v>681</v>
      </c>
      <c r="AT475" s="1761" t="s">
        <v>327</v>
      </c>
      <c r="AU475" s="1763"/>
      <c r="AV475" s="1763"/>
    </row>
    <row r="476" spans="1:48" ht="25" hidden="1">
      <c r="A476" s="1785" t="str">
        <f t="shared" si="77"/>
        <v>גמל</v>
      </c>
      <c r="B476" s="1786">
        <f t="shared" si="78"/>
        <v>1219</v>
      </c>
      <c r="C476" s="1787">
        <v>28946</v>
      </c>
      <c r="D476" s="1786" t="str">
        <f t="shared" si="79"/>
        <v>פסגות קמה</v>
      </c>
      <c r="E476" s="1786" t="s">
        <v>3929</v>
      </c>
      <c r="F476" s="1786" t="s">
        <v>2958</v>
      </c>
      <c r="G476" s="1786" t="s">
        <v>2959</v>
      </c>
      <c r="H476" s="1786" t="str">
        <f t="shared" si="80"/>
        <v>פעיל</v>
      </c>
      <c r="I476" s="1788">
        <f t="shared" si="81"/>
        <v>39154</v>
      </c>
      <c r="J476" s="1788" t="str">
        <f t="shared" si="82"/>
        <v/>
      </c>
      <c r="K476" s="1786">
        <v>0</v>
      </c>
      <c r="L476" s="1786" t="s">
        <v>1594</v>
      </c>
      <c r="M476" s="1786" t="s">
        <v>1653</v>
      </c>
      <c r="N476" s="1786" t="s">
        <v>1653</v>
      </c>
      <c r="O476" s="1786">
        <v>0</v>
      </c>
      <c r="P476" s="1786"/>
      <c r="Q476" s="1786">
        <v>0</v>
      </c>
      <c r="R476" s="1788"/>
      <c r="S476" s="1786">
        <f t="shared" si="83"/>
        <v>1219</v>
      </c>
      <c r="T476" s="1786" t="str">
        <f t="shared" si="84"/>
        <v>בנק הפועלים בע"מ</v>
      </c>
      <c r="U476" s="1786" t="str">
        <f t="shared" si="85"/>
        <v>פסגות קמה</v>
      </c>
      <c r="V476" s="1786" t="str">
        <f t="shared" si="86"/>
        <v>513767079</v>
      </c>
      <c r="W476" s="1789" t="str">
        <f t="shared" si="87"/>
        <v>פסגות קופות גמל ופנסיה בע"מ</v>
      </c>
      <c r="AC476" s="1759" t="s">
        <v>346</v>
      </c>
      <c r="AD476" s="1759"/>
      <c r="AE476" s="1760">
        <v>39154</v>
      </c>
      <c r="AF476" s="1759" t="s">
        <v>1583</v>
      </c>
      <c r="AG476" s="1759" t="s">
        <v>1583</v>
      </c>
      <c r="AH476" s="1759" t="s">
        <v>1583</v>
      </c>
      <c r="AI476" s="1759" t="s">
        <v>679</v>
      </c>
      <c r="AJ476" s="1759" t="s">
        <v>679</v>
      </c>
      <c r="AK476" s="1759">
        <v>1219</v>
      </c>
      <c r="AL476" s="1759" t="s">
        <v>679</v>
      </c>
      <c r="AM476" s="1759">
        <v>1219</v>
      </c>
      <c r="AN476" s="1759" t="s">
        <v>1695</v>
      </c>
      <c r="AO476" s="1764"/>
      <c r="AP476" s="1759" t="s">
        <v>5365</v>
      </c>
      <c r="AQ476" s="1759" t="s">
        <v>5366</v>
      </c>
      <c r="AR476" s="1759" t="s">
        <v>351</v>
      </c>
      <c r="AS476" s="1759" t="s">
        <v>352</v>
      </c>
      <c r="AT476" s="1759" t="s">
        <v>327</v>
      </c>
      <c r="AU476" s="1763"/>
      <c r="AV476" s="1763"/>
    </row>
    <row r="477" spans="1:48" ht="25" hidden="1">
      <c r="A477" s="1785" t="str">
        <f t="shared" si="77"/>
        <v>גמל</v>
      </c>
      <c r="B477" s="1786">
        <f t="shared" si="78"/>
        <v>1217</v>
      </c>
      <c r="C477" s="1787">
        <v>28946</v>
      </c>
      <c r="D477" s="1786" t="str">
        <f t="shared" si="79"/>
        <v>פסגות שיא השתלמות מנייתי</v>
      </c>
      <c r="E477" s="1786" t="s">
        <v>3929</v>
      </c>
      <c r="F477" s="1786" t="s">
        <v>2958</v>
      </c>
      <c r="G477" s="1786" t="s">
        <v>2959</v>
      </c>
      <c r="H477" s="1786" t="str">
        <f t="shared" si="80"/>
        <v>לא פעיל</v>
      </c>
      <c r="I477" s="1788">
        <f t="shared" si="81"/>
        <v>39154</v>
      </c>
      <c r="J477" s="1788">
        <f t="shared" si="82"/>
        <v>40918.385636574101</v>
      </c>
      <c r="K477" s="1786">
        <v>0</v>
      </c>
      <c r="L477" s="1786" t="s">
        <v>1594</v>
      </c>
      <c r="M477" s="1786" t="s">
        <v>1653</v>
      </c>
      <c r="N477" s="1786" t="s">
        <v>1653</v>
      </c>
      <c r="O477" s="1786">
        <v>0</v>
      </c>
      <c r="P477" s="1786"/>
      <c r="Q477" s="1786">
        <v>0</v>
      </c>
      <c r="R477" s="1788"/>
      <c r="S477" s="1786">
        <f t="shared" si="83"/>
        <v>1218</v>
      </c>
      <c r="T477" s="1786" t="str">
        <f t="shared" si="84"/>
        <v>בנק הפועלים בע"מ</v>
      </c>
      <c r="U477" s="1786" t="str">
        <f t="shared" si="85"/>
        <v>פסגות שיא השתלמות מסלולית כללי</v>
      </c>
      <c r="V477" s="1786" t="str">
        <f t="shared" si="86"/>
        <v>513767079</v>
      </c>
      <c r="W477" s="1789" t="str">
        <f t="shared" si="87"/>
        <v>פסגות קופות גמל ופנסיה בע"מ</v>
      </c>
      <c r="AC477" s="1761" t="s">
        <v>1586</v>
      </c>
      <c r="AD477" s="1762">
        <v>40918.385636574101</v>
      </c>
      <c r="AE477" s="1762">
        <v>39154</v>
      </c>
      <c r="AF477" s="1761" t="s">
        <v>1595</v>
      </c>
      <c r="AG477" s="1761" t="s">
        <v>75</v>
      </c>
      <c r="AH477" s="1761" t="s">
        <v>1594</v>
      </c>
      <c r="AI477" s="1761" t="s">
        <v>2342</v>
      </c>
      <c r="AJ477" s="1761" t="s">
        <v>2342</v>
      </c>
      <c r="AK477" s="1761">
        <v>1217</v>
      </c>
      <c r="AL477" s="1761" t="s">
        <v>2343</v>
      </c>
      <c r="AM477" s="1761">
        <v>1218</v>
      </c>
      <c r="AN477" s="1761" t="s">
        <v>1695</v>
      </c>
      <c r="AO477" s="1764"/>
      <c r="AP477" s="1761" t="s">
        <v>5365</v>
      </c>
      <c r="AQ477" s="1761" t="s">
        <v>5366</v>
      </c>
      <c r="AR477" s="1761" t="s">
        <v>351</v>
      </c>
      <c r="AS477" s="1761" t="s">
        <v>352</v>
      </c>
      <c r="AT477" s="1761" t="s">
        <v>327</v>
      </c>
      <c r="AU477" s="1763"/>
      <c r="AV477" s="1763"/>
    </row>
    <row r="478" spans="1:48" ht="25" hidden="1">
      <c r="A478" s="1785" t="str">
        <f t="shared" si="77"/>
        <v>גמל</v>
      </c>
      <c r="B478" s="1786">
        <f t="shared" si="78"/>
        <v>1428</v>
      </c>
      <c r="C478" s="1787">
        <v>28946</v>
      </c>
      <c r="D478" s="1786" t="str">
        <f t="shared" si="79"/>
        <v>פסגות שיא השתלמות מסלולית כספית</v>
      </c>
      <c r="E478" s="1786" t="s">
        <v>3929</v>
      </c>
      <c r="F478" s="1786" t="s">
        <v>2958</v>
      </c>
      <c r="G478" s="1786" t="s">
        <v>2959</v>
      </c>
      <c r="H478" s="1786" t="str">
        <f t="shared" si="80"/>
        <v>לא פעיל</v>
      </c>
      <c r="I478" s="1788">
        <f t="shared" si="81"/>
        <v>39154</v>
      </c>
      <c r="J478" s="1788">
        <f t="shared" si="82"/>
        <v>40917.841527777797</v>
      </c>
      <c r="K478" s="1786">
        <v>0</v>
      </c>
      <c r="L478" s="1786" t="s">
        <v>1594</v>
      </c>
      <c r="M478" s="1786" t="s">
        <v>1653</v>
      </c>
      <c r="N478" s="1786" t="s">
        <v>1653</v>
      </c>
      <c r="O478" s="1786">
        <v>0</v>
      </c>
      <c r="P478" s="1786"/>
      <c r="Q478" s="1786">
        <v>0</v>
      </c>
      <c r="R478" s="1788"/>
      <c r="S478" s="1786">
        <f t="shared" si="83"/>
        <v>1218</v>
      </c>
      <c r="T478" s="1786" t="str">
        <f t="shared" si="84"/>
        <v>בנק הפועלים בע"מ</v>
      </c>
      <c r="U478" s="1786" t="str">
        <f t="shared" si="85"/>
        <v>פסגות שיא השתלמות מסלולית כללי</v>
      </c>
      <c r="V478" s="1786" t="str">
        <f t="shared" si="86"/>
        <v>513767079</v>
      </c>
      <c r="W478" s="1789" t="str">
        <f t="shared" si="87"/>
        <v>פסגות קופות גמל ופנסיה בע"מ</v>
      </c>
      <c r="AC478" s="1759" t="s">
        <v>1586</v>
      </c>
      <c r="AD478" s="1760">
        <v>40917.841527777797</v>
      </c>
      <c r="AE478" s="1760">
        <v>39154</v>
      </c>
      <c r="AF478" s="1759" t="s">
        <v>2409</v>
      </c>
      <c r="AG478" s="1759" t="s">
        <v>1614</v>
      </c>
      <c r="AH478" s="1759" t="s">
        <v>1594</v>
      </c>
      <c r="AI478" s="1759" t="s">
        <v>2463</v>
      </c>
      <c r="AJ478" s="1759" t="s">
        <v>2463</v>
      </c>
      <c r="AK478" s="1759">
        <v>1428</v>
      </c>
      <c r="AL478" s="1759" t="s">
        <v>2343</v>
      </c>
      <c r="AM478" s="1759">
        <v>1218</v>
      </c>
      <c r="AN478" s="1759" t="s">
        <v>1695</v>
      </c>
      <c r="AO478" s="1764"/>
      <c r="AP478" s="1759" t="s">
        <v>5365</v>
      </c>
      <c r="AQ478" s="1759" t="s">
        <v>5366</v>
      </c>
      <c r="AR478" s="1759" t="s">
        <v>351</v>
      </c>
      <c r="AS478" s="1759" t="s">
        <v>352</v>
      </c>
      <c r="AT478" s="1759" t="s">
        <v>327</v>
      </c>
      <c r="AU478" s="1763"/>
      <c r="AV478" s="1763"/>
    </row>
    <row r="479" spans="1:48" ht="25" hidden="1">
      <c r="A479" s="1785" t="str">
        <f t="shared" si="77"/>
        <v>גמל</v>
      </c>
      <c r="B479" s="1786">
        <f t="shared" si="78"/>
        <v>1427</v>
      </c>
      <c r="C479" s="1787">
        <v>28946</v>
      </c>
      <c r="D479" s="1786" t="str">
        <f t="shared" si="79"/>
        <v>פסגות שיא השתלמות מסלולית אג"ח ללא מניות</v>
      </c>
      <c r="E479" s="1786" t="s">
        <v>3929</v>
      </c>
      <c r="F479" s="1786" t="s">
        <v>2958</v>
      </c>
      <c r="G479" s="1786" t="s">
        <v>2959</v>
      </c>
      <c r="H479" s="1786" t="str">
        <f t="shared" si="80"/>
        <v>לא פעיל</v>
      </c>
      <c r="I479" s="1788">
        <f t="shared" si="81"/>
        <v>39154</v>
      </c>
      <c r="J479" s="1788">
        <f t="shared" si="82"/>
        <v>40917.842002314799</v>
      </c>
      <c r="K479" s="1786">
        <v>0</v>
      </c>
      <c r="L479" s="1786" t="s">
        <v>1594</v>
      </c>
      <c r="M479" s="1786" t="s">
        <v>1653</v>
      </c>
      <c r="N479" s="1786" t="s">
        <v>1653</v>
      </c>
      <c r="O479" s="1786">
        <v>0</v>
      </c>
      <c r="P479" s="1786"/>
      <c r="Q479" s="1786">
        <v>0</v>
      </c>
      <c r="R479" s="1788"/>
      <c r="S479" s="1786">
        <f t="shared" si="83"/>
        <v>1218</v>
      </c>
      <c r="T479" s="1786" t="str">
        <f t="shared" si="84"/>
        <v>בנק הפועלים בע"מ</v>
      </c>
      <c r="U479" s="1786" t="str">
        <f t="shared" si="85"/>
        <v>פסגות שיא השתלמות מסלולית כללי</v>
      </c>
      <c r="V479" s="1786" t="str">
        <f t="shared" si="86"/>
        <v>513767079</v>
      </c>
      <c r="W479" s="1789" t="str">
        <f t="shared" si="87"/>
        <v>פסגות קופות גמל ופנסיה בע"מ</v>
      </c>
      <c r="AC479" s="1761" t="s">
        <v>1586</v>
      </c>
      <c r="AD479" s="1762">
        <v>40917.842002314799</v>
      </c>
      <c r="AE479" s="1762">
        <v>39154</v>
      </c>
      <c r="AF479" s="1761" t="s">
        <v>1681</v>
      </c>
      <c r="AG479" s="1761" t="s">
        <v>1583</v>
      </c>
      <c r="AH479" s="1761" t="s">
        <v>1583</v>
      </c>
      <c r="AI479" s="1761" t="s">
        <v>2462</v>
      </c>
      <c r="AJ479" s="1761" t="s">
        <v>2462</v>
      </c>
      <c r="AK479" s="1761">
        <v>1427</v>
      </c>
      <c r="AL479" s="1761" t="s">
        <v>2343</v>
      </c>
      <c r="AM479" s="1761">
        <v>1218</v>
      </c>
      <c r="AN479" s="1761" t="s">
        <v>1695</v>
      </c>
      <c r="AO479" s="1764"/>
      <c r="AP479" s="1761" t="s">
        <v>5365</v>
      </c>
      <c r="AQ479" s="1761" t="s">
        <v>5366</v>
      </c>
      <c r="AR479" s="1761" t="s">
        <v>351</v>
      </c>
      <c r="AS479" s="1761" t="s">
        <v>352</v>
      </c>
      <c r="AT479" s="1761" t="s">
        <v>327</v>
      </c>
      <c r="AU479" s="1763"/>
      <c r="AV479" s="1763"/>
    </row>
    <row r="480" spans="1:48" ht="25" hidden="1">
      <c r="A480" s="1785" t="str">
        <f t="shared" si="77"/>
        <v>גמל</v>
      </c>
      <c r="B480" s="1786">
        <f t="shared" si="78"/>
        <v>1216</v>
      </c>
      <c r="C480" s="1787">
        <v>28946</v>
      </c>
      <c r="D480" s="1786" t="str">
        <f t="shared" si="79"/>
        <v>פסגות שיא גמל כללי</v>
      </c>
      <c r="E480" s="1786" t="s">
        <v>3929</v>
      </c>
      <c r="F480" s="1786" t="s">
        <v>2958</v>
      </c>
      <c r="G480" s="1786" t="s">
        <v>2959</v>
      </c>
      <c r="H480" s="1786" t="str">
        <f t="shared" si="80"/>
        <v>לא פעיל</v>
      </c>
      <c r="I480" s="1788">
        <f t="shared" si="81"/>
        <v>39154</v>
      </c>
      <c r="J480" s="1788">
        <f t="shared" si="82"/>
        <v>40917.840277777803</v>
      </c>
      <c r="K480" s="1786">
        <v>0</v>
      </c>
      <c r="L480" s="1786" t="s">
        <v>1594</v>
      </c>
      <c r="M480" s="1786" t="s">
        <v>1653</v>
      </c>
      <c r="N480" s="1786" t="s">
        <v>1653</v>
      </c>
      <c r="O480" s="1786">
        <v>0</v>
      </c>
      <c r="P480" s="1786"/>
      <c r="Q480" s="1786">
        <v>0</v>
      </c>
      <c r="R480" s="1788"/>
      <c r="S480" s="1786">
        <f t="shared" si="83"/>
        <v>1216</v>
      </c>
      <c r="T480" s="1786" t="str">
        <f t="shared" si="84"/>
        <v>בנק הפועלים בע"מ</v>
      </c>
      <c r="U480" s="1786" t="str">
        <f t="shared" si="85"/>
        <v>פסגות שיא גמל כללי</v>
      </c>
      <c r="V480" s="1786" t="str">
        <f t="shared" si="86"/>
        <v>513767079</v>
      </c>
      <c r="W480" s="1789" t="str">
        <f t="shared" si="87"/>
        <v>פסגות קופות גמל ופנסיה בע"מ</v>
      </c>
      <c r="AC480" s="1759" t="s">
        <v>1586</v>
      </c>
      <c r="AD480" s="1760">
        <v>40917.840277777803</v>
      </c>
      <c r="AE480" s="1760">
        <v>39154</v>
      </c>
      <c r="AF480" s="1759" t="s">
        <v>1583</v>
      </c>
      <c r="AG480" s="1759" t="s">
        <v>1583</v>
      </c>
      <c r="AH480" s="1759" t="s">
        <v>1583</v>
      </c>
      <c r="AI480" s="1759" t="s">
        <v>1672</v>
      </c>
      <c r="AJ480" s="1759" t="s">
        <v>1672</v>
      </c>
      <c r="AK480" s="1759">
        <v>1216</v>
      </c>
      <c r="AL480" s="1759" t="s">
        <v>1672</v>
      </c>
      <c r="AM480" s="1759">
        <v>1216</v>
      </c>
      <c r="AN480" s="1759" t="s">
        <v>1695</v>
      </c>
      <c r="AO480" s="1764"/>
      <c r="AP480" s="1759" t="s">
        <v>5365</v>
      </c>
      <c r="AQ480" s="1759" t="s">
        <v>5366</v>
      </c>
      <c r="AR480" s="1759" t="s">
        <v>351</v>
      </c>
      <c r="AS480" s="1759" t="s">
        <v>352</v>
      </c>
      <c r="AT480" s="1759" t="s">
        <v>327</v>
      </c>
      <c r="AU480" s="1763"/>
      <c r="AV480" s="1763"/>
    </row>
    <row r="481" spans="1:48" ht="25" hidden="1">
      <c r="A481" s="1785" t="str">
        <f t="shared" si="77"/>
        <v>גמל</v>
      </c>
      <c r="B481" s="1786">
        <f t="shared" si="78"/>
        <v>216</v>
      </c>
      <c r="C481" s="1787">
        <v>28946</v>
      </c>
      <c r="D481" s="1786" t="str">
        <f t="shared" si="79"/>
        <v>פסגות שיא גמל כספית</v>
      </c>
      <c r="E481" s="1786" t="s">
        <v>3929</v>
      </c>
      <c r="F481" s="1786" t="s">
        <v>2958</v>
      </c>
      <c r="G481" s="1786" t="s">
        <v>2959</v>
      </c>
      <c r="H481" s="1786" t="str">
        <f t="shared" si="80"/>
        <v>לא פעיל</v>
      </c>
      <c r="I481" s="1788">
        <f t="shared" si="81"/>
        <v>39154</v>
      </c>
      <c r="J481" s="1788">
        <f t="shared" si="82"/>
        <v>40917.838738425897</v>
      </c>
      <c r="K481" s="1786">
        <v>0</v>
      </c>
      <c r="L481" s="1786" t="s">
        <v>1594</v>
      </c>
      <c r="M481" s="1786" t="s">
        <v>1653</v>
      </c>
      <c r="N481" s="1786" t="s">
        <v>1653</v>
      </c>
      <c r="O481" s="1786">
        <v>0</v>
      </c>
      <c r="P481" s="1786"/>
      <c r="Q481" s="1786">
        <v>0</v>
      </c>
      <c r="R481" s="1788"/>
      <c r="S481" s="1786">
        <f t="shared" si="83"/>
        <v>1216</v>
      </c>
      <c r="T481" s="1786" t="str">
        <f t="shared" si="84"/>
        <v>בנק הפועלים בע"מ</v>
      </c>
      <c r="U481" s="1786" t="str">
        <f t="shared" si="85"/>
        <v>פסגות שיא גמל כללי</v>
      </c>
      <c r="V481" s="1786" t="str">
        <f t="shared" si="86"/>
        <v>513767079</v>
      </c>
      <c r="W481" s="1789" t="str">
        <f t="shared" si="87"/>
        <v>פסגות קופות גמל ופנסיה בע"מ</v>
      </c>
      <c r="AC481" s="1761" t="s">
        <v>1586</v>
      </c>
      <c r="AD481" s="1762">
        <v>40917.838738425897</v>
      </c>
      <c r="AE481" s="1762">
        <v>39154</v>
      </c>
      <c r="AF481" s="1761" t="s">
        <v>1673</v>
      </c>
      <c r="AG481" s="1761" t="s">
        <v>1614</v>
      </c>
      <c r="AH481" s="1761" t="s">
        <v>1594</v>
      </c>
      <c r="AI481" s="1761" t="s">
        <v>1671</v>
      </c>
      <c r="AJ481" s="1761" t="s">
        <v>1671</v>
      </c>
      <c r="AK481" s="1761">
        <v>216</v>
      </c>
      <c r="AL481" s="1761" t="s">
        <v>1672</v>
      </c>
      <c r="AM481" s="1761">
        <v>1216</v>
      </c>
      <c r="AN481" s="1761" t="s">
        <v>1695</v>
      </c>
      <c r="AO481" s="1764"/>
      <c r="AP481" s="1761" t="s">
        <v>5365</v>
      </c>
      <c r="AQ481" s="1761" t="s">
        <v>5366</v>
      </c>
      <c r="AR481" s="1761" t="s">
        <v>351</v>
      </c>
      <c r="AS481" s="1761" t="s">
        <v>352</v>
      </c>
      <c r="AT481" s="1761" t="s">
        <v>327</v>
      </c>
      <c r="AU481" s="1763"/>
      <c r="AV481" s="1763"/>
    </row>
    <row r="482" spans="1:48" ht="25" hidden="1">
      <c r="A482" s="1785" t="str">
        <f t="shared" si="77"/>
        <v>גמל</v>
      </c>
      <c r="B482" s="1786">
        <f t="shared" si="78"/>
        <v>1215</v>
      </c>
      <c r="C482" s="1787">
        <v>28946</v>
      </c>
      <c r="D482" s="1786" t="str">
        <f t="shared" si="79"/>
        <v>פסגות שיא גמל מניות</v>
      </c>
      <c r="E482" s="1786" t="s">
        <v>3929</v>
      </c>
      <c r="F482" s="1786" t="s">
        <v>2958</v>
      </c>
      <c r="G482" s="1786" t="s">
        <v>2959</v>
      </c>
      <c r="H482" s="1786" t="str">
        <f t="shared" si="80"/>
        <v>לא פעיל</v>
      </c>
      <c r="I482" s="1788">
        <f t="shared" si="81"/>
        <v>39154</v>
      </c>
      <c r="J482" s="1788">
        <f t="shared" si="82"/>
        <v>40917.839641203696</v>
      </c>
      <c r="K482" s="1786">
        <v>0</v>
      </c>
      <c r="L482" s="1786" t="s">
        <v>1594</v>
      </c>
      <c r="M482" s="1786" t="s">
        <v>1653</v>
      </c>
      <c r="N482" s="1786" t="s">
        <v>1653</v>
      </c>
      <c r="O482" s="1786">
        <v>0</v>
      </c>
      <c r="P482" s="1786"/>
      <c r="Q482" s="1786">
        <v>0</v>
      </c>
      <c r="R482" s="1788"/>
      <c r="S482" s="1786">
        <f t="shared" si="83"/>
        <v>1216</v>
      </c>
      <c r="T482" s="1786" t="str">
        <f t="shared" si="84"/>
        <v>בנק הפועלים בע"מ</v>
      </c>
      <c r="U482" s="1786" t="str">
        <f t="shared" si="85"/>
        <v>פסגות שיא גמל כללי</v>
      </c>
      <c r="V482" s="1786" t="str">
        <f t="shared" si="86"/>
        <v>513767079</v>
      </c>
      <c r="W482" s="1789" t="str">
        <f t="shared" si="87"/>
        <v>פסגות קופות גמל ופנסיה בע"מ</v>
      </c>
      <c r="AC482" s="1759" t="s">
        <v>1586</v>
      </c>
      <c r="AD482" s="1760">
        <v>40917.839641203696</v>
      </c>
      <c r="AE482" s="1760">
        <v>39154</v>
      </c>
      <c r="AF482" s="1759" t="s">
        <v>1595</v>
      </c>
      <c r="AG482" s="1759" t="s">
        <v>75</v>
      </c>
      <c r="AH482" s="1759" t="s">
        <v>1594</v>
      </c>
      <c r="AI482" s="1759" t="s">
        <v>2341</v>
      </c>
      <c r="AJ482" s="1759" t="s">
        <v>2341</v>
      </c>
      <c r="AK482" s="1759">
        <v>1215</v>
      </c>
      <c r="AL482" s="1759" t="s">
        <v>1672</v>
      </c>
      <c r="AM482" s="1759">
        <v>1216</v>
      </c>
      <c r="AN482" s="1759" t="s">
        <v>1695</v>
      </c>
      <c r="AO482" s="1764"/>
      <c r="AP482" s="1759" t="s">
        <v>5365</v>
      </c>
      <c r="AQ482" s="1759" t="s">
        <v>5366</v>
      </c>
      <c r="AR482" s="1759" t="s">
        <v>351</v>
      </c>
      <c r="AS482" s="1759" t="s">
        <v>352</v>
      </c>
      <c r="AT482" s="1759" t="s">
        <v>327</v>
      </c>
      <c r="AU482" s="1763"/>
      <c r="AV482" s="1763"/>
    </row>
    <row r="483" spans="1:48" ht="37.5" hidden="1">
      <c r="A483" s="1785" t="str">
        <f t="shared" si="77"/>
        <v>גמל</v>
      </c>
      <c r="B483" s="1786">
        <f t="shared" si="78"/>
        <v>1214</v>
      </c>
      <c r="C483" s="1787">
        <v>28946</v>
      </c>
      <c r="D483" s="1786" t="str">
        <f t="shared" si="79"/>
        <v>פסגות סגנון - קופת תגמולים - מסלול חרמון כללי</v>
      </c>
      <c r="E483" s="1786" t="s">
        <v>3929</v>
      </c>
      <c r="F483" s="1786" t="s">
        <v>2958</v>
      </c>
      <c r="G483" s="1786" t="s">
        <v>2959</v>
      </c>
      <c r="H483" s="1786" t="str">
        <f t="shared" si="80"/>
        <v>לא פעיל</v>
      </c>
      <c r="I483" s="1788">
        <f t="shared" si="81"/>
        <v>39132</v>
      </c>
      <c r="J483" s="1788">
        <f t="shared" si="82"/>
        <v>40063</v>
      </c>
      <c r="K483" s="1786">
        <v>0</v>
      </c>
      <c r="L483" s="1786" t="s">
        <v>1594</v>
      </c>
      <c r="M483" s="1786" t="s">
        <v>1653</v>
      </c>
      <c r="N483" s="1786" t="s">
        <v>1653</v>
      </c>
      <c r="O483" s="1786">
        <v>0</v>
      </c>
      <c r="P483" s="1786"/>
      <c r="Q483" s="1786">
        <v>0</v>
      </c>
      <c r="R483" s="1788"/>
      <c r="S483" s="1786">
        <f t="shared" si="83"/>
        <v>1214</v>
      </c>
      <c r="T483" s="1786" t="str">
        <f t="shared" si="84"/>
        <v>בנק לאומי בע"מ</v>
      </c>
      <c r="U483" s="1786" t="str">
        <f t="shared" si="85"/>
        <v>פסגות סגנון - קופת תגמולים - מסלול חרמון כללי</v>
      </c>
      <c r="V483" s="1786" t="str">
        <f t="shared" si="86"/>
        <v>513767079</v>
      </c>
      <c r="W483" s="1789" t="str">
        <f t="shared" si="87"/>
        <v>פסגות קופות גמל ופנסיה בע"מ</v>
      </c>
      <c r="AC483" s="1761" t="s">
        <v>1586</v>
      </c>
      <c r="AD483" s="1762">
        <v>40063</v>
      </c>
      <c r="AE483" s="1762">
        <v>39132</v>
      </c>
      <c r="AF483" s="1761" t="s">
        <v>1583</v>
      </c>
      <c r="AG483" s="1761" t="s">
        <v>1583</v>
      </c>
      <c r="AH483" s="1761" t="s">
        <v>1583</v>
      </c>
      <c r="AI483" s="1761" t="s">
        <v>3553</v>
      </c>
      <c r="AJ483" s="1761" t="s">
        <v>2340</v>
      </c>
      <c r="AK483" s="1761">
        <v>1214</v>
      </c>
      <c r="AL483" s="1761" t="s">
        <v>2340</v>
      </c>
      <c r="AM483" s="1761">
        <v>1214</v>
      </c>
      <c r="AN483" s="1761" t="s">
        <v>5470</v>
      </c>
      <c r="AO483" s="1764"/>
      <c r="AP483" s="1761" t="s">
        <v>5365</v>
      </c>
      <c r="AQ483" s="1761" t="s">
        <v>5366</v>
      </c>
      <c r="AR483" s="1761" t="s">
        <v>351</v>
      </c>
      <c r="AS483" s="1761" t="s">
        <v>352</v>
      </c>
      <c r="AT483" s="1761" t="s">
        <v>327</v>
      </c>
      <c r="AU483" s="1763"/>
      <c r="AV483" s="1763"/>
    </row>
    <row r="484" spans="1:48" ht="37.5" hidden="1">
      <c r="A484" s="1785" t="str">
        <f t="shared" si="77"/>
        <v>גמל</v>
      </c>
      <c r="B484" s="1786">
        <f t="shared" si="78"/>
        <v>1212</v>
      </c>
      <c r="C484" s="1787">
        <v>28946</v>
      </c>
      <c r="D484" s="1786" t="str">
        <f t="shared" si="79"/>
        <v>אינפיניטי פיצויים (ב) מסלול סל מנייתי</v>
      </c>
      <c r="E484" s="1786" t="s">
        <v>3929</v>
      </c>
      <c r="F484" s="1786" t="s">
        <v>2958</v>
      </c>
      <c r="G484" s="1786" t="s">
        <v>2959</v>
      </c>
      <c r="H484" s="1786" t="str">
        <f t="shared" si="80"/>
        <v>לא פעיל</v>
      </c>
      <c r="I484" s="1788">
        <f t="shared" si="81"/>
        <v>39079</v>
      </c>
      <c r="J484" s="1788">
        <f t="shared" si="82"/>
        <v>40556.308969907397</v>
      </c>
      <c r="K484" s="1786">
        <v>0</v>
      </c>
      <c r="L484" s="1786" t="s">
        <v>1594</v>
      </c>
      <c r="M484" s="1786" t="s">
        <v>1653</v>
      </c>
      <c r="N484" s="1786" t="s">
        <v>1653</v>
      </c>
      <c r="O484" s="1786">
        <v>0</v>
      </c>
      <c r="P484" s="1786"/>
      <c r="Q484" s="1786">
        <v>0</v>
      </c>
      <c r="R484" s="1788"/>
      <c r="S484" s="1786">
        <f t="shared" si="83"/>
        <v>1212</v>
      </c>
      <c r="T484" s="1786" t="str">
        <f t="shared" si="84"/>
        <v>הבנק הבינלאומי הראשון</v>
      </c>
      <c r="U484" s="1786" t="str">
        <f t="shared" si="85"/>
        <v>אינפיניטי פיצויים (ב) מסלול סל מנייתי</v>
      </c>
      <c r="V484" s="1786" t="str">
        <f t="shared" si="86"/>
        <v>512475104</v>
      </c>
      <c r="W484" s="1789" t="str">
        <f t="shared" si="87"/>
        <v>אינפיניטי ניהול השתלמות וגמל בע"מ</v>
      </c>
      <c r="AC484" s="1759" t="s">
        <v>1586</v>
      </c>
      <c r="AD484" s="1760">
        <v>40556.308969907397</v>
      </c>
      <c r="AE484" s="1760">
        <v>39079</v>
      </c>
      <c r="AF484" s="1759" t="s">
        <v>1595</v>
      </c>
      <c r="AG484" s="1759" t="s">
        <v>75</v>
      </c>
      <c r="AH484" s="1759" t="s">
        <v>1594</v>
      </c>
      <c r="AI484" s="1759" t="s">
        <v>3552</v>
      </c>
      <c r="AJ484" s="1759" t="s">
        <v>2338</v>
      </c>
      <c r="AK484" s="1759">
        <v>1212</v>
      </c>
      <c r="AL484" s="1759" t="s">
        <v>2338</v>
      </c>
      <c r="AM484" s="1759">
        <v>1212</v>
      </c>
      <c r="AN484" s="1759" t="s">
        <v>5384</v>
      </c>
      <c r="AO484" s="1764"/>
      <c r="AP484" s="1759" t="s">
        <v>5368</v>
      </c>
      <c r="AQ484" s="1759" t="s">
        <v>5369</v>
      </c>
      <c r="AR484" s="1759" t="s">
        <v>650</v>
      </c>
      <c r="AS484" s="1759" t="s">
        <v>651</v>
      </c>
      <c r="AT484" s="1759" t="s">
        <v>327</v>
      </c>
      <c r="AU484" s="1763"/>
      <c r="AV484" s="1763"/>
    </row>
    <row r="485" spans="1:48" ht="25" hidden="1">
      <c r="A485" s="1785" t="str">
        <f t="shared" si="77"/>
        <v>גמל</v>
      </c>
      <c r="B485" s="1786">
        <f t="shared" si="78"/>
        <v>1207</v>
      </c>
      <c r="C485" s="1787">
        <v>28946</v>
      </c>
      <c r="D485" s="1786" t="str">
        <f t="shared" si="79"/>
        <v>מיטב וויזר גמל מניות</v>
      </c>
      <c r="E485" s="1786" t="s">
        <v>3929</v>
      </c>
      <c r="F485" s="1786" t="s">
        <v>2958</v>
      </c>
      <c r="G485" s="1786" t="s">
        <v>2959</v>
      </c>
      <c r="H485" s="1786" t="str">
        <f t="shared" si="80"/>
        <v>לא פעיל</v>
      </c>
      <c r="I485" s="1788">
        <f t="shared" si="81"/>
        <v>39079</v>
      </c>
      <c r="J485" s="1788">
        <f t="shared" si="82"/>
        <v>40633</v>
      </c>
      <c r="K485" s="1786">
        <v>0</v>
      </c>
      <c r="L485" s="1786" t="s">
        <v>1594</v>
      </c>
      <c r="M485" s="1786" t="s">
        <v>1653</v>
      </c>
      <c r="N485" s="1786" t="s">
        <v>1653</v>
      </c>
      <c r="O485" s="1786">
        <v>0</v>
      </c>
      <c r="P485" s="1786"/>
      <c r="Q485" s="1786">
        <v>0</v>
      </c>
      <c r="R485" s="1788"/>
      <c r="S485" s="1786">
        <f t="shared" si="83"/>
        <v>1207</v>
      </c>
      <c r="T485" s="1786" t="str">
        <f t="shared" si="84"/>
        <v>בנק הפועלים בע"מ</v>
      </c>
      <c r="U485" s="1786" t="str">
        <f t="shared" si="85"/>
        <v>מיטב וויזר גמל מניות</v>
      </c>
      <c r="V485" s="1786">
        <f t="shared" si="86"/>
        <v>0</v>
      </c>
      <c r="W485" s="1789" t="str">
        <f t="shared" si="87"/>
        <v>מיטב גמל ופנסיה בע"מ</v>
      </c>
      <c r="AC485" s="1761" t="s">
        <v>1586</v>
      </c>
      <c r="AD485" s="1762">
        <v>40633</v>
      </c>
      <c r="AE485" s="1762">
        <v>39079</v>
      </c>
      <c r="AF485" s="1761" t="s">
        <v>1595</v>
      </c>
      <c r="AG485" s="1761" t="s">
        <v>75</v>
      </c>
      <c r="AH485" s="1761" t="s">
        <v>1594</v>
      </c>
      <c r="AI485" s="1761" t="s">
        <v>2335</v>
      </c>
      <c r="AJ485" s="1761" t="s">
        <v>2335</v>
      </c>
      <c r="AK485" s="1761">
        <v>1207</v>
      </c>
      <c r="AL485" s="1761" t="s">
        <v>2335</v>
      </c>
      <c r="AM485" s="1761">
        <v>1207</v>
      </c>
      <c r="AN485" s="1761" t="s">
        <v>1695</v>
      </c>
      <c r="AO485" s="1764"/>
      <c r="AP485" s="1761"/>
      <c r="AQ485" s="1761"/>
      <c r="AR485" s="1761" t="s">
        <v>365</v>
      </c>
      <c r="AS485" s="1761" t="s">
        <v>366</v>
      </c>
      <c r="AT485" s="1761" t="s">
        <v>327</v>
      </c>
      <c r="AU485" s="1763"/>
      <c r="AV485" s="1763"/>
    </row>
    <row r="486" spans="1:48" ht="25" hidden="1">
      <c r="A486" s="1785" t="str">
        <f t="shared" si="77"/>
        <v>גמל</v>
      </c>
      <c r="B486" s="1786">
        <f t="shared" si="78"/>
        <v>429</v>
      </c>
      <c r="C486" s="1787">
        <v>28946</v>
      </c>
      <c r="D486" s="1786" t="str">
        <f t="shared" si="79"/>
        <v>אי.בי.אי - נגב קופה מרכזית לפיצויים רב מסלולית</v>
      </c>
      <c r="E486" s="1786" t="s">
        <v>3929</v>
      </c>
      <c r="F486" s="1786" t="s">
        <v>2958</v>
      </c>
      <c r="G486" s="1786" t="s">
        <v>2959</v>
      </c>
      <c r="H486" s="1786" t="str">
        <f t="shared" si="80"/>
        <v>לא פעיל</v>
      </c>
      <c r="I486" s="1788">
        <f t="shared" si="81"/>
        <v>39021</v>
      </c>
      <c r="J486" s="1788">
        <f t="shared" si="82"/>
        <v>43481.510787036997</v>
      </c>
      <c r="K486" s="1786">
        <v>0</v>
      </c>
      <c r="L486" s="1786" t="s">
        <v>1594</v>
      </c>
      <c r="M486" s="1786" t="s">
        <v>1653</v>
      </c>
      <c r="N486" s="1786" t="s">
        <v>1653</v>
      </c>
      <c r="O486" s="1786">
        <v>0</v>
      </c>
      <c r="P486" s="1786"/>
      <c r="Q486" s="1786">
        <v>0</v>
      </c>
      <c r="R486" s="1788"/>
      <c r="S486" s="1786">
        <f t="shared" si="83"/>
        <v>1206</v>
      </c>
      <c r="T486" s="1786" t="str">
        <f t="shared" si="84"/>
        <v>בנק הפועלים בע"מ</v>
      </c>
      <c r="U486" s="1786" t="str">
        <f t="shared" si="85"/>
        <v>אי.בי.אי מרכזית לפיצויים מסלול כללי</v>
      </c>
      <c r="V486" s="1786" t="str">
        <f t="shared" si="86"/>
        <v>513163105</v>
      </c>
      <c r="W486" s="1789" t="str">
        <f t="shared" si="87"/>
        <v>הלמן - אלדובי קופות גמל ופנסיה בע"מ</v>
      </c>
      <c r="AC486" s="1759" t="s">
        <v>1586</v>
      </c>
      <c r="AD486" s="1760">
        <v>43481.510787036997</v>
      </c>
      <c r="AE486" s="1760">
        <v>39021</v>
      </c>
      <c r="AF486" s="1759"/>
      <c r="AG486" s="1759"/>
      <c r="AH486" s="1759" t="s">
        <v>1812</v>
      </c>
      <c r="AI486" s="1759" t="s">
        <v>3115</v>
      </c>
      <c r="AJ486" s="1759" t="s">
        <v>1811</v>
      </c>
      <c r="AK486" s="1759">
        <v>429</v>
      </c>
      <c r="AL486" s="1759" t="s">
        <v>678</v>
      </c>
      <c r="AM486" s="1759">
        <v>1206</v>
      </c>
      <c r="AN486" s="1759" t="s">
        <v>1695</v>
      </c>
      <c r="AO486" s="1764"/>
      <c r="AP486" s="1759" t="s">
        <v>5371</v>
      </c>
      <c r="AQ486" s="1759" t="s">
        <v>5372</v>
      </c>
      <c r="AR486" s="1759" t="s">
        <v>354</v>
      </c>
      <c r="AS486" s="1759" t="s">
        <v>355</v>
      </c>
      <c r="AT486" s="1759" t="s">
        <v>327</v>
      </c>
      <c r="AU486" s="1763"/>
      <c r="AV486" s="1763"/>
    </row>
    <row r="487" spans="1:48" ht="25" hidden="1">
      <c r="A487" s="1785" t="str">
        <f t="shared" si="77"/>
        <v>גמל</v>
      </c>
      <c r="B487" s="1786">
        <f t="shared" si="78"/>
        <v>1206</v>
      </c>
      <c r="C487" s="1787">
        <v>28946</v>
      </c>
      <c r="D487" s="1786" t="str">
        <f t="shared" si="79"/>
        <v>אי.בי.אי מרכזית לפיצויים מסלול כללי</v>
      </c>
      <c r="E487" s="1786" t="s">
        <v>3929</v>
      </c>
      <c r="F487" s="1786" t="s">
        <v>2958</v>
      </c>
      <c r="G487" s="1786" t="s">
        <v>2959</v>
      </c>
      <c r="H487" s="1786" t="str">
        <f t="shared" si="80"/>
        <v>לא פעיל</v>
      </c>
      <c r="I487" s="1788">
        <f t="shared" si="81"/>
        <v>39021</v>
      </c>
      <c r="J487" s="1788">
        <f t="shared" si="82"/>
        <v>43481.510787036997</v>
      </c>
      <c r="K487" s="1786">
        <v>0</v>
      </c>
      <c r="L487" s="1786" t="s">
        <v>1594</v>
      </c>
      <c r="M487" s="1786" t="s">
        <v>1653</v>
      </c>
      <c r="N487" s="1786" t="s">
        <v>1653</v>
      </c>
      <c r="O487" s="1786">
        <v>0</v>
      </c>
      <c r="P487" s="1786"/>
      <c r="Q487" s="1786">
        <v>0</v>
      </c>
      <c r="R487" s="1788"/>
      <c r="S487" s="1786">
        <f t="shared" si="83"/>
        <v>1206</v>
      </c>
      <c r="T487" s="1786" t="str">
        <f t="shared" si="84"/>
        <v>בנק הפועלים בע"מ</v>
      </c>
      <c r="U487" s="1786" t="str">
        <f t="shared" si="85"/>
        <v>אי.בי.אי מרכזית לפיצויים מסלול כללי</v>
      </c>
      <c r="V487" s="1786" t="str">
        <f t="shared" si="86"/>
        <v>513163105</v>
      </c>
      <c r="W487" s="1789" t="str">
        <f t="shared" si="87"/>
        <v>הלמן - אלדובי קופות גמל ופנסיה בע"מ</v>
      </c>
      <c r="AC487" s="1761" t="s">
        <v>1586</v>
      </c>
      <c r="AD487" s="1762">
        <v>43481.510787036997</v>
      </c>
      <c r="AE487" s="1762">
        <v>39021</v>
      </c>
      <c r="AF487" s="1761" t="s">
        <v>1583</v>
      </c>
      <c r="AG487" s="1761" t="s">
        <v>1583</v>
      </c>
      <c r="AH487" s="1761" t="s">
        <v>1583</v>
      </c>
      <c r="AI487" s="1761" t="s">
        <v>678</v>
      </c>
      <c r="AJ487" s="1761" t="s">
        <v>678</v>
      </c>
      <c r="AK487" s="1761">
        <v>1206</v>
      </c>
      <c r="AL487" s="1761" t="s">
        <v>678</v>
      </c>
      <c r="AM487" s="1761">
        <v>1206</v>
      </c>
      <c r="AN487" s="1761" t="s">
        <v>1695</v>
      </c>
      <c r="AO487" s="1764"/>
      <c r="AP487" s="1761" t="s">
        <v>5371</v>
      </c>
      <c r="AQ487" s="1761" t="s">
        <v>5372</v>
      </c>
      <c r="AR487" s="1761" t="s">
        <v>354</v>
      </c>
      <c r="AS487" s="1761" t="s">
        <v>355</v>
      </c>
      <c r="AT487" s="1761" t="s">
        <v>327</v>
      </c>
      <c r="AU487" s="1763"/>
      <c r="AV487" s="1763"/>
    </row>
    <row r="488" spans="1:48" ht="25" hidden="1">
      <c r="A488" s="1785" t="str">
        <f t="shared" si="77"/>
        <v>גמל</v>
      </c>
      <c r="B488" s="1786">
        <f t="shared" si="78"/>
        <v>1416</v>
      </c>
      <c r="C488" s="1787">
        <v>28946</v>
      </c>
      <c r="D488" s="1786" t="str">
        <f t="shared" si="79"/>
        <v>אי.בי.אי מרכזית לפיצויים מסלול אג"ח</v>
      </c>
      <c r="E488" s="1786" t="s">
        <v>3929</v>
      </c>
      <c r="F488" s="1786" t="s">
        <v>2958</v>
      </c>
      <c r="G488" s="1786" t="s">
        <v>2959</v>
      </c>
      <c r="H488" s="1786" t="str">
        <f t="shared" si="80"/>
        <v>לא פעיל</v>
      </c>
      <c r="I488" s="1788">
        <f t="shared" si="81"/>
        <v>39021</v>
      </c>
      <c r="J488" s="1788">
        <f t="shared" si="82"/>
        <v>43481.524571759299</v>
      </c>
      <c r="K488" s="1786">
        <v>0</v>
      </c>
      <c r="L488" s="1786" t="s">
        <v>1594</v>
      </c>
      <c r="M488" s="1786" t="s">
        <v>1653</v>
      </c>
      <c r="N488" s="1786" t="s">
        <v>1653</v>
      </c>
      <c r="O488" s="1786">
        <v>0</v>
      </c>
      <c r="P488" s="1786"/>
      <c r="Q488" s="1786">
        <v>0</v>
      </c>
      <c r="R488" s="1788"/>
      <c r="S488" s="1786">
        <f t="shared" si="83"/>
        <v>1206</v>
      </c>
      <c r="T488" s="1786" t="str">
        <f t="shared" si="84"/>
        <v>בנק הפועלים בע"מ</v>
      </c>
      <c r="U488" s="1786" t="str">
        <f t="shared" si="85"/>
        <v>אי.בי.אי מרכזית לפיצויים מסלול כללי</v>
      </c>
      <c r="V488" s="1786" t="str">
        <f t="shared" si="86"/>
        <v>513163105</v>
      </c>
      <c r="W488" s="1789" t="str">
        <f t="shared" si="87"/>
        <v>הלמן - אלדובי קופות גמל ופנסיה בע"מ</v>
      </c>
      <c r="AC488" s="1759" t="s">
        <v>1586</v>
      </c>
      <c r="AD488" s="1760">
        <v>43481.524571759299</v>
      </c>
      <c r="AE488" s="1760">
        <v>39021</v>
      </c>
      <c r="AF488" s="1759" t="s">
        <v>1653</v>
      </c>
      <c r="AG488" s="1759" t="s">
        <v>1653</v>
      </c>
      <c r="AH488" s="1759" t="s">
        <v>1594</v>
      </c>
      <c r="AI488" s="1759" t="s">
        <v>2453</v>
      </c>
      <c r="AJ488" s="1759" t="s">
        <v>2453</v>
      </c>
      <c r="AK488" s="1759">
        <v>1416</v>
      </c>
      <c r="AL488" s="1759" t="s">
        <v>678</v>
      </c>
      <c r="AM488" s="1759">
        <v>1206</v>
      </c>
      <c r="AN488" s="1759" t="s">
        <v>1695</v>
      </c>
      <c r="AO488" s="1764"/>
      <c r="AP488" s="1759" t="s">
        <v>5371</v>
      </c>
      <c r="AQ488" s="1759" t="s">
        <v>5372</v>
      </c>
      <c r="AR488" s="1759" t="s">
        <v>354</v>
      </c>
      <c r="AS488" s="1759" t="s">
        <v>355</v>
      </c>
      <c r="AT488" s="1759" t="s">
        <v>327</v>
      </c>
      <c r="AU488" s="1763"/>
      <c r="AV488" s="1763"/>
    </row>
    <row r="489" spans="1:48" ht="25" hidden="1">
      <c r="A489" s="1785" t="str">
        <f t="shared" si="77"/>
        <v>גמל</v>
      </c>
      <c r="B489" s="1786">
        <f t="shared" si="78"/>
        <v>2268</v>
      </c>
      <c r="C489" s="1787">
        <v>28946</v>
      </c>
      <c r="D489" s="1786" t="str">
        <f t="shared" si="79"/>
        <v>אי.בי.אי השתלמות מחקה מדד מדדיות ממשלתיות 2-5 שנים</v>
      </c>
      <c r="E489" s="1786" t="s">
        <v>3929</v>
      </c>
      <c r="F489" s="1786" t="s">
        <v>2958</v>
      </c>
      <c r="G489" s="1786" t="s">
        <v>2959</v>
      </c>
      <c r="H489" s="1786" t="str">
        <f t="shared" si="80"/>
        <v>לא פעיל</v>
      </c>
      <c r="I489" s="1788">
        <f t="shared" si="81"/>
        <v>39021</v>
      </c>
      <c r="J489" s="1788">
        <f t="shared" si="82"/>
        <v>42226.477430555598</v>
      </c>
      <c r="K489" s="1786">
        <v>0</v>
      </c>
      <c r="L489" s="1786" t="s">
        <v>1594</v>
      </c>
      <c r="M489" s="1786" t="s">
        <v>1653</v>
      </c>
      <c r="N489" s="1786" t="s">
        <v>1653</v>
      </c>
      <c r="O489" s="1786">
        <v>0</v>
      </c>
      <c r="P489" s="1786"/>
      <c r="Q489" s="1786">
        <v>0</v>
      </c>
      <c r="R489" s="1788"/>
      <c r="S489" s="1786">
        <f t="shared" si="83"/>
        <v>1202</v>
      </c>
      <c r="T489" s="1786" t="str">
        <f t="shared" si="84"/>
        <v>בנק הפועלים בע"מ</v>
      </c>
      <c r="U489" s="1786" t="str">
        <f t="shared" si="85"/>
        <v xml:space="preserve">אי.בי.אי קרן השתלמות </v>
      </c>
      <c r="V489" s="1786" t="str">
        <f t="shared" si="86"/>
        <v>513163105</v>
      </c>
      <c r="W489" s="1789" t="str">
        <f t="shared" si="87"/>
        <v>הלמן - אלדובי קופות גמל ופנסיה בע"מ</v>
      </c>
      <c r="AC489" s="1761" t="s">
        <v>1586</v>
      </c>
      <c r="AD489" s="1762">
        <v>42226.477430555598</v>
      </c>
      <c r="AE489" s="1762">
        <v>39021</v>
      </c>
      <c r="AF489" s="1761" t="s">
        <v>1653</v>
      </c>
      <c r="AG489" s="1761" t="s">
        <v>1653</v>
      </c>
      <c r="AH489" s="1761" t="s">
        <v>1594</v>
      </c>
      <c r="AI489" s="1761" t="s">
        <v>2919</v>
      </c>
      <c r="AJ489" s="1761" t="s">
        <v>2919</v>
      </c>
      <c r="AK489" s="1761">
        <v>2268</v>
      </c>
      <c r="AL489" s="1761" t="s">
        <v>3463</v>
      </c>
      <c r="AM489" s="1761">
        <v>1202</v>
      </c>
      <c r="AN489" s="1761" t="s">
        <v>1695</v>
      </c>
      <c r="AO489" s="1764"/>
      <c r="AP489" s="1761" t="s">
        <v>5371</v>
      </c>
      <c r="AQ489" s="1761" t="s">
        <v>5372</v>
      </c>
      <c r="AR489" s="1761" t="s">
        <v>354</v>
      </c>
      <c r="AS489" s="1761" t="s">
        <v>355</v>
      </c>
      <c r="AT489" s="1761" t="s">
        <v>327</v>
      </c>
      <c r="AU489" s="1763"/>
      <c r="AV489" s="1763"/>
    </row>
    <row r="490" spans="1:48" ht="25" hidden="1">
      <c r="A490" s="1785" t="str">
        <f t="shared" si="77"/>
        <v>גמל</v>
      </c>
      <c r="B490" s="1786">
        <f t="shared" si="78"/>
        <v>2269</v>
      </c>
      <c r="C490" s="1787">
        <v>28946</v>
      </c>
      <c r="D490" s="1786" t="str">
        <f t="shared" si="79"/>
        <v>אי.בי.אי מחקה מדד מדדיות ממשלתיות 5-10 שנים</v>
      </c>
      <c r="E490" s="1786" t="s">
        <v>3929</v>
      </c>
      <c r="F490" s="1786" t="s">
        <v>2958</v>
      </c>
      <c r="G490" s="1786" t="s">
        <v>2959</v>
      </c>
      <c r="H490" s="1786" t="str">
        <f t="shared" si="80"/>
        <v>לא פעיל</v>
      </c>
      <c r="I490" s="1788">
        <f t="shared" si="81"/>
        <v>39021</v>
      </c>
      <c r="J490" s="1788">
        <f t="shared" si="82"/>
        <v>42226.477430555598</v>
      </c>
      <c r="K490" s="1786">
        <v>0</v>
      </c>
      <c r="L490" s="1786" t="s">
        <v>1594</v>
      </c>
      <c r="M490" s="1786" t="s">
        <v>1653</v>
      </c>
      <c r="N490" s="1786" t="s">
        <v>1653</v>
      </c>
      <c r="O490" s="1786">
        <v>0</v>
      </c>
      <c r="P490" s="1786"/>
      <c r="Q490" s="1786">
        <v>0</v>
      </c>
      <c r="R490" s="1788"/>
      <c r="S490" s="1786">
        <f t="shared" si="83"/>
        <v>1202</v>
      </c>
      <c r="T490" s="1786" t="str">
        <f t="shared" si="84"/>
        <v>בנק הפועלים בע"מ</v>
      </c>
      <c r="U490" s="1786" t="str">
        <f t="shared" si="85"/>
        <v xml:space="preserve">אי.בי.אי קרן השתלמות </v>
      </c>
      <c r="V490" s="1786" t="str">
        <f t="shared" si="86"/>
        <v>513163105</v>
      </c>
      <c r="W490" s="1789" t="str">
        <f t="shared" si="87"/>
        <v>הלמן - אלדובי קופות גמל ופנסיה בע"מ</v>
      </c>
      <c r="AC490" s="1759" t="s">
        <v>1586</v>
      </c>
      <c r="AD490" s="1760">
        <v>42226.477430555598</v>
      </c>
      <c r="AE490" s="1760">
        <v>39021</v>
      </c>
      <c r="AF490" s="1759" t="s">
        <v>1653</v>
      </c>
      <c r="AG490" s="1759" t="s">
        <v>1653</v>
      </c>
      <c r="AH490" s="1759" t="s">
        <v>1594</v>
      </c>
      <c r="AI490" s="1759" t="s">
        <v>2920</v>
      </c>
      <c r="AJ490" s="1759" t="s">
        <v>2920</v>
      </c>
      <c r="AK490" s="1759">
        <v>2269</v>
      </c>
      <c r="AL490" s="1759" t="s">
        <v>3463</v>
      </c>
      <c r="AM490" s="1759">
        <v>1202</v>
      </c>
      <c r="AN490" s="1759" t="s">
        <v>1695</v>
      </c>
      <c r="AO490" s="1764"/>
      <c r="AP490" s="1759" t="s">
        <v>5371</v>
      </c>
      <c r="AQ490" s="1759" t="s">
        <v>5372</v>
      </c>
      <c r="AR490" s="1759" t="s">
        <v>354</v>
      </c>
      <c r="AS490" s="1759" t="s">
        <v>355</v>
      </c>
      <c r="AT490" s="1759" t="s">
        <v>327</v>
      </c>
      <c r="AU490" s="1763"/>
      <c r="AV490" s="1763"/>
    </row>
    <row r="491" spans="1:48" ht="25" hidden="1">
      <c r="A491" s="1785" t="str">
        <f t="shared" si="77"/>
        <v>גמל</v>
      </c>
      <c r="B491" s="1786">
        <f t="shared" si="78"/>
        <v>2270</v>
      </c>
      <c r="C491" s="1787">
        <v>28946</v>
      </c>
      <c r="D491" s="1786" t="str">
        <f t="shared" si="79"/>
        <v>אי.בי.אי השתלמות פאסיבי משולב עד 10% מניות</v>
      </c>
      <c r="E491" s="1786" t="s">
        <v>3929</v>
      </c>
      <c r="F491" s="1786" t="s">
        <v>2958</v>
      </c>
      <c r="G491" s="1786" t="s">
        <v>2959</v>
      </c>
      <c r="H491" s="1786" t="str">
        <f t="shared" si="80"/>
        <v>לא פעיל</v>
      </c>
      <c r="I491" s="1788">
        <f t="shared" si="81"/>
        <v>39021</v>
      </c>
      <c r="J491" s="1788">
        <f t="shared" si="82"/>
        <v>43481.495312500003</v>
      </c>
      <c r="K491" s="1786">
        <v>0</v>
      </c>
      <c r="L491" s="1786" t="s">
        <v>1594</v>
      </c>
      <c r="M491" s="1786" t="s">
        <v>1653</v>
      </c>
      <c r="N491" s="1786" t="s">
        <v>1653</v>
      </c>
      <c r="O491" s="1786">
        <v>0</v>
      </c>
      <c r="P491" s="1786"/>
      <c r="Q491" s="1786">
        <v>0</v>
      </c>
      <c r="R491" s="1788"/>
      <c r="S491" s="1786">
        <f t="shared" si="83"/>
        <v>1202</v>
      </c>
      <c r="T491" s="1786" t="str">
        <f t="shared" si="84"/>
        <v>בנק הפועלים בע"מ</v>
      </c>
      <c r="U491" s="1786" t="str">
        <f t="shared" si="85"/>
        <v xml:space="preserve">אי.בי.אי קרן השתלמות </v>
      </c>
      <c r="V491" s="1786" t="str">
        <f t="shared" si="86"/>
        <v>513163105</v>
      </c>
      <c r="W491" s="1789" t="str">
        <f t="shared" si="87"/>
        <v>הלמן - אלדובי קופות גמל ופנסיה בע"מ</v>
      </c>
      <c r="AC491" s="1761" t="s">
        <v>1586</v>
      </c>
      <c r="AD491" s="1762">
        <v>43481.495312500003</v>
      </c>
      <c r="AE491" s="1762">
        <v>39021</v>
      </c>
      <c r="AF491" s="1761" t="s">
        <v>4619</v>
      </c>
      <c r="AG491" s="1761" t="s">
        <v>1653</v>
      </c>
      <c r="AH491" s="1761" t="s">
        <v>1594</v>
      </c>
      <c r="AI491" s="1761" t="s">
        <v>4181</v>
      </c>
      <c r="AJ491" s="1761" t="s">
        <v>4181</v>
      </c>
      <c r="AK491" s="1761">
        <v>2270</v>
      </c>
      <c r="AL491" s="1761" t="s">
        <v>3463</v>
      </c>
      <c r="AM491" s="1761">
        <v>1202</v>
      </c>
      <c r="AN491" s="1761" t="s">
        <v>1695</v>
      </c>
      <c r="AO491" s="1764"/>
      <c r="AP491" s="1761" t="s">
        <v>5371</v>
      </c>
      <c r="AQ491" s="1761" t="s">
        <v>5372</v>
      </c>
      <c r="AR491" s="1761" t="s">
        <v>354</v>
      </c>
      <c r="AS491" s="1761" t="s">
        <v>355</v>
      </c>
      <c r="AT491" s="1761" t="s">
        <v>327</v>
      </c>
      <c r="AU491" s="1763"/>
      <c r="AV491" s="1763"/>
    </row>
    <row r="492" spans="1:48" ht="25" hidden="1">
      <c r="A492" s="1785" t="str">
        <f t="shared" si="77"/>
        <v>גמל</v>
      </c>
      <c r="B492" s="1786">
        <f t="shared" si="78"/>
        <v>2272</v>
      </c>
      <c r="C492" s="1787">
        <v>28946</v>
      </c>
      <c r="D492" s="1786" t="str">
        <f t="shared" si="79"/>
        <v>אי.בי.אי השתלמות מסלול מחקה מדד תל בונד 20</v>
      </c>
      <c r="E492" s="1786" t="s">
        <v>3929</v>
      </c>
      <c r="F492" s="1786" t="s">
        <v>2958</v>
      </c>
      <c r="G492" s="1786" t="s">
        <v>2959</v>
      </c>
      <c r="H492" s="1786" t="str">
        <f t="shared" si="80"/>
        <v>לא פעיל</v>
      </c>
      <c r="I492" s="1788">
        <f t="shared" si="81"/>
        <v>39021</v>
      </c>
      <c r="J492" s="1788">
        <f t="shared" si="82"/>
        <v>42226.477430555598</v>
      </c>
      <c r="K492" s="1786">
        <v>0</v>
      </c>
      <c r="L492" s="1786" t="s">
        <v>1594</v>
      </c>
      <c r="M492" s="1786" t="s">
        <v>1653</v>
      </c>
      <c r="N492" s="1786" t="s">
        <v>1653</v>
      </c>
      <c r="O492" s="1786">
        <v>0</v>
      </c>
      <c r="P492" s="1786"/>
      <c r="Q492" s="1786">
        <v>0</v>
      </c>
      <c r="R492" s="1788"/>
      <c r="S492" s="1786">
        <f t="shared" si="83"/>
        <v>1202</v>
      </c>
      <c r="T492" s="1786" t="str">
        <f t="shared" si="84"/>
        <v>בנק הפועלים בע"מ</v>
      </c>
      <c r="U492" s="1786" t="str">
        <f t="shared" si="85"/>
        <v xml:space="preserve">אי.בי.אי קרן השתלמות </v>
      </c>
      <c r="V492" s="1786" t="str">
        <f t="shared" si="86"/>
        <v>513163105</v>
      </c>
      <c r="W492" s="1789" t="str">
        <f t="shared" si="87"/>
        <v>הלמן - אלדובי קופות גמל ופנסיה בע"מ</v>
      </c>
      <c r="AC492" s="1759" t="s">
        <v>1586</v>
      </c>
      <c r="AD492" s="1760">
        <v>42226.477430555598</v>
      </c>
      <c r="AE492" s="1760">
        <v>39021</v>
      </c>
      <c r="AF492" s="1759" t="s">
        <v>1653</v>
      </c>
      <c r="AG492" s="1759" t="s">
        <v>1653</v>
      </c>
      <c r="AH492" s="1759" t="s">
        <v>1594</v>
      </c>
      <c r="AI492" s="1759" t="s">
        <v>2921</v>
      </c>
      <c r="AJ492" s="1759" t="s">
        <v>2921</v>
      </c>
      <c r="AK492" s="1759">
        <v>2272</v>
      </c>
      <c r="AL492" s="1759" t="s">
        <v>3463</v>
      </c>
      <c r="AM492" s="1759">
        <v>1202</v>
      </c>
      <c r="AN492" s="1759" t="s">
        <v>1695</v>
      </c>
      <c r="AO492" s="1764"/>
      <c r="AP492" s="1759" t="s">
        <v>5371</v>
      </c>
      <c r="AQ492" s="1759" t="s">
        <v>5372</v>
      </c>
      <c r="AR492" s="1759" t="s">
        <v>354</v>
      </c>
      <c r="AS492" s="1759" t="s">
        <v>355</v>
      </c>
      <c r="AT492" s="1759" t="s">
        <v>327</v>
      </c>
      <c r="AU492" s="1763"/>
      <c r="AV492" s="1763"/>
    </row>
    <row r="493" spans="1:48" ht="25" hidden="1">
      <c r="A493" s="1785" t="str">
        <f t="shared" si="77"/>
        <v>גמל</v>
      </c>
      <c r="B493" s="1786">
        <f t="shared" si="78"/>
        <v>1518</v>
      </c>
      <c r="C493" s="1787">
        <v>28946</v>
      </c>
      <c r="D493" s="1786" t="str">
        <f t="shared" si="79"/>
        <v>אי.בי.אי קרן השתלמות מסלול מניות בארץ</v>
      </c>
      <c r="E493" s="1786" t="s">
        <v>3929</v>
      </c>
      <c r="F493" s="1786" t="s">
        <v>2958</v>
      </c>
      <c r="G493" s="1786" t="s">
        <v>2959</v>
      </c>
      <c r="H493" s="1786" t="str">
        <f t="shared" si="80"/>
        <v>לא פעיל</v>
      </c>
      <c r="I493" s="1788">
        <f t="shared" si="81"/>
        <v>39021</v>
      </c>
      <c r="J493" s="1788">
        <f t="shared" si="82"/>
        <v>42166.457581018498</v>
      </c>
      <c r="K493" s="1786">
        <v>0</v>
      </c>
      <c r="L493" s="1786" t="s">
        <v>1594</v>
      </c>
      <c r="M493" s="1786" t="s">
        <v>1653</v>
      </c>
      <c r="N493" s="1786" t="s">
        <v>1653</v>
      </c>
      <c r="O493" s="1786">
        <v>0</v>
      </c>
      <c r="P493" s="1786"/>
      <c r="Q493" s="1786">
        <v>0</v>
      </c>
      <c r="R493" s="1788"/>
      <c r="S493" s="1786">
        <f t="shared" si="83"/>
        <v>1202</v>
      </c>
      <c r="T493" s="1786" t="str">
        <f t="shared" si="84"/>
        <v>בנק הפועלים בע"מ</v>
      </c>
      <c r="U493" s="1786" t="str">
        <f t="shared" si="85"/>
        <v xml:space="preserve">אי.בי.אי קרן השתלמות </v>
      </c>
      <c r="V493" s="1786" t="str">
        <f t="shared" si="86"/>
        <v>513163105</v>
      </c>
      <c r="W493" s="1789" t="str">
        <f t="shared" si="87"/>
        <v>הלמן - אלדובי קופות גמל ופנסיה בע"מ</v>
      </c>
      <c r="AC493" s="1761" t="s">
        <v>1586</v>
      </c>
      <c r="AD493" s="1762">
        <v>42166.457581018498</v>
      </c>
      <c r="AE493" s="1762">
        <v>39021</v>
      </c>
      <c r="AF493" s="1761" t="s">
        <v>3672</v>
      </c>
      <c r="AG493" s="1761" t="s">
        <v>75</v>
      </c>
      <c r="AH493" s="1761" t="s">
        <v>1594</v>
      </c>
      <c r="AI493" s="1761" t="s">
        <v>3671</v>
      </c>
      <c r="AJ493" s="1761" t="s">
        <v>3670</v>
      </c>
      <c r="AK493" s="1761">
        <v>1518</v>
      </c>
      <c r="AL493" s="1761" t="s">
        <v>3463</v>
      </c>
      <c r="AM493" s="1761">
        <v>1202</v>
      </c>
      <c r="AN493" s="1761" t="s">
        <v>1695</v>
      </c>
      <c r="AO493" s="1764"/>
      <c r="AP493" s="1761" t="s">
        <v>5371</v>
      </c>
      <c r="AQ493" s="1761" t="s">
        <v>5372</v>
      </c>
      <c r="AR493" s="1761" t="s">
        <v>354</v>
      </c>
      <c r="AS493" s="1761" t="s">
        <v>355</v>
      </c>
      <c r="AT493" s="1761" t="s">
        <v>327</v>
      </c>
      <c r="AU493" s="1763"/>
      <c r="AV493" s="1763"/>
    </row>
    <row r="494" spans="1:48" ht="25" hidden="1">
      <c r="A494" s="1785" t="str">
        <f t="shared" si="77"/>
        <v>גמל</v>
      </c>
      <c r="B494" s="1786">
        <f t="shared" si="78"/>
        <v>8723</v>
      </c>
      <c r="C494" s="1787">
        <v>28946</v>
      </c>
      <c r="D494" s="1786" t="str">
        <f t="shared" si="79"/>
        <v xml:space="preserve">אי.בי.אי השתלמות מסלול מחקה מדד STOXX EUROPE 600   </v>
      </c>
      <c r="E494" s="1786" t="s">
        <v>3929</v>
      </c>
      <c r="F494" s="1786" t="s">
        <v>2958</v>
      </c>
      <c r="G494" s="1786" t="s">
        <v>2959</v>
      </c>
      <c r="H494" s="1786" t="str">
        <f t="shared" si="80"/>
        <v>לא פעיל</v>
      </c>
      <c r="I494" s="1788">
        <f t="shared" si="81"/>
        <v>39021</v>
      </c>
      <c r="J494" s="1788">
        <f t="shared" si="82"/>
        <v>42292.496689814798</v>
      </c>
      <c r="K494" s="1786">
        <v>0</v>
      </c>
      <c r="L494" s="1786" t="s">
        <v>1594</v>
      </c>
      <c r="M494" s="1786" t="s">
        <v>1653</v>
      </c>
      <c r="N494" s="1786" t="s">
        <v>1653</v>
      </c>
      <c r="O494" s="1786">
        <v>0</v>
      </c>
      <c r="P494" s="1786"/>
      <c r="Q494" s="1786">
        <v>0</v>
      </c>
      <c r="R494" s="1788"/>
      <c r="S494" s="1786">
        <f t="shared" si="83"/>
        <v>1202</v>
      </c>
      <c r="T494" s="1786" t="str">
        <f t="shared" si="84"/>
        <v>בנק הפועלים בע"מ</v>
      </c>
      <c r="U494" s="1786" t="str">
        <f t="shared" si="85"/>
        <v xml:space="preserve">אי.בי.אי קרן השתלמות </v>
      </c>
      <c r="V494" s="1786" t="str">
        <f t="shared" si="86"/>
        <v>513163105</v>
      </c>
      <c r="W494" s="1789" t="str">
        <f t="shared" si="87"/>
        <v>הלמן - אלדובי קופות גמל ופנסיה בע"מ</v>
      </c>
      <c r="AC494" s="1759" t="s">
        <v>1586</v>
      </c>
      <c r="AD494" s="1760">
        <v>42292.496689814798</v>
      </c>
      <c r="AE494" s="1760">
        <v>39021</v>
      </c>
      <c r="AF494" s="1759" t="s">
        <v>1094</v>
      </c>
      <c r="AG494" s="1759" t="s">
        <v>1094</v>
      </c>
      <c r="AH494" s="1759" t="s">
        <v>1594</v>
      </c>
      <c r="AI494" s="1759" t="s">
        <v>3739</v>
      </c>
      <c r="AJ494" s="1759" t="s">
        <v>3738</v>
      </c>
      <c r="AK494" s="1759">
        <v>8723</v>
      </c>
      <c r="AL494" s="1759" t="s">
        <v>3463</v>
      </c>
      <c r="AM494" s="1759">
        <v>1202</v>
      </c>
      <c r="AN494" s="1759" t="s">
        <v>1695</v>
      </c>
      <c r="AO494" s="1764"/>
      <c r="AP494" s="1759" t="s">
        <v>5371</v>
      </c>
      <c r="AQ494" s="1759" t="s">
        <v>5372</v>
      </c>
      <c r="AR494" s="1759" t="s">
        <v>354</v>
      </c>
      <c r="AS494" s="1759" t="s">
        <v>355</v>
      </c>
      <c r="AT494" s="1759" t="s">
        <v>327</v>
      </c>
      <c r="AU494" s="1763"/>
      <c r="AV494" s="1763"/>
    </row>
    <row r="495" spans="1:48" ht="25" hidden="1">
      <c r="A495" s="1785" t="str">
        <f t="shared" si="77"/>
        <v>גמל</v>
      </c>
      <c r="B495" s="1786">
        <f t="shared" si="78"/>
        <v>1204</v>
      </c>
      <c r="C495" s="1787">
        <v>28946</v>
      </c>
      <c r="D495" s="1786" t="str">
        <f t="shared" si="79"/>
        <v>אי.בי.אי קרן השתלמות מסלול כללי</v>
      </c>
      <c r="E495" s="1786" t="s">
        <v>3929</v>
      </c>
      <c r="F495" s="1786" t="s">
        <v>2958</v>
      </c>
      <c r="G495" s="1786" t="s">
        <v>2959</v>
      </c>
      <c r="H495" s="1786" t="str">
        <f t="shared" si="80"/>
        <v>לא פעיל</v>
      </c>
      <c r="I495" s="1788">
        <f t="shared" si="81"/>
        <v>39021</v>
      </c>
      <c r="J495" s="1788">
        <f t="shared" si="82"/>
        <v>43481.386956018498</v>
      </c>
      <c r="K495" s="1786">
        <v>0</v>
      </c>
      <c r="L495" s="1786" t="s">
        <v>1594</v>
      </c>
      <c r="M495" s="1786" t="s">
        <v>1653</v>
      </c>
      <c r="N495" s="1786" t="s">
        <v>1653</v>
      </c>
      <c r="O495" s="1786">
        <v>0</v>
      </c>
      <c r="P495" s="1786"/>
      <c r="Q495" s="1786">
        <v>0</v>
      </c>
      <c r="R495" s="1788"/>
      <c r="S495" s="1786">
        <f t="shared" si="83"/>
        <v>1202</v>
      </c>
      <c r="T495" s="1786" t="str">
        <f t="shared" si="84"/>
        <v>בנק הפועלים בע"מ</v>
      </c>
      <c r="U495" s="1786" t="str">
        <f t="shared" si="85"/>
        <v xml:space="preserve">אי.בי.אי קרן השתלמות </v>
      </c>
      <c r="V495" s="1786" t="str">
        <f t="shared" si="86"/>
        <v>513163105</v>
      </c>
      <c r="W495" s="1789" t="str">
        <f t="shared" si="87"/>
        <v>הלמן - אלדובי קופות גמל ופנסיה בע"מ</v>
      </c>
      <c r="AC495" s="1761" t="s">
        <v>1586</v>
      </c>
      <c r="AD495" s="1762">
        <v>43481.386956018498</v>
      </c>
      <c r="AE495" s="1762">
        <v>39021</v>
      </c>
      <c r="AF495" s="1761" t="s">
        <v>1583</v>
      </c>
      <c r="AG495" s="1761" t="s">
        <v>1583</v>
      </c>
      <c r="AH495" s="1761" t="s">
        <v>1583</v>
      </c>
      <c r="AI495" s="1761" t="s">
        <v>3549</v>
      </c>
      <c r="AJ495" s="1761" t="s">
        <v>2334</v>
      </c>
      <c r="AK495" s="1761">
        <v>1204</v>
      </c>
      <c r="AL495" s="1761" t="s">
        <v>3463</v>
      </c>
      <c r="AM495" s="1761">
        <v>1202</v>
      </c>
      <c r="AN495" s="1761" t="s">
        <v>1695</v>
      </c>
      <c r="AO495" s="1764"/>
      <c r="AP495" s="1761" t="s">
        <v>5371</v>
      </c>
      <c r="AQ495" s="1761" t="s">
        <v>5372</v>
      </c>
      <c r="AR495" s="1761" t="s">
        <v>354</v>
      </c>
      <c r="AS495" s="1761" t="s">
        <v>355</v>
      </c>
      <c r="AT495" s="1761" t="s">
        <v>327</v>
      </c>
      <c r="AU495" s="1763"/>
      <c r="AV495" s="1763"/>
    </row>
    <row r="496" spans="1:48" ht="25" hidden="1">
      <c r="A496" s="1785" t="str">
        <f t="shared" si="77"/>
        <v>גמל</v>
      </c>
      <c r="B496" s="1786">
        <f t="shared" si="78"/>
        <v>1205</v>
      </c>
      <c r="C496" s="1787">
        <v>28946</v>
      </c>
      <c r="D496" s="1786" t="str">
        <f t="shared" si="79"/>
        <v>אי.בי.אי קרן השתלמות מסלול מניות</v>
      </c>
      <c r="E496" s="1786" t="s">
        <v>3929</v>
      </c>
      <c r="F496" s="1786" t="s">
        <v>2958</v>
      </c>
      <c r="G496" s="1786" t="s">
        <v>2959</v>
      </c>
      <c r="H496" s="1786" t="str">
        <f t="shared" si="80"/>
        <v>לא פעיל</v>
      </c>
      <c r="I496" s="1788">
        <f t="shared" si="81"/>
        <v>39021</v>
      </c>
      <c r="J496" s="1788">
        <f t="shared" si="82"/>
        <v>43481.4922800926</v>
      </c>
      <c r="K496" s="1786">
        <v>0</v>
      </c>
      <c r="L496" s="1786" t="s">
        <v>1594</v>
      </c>
      <c r="M496" s="1786" t="s">
        <v>1653</v>
      </c>
      <c r="N496" s="1786" t="s">
        <v>1653</v>
      </c>
      <c r="O496" s="1786">
        <v>0</v>
      </c>
      <c r="P496" s="1786"/>
      <c r="Q496" s="1786">
        <v>0</v>
      </c>
      <c r="R496" s="1788"/>
      <c r="S496" s="1786">
        <f t="shared" si="83"/>
        <v>1202</v>
      </c>
      <c r="T496" s="1786" t="str">
        <f t="shared" si="84"/>
        <v>בנק הפועלים בע"מ</v>
      </c>
      <c r="U496" s="1786" t="str">
        <f t="shared" si="85"/>
        <v xml:space="preserve">אי.בי.אי קרן השתלמות </v>
      </c>
      <c r="V496" s="1786" t="str">
        <f t="shared" si="86"/>
        <v>513163105</v>
      </c>
      <c r="W496" s="1789" t="str">
        <f t="shared" si="87"/>
        <v>הלמן - אלדובי קופות גמל ופנסיה בע"מ</v>
      </c>
      <c r="AC496" s="1759" t="s">
        <v>1586</v>
      </c>
      <c r="AD496" s="1760">
        <v>43481.4922800926</v>
      </c>
      <c r="AE496" s="1760">
        <v>39021</v>
      </c>
      <c r="AF496" s="1759" t="s">
        <v>1595</v>
      </c>
      <c r="AG496" s="1759" t="s">
        <v>75</v>
      </c>
      <c r="AH496" s="1759" t="s">
        <v>1594</v>
      </c>
      <c r="AI496" s="1759" t="s">
        <v>3551</v>
      </c>
      <c r="AJ496" s="1759" t="s">
        <v>3550</v>
      </c>
      <c r="AK496" s="1759">
        <v>1205</v>
      </c>
      <c r="AL496" s="1759" t="s">
        <v>3463</v>
      </c>
      <c r="AM496" s="1759">
        <v>1202</v>
      </c>
      <c r="AN496" s="1759" t="s">
        <v>1695</v>
      </c>
      <c r="AO496" s="1764"/>
      <c r="AP496" s="1759" t="s">
        <v>5371</v>
      </c>
      <c r="AQ496" s="1759" t="s">
        <v>5372</v>
      </c>
      <c r="AR496" s="1759" t="s">
        <v>354</v>
      </c>
      <c r="AS496" s="1759" t="s">
        <v>355</v>
      </c>
      <c r="AT496" s="1759" t="s">
        <v>327</v>
      </c>
      <c r="AU496" s="1763"/>
      <c r="AV496" s="1763"/>
    </row>
    <row r="497" spans="1:48" ht="25" hidden="1">
      <c r="A497" s="1785" t="str">
        <f t="shared" si="77"/>
        <v>גמל</v>
      </c>
      <c r="B497" s="1786">
        <f t="shared" si="78"/>
        <v>1014</v>
      </c>
      <c r="C497" s="1787">
        <v>28946</v>
      </c>
      <c r="D497" s="1786" t="str">
        <f t="shared" si="79"/>
        <v>אי.בי.אי קרן השתלמות מסלול שקלי לטווח קצר</v>
      </c>
      <c r="E497" s="1786" t="s">
        <v>3929</v>
      </c>
      <c r="F497" s="1786" t="s">
        <v>2958</v>
      </c>
      <c r="G497" s="1786" t="s">
        <v>2959</v>
      </c>
      <c r="H497" s="1786" t="str">
        <f t="shared" si="80"/>
        <v>לא פעיל</v>
      </c>
      <c r="I497" s="1788">
        <f t="shared" si="81"/>
        <v>39021</v>
      </c>
      <c r="J497" s="1788">
        <f t="shared" si="82"/>
        <v>42226.477430555598</v>
      </c>
      <c r="K497" s="1786">
        <v>0</v>
      </c>
      <c r="L497" s="1786" t="s">
        <v>1594</v>
      </c>
      <c r="M497" s="1786" t="s">
        <v>1653</v>
      </c>
      <c r="N497" s="1786" t="s">
        <v>1653</v>
      </c>
      <c r="O497" s="1786">
        <v>0</v>
      </c>
      <c r="P497" s="1786"/>
      <c r="Q497" s="1786">
        <v>0</v>
      </c>
      <c r="R497" s="1788"/>
      <c r="S497" s="1786">
        <f t="shared" si="83"/>
        <v>1202</v>
      </c>
      <c r="T497" s="1786" t="str">
        <f t="shared" si="84"/>
        <v>בנק הפועלים בע"מ</v>
      </c>
      <c r="U497" s="1786" t="str">
        <f t="shared" si="85"/>
        <v xml:space="preserve">אי.בי.אי קרן השתלמות </v>
      </c>
      <c r="V497" s="1786" t="str">
        <f t="shared" si="86"/>
        <v>513163105</v>
      </c>
      <c r="W497" s="1789" t="str">
        <f t="shared" si="87"/>
        <v>הלמן - אלדובי קופות גמל ופנסיה בע"מ</v>
      </c>
      <c r="AC497" s="1761" t="s">
        <v>1586</v>
      </c>
      <c r="AD497" s="1762">
        <v>42226.477430555598</v>
      </c>
      <c r="AE497" s="1762">
        <v>39021</v>
      </c>
      <c r="AF497" s="1761" t="s">
        <v>1673</v>
      </c>
      <c r="AG497" s="1761" t="s">
        <v>1614</v>
      </c>
      <c r="AH497" s="1761" t="s">
        <v>1594</v>
      </c>
      <c r="AI497" s="1761" t="s">
        <v>3462</v>
      </c>
      <c r="AJ497" s="1761" t="s">
        <v>3461</v>
      </c>
      <c r="AK497" s="1761">
        <v>1014</v>
      </c>
      <c r="AL497" s="1761" t="s">
        <v>3463</v>
      </c>
      <c r="AM497" s="1761">
        <v>1202</v>
      </c>
      <c r="AN497" s="1761" t="s">
        <v>1695</v>
      </c>
      <c r="AO497" s="1764"/>
      <c r="AP497" s="1761" t="s">
        <v>5371</v>
      </c>
      <c r="AQ497" s="1761" t="s">
        <v>5372</v>
      </c>
      <c r="AR497" s="1761" t="s">
        <v>354</v>
      </c>
      <c r="AS497" s="1761" t="s">
        <v>355</v>
      </c>
      <c r="AT497" s="1761" t="s">
        <v>327</v>
      </c>
      <c r="AU497" s="1763"/>
      <c r="AV497" s="1763"/>
    </row>
    <row r="498" spans="1:48" ht="25" hidden="1">
      <c r="A498" s="1785" t="str">
        <f t="shared" si="77"/>
        <v>גמל</v>
      </c>
      <c r="B498" s="1786">
        <f t="shared" si="78"/>
        <v>2267</v>
      </c>
      <c r="C498" s="1787">
        <v>28946</v>
      </c>
      <c r="D498" s="1786" t="str">
        <f t="shared" si="79"/>
        <v>אי.בי.אי מחקה מדד שקליות ריבית קבועה ממשלתיות 5+</v>
      </c>
      <c r="E498" s="1786" t="s">
        <v>3929</v>
      </c>
      <c r="F498" s="1786" t="s">
        <v>2958</v>
      </c>
      <c r="G498" s="1786" t="s">
        <v>2959</v>
      </c>
      <c r="H498" s="1786" t="str">
        <f t="shared" si="80"/>
        <v>לא פעיל</v>
      </c>
      <c r="I498" s="1788">
        <f t="shared" si="81"/>
        <v>39021</v>
      </c>
      <c r="J498" s="1788">
        <f t="shared" si="82"/>
        <v>42226.477430555598</v>
      </c>
      <c r="K498" s="1786">
        <v>0</v>
      </c>
      <c r="L498" s="1786" t="s">
        <v>1594</v>
      </c>
      <c r="M498" s="1786" t="s">
        <v>1653</v>
      </c>
      <c r="N498" s="1786" t="s">
        <v>1653</v>
      </c>
      <c r="O498" s="1786">
        <v>0</v>
      </c>
      <c r="P498" s="1786"/>
      <c r="Q498" s="1786">
        <v>0</v>
      </c>
      <c r="R498" s="1788"/>
      <c r="S498" s="1786">
        <f t="shared" si="83"/>
        <v>1202</v>
      </c>
      <c r="T498" s="1786" t="str">
        <f t="shared" si="84"/>
        <v>בנק הפועלים בע"מ</v>
      </c>
      <c r="U498" s="1786" t="str">
        <f t="shared" si="85"/>
        <v xml:space="preserve">אי.בי.אי קרן השתלמות </v>
      </c>
      <c r="V498" s="1786" t="str">
        <f t="shared" si="86"/>
        <v>513163105</v>
      </c>
      <c r="W498" s="1789" t="str">
        <f t="shared" si="87"/>
        <v>הלמן - אלדובי קופות גמל ופנסיה בע"מ</v>
      </c>
      <c r="AC498" s="1759" t="s">
        <v>1586</v>
      </c>
      <c r="AD498" s="1760">
        <v>42226.477430555598</v>
      </c>
      <c r="AE498" s="1760">
        <v>39021</v>
      </c>
      <c r="AF498" s="1759" t="s">
        <v>1653</v>
      </c>
      <c r="AG498" s="1759" t="s">
        <v>1653</v>
      </c>
      <c r="AH498" s="1759" t="s">
        <v>1594</v>
      </c>
      <c r="AI498" s="1759" t="s">
        <v>2915</v>
      </c>
      <c r="AJ498" s="1759" t="s">
        <v>2915</v>
      </c>
      <c r="AK498" s="1759">
        <v>2267</v>
      </c>
      <c r="AL498" s="1759" t="s">
        <v>3463</v>
      </c>
      <c r="AM498" s="1759">
        <v>1202</v>
      </c>
      <c r="AN498" s="1759" t="s">
        <v>1695</v>
      </c>
      <c r="AO498" s="1764"/>
      <c r="AP498" s="1759" t="s">
        <v>5371</v>
      </c>
      <c r="AQ498" s="1759" t="s">
        <v>5372</v>
      </c>
      <c r="AR498" s="1759" t="s">
        <v>354</v>
      </c>
      <c r="AS498" s="1759" t="s">
        <v>355</v>
      </c>
      <c r="AT498" s="1759" t="s">
        <v>327</v>
      </c>
      <c r="AU498" s="1763"/>
      <c r="AV498" s="1763"/>
    </row>
    <row r="499" spans="1:48" ht="25" hidden="1">
      <c r="A499" s="1785" t="str">
        <f t="shared" si="77"/>
        <v>גמל</v>
      </c>
      <c r="B499" s="1786">
        <f t="shared" si="78"/>
        <v>2266</v>
      </c>
      <c r="C499" s="1787">
        <v>28946</v>
      </c>
      <c r="D499" s="1786" t="str">
        <f t="shared" si="79"/>
        <v>אי.בי.אי מחקה מדד שקליות ריבית קבועה ממשלתיות 2-5</v>
      </c>
      <c r="E499" s="1786" t="s">
        <v>3929</v>
      </c>
      <c r="F499" s="1786" t="s">
        <v>2958</v>
      </c>
      <c r="G499" s="1786" t="s">
        <v>2959</v>
      </c>
      <c r="H499" s="1786" t="str">
        <f t="shared" si="80"/>
        <v>לא פעיל</v>
      </c>
      <c r="I499" s="1788">
        <f t="shared" si="81"/>
        <v>39021</v>
      </c>
      <c r="J499" s="1788">
        <f t="shared" si="82"/>
        <v>42226.477430555598</v>
      </c>
      <c r="K499" s="1786">
        <v>0</v>
      </c>
      <c r="L499" s="1786" t="s">
        <v>1594</v>
      </c>
      <c r="M499" s="1786" t="s">
        <v>1653</v>
      </c>
      <c r="N499" s="1786" t="s">
        <v>1653</v>
      </c>
      <c r="O499" s="1786">
        <v>0</v>
      </c>
      <c r="P499" s="1786"/>
      <c r="Q499" s="1786">
        <v>0</v>
      </c>
      <c r="R499" s="1788"/>
      <c r="S499" s="1786">
        <f t="shared" si="83"/>
        <v>1202</v>
      </c>
      <c r="T499" s="1786" t="str">
        <f t="shared" si="84"/>
        <v>בנק הפועלים בע"מ</v>
      </c>
      <c r="U499" s="1786" t="str">
        <f t="shared" si="85"/>
        <v xml:space="preserve">אי.בי.אי קרן השתלמות </v>
      </c>
      <c r="V499" s="1786" t="str">
        <f t="shared" si="86"/>
        <v>513163105</v>
      </c>
      <c r="W499" s="1789" t="str">
        <f t="shared" si="87"/>
        <v>הלמן - אלדובי קופות גמל ופנסיה בע"מ</v>
      </c>
      <c r="AC499" s="1761" t="s">
        <v>1586</v>
      </c>
      <c r="AD499" s="1762">
        <v>42226.477430555598</v>
      </c>
      <c r="AE499" s="1762">
        <v>39021</v>
      </c>
      <c r="AF499" s="1761" t="s">
        <v>1653</v>
      </c>
      <c r="AG499" s="1761" t="s">
        <v>1653</v>
      </c>
      <c r="AH499" s="1761" t="s">
        <v>1594</v>
      </c>
      <c r="AI499" s="1761" t="s">
        <v>2914</v>
      </c>
      <c r="AJ499" s="1761" t="s">
        <v>2918</v>
      </c>
      <c r="AK499" s="1761">
        <v>2266</v>
      </c>
      <c r="AL499" s="1761" t="s">
        <v>3463</v>
      </c>
      <c r="AM499" s="1761">
        <v>1202</v>
      </c>
      <c r="AN499" s="1761" t="s">
        <v>1695</v>
      </c>
      <c r="AO499" s="1764"/>
      <c r="AP499" s="1761" t="s">
        <v>5371</v>
      </c>
      <c r="AQ499" s="1761" t="s">
        <v>5372</v>
      </c>
      <c r="AR499" s="1761" t="s">
        <v>354</v>
      </c>
      <c r="AS499" s="1761" t="s">
        <v>355</v>
      </c>
      <c r="AT499" s="1761" t="s">
        <v>327</v>
      </c>
      <c r="AU499" s="1763"/>
      <c r="AV499" s="1763"/>
    </row>
    <row r="500" spans="1:48" ht="25" hidden="1">
      <c r="A500" s="1785" t="str">
        <f t="shared" si="77"/>
        <v>גמל</v>
      </c>
      <c r="B500" s="1786">
        <f t="shared" si="78"/>
        <v>7819</v>
      </c>
      <c r="C500" s="1787">
        <v>28946</v>
      </c>
      <c r="D500" s="1786" t="str">
        <f t="shared" si="79"/>
        <v>אי.בי.אי קרן השתלמות מסלול פאסיבי - כללי</v>
      </c>
      <c r="E500" s="1786" t="s">
        <v>3929</v>
      </c>
      <c r="F500" s="1786" t="s">
        <v>2958</v>
      </c>
      <c r="G500" s="1786" t="s">
        <v>2959</v>
      </c>
      <c r="H500" s="1786" t="str">
        <f t="shared" si="80"/>
        <v>לא פעיל</v>
      </c>
      <c r="I500" s="1788">
        <f t="shared" si="81"/>
        <v>39021</v>
      </c>
      <c r="J500" s="1788">
        <f t="shared" si="82"/>
        <v>43481.4922800926</v>
      </c>
      <c r="K500" s="1786">
        <v>0</v>
      </c>
      <c r="L500" s="1786" t="s">
        <v>1594</v>
      </c>
      <c r="M500" s="1786" t="s">
        <v>1653</v>
      </c>
      <c r="N500" s="1786" t="s">
        <v>1653</v>
      </c>
      <c r="O500" s="1786">
        <v>0</v>
      </c>
      <c r="P500" s="1786"/>
      <c r="Q500" s="1786">
        <v>0</v>
      </c>
      <c r="R500" s="1788"/>
      <c r="S500" s="1786">
        <f t="shared" si="83"/>
        <v>1202</v>
      </c>
      <c r="T500" s="1786" t="str">
        <f t="shared" si="84"/>
        <v>בנק הפועלים בע"מ</v>
      </c>
      <c r="U500" s="1786" t="str">
        <f t="shared" si="85"/>
        <v xml:space="preserve">אי.בי.אי קרן השתלמות </v>
      </c>
      <c r="V500" s="1786" t="str">
        <f t="shared" si="86"/>
        <v>513163105</v>
      </c>
      <c r="W500" s="1789" t="str">
        <f t="shared" si="87"/>
        <v>הלמן - אלדובי קופות גמל ופנסיה בע"מ</v>
      </c>
      <c r="AC500" s="1759" t="s">
        <v>1586</v>
      </c>
      <c r="AD500" s="1760">
        <v>43481.4922800926</v>
      </c>
      <c r="AE500" s="1760">
        <v>39021</v>
      </c>
      <c r="AF500" s="1759" t="s">
        <v>3959</v>
      </c>
      <c r="AG500" s="1759" t="s">
        <v>1583</v>
      </c>
      <c r="AH500" s="1759" t="s">
        <v>1583</v>
      </c>
      <c r="AI500" s="1759" t="s">
        <v>4653</v>
      </c>
      <c r="AJ500" s="1759" t="s">
        <v>4652</v>
      </c>
      <c r="AK500" s="1759">
        <v>7819</v>
      </c>
      <c r="AL500" s="1759" t="s">
        <v>3463</v>
      </c>
      <c r="AM500" s="1759">
        <v>1202</v>
      </c>
      <c r="AN500" s="1759" t="s">
        <v>1695</v>
      </c>
      <c r="AO500" s="1764"/>
      <c r="AP500" s="1759" t="s">
        <v>5371</v>
      </c>
      <c r="AQ500" s="1759" t="s">
        <v>5372</v>
      </c>
      <c r="AR500" s="1759" t="s">
        <v>354</v>
      </c>
      <c r="AS500" s="1759" t="s">
        <v>355</v>
      </c>
      <c r="AT500" s="1759" t="s">
        <v>327</v>
      </c>
      <c r="AU500" s="1763"/>
      <c r="AV500" s="1763"/>
    </row>
    <row r="501" spans="1:48" ht="25" hidden="1">
      <c r="A501" s="1785" t="str">
        <f t="shared" si="77"/>
        <v>גמל</v>
      </c>
      <c r="B501" s="1786">
        <f t="shared" si="78"/>
        <v>1516</v>
      </c>
      <c r="C501" s="1787">
        <v>28946</v>
      </c>
      <c r="D501" s="1786" t="str">
        <f t="shared" si="79"/>
        <v>אי.בי.אי לתגמולים ופיצויים מניות בארץ</v>
      </c>
      <c r="E501" s="1786" t="s">
        <v>3929</v>
      </c>
      <c r="F501" s="1786" t="s">
        <v>2958</v>
      </c>
      <c r="G501" s="1786" t="s">
        <v>2959</v>
      </c>
      <c r="H501" s="1786" t="str">
        <f t="shared" si="80"/>
        <v>לא פעיל</v>
      </c>
      <c r="I501" s="1788">
        <f t="shared" si="81"/>
        <v>39021</v>
      </c>
      <c r="J501" s="1788">
        <f t="shared" si="82"/>
        <v>42166.456597222197</v>
      </c>
      <c r="K501" s="1786">
        <v>0</v>
      </c>
      <c r="L501" s="1786" t="s">
        <v>1594</v>
      </c>
      <c r="M501" s="1786" t="s">
        <v>1653</v>
      </c>
      <c r="N501" s="1786" t="s">
        <v>1653</v>
      </c>
      <c r="O501" s="1786">
        <v>0</v>
      </c>
      <c r="P501" s="1786"/>
      <c r="Q501" s="1786">
        <v>0</v>
      </c>
      <c r="R501" s="1788"/>
      <c r="S501" s="1786">
        <f t="shared" si="83"/>
        <v>1198</v>
      </c>
      <c r="T501" s="1786" t="str">
        <f t="shared" si="84"/>
        <v>בנק הפועלים בע"מ</v>
      </c>
      <c r="U501" s="1786" t="str">
        <f t="shared" si="85"/>
        <v>אי.בי.אי קופה לתגמולים ופיצויים</v>
      </c>
      <c r="V501" s="1786" t="str">
        <f t="shared" si="86"/>
        <v>513163105</v>
      </c>
      <c r="W501" s="1789" t="str">
        <f t="shared" si="87"/>
        <v>הלמן - אלדובי קופות גמל ופנסיה בע"מ</v>
      </c>
      <c r="AC501" s="1761" t="s">
        <v>1586</v>
      </c>
      <c r="AD501" s="1762">
        <v>42166.456597222197</v>
      </c>
      <c r="AE501" s="1762">
        <v>39021</v>
      </c>
      <c r="AF501" s="1761" t="s">
        <v>1595</v>
      </c>
      <c r="AG501" s="1761" t="s">
        <v>75</v>
      </c>
      <c r="AH501" s="1761" t="s">
        <v>1594</v>
      </c>
      <c r="AI501" s="1761" t="s">
        <v>3669</v>
      </c>
      <c r="AJ501" s="1761" t="s">
        <v>3668</v>
      </c>
      <c r="AK501" s="1761">
        <v>1516</v>
      </c>
      <c r="AL501" s="1761" t="s">
        <v>3300</v>
      </c>
      <c r="AM501" s="1761">
        <v>1198</v>
      </c>
      <c r="AN501" s="1761" t="s">
        <v>1695</v>
      </c>
      <c r="AO501" s="1764"/>
      <c r="AP501" s="1761" t="s">
        <v>5371</v>
      </c>
      <c r="AQ501" s="1761" t="s">
        <v>5372</v>
      </c>
      <c r="AR501" s="1761" t="s">
        <v>354</v>
      </c>
      <c r="AS501" s="1761" t="s">
        <v>355</v>
      </c>
      <c r="AT501" s="1761" t="s">
        <v>327</v>
      </c>
      <c r="AU501" s="1763"/>
      <c r="AV501" s="1763"/>
    </row>
    <row r="502" spans="1:48" ht="25" hidden="1">
      <c r="A502" s="1785" t="str">
        <f t="shared" si="77"/>
        <v>גמל</v>
      </c>
      <c r="B502" s="1786">
        <f t="shared" si="78"/>
        <v>2259</v>
      </c>
      <c r="C502" s="1787">
        <v>28946</v>
      </c>
      <c r="D502" s="1786" t="str">
        <f t="shared" si="79"/>
        <v>אי.בי.אי מחקה מדד שקליות ריבית קבועה ממשלתיות 5+</v>
      </c>
      <c r="E502" s="1786" t="s">
        <v>3929</v>
      </c>
      <c r="F502" s="1786" t="s">
        <v>2958</v>
      </c>
      <c r="G502" s="1786" t="s">
        <v>2959</v>
      </c>
      <c r="H502" s="1786" t="str">
        <f t="shared" si="80"/>
        <v>לא פעיל</v>
      </c>
      <c r="I502" s="1788">
        <f t="shared" si="81"/>
        <v>39021</v>
      </c>
      <c r="J502" s="1788">
        <f t="shared" si="82"/>
        <v>42226.470439814802</v>
      </c>
      <c r="K502" s="1786">
        <v>0</v>
      </c>
      <c r="L502" s="1786" t="s">
        <v>1594</v>
      </c>
      <c r="M502" s="1786" t="s">
        <v>1653</v>
      </c>
      <c r="N502" s="1786" t="s">
        <v>1653</v>
      </c>
      <c r="O502" s="1786">
        <v>0</v>
      </c>
      <c r="P502" s="1786"/>
      <c r="Q502" s="1786">
        <v>0</v>
      </c>
      <c r="R502" s="1788"/>
      <c r="S502" s="1786">
        <f t="shared" si="83"/>
        <v>1198</v>
      </c>
      <c r="T502" s="1786" t="str">
        <f t="shared" si="84"/>
        <v>בנק הפועלים בע"מ</v>
      </c>
      <c r="U502" s="1786" t="str">
        <f t="shared" si="85"/>
        <v>אי.בי.אי קופה לתגמולים ופיצויים</v>
      </c>
      <c r="V502" s="1786" t="str">
        <f t="shared" si="86"/>
        <v>513163105</v>
      </c>
      <c r="W502" s="1789" t="str">
        <f t="shared" si="87"/>
        <v>הלמן - אלדובי קופות גמל ופנסיה בע"מ</v>
      </c>
      <c r="AC502" s="1759" t="s">
        <v>1586</v>
      </c>
      <c r="AD502" s="1760">
        <v>42226.470439814802</v>
      </c>
      <c r="AE502" s="1760">
        <v>39021</v>
      </c>
      <c r="AF502" s="1759" t="s">
        <v>1653</v>
      </c>
      <c r="AG502" s="1759" t="s">
        <v>1653</v>
      </c>
      <c r="AH502" s="1759" t="s">
        <v>1594</v>
      </c>
      <c r="AI502" s="1759" t="s">
        <v>2915</v>
      </c>
      <c r="AJ502" s="1759" t="s">
        <v>2915</v>
      </c>
      <c r="AK502" s="1759">
        <v>2259</v>
      </c>
      <c r="AL502" s="1759" t="s">
        <v>3300</v>
      </c>
      <c r="AM502" s="1759">
        <v>1198</v>
      </c>
      <c r="AN502" s="1759" t="s">
        <v>1695</v>
      </c>
      <c r="AO502" s="1764"/>
      <c r="AP502" s="1759" t="s">
        <v>5371</v>
      </c>
      <c r="AQ502" s="1759" t="s">
        <v>5372</v>
      </c>
      <c r="AR502" s="1759" t="s">
        <v>354</v>
      </c>
      <c r="AS502" s="1759" t="s">
        <v>355</v>
      </c>
      <c r="AT502" s="1759" t="s">
        <v>327</v>
      </c>
      <c r="AU502" s="1763"/>
      <c r="AV502" s="1763"/>
    </row>
    <row r="503" spans="1:48" ht="25" hidden="1">
      <c r="A503" s="1785" t="str">
        <f t="shared" si="77"/>
        <v>גמל</v>
      </c>
      <c r="B503" s="1786">
        <f t="shared" si="78"/>
        <v>2262</v>
      </c>
      <c r="C503" s="1787">
        <v>28946</v>
      </c>
      <c r="D503" s="1786" t="str">
        <f t="shared" si="79"/>
        <v>אי.בי.אי לתגמולים ופיצויים פאסיבי משולב עד 10% מניות</v>
      </c>
      <c r="E503" s="1786" t="s">
        <v>3929</v>
      </c>
      <c r="F503" s="1786" t="s">
        <v>2958</v>
      </c>
      <c r="G503" s="1786" t="s">
        <v>2959</v>
      </c>
      <c r="H503" s="1786" t="str">
        <f t="shared" si="80"/>
        <v>לא פעיל</v>
      </c>
      <c r="I503" s="1788">
        <f t="shared" si="81"/>
        <v>39021</v>
      </c>
      <c r="J503" s="1788">
        <f t="shared" si="82"/>
        <v>43481.361793981501</v>
      </c>
      <c r="K503" s="1786">
        <v>0</v>
      </c>
      <c r="L503" s="1786" t="s">
        <v>1594</v>
      </c>
      <c r="M503" s="1786" t="s">
        <v>1653</v>
      </c>
      <c r="N503" s="1786" t="s">
        <v>1653</v>
      </c>
      <c r="O503" s="1786">
        <v>0</v>
      </c>
      <c r="P503" s="1786"/>
      <c r="Q503" s="1786">
        <v>0</v>
      </c>
      <c r="R503" s="1788"/>
      <c r="S503" s="1786">
        <f t="shared" si="83"/>
        <v>1198</v>
      </c>
      <c r="T503" s="1786" t="str">
        <f t="shared" si="84"/>
        <v>בנק הפועלים בע"מ</v>
      </c>
      <c r="U503" s="1786" t="str">
        <f t="shared" si="85"/>
        <v>אי.בי.אי קופה לתגמולים ופיצויים</v>
      </c>
      <c r="V503" s="1786" t="str">
        <f t="shared" si="86"/>
        <v>513163105</v>
      </c>
      <c r="W503" s="1789" t="str">
        <f t="shared" si="87"/>
        <v>הלמן - אלדובי קופות גמל ופנסיה בע"מ</v>
      </c>
      <c r="AC503" s="1761" t="s">
        <v>1586</v>
      </c>
      <c r="AD503" s="1762">
        <v>43481.361793981501</v>
      </c>
      <c r="AE503" s="1762">
        <v>39021</v>
      </c>
      <c r="AF503" s="1761" t="s">
        <v>4619</v>
      </c>
      <c r="AG503" s="1761" t="s">
        <v>1653</v>
      </c>
      <c r="AH503" s="1761" t="s">
        <v>1594</v>
      </c>
      <c r="AI503" s="1761" t="s">
        <v>4180</v>
      </c>
      <c r="AJ503" s="1761" t="s">
        <v>4180</v>
      </c>
      <c r="AK503" s="1761">
        <v>2262</v>
      </c>
      <c r="AL503" s="1761" t="s">
        <v>3300</v>
      </c>
      <c r="AM503" s="1761">
        <v>1198</v>
      </c>
      <c r="AN503" s="1761" t="s">
        <v>1695</v>
      </c>
      <c r="AO503" s="1764"/>
      <c r="AP503" s="1761" t="s">
        <v>5371</v>
      </c>
      <c r="AQ503" s="1761" t="s">
        <v>5372</v>
      </c>
      <c r="AR503" s="1761" t="s">
        <v>354</v>
      </c>
      <c r="AS503" s="1761" t="s">
        <v>355</v>
      </c>
      <c r="AT503" s="1761" t="s">
        <v>327</v>
      </c>
      <c r="AU503" s="1763"/>
      <c r="AV503" s="1763"/>
    </row>
    <row r="504" spans="1:48" ht="25" hidden="1">
      <c r="A504" s="1785" t="str">
        <f t="shared" si="77"/>
        <v>גמל</v>
      </c>
      <c r="B504" s="1786">
        <f t="shared" si="78"/>
        <v>2261</v>
      </c>
      <c r="C504" s="1787">
        <v>28946</v>
      </c>
      <c r="D504" s="1786" t="str">
        <f t="shared" si="79"/>
        <v>אי.בי.אי תג' מחקה מדד מדדיות ממשלתיות 5-10 שנים</v>
      </c>
      <c r="E504" s="1786" t="s">
        <v>3929</v>
      </c>
      <c r="F504" s="1786" t="s">
        <v>2958</v>
      </c>
      <c r="G504" s="1786" t="s">
        <v>2959</v>
      </c>
      <c r="H504" s="1786" t="str">
        <f t="shared" si="80"/>
        <v>לא פעיל</v>
      </c>
      <c r="I504" s="1788">
        <f t="shared" si="81"/>
        <v>39021</v>
      </c>
      <c r="J504" s="1788">
        <f t="shared" si="82"/>
        <v>42226.470439814802</v>
      </c>
      <c r="K504" s="1786">
        <v>0</v>
      </c>
      <c r="L504" s="1786" t="s">
        <v>1594</v>
      </c>
      <c r="M504" s="1786" t="s">
        <v>1653</v>
      </c>
      <c r="N504" s="1786" t="s">
        <v>1653</v>
      </c>
      <c r="O504" s="1786">
        <v>0</v>
      </c>
      <c r="P504" s="1786"/>
      <c r="Q504" s="1786">
        <v>0</v>
      </c>
      <c r="R504" s="1788"/>
      <c r="S504" s="1786">
        <f t="shared" si="83"/>
        <v>1198</v>
      </c>
      <c r="T504" s="1786" t="str">
        <f t="shared" si="84"/>
        <v>בנק הפועלים בע"מ</v>
      </c>
      <c r="U504" s="1786" t="str">
        <f t="shared" si="85"/>
        <v>אי.בי.אי קופה לתגמולים ופיצויים</v>
      </c>
      <c r="V504" s="1786" t="str">
        <f t="shared" si="86"/>
        <v>513163105</v>
      </c>
      <c r="W504" s="1789" t="str">
        <f t="shared" si="87"/>
        <v>הלמן - אלדובי קופות גמל ופנסיה בע"מ</v>
      </c>
      <c r="AC504" s="1759" t="s">
        <v>1586</v>
      </c>
      <c r="AD504" s="1760">
        <v>42226.470439814802</v>
      </c>
      <c r="AE504" s="1760">
        <v>39021</v>
      </c>
      <c r="AF504" s="1759" t="s">
        <v>1653</v>
      </c>
      <c r="AG504" s="1759" t="s">
        <v>1653</v>
      </c>
      <c r="AH504" s="1759" t="s">
        <v>1594</v>
      </c>
      <c r="AI504" s="1759" t="s">
        <v>2917</v>
      </c>
      <c r="AJ504" s="1759" t="s">
        <v>2917</v>
      </c>
      <c r="AK504" s="1759">
        <v>2261</v>
      </c>
      <c r="AL504" s="1759" t="s">
        <v>3300</v>
      </c>
      <c r="AM504" s="1759">
        <v>1198</v>
      </c>
      <c r="AN504" s="1759" t="s">
        <v>1695</v>
      </c>
      <c r="AO504" s="1764"/>
      <c r="AP504" s="1759" t="s">
        <v>5371</v>
      </c>
      <c r="AQ504" s="1759" t="s">
        <v>5372</v>
      </c>
      <c r="AR504" s="1759" t="s">
        <v>354</v>
      </c>
      <c r="AS504" s="1759" t="s">
        <v>355</v>
      </c>
      <c r="AT504" s="1759" t="s">
        <v>327</v>
      </c>
      <c r="AU504" s="1763"/>
      <c r="AV504" s="1763"/>
    </row>
    <row r="505" spans="1:48" ht="25" hidden="1">
      <c r="A505" s="1785" t="str">
        <f t="shared" si="77"/>
        <v>גמל</v>
      </c>
      <c r="B505" s="1786">
        <f t="shared" si="78"/>
        <v>2260</v>
      </c>
      <c r="C505" s="1787">
        <v>28946</v>
      </c>
      <c r="D505" s="1786" t="str">
        <f t="shared" si="79"/>
        <v>אי.בי.אי תגמולים מחקה מדד מדדיות ממשלתיות 2-5 שנים</v>
      </c>
      <c r="E505" s="1786" t="s">
        <v>3929</v>
      </c>
      <c r="F505" s="1786" t="s">
        <v>2958</v>
      </c>
      <c r="G505" s="1786" t="s">
        <v>2959</v>
      </c>
      <c r="H505" s="1786" t="str">
        <f t="shared" si="80"/>
        <v>לא פעיל</v>
      </c>
      <c r="I505" s="1788">
        <f t="shared" si="81"/>
        <v>39021</v>
      </c>
      <c r="J505" s="1788">
        <f t="shared" si="82"/>
        <v>42226.470439814802</v>
      </c>
      <c r="K505" s="1786">
        <v>0</v>
      </c>
      <c r="L505" s="1786" t="s">
        <v>1594</v>
      </c>
      <c r="M505" s="1786" t="s">
        <v>1653</v>
      </c>
      <c r="N505" s="1786" t="s">
        <v>1653</v>
      </c>
      <c r="O505" s="1786">
        <v>0</v>
      </c>
      <c r="P505" s="1786"/>
      <c r="Q505" s="1786">
        <v>0</v>
      </c>
      <c r="R505" s="1788"/>
      <c r="S505" s="1786">
        <f t="shared" si="83"/>
        <v>1198</v>
      </c>
      <c r="T505" s="1786" t="str">
        <f t="shared" si="84"/>
        <v>בנק הפועלים בע"מ</v>
      </c>
      <c r="U505" s="1786" t="str">
        <f t="shared" si="85"/>
        <v>אי.בי.אי קופה לתגמולים ופיצויים</v>
      </c>
      <c r="V505" s="1786" t="str">
        <f t="shared" si="86"/>
        <v>513163105</v>
      </c>
      <c r="W505" s="1789" t="str">
        <f t="shared" si="87"/>
        <v>הלמן - אלדובי קופות גמל ופנסיה בע"מ</v>
      </c>
      <c r="AC505" s="1761" t="s">
        <v>1586</v>
      </c>
      <c r="AD505" s="1762">
        <v>42226.470439814802</v>
      </c>
      <c r="AE505" s="1762">
        <v>39021</v>
      </c>
      <c r="AF505" s="1761" t="s">
        <v>1653</v>
      </c>
      <c r="AG505" s="1761" t="s">
        <v>1653</v>
      </c>
      <c r="AH505" s="1761" t="s">
        <v>1594</v>
      </c>
      <c r="AI505" s="1761" t="s">
        <v>2916</v>
      </c>
      <c r="AJ505" s="1761" t="s">
        <v>2916</v>
      </c>
      <c r="AK505" s="1761">
        <v>2260</v>
      </c>
      <c r="AL505" s="1761" t="s">
        <v>3300</v>
      </c>
      <c r="AM505" s="1761">
        <v>1198</v>
      </c>
      <c r="AN505" s="1761" t="s">
        <v>1695</v>
      </c>
      <c r="AO505" s="1764"/>
      <c r="AP505" s="1761" t="s">
        <v>5371</v>
      </c>
      <c r="AQ505" s="1761" t="s">
        <v>5372</v>
      </c>
      <c r="AR505" s="1761" t="s">
        <v>354</v>
      </c>
      <c r="AS505" s="1761" t="s">
        <v>355</v>
      </c>
      <c r="AT505" s="1761" t="s">
        <v>327</v>
      </c>
      <c r="AU505" s="1763"/>
      <c r="AV505" s="1763"/>
    </row>
    <row r="506" spans="1:48" ht="25" hidden="1">
      <c r="A506" s="1785" t="str">
        <f t="shared" si="77"/>
        <v>גמל</v>
      </c>
      <c r="B506" s="1786">
        <f t="shared" si="78"/>
        <v>1199</v>
      </c>
      <c r="C506" s="1787">
        <v>28946</v>
      </c>
      <c r="D506" s="1786" t="str">
        <f t="shared" si="79"/>
        <v>אי.בי.אי לתגמולים ופיצויים מסלול אג"ח ועוד</v>
      </c>
      <c r="E506" s="1786" t="s">
        <v>3929</v>
      </c>
      <c r="F506" s="1786" t="s">
        <v>2958</v>
      </c>
      <c r="G506" s="1786" t="s">
        <v>2959</v>
      </c>
      <c r="H506" s="1786" t="str">
        <f t="shared" si="80"/>
        <v>לא פעיל</v>
      </c>
      <c r="I506" s="1788">
        <f t="shared" si="81"/>
        <v>39021</v>
      </c>
      <c r="J506" s="1788">
        <f t="shared" si="82"/>
        <v>42373.419710648202</v>
      </c>
      <c r="K506" s="1786">
        <v>0</v>
      </c>
      <c r="L506" s="1786" t="s">
        <v>1594</v>
      </c>
      <c r="M506" s="1786" t="s">
        <v>1653</v>
      </c>
      <c r="N506" s="1786" t="s">
        <v>1653</v>
      </c>
      <c r="O506" s="1786">
        <v>0</v>
      </c>
      <c r="P506" s="1786"/>
      <c r="Q506" s="1786">
        <v>0</v>
      </c>
      <c r="R506" s="1788"/>
      <c r="S506" s="1786">
        <f t="shared" si="83"/>
        <v>1198</v>
      </c>
      <c r="T506" s="1786" t="str">
        <f t="shared" si="84"/>
        <v>בנק הפועלים בע"מ</v>
      </c>
      <c r="U506" s="1786" t="str">
        <f t="shared" si="85"/>
        <v>אי.בי.אי קופה לתגמולים ופיצויים</v>
      </c>
      <c r="V506" s="1786" t="str">
        <f t="shared" si="86"/>
        <v>513163105</v>
      </c>
      <c r="W506" s="1789" t="str">
        <f t="shared" si="87"/>
        <v>הלמן - אלדובי קופות גמל ופנסיה בע"מ</v>
      </c>
      <c r="AC506" s="1759" t="s">
        <v>1586</v>
      </c>
      <c r="AD506" s="1760">
        <v>42373.419710648202</v>
      </c>
      <c r="AE506" s="1760">
        <v>39021</v>
      </c>
      <c r="AF506" s="1759" t="s">
        <v>1653</v>
      </c>
      <c r="AG506" s="1759" t="s">
        <v>1653</v>
      </c>
      <c r="AH506" s="1759" t="s">
        <v>1594</v>
      </c>
      <c r="AI506" s="1759" t="s">
        <v>3544</v>
      </c>
      <c r="AJ506" s="1759" t="s">
        <v>3543</v>
      </c>
      <c r="AK506" s="1759">
        <v>1199</v>
      </c>
      <c r="AL506" s="1759" t="s">
        <v>3300</v>
      </c>
      <c r="AM506" s="1759">
        <v>1198</v>
      </c>
      <c r="AN506" s="1759" t="s">
        <v>1695</v>
      </c>
      <c r="AO506" s="1764"/>
      <c r="AP506" s="1759" t="s">
        <v>5371</v>
      </c>
      <c r="AQ506" s="1759" t="s">
        <v>5372</v>
      </c>
      <c r="AR506" s="1759" t="s">
        <v>354</v>
      </c>
      <c r="AS506" s="1759" t="s">
        <v>355</v>
      </c>
      <c r="AT506" s="1759" t="s">
        <v>327</v>
      </c>
      <c r="AU506" s="1763"/>
      <c r="AV506" s="1763"/>
    </row>
    <row r="507" spans="1:48" ht="25" hidden="1">
      <c r="A507" s="1785" t="str">
        <f t="shared" si="77"/>
        <v>גמל</v>
      </c>
      <c r="B507" s="1786">
        <f t="shared" si="78"/>
        <v>2258</v>
      </c>
      <c r="C507" s="1787">
        <v>28946</v>
      </c>
      <c r="D507" s="1786" t="str">
        <f t="shared" si="79"/>
        <v xml:space="preserve">אי.בי.אי מחקה מדד שקליות ריבית קבועה ממשלתיות 2-5 </v>
      </c>
      <c r="E507" s="1786" t="s">
        <v>3929</v>
      </c>
      <c r="F507" s="1786" t="s">
        <v>2958</v>
      </c>
      <c r="G507" s="1786" t="s">
        <v>2959</v>
      </c>
      <c r="H507" s="1786" t="str">
        <f t="shared" si="80"/>
        <v>לא פעיל</v>
      </c>
      <c r="I507" s="1788">
        <f t="shared" si="81"/>
        <v>39021</v>
      </c>
      <c r="J507" s="1788">
        <f t="shared" si="82"/>
        <v>42226.470439814802</v>
      </c>
      <c r="K507" s="1786">
        <v>0</v>
      </c>
      <c r="L507" s="1786" t="s">
        <v>1594</v>
      </c>
      <c r="M507" s="1786" t="s">
        <v>1653</v>
      </c>
      <c r="N507" s="1786" t="s">
        <v>1653</v>
      </c>
      <c r="O507" s="1786">
        <v>0</v>
      </c>
      <c r="P507" s="1786"/>
      <c r="Q507" s="1786">
        <v>0</v>
      </c>
      <c r="R507" s="1788"/>
      <c r="S507" s="1786">
        <f t="shared" si="83"/>
        <v>1198</v>
      </c>
      <c r="T507" s="1786" t="str">
        <f t="shared" si="84"/>
        <v>בנק הפועלים בע"מ</v>
      </c>
      <c r="U507" s="1786" t="str">
        <f t="shared" si="85"/>
        <v>אי.בי.אי קופה לתגמולים ופיצויים</v>
      </c>
      <c r="V507" s="1786" t="str">
        <f t="shared" si="86"/>
        <v>513163105</v>
      </c>
      <c r="W507" s="1789" t="str">
        <f t="shared" si="87"/>
        <v>הלמן - אלדובי קופות גמל ופנסיה בע"מ</v>
      </c>
      <c r="AC507" s="1761" t="s">
        <v>1586</v>
      </c>
      <c r="AD507" s="1762">
        <v>42226.470439814802</v>
      </c>
      <c r="AE507" s="1762">
        <v>39021</v>
      </c>
      <c r="AF507" s="1761" t="s">
        <v>1653</v>
      </c>
      <c r="AG507" s="1761" t="s">
        <v>1653</v>
      </c>
      <c r="AH507" s="1761" t="s">
        <v>1594</v>
      </c>
      <c r="AI507" s="1761" t="s">
        <v>2914</v>
      </c>
      <c r="AJ507" s="1761" t="s">
        <v>2914</v>
      </c>
      <c r="AK507" s="1761">
        <v>2258</v>
      </c>
      <c r="AL507" s="1761" t="s">
        <v>3300</v>
      </c>
      <c r="AM507" s="1761">
        <v>1198</v>
      </c>
      <c r="AN507" s="1761" t="s">
        <v>1695</v>
      </c>
      <c r="AO507" s="1764"/>
      <c r="AP507" s="1761" t="s">
        <v>5371</v>
      </c>
      <c r="AQ507" s="1761" t="s">
        <v>5372</v>
      </c>
      <c r="AR507" s="1761" t="s">
        <v>354</v>
      </c>
      <c r="AS507" s="1761" t="s">
        <v>355</v>
      </c>
      <c r="AT507" s="1761" t="s">
        <v>327</v>
      </c>
      <c r="AU507" s="1763"/>
      <c r="AV507" s="1763"/>
    </row>
    <row r="508" spans="1:48" ht="25" hidden="1">
      <c r="A508" s="1785" t="str">
        <f t="shared" si="77"/>
        <v>גמל</v>
      </c>
      <c r="B508" s="1786">
        <f t="shared" si="78"/>
        <v>2257</v>
      </c>
      <c r="C508" s="1787">
        <v>28946</v>
      </c>
      <c r="D508" s="1786" t="str">
        <f t="shared" si="79"/>
        <v>אי.בי.אי לתגמולים ופיצויים מחקה מדד תל בונד 20</v>
      </c>
      <c r="E508" s="1786" t="s">
        <v>3929</v>
      </c>
      <c r="F508" s="1786" t="s">
        <v>2958</v>
      </c>
      <c r="G508" s="1786" t="s">
        <v>2959</v>
      </c>
      <c r="H508" s="1786" t="str">
        <f t="shared" si="80"/>
        <v>לא פעיל</v>
      </c>
      <c r="I508" s="1788">
        <f t="shared" si="81"/>
        <v>39021</v>
      </c>
      <c r="J508" s="1788">
        <f t="shared" si="82"/>
        <v>42226.470439814802</v>
      </c>
      <c r="K508" s="1786">
        <v>0</v>
      </c>
      <c r="L508" s="1786" t="s">
        <v>1594</v>
      </c>
      <c r="M508" s="1786" t="s">
        <v>1653</v>
      </c>
      <c r="N508" s="1786" t="s">
        <v>1653</v>
      </c>
      <c r="O508" s="1786">
        <v>0</v>
      </c>
      <c r="P508" s="1786"/>
      <c r="Q508" s="1786">
        <v>0</v>
      </c>
      <c r="R508" s="1788"/>
      <c r="S508" s="1786">
        <f t="shared" si="83"/>
        <v>1198</v>
      </c>
      <c r="T508" s="1786" t="str">
        <f t="shared" si="84"/>
        <v>בנק הפועלים בע"מ</v>
      </c>
      <c r="U508" s="1786" t="str">
        <f t="shared" si="85"/>
        <v>אי.בי.אי קופה לתגמולים ופיצויים</v>
      </c>
      <c r="V508" s="1786" t="str">
        <f t="shared" si="86"/>
        <v>513163105</v>
      </c>
      <c r="W508" s="1789" t="str">
        <f t="shared" si="87"/>
        <v>הלמן - אלדובי קופות גמל ופנסיה בע"מ</v>
      </c>
      <c r="AC508" s="1759" t="s">
        <v>1586</v>
      </c>
      <c r="AD508" s="1760">
        <v>42226.470439814802</v>
      </c>
      <c r="AE508" s="1760">
        <v>39021</v>
      </c>
      <c r="AF508" s="1759" t="s">
        <v>1653</v>
      </c>
      <c r="AG508" s="1759" t="s">
        <v>1653</v>
      </c>
      <c r="AH508" s="1759" t="s">
        <v>1594</v>
      </c>
      <c r="AI508" s="1759" t="s">
        <v>3721</v>
      </c>
      <c r="AJ508" s="1759" t="s">
        <v>2913</v>
      </c>
      <c r="AK508" s="1759">
        <v>2257</v>
      </c>
      <c r="AL508" s="1759" t="s">
        <v>3300</v>
      </c>
      <c r="AM508" s="1759">
        <v>1198</v>
      </c>
      <c r="AN508" s="1759" t="s">
        <v>1695</v>
      </c>
      <c r="AO508" s="1764"/>
      <c r="AP508" s="1759" t="s">
        <v>5371</v>
      </c>
      <c r="AQ508" s="1759" t="s">
        <v>5372</v>
      </c>
      <c r="AR508" s="1759" t="s">
        <v>354</v>
      </c>
      <c r="AS508" s="1759" t="s">
        <v>355</v>
      </c>
      <c r="AT508" s="1759" t="s">
        <v>327</v>
      </c>
      <c r="AU508" s="1763"/>
      <c r="AV508" s="1763"/>
    </row>
    <row r="509" spans="1:48" ht="25" hidden="1">
      <c r="A509" s="1785" t="str">
        <f t="shared" si="77"/>
        <v>גמל</v>
      </c>
      <c r="B509" s="1786">
        <f t="shared" si="78"/>
        <v>1200</v>
      </c>
      <c r="C509" s="1787">
        <v>28946</v>
      </c>
      <c r="D509" s="1786" t="str">
        <f t="shared" si="79"/>
        <v>אי.בי.אי לתגמולים ופיצויים מסלול כללי</v>
      </c>
      <c r="E509" s="1786" t="s">
        <v>3929</v>
      </c>
      <c r="F509" s="1786" t="s">
        <v>2958</v>
      </c>
      <c r="G509" s="1786" t="s">
        <v>2959</v>
      </c>
      <c r="H509" s="1786" t="str">
        <f t="shared" si="80"/>
        <v>לא פעיל</v>
      </c>
      <c r="I509" s="1788">
        <f t="shared" si="81"/>
        <v>39021</v>
      </c>
      <c r="J509" s="1788">
        <f t="shared" si="82"/>
        <v>42373.419710648202</v>
      </c>
      <c r="K509" s="1786">
        <v>0</v>
      </c>
      <c r="L509" s="1786" t="s">
        <v>1594</v>
      </c>
      <c r="M509" s="1786" t="s">
        <v>1653</v>
      </c>
      <c r="N509" s="1786" t="s">
        <v>1653</v>
      </c>
      <c r="O509" s="1786">
        <v>0</v>
      </c>
      <c r="P509" s="1786"/>
      <c r="Q509" s="1786">
        <v>0</v>
      </c>
      <c r="R509" s="1788"/>
      <c r="S509" s="1786">
        <f t="shared" si="83"/>
        <v>1198</v>
      </c>
      <c r="T509" s="1786" t="str">
        <f t="shared" si="84"/>
        <v>בנק הפועלים בע"מ</v>
      </c>
      <c r="U509" s="1786" t="str">
        <f t="shared" si="85"/>
        <v>אי.בי.אי קופה לתגמולים ופיצויים</v>
      </c>
      <c r="V509" s="1786" t="str">
        <f t="shared" si="86"/>
        <v>513163105</v>
      </c>
      <c r="W509" s="1789" t="str">
        <f t="shared" si="87"/>
        <v>הלמן - אלדובי קופות גמל ופנסיה בע"מ</v>
      </c>
      <c r="AC509" s="1761" t="s">
        <v>1586</v>
      </c>
      <c r="AD509" s="1762">
        <v>42373.419710648202</v>
      </c>
      <c r="AE509" s="1762">
        <v>39021</v>
      </c>
      <c r="AF509" s="1761" t="s">
        <v>1583</v>
      </c>
      <c r="AG509" s="1761" t="s">
        <v>1583</v>
      </c>
      <c r="AH509" s="1761" t="s">
        <v>1583</v>
      </c>
      <c r="AI509" s="1761" t="s">
        <v>3546</v>
      </c>
      <c r="AJ509" s="1761" t="s">
        <v>3545</v>
      </c>
      <c r="AK509" s="1761">
        <v>1200</v>
      </c>
      <c r="AL509" s="1761" t="s">
        <v>3300</v>
      </c>
      <c r="AM509" s="1761">
        <v>1198</v>
      </c>
      <c r="AN509" s="1761" t="s">
        <v>1695</v>
      </c>
      <c r="AO509" s="1764"/>
      <c r="AP509" s="1761" t="s">
        <v>5371</v>
      </c>
      <c r="AQ509" s="1761" t="s">
        <v>5372</v>
      </c>
      <c r="AR509" s="1761" t="s">
        <v>354</v>
      </c>
      <c r="AS509" s="1761" t="s">
        <v>355</v>
      </c>
      <c r="AT509" s="1761" t="s">
        <v>327</v>
      </c>
      <c r="AU509" s="1763"/>
      <c r="AV509" s="1763"/>
    </row>
    <row r="510" spans="1:48" ht="25" hidden="1">
      <c r="A510" s="1785" t="str">
        <f t="shared" si="77"/>
        <v>גמל</v>
      </c>
      <c r="B510" s="1786">
        <f t="shared" si="78"/>
        <v>1201</v>
      </c>
      <c r="C510" s="1787">
        <v>28946</v>
      </c>
      <c r="D510" s="1786" t="str">
        <f t="shared" si="79"/>
        <v>אי.בי.אי לתגמולים ופיצויים מסלול מניות</v>
      </c>
      <c r="E510" s="1786" t="s">
        <v>3929</v>
      </c>
      <c r="F510" s="1786" t="s">
        <v>2958</v>
      </c>
      <c r="G510" s="1786" t="s">
        <v>2959</v>
      </c>
      <c r="H510" s="1786" t="str">
        <f t="shared" si="80"/>
        <v>לא פעיל</v>
      </c>
      <c r="I510" s="1788">
        <f t="shared" si="81"/>
        <v>39021</v>
      </c>
      <c r="J510" s="1788">
        <f t="shared" si="82"/>
        <v>43481.361793981501</v>
      </c>
      <c r="K510" s="1786">
        <v>0</v>
      </c>
      <c r="L510" s="1786" t="s">
        <v>1594</v>
      </c>
      <c r="M510" s="1786" t="s">
        <v>1653</v>
      </c>
      <c r="N510" s="1786" t="s">
        <v>1653</v>
      </c>
      <c r="O510" s="1786">
        <v>0</v>
      </c>
      <c r="P510" s="1786"/>
      <c r="Q510" s="1786">
        <v>0</v>
      </c>
      <c r="R510" s="1788"/>
      <c r="S510" s="1786">
        <f t="shared" si="83"/>
        <v>1198</v>
      </c>
      <c r="T510" s="1786" t="str">
        <f t="shared" si="84"/>
        <v>בנק הפועלים בע"מ</v>
      </c>
      <c r="U510" s="1786" t="str">
        <f t="shared" si="85"/>
        <v>אי.בי.אי קופה לתגמולים ופיצויים</v>
      </c>
      <c r="V510" s="1786" t="str">
        <f t="shared" si="86"/>
        <v>513163105</v>
      </c>
      <c r="W510" s="1789" t="str">
        <f t="shared" si="87"/>
        <v>הלמן - אלדובי קופות גמל ופנסיה בע"מ</v>
      </c>
      <c r="AC510" s="1759" t="s">
        <v>1586</v>
      </c>
      <c r="AD510" s="1760">
        <v>43481.361793981501</v>
      </c>
      <c r="AE510" s="1760">
        <v>39021</v>
      </c>
      <c r="AF510" s="1759" t="s">
        <v>1595</v>
      </c>
      <c r="AG510" s="1759" t="s">
        <v>75</v>
      </c>
      <c r="AH510" s="1759" t="s">
        <v>1594</v>
      </c>
      <c r="AI510" s="1759" t="s">
        <v>3548</v>
      </c>
      <c r="AJ510" s="1759" t="s">
        <v>3547</v>
      </c>
      <c r="AK510" s="1759">
        <v>1201</v>
      </c>
      <c r="AL510" s="1759" t="s">
        <v>3300</v>
      </c>
      <c r="AM510" s="1759">
        <v>1198</v>
      </c>
      <c r="AN510" s="1759" t="s">
        <v>1695</v>
      </c>
      <c r="AO510" s="1764"/>
      <c r="AP510" s="1759" t="s">
        <v>5371</v>
      </c>
      <c r="AQ510" s="1759" t="s">
        <v>5372</v>
      </c>
      <c r="AR510" s="1759" t="s">
        <v>354</v>
      </c>
      <c r="AS510" s="1759" t="s">
        <v>355</v>
      </c>
      <c r="AT510" s="1759" t="s">
        <v>327</v>
      </c>
      <c r="AU510" s="1763"/>
      <c r="AV510" s="1763"/>
    </row>
    <row r="511" spans="1:48" ht="25" hidden="1">
      <c r="A511" s="1785" t="str">
        <f t="shared" si="77"/>
        <v>גמל</v>
      </c>
      <c r="B511" s="1786">
        <f t="shared" si="78"/>
        <v>8722</v>
      </c>
      <c r="C511" s="1787">
        <v>28946</v>
      </c>
      <c r="D511" s="1786" t="str">
        <f t="shared" si="79"/>
        <v>אי.בי.אי לתגמולים ופיצויים מסלול מחקה מדד STOXX EUROPE 600</v>
      </c>
      <c r="E511" s="1786" t="s">
        <v>3929</v>
      </c>
      <c r="F511" s="1786" t="s">
        <v>2958</v>
      </c>
      <c r="G511" s="1786" t="s">
        <v>2959</v>
      </c>
      <c r="H511" s="1786" t="str">
        <f t="shared" si="80"/>
        <v>לא פעיל</v>
      </c>
      <c r="I511" s="1788">
        <f t="shared" si="81"/>
        <v>39021</v>
      </c>
      <c r="J511" s="1788">
        <f t="shared" si="82"/>
        <v>42316.421226851897</v>
      </c>
      <c r="K511" s="1786">
        <v>0</v>
      </c>
      <c r="L511" s="1786" t="s">
        <v>1594</v>
      </c>
      <c r="M511" s="1786" t="s">
        <v>1653</v>
      </c>
      <c r="N511" s="1786" t="s">
        <v>1653</v>
      </c>
      <c r="O511" s="1786">
        <v>0</v>
      </c>
      <c r="P511" s="1786"/>
      <c r="Q511" s="1786">
        <v>0</v>
      </c>
      <c r="R511" s="1788"/>
      <c r="S511" s="1786">
        <f t="shared" si="83"/>
        <v>1198</v>
      </c>
      <c r="T511" s="1786" t="str">
        <f t="shared" si="84"/>
        <v>בנק הפועלים בע"מ</v>
      </c>
      <c r="U511" s="1786" t="str">
        <f t="shared" si="85"/>
        <v>אי.בי.אי קופה לתגמולים ופיצויים</v>
      </c>
      <c r="V511" s="1786" t="str">
        <f t="shared" si="86"/>
        <v>513163105</v>
      </c>
      <c r="W511" s="1789" t="str">
        <f t="shared" si="87"/>
        <v>הלמן - אלדובי קופות גמל ופנסיה בע"מ</v>
      </c>
      <c r="AC511" s="1761" t="s">
        <v>1586</v>
      </c>
      <c r="AD511" s="1762">
        <v>42316.421226851897</v>
      </c>
      <c r="AE511" s="1762">
        <v>39021</v>
      </c>
      <c r="AF511" s="1761" t="s">
        <v>1094</v>
      </c>
      <c r="AG511" s="1761" t="s">
        <v>1094</v>
      </c>
      <c r="AH511" s="1761" t="s">
        <v>1594</v>
      </c>
      <c r="AI511" s="1761" t="s">
        <v>3737</v>
      </c>
      <c r="AJ511" s="1761" t="s">
        <v>3737</v>
      </c>
      <c r="AK511" s="1761">
        <v>8722</v>
      </c>
      <c r="AL511" s="1761" t="s">
        <v>3300</v>
      </c>
      <c r="AM511" s="1761">
        <v>1198</v>
      </c>
      <c r="AN511" s="1761" t="s">
        <v>1695</v>
      </c>
      <c r="AO511" s="1764"/>
      <c r="AP511" s="1761" t="s">
        <v>5371</v>
      </c>
      <c r="AQ511" s="1761" t="s">
        <v>5372</v>
      </c>
      <c r="AR511" s="1761" t="s">
        <v>354</v>
      </c>
      <c r="AS511" s="1761" t="s">
        <v>355</v>
      </c>
      <c r="AT511" s="1761" t="s">
        <v>327</v>
      </c>
      <c r="AU511" s="1763"/>
      <c r="AV511" s="1763"/>
    </row>
    <row r="512" spans="1:48" ht="25" hidden="1">
      <c r="A512" s="1785" t="str">
        <f t="shared" si="77"/>
        <v>גמל</v>
      </c>
      <c r="B512" s="1786">
        <f t="shared" si="78"/>
        <v>9810</v>
      </c>
      <c r="C512" s="1787">
        <v>28946</v>
      </c>
      <c r="D512" s="1786" t="str">
        <f t="shared" si="79"/>
        <v>אי.בי.אי. לתגמולים ופיצויים מסלול לבני 60 ומעלה</v>
      </c>
      <c r="E512" s="1786" t="s">
        <v>3929</v>
      </c>
      <c r="F512" s="1786" t="s">
        <v>2958</v>
      </c>
      <c r="G512" s="1786" t="s">
        <v>2959</v>
      </c>
      <c r="H512" s="1786" t="str">
        <f t="shared" si="80"/>
        <v>לא פעיל</v>
      </c>
      <c r="I512" s="1788">
        <f t="shared" si="81"/>
        <v>39021</v>
      </c>
      <c r="J512" s="1788">
        <f t="shared" si="82"/>
        <v>43481.361793981501</v>
      </c>
      <c r="K512" s="1786">
        <v>0</v>
      </c>
      <c r="L512" s="1786" t="s">
        <v>1594</v>
      </c>
      <c r="M512" s="1786" t="s">
        <v>1653</v>
      </c>
      <c r="N512" s="1786" t="s">
        <v>1653</v>
      </c>
      <c r="O512" s="1786">
        <v>0</v>
      </c>
      <c r="P512" s="1786"/>
      <c r="Q512" s="1786">
        <v>0</v>
      </c>
      <c r="R512" s="1788"/>
      <c r="S512" s="1786">
        <f t="shared" si="83"/>
        <v>1198</v>
      </c>
      <c r="T512" s="1786" t="str">
        <f t="shared" si="84"/>
        <v>בנק הפועלים בע"מ</v>
      </c>
      <c r="U512" s="1786" t="str">
        <f t="shared" si="85"/>
        <v>אי.בי.אי קופה לתגמולים ופיצויים</v>
      </c>
      <c r="V512" s="1786" t="str">
        <f t="shared" si="86"/>
        <v>513163105</v>
      </c>
      <c r="W512" s="1789" t="str">
        <f t="shared" si="87"/>
        <v>הלמן - אלדובי קופות גמל ופנסיה בע"מ</v>
      </c>
      <c r="AC512" s="1759" t="s">
        <v>1586</v>
      </c>
      <c r="AD512" s="1760">
        <v>43481.361793981501</v>
      </c>
      <c r="AE512" s="1760">
        <v>39021</v>
      </c>
      <c r="AF512" s="1759" t="s">
        <v>3963</v>
      </c>
      <c r="AG512" s="1759" t="s">
        <v>3931</v>
      </c>
      <c r="AH512" s="1759" t="s">
        <v>3658</v>
      </c>
      <c r="AI512" s="1759" t="s">
        <v>4389</v>
      </c>
      <c r="AJ512" s="1759" t="s">
        <v>4389</v>
      </c>
      <c r="AK512" s="1759">
        <v>9810</v>
      </c>
      <c r="AL512" s="1759" t="s">
        <v>3300</v>
      </c>
      <c r="AM512" s="1759">
        <v>1198</v>
      </c>
      <c r="AN512" s="1759" t="s">
        <v>1695</v>
      </c>
      <c r="AO512" s="1764"/>
      <c r="AP512" s="1759" t="s">
        <v>5371</v>
      </c>
      <c r="AQ512" s="1759" t="s">
        <v>5372</v>
      </c>
      <c r="AR512" s="1759" t="s">
        <v>354</v>
      </c>
      <c r="AS512" s="1759" t="s">
        <v>355</v>
      </c>
      <c r="AT512" s="1759" t="s">
        <v>327</v>
      </c>
      <c r="AU512" s="1763"/>
      <c r="AV512" s="1763"/>
    </row>
    <row r="513" spans="1:48" ht="25" hidden="1">
      <c r="A513" s="1785" t="str">
        <f t="shared" si="77"/>
        <v>גמל</v>
      </c>
      <c r="B513" s="1786">
        <f t="shared" si="78"/>
        <v>9809</v>
      </c>
      <c r="C513" s="1787">
        <v>28946</v>
      </c>
      <c r="D513" s="1786" t="str">
        <f t="shared" si="79"/>
        <v>אי.בי.אי. לתגמולים ופיצויים מסלול לבני 50 ומטה</v>
      </c>
      <c r="E513" s="1786" t="s">
        <v>3929</v>
      </c>
      <c r="F513" s="1786" t="s">
        <v>2958</v>
      </c>
      <c r="G513" s="1786" t="s">
        <v>2959</v>
      </c>
      <c r="H513" s="1786" t="str">
        <f t="shared" si="80"/>
        <v>לא פעיל</v>
      </c>
      <c r="I513" s="1788">
        <f t="shared" si="81"/>
        <v>39021</v>
      </c>
      <c r="J513" s="1788">
        <f t="shared" si="82"/>
        <v>43481.361793981501</v>
      </c>
      <c r="K513" s="1786">
        <v>0</v>
      </c>
      <c r="L513" s="1786" t="s">
        <v>1594</v>
      </c>
      <c r="M513" s="1786" t="s">
        <v>1653</v>
      </c>
      <c r="N513" s="1786" t="s">
        <v>1653</v>
      </c>
      <c r="O513" s="1786">
        <v>0</v>
      </c>
      <c r="P513" s="1786"/>
      <c r="Q513" s="1786">
        <v>0</v>
      </c>
      <c r="R513" s="1788"/>
      <c r="S513" s="1786">
        <f t="shared" si="83"/>
        <v>1198</v>
      </c>
      <c r="T513" s="1786" t="str">
        <f t="shared" si="84"/>
        <v>בנק הפועלים בע"מ</v>
      </c>
      <c r="U513" s="1786" t="str">
        <f t="shared" si="85"/>
        <v>אי.בי.אי קופה לתגמולים ופיצויים</v>
      </c>
      <c r="V513" s="1786" t="str">
        <f t="shared" si="86"/>
        <v>513163105</v>
      </c>
      <c r="W513" s="1789" t="str">
        <f t="shared" si="87"/>
        <v>הלמן - אלדובי קופות גמל ופנסיה בע"מ</v>
      </c>
      <c r="AC513" s="1761" t="s">
        <v>1586</v>
      </c>
      <c r="AD513" s="1762">
        <v>43481.361793981501</v>
      </c>
      <c r="AE513" s="1762">
        <v>39021</v>
      </c>
      <c r="AF513" s="1761" t="s">
        <v>4151</v>
      </c>
      <c r="AG513" s="1761" t="s">
        <v>3931</v>
      </c>
      <c r="AH513" s="1761" t="s">
        <v>3658</v>
      </c>
      <c r="AI513" s="1761" t="s">
        <v>4388</v>
      </c>
      <c r="AJ513" s="1761" t="s">
        <v>4388</v>
      </c>
      <c r="AK513" s="1761">
        <v>9809</v>
      </c>
      <c r="AL513" s="1761" t="s">
        <v>3300</v>
      </c>
      <c r="AM513" s="1761">
        <v>1198</v>
      </c>
      <c r="AN513" s="1761" t="s">
        <v>1695</v>
      </c>
      <c r="AO513" s="1764"/>
      <c r="AP513" s="1761" t="s">
        <v>5371</v>
      </c>
      <c r="AQ513" s="1761" t="s">
        <v>5372</v>
      </c>
      <c r="AR513" s="1761" t="s">
        <v>354</v>
      </c>
      <c r="AS513" s="1761" t="s">
        <v>355</v>
      </c>
      <c r="AT513" s="1761" t="s">
        <v>327</v>
      </c>
      <c r="AU513" s="1763"/>
      <c r="AV513" s="1763"/>
    </row>
    <row r="514" spans="1:48" ht="25" hidden="1">
      <c r="A514" s="1785" t="str">
        <f t="shared" si="77"/>
        <v>גמל</v>
      </c>
      <c r="B514" s="1786">
        <f t="shared" si="78"/>
        <v>9808</v>
      </c>
      <c r="C514" s="1787">
        <v>28946</v>
      </c>
      <c r="D514" s="1786" t="str">
        <f t="shared" si="79"/>
        <v>אי.בי.אי. לתגמולים ופיצויים מסלול לבני 50 עד 60</v>
      </c>
      <c r="E514" s="1786" t="s">
        <v>3929</v>
      </c>
      <c r="F514" s="1786" t="s">
        <v>2958</v>
      </c>
      <c r="G514" s="1786" t="s">
        <v>2959</v>
      </c>
      <c r="H514" s="1786" t="str">
        <f t="shared" si="80"/>
        <v>לא פעיל</v>
      </c>
      <c r="I514" s="1788">
        <f t="shared" si="81"/>
        <v>39021</v>
      </c>
      <c r="J514" s="1788">
        <f t="shared" si="82"/>
        <v>43481.361793981501</v>
      </c>
      <c r="K514" s="1786">
        <v>0</v>
      </c>
      <c r="L514" s="1786" t="s">
        <v>1594</v>
      </c>
      <c r="M514" s="1786" t="s">
        <v>1653</v>
      </c>
      <c r="N514" s="1786" t="s">
        <v>1653</v>
      </c>
      <c r="O514" s="1786">
        <v>0</v>
      </c>
      <c r="P514" s="1786"/>
      <c r="Q514" s="1786">
        <v>0</v>
      </c>
      <c r="R514" s="1788"/>
      <c r="S514" s="1786">
        <f t="shared" si="83"/>
        <v>1198</v>
      </c>
      <c r="T514" s="1786" t="str">
        <f t="shared" si="84"/>
        <v>בנק הפועלים בע"מ</v>
      </c>
      <c r="U514" s="1786" t="str">
        <f t="shared" si="85"/>
        <v>אי.בי.אי קופה לתגמולים ופיצויים</v>
      </c>
      <c r="V514" s="1786" t="str">
        <f t="shared" si="86"/>
        <v>513163105</v>
      </c>
      <c r="W514" s="1789" t="str">
        <f t="shared" si="87"/>
        <v>הלמן - אלדובי קופות גמל ופנסיה בע"מ</v>
      </c>
      <c r="AC514" s="1759" t="s">
        <v>1586</v>
      </c>
      <c r="AD514" s="1760">
        <v>43481.361793981501</v>
      </c>
      <c r="AE514" s="1760">
        <v>39021</v>
      </c>
      <c r="AF514" s="1759" t="s">
        <v>3932</v>
      </c>
      <c r="AG514" s="1759" t="s">
        <v>3931</v>
      </c>
      <c r="AH514" s="1759" t="s">
        <v>3658</v>
      </c>
      <c r="AI514" s="1759" t="s">
        <v>4387</v>
      </c>
      <c r="AJ514" s="1759" t="s">
        <v>4387</v>
      </c>
      <c r="AK514" s="1759">
        <v>9808</v>
      </c>
      <c r="AL514" s="1759" t="s">
        <v>3300</v>
      </c>
      <c r="AM514" s="1759">
        <v>1198</v>
      </c>
      <c r="AN514" s="1759" t="s">
        <v>1695</v>
      </c>
      <c r="AO514" s="1764"/>
      <c r="AP514" s="1759" t="s">
        <v>5371</v>
      </c>
      <c r="AQ514" s="1759" t="s">
        <v>5372</v>
      </c>
      <c r="AR514" s="1759" t="s">
        <v>354</v>
      </c>
      <c r="AS514" s="1759" t="s">
        <v>355</v>
      </c>
      <c r="AT514" s="1759" t="s">
        <v>327</v>
      </c>
      <c r="AU514" s="1763"/>
      <c r="AV514" s="1763"/>
    </row>
    <row r="515" spans="1:48" ht="25" hidden="1">
      <c r="A515" s="1785" t="str">
        <f t="shared" si="77"/>
        <v>גמל</v>
      </c>
      <c r="B515" s="1786">
        <f t="shared" si="78"/>
        <v>7818</v>
      </c>
      <c r="C515" s="1787">
        <v>28946</v>
      </c>
      <c r="D515" s="1786" t="str">
        <f t="shared" si="79"/>
        <v>אי.בי.אי קופה לתגמולים ופיצויים מסלול פאסיבי - מדדי אג"ח</v>
      </c>
      <c r="E515" s="1786" t="s">
        <v>3929</v>
      </c>
      <c r="F515" s="1786" t="s">
        <v>2958</v>
      </c>
      <c r="G515" s="1786" t="s">
        <v>2959</v>
      </c>
      <c r="H515" s="1786" t="str">
        <f t="shared" si="80"/>
        <v>לא פעיל</v>
      </c>
      <c r="I515" s="1788">
        <f t="shared" si="81"/>
        <v>39021</v>
      </c>
      <c r="J515" s="1788">
        <f t="shared" si="82"/>
        <v>43481.361793981501</v>
      </c>
      <c r="K515" s="1786">
        <v>0</v>
      </c>
      <c r="L515" s="1786" t="s">
        <v>1594</v>
      </c>
      <c r="M515" s="1786" t="s">
        <v>1653</v>
      </c>
      <c r="N515" s="1786" t="s">
        <v>1653</v>
      </c>
      <c r="O515" s="1786">
        <v>0</v>
      </c>
      <c r="P515" s="1786"/>
      <c r="Q515" s="1786">
        <v>0</v>
      </c>
      <c r="R515" s="1788"/>
      <c r="S515" s="1786">
        <f t="shared" si="83"/>
        <v>1198</v>
      </c>
      <c r="T515" s="1786" t="str">
        <f t="shared" si="84"/>
        <v>בנק הפועלים בע"מ</v>
      </c>
      <c r="U515" s="1786" t="str">
        <f t="shared" si="85"/>
        <v>אי.בי.אי קופה לתגמולים ופיצויים</v>
      </c>
      <c r="V515" s="1786" t="str">
        <f t="shared" si="86"/>
        <v>513163105</v>
      </c>
      <c r="W515" s="1789" t="str">
        <f t="shared" si="87"/>
        <v>הלמן - אלדובי קופות גמל ופנסיה בע"מ</v>
      </c>
      <c r="AC515" s="1761" t="s">
        <v>1586</v>
      </c>
      <c r="AD515" s="1762">
        <v>43481.361793981501</v>
      </c>
      <c r="AE515" s="1762">
        <v>39021</v>
      </c>
      <c r="AF515" s="1761" t="s">
        <v>3959</v>
      </c>
      <c r="AG515" s="1761" t="s">
        <v>1653</v>
      </c>
      <c r="AH515" s="1761" t="s">
        <v>1594</v>
      </c>
      <c r="AI515" s="1761" t="s">
        <v>4651</v>
      </c>
      <c r="AJ515" s="1761" t="s">
        <v>4650</v>
      </c>
      <c r="AK515" s="1761">
        <v>7818</v>
      </c>
      <c r="AL515" s="1761" t="s">
        <v>3300</v>
      </c>
      <c r="AM515" s="1761">
        <v>1198</v>
      </c>
      <c r="AN515" s="1761" t="s">
        <v>1695</v>
      </c>
      <c r="AO515" s="1764"/>
      <c r="AP515" s="1761" t="s">
        <v>5371</v>
      </c>
      <c r="AQ515" s="1761" t="s">
        <v>5372</v>
      </c>
      <c r="AR515" s="1761" t="s">
        <v>354</v>
      </c>
      <c r="AS515" s="1761" t="s">
        <v>355</v>
      </c>
      <c r="AT515" s="1761" t="s">
        <v>327</v>
      </c>
      <c r="AU515" s="1763"/>
      <c r="AV515" s="1763"/>
    </row>
    <row r="516" spans="1:48" ht="25" hidden="1">
      <c r="A516" s="1785" t="str">
        <f t="shared" si="77"/>
        <v>גמל</v>
      </c>
      <c r="B516" s="1786">
        <f t="shared" si="78"/>
        <v>770</v>
      </c>
      <c r="C516" s="1787">
        <v>28946</v>
      </c>
      <c r="D516" s="1786" t="str">
        <f t="shared" si="79"/>
        <v>אי.בי.אי תגמולים - כללי</v>
      </c>
      <c r="E516" s="1786" t="s">
        <v>3929</v>
      </c>
      <c r="F516" s="1786" t="s">
        <v>2958</v>
      </c>
      <c r="G516" s="1786" t="s">
        <v>2959</v>
      </c>
      <c r="H516" s="1786" t="str">
        <f t="shared" si="80"/>
        <v>לא פעיל</v>
      </c>
      <c r="I516" s="1788">
        <f t="shared" si="81"/>
        <v>39021</v>
      </c>
      <c r="J516" s="1788">
        <f t="shared" si="82"/>
        <v>42373.419710648202</v>
      </c>
      <c r="K516" s="1786">
        <v>0</v>
      </c>
      <c r="L516" s="1786" t="s">
        <v>1594</v>
      </c>
      <c r="M516" s="1786" t="s">
        <v>1653</v>
      </c>
      <c r="N516" s="1786" t="s">
        <v>1653</v>
      </c>
      <c r="O516" s="1786">
        <v>0</v>
      </c>
      <c r="P516" s="1786"/>
      <c r="Q516" s="1786">
        <v>0</v>
      </c>
      <c r="R516" s="1788"/>
      <c r="S516" s="1786">
        <f t="shared" si="83"/>
        <v>1198</v>
      </c>
      <c r="T516" s="1786" t="str">
        <f t="shared" si="84"/>
        <v>בנק הפועלים בע"מ</v>
      </c>
      <c r="U516" s="1786" t="str">
        <f t="shared" si="85"/>
        <v>אי.בי.אי קופה לתגמולים ופיצויים</v>
      </c>
      <c r="V516" s="1786" t="str">
        <f t="shared" si="86"/>
        <v>513163105</v>
      </c>
      <c r="W516" s="1789" t="str">
        <f t="shared" si="87"/>
        <v>הלמן - אלדובי קופות גמל ופנסיה בע"מ</v>
      </c>
      <c r="AC516" s="1759" t="s">
        <v>1586</v>
      </c>
      <c r="AD516" s="1760">
        <v>42373.419710648202</v>
      </c>
      <c r="AE516" s="1760">
        <v>39021</v>
      </c>
      <c r="AF516" s="1759" t="s">
        <v>1583</v>
      </c>
      <c r="AG516" s="1759" t="s">
        <v>1583</v>
      </c>
      <c r="AH516" s="1759" t="s">
        <v>1583</v>
      </c>
      <c r="AI516" s="1759" t="s">
        <v>3299</v>
      </c>
      <c r="AJ516" s="1759" t="s">
        <v>3299</v>
      </c>
      <c r="AK516" s="1759">
        <v>770</v>
      </c>
      <c r="AL516" s="1759" t="s">
        <v>3300</v>
      </c>
      <c r="AM516" s="1759">
        <v>1198</v>
      </c>
      <c r="AN516" s="1759" t="s">
        <v>1695</v>
      </c>
      <c r="AO516" s="1764"/>
      <c r="AP516" s="1759" t="s">
        <v>5371</v>
      </c>
      <c r="AQ516" s="1759" t="s">
        <v>5372</v>
      </c>
      <c r="AR516" s="1759" t="s">
        <v>354</v>
      </c>
      <c r="AS516" s="1759" t="s">
        <v>355</v>
      </c>
      <c r="AT516" s="1759" t="s">
        <v>327</v>
      </c>
      <c r="AU516" s="1763"/>
      <c r="AV516" s="1763"/>
    </row>
    <row r="517" spans="1:48" ht="25" hidden="1">
      <c r="A517" s="1785" t="str">
        <f t="shared" si="77"/>
        <v>גמל</v>
      </c>
      <c r="B517" s="1786">
        <f t="shared" si="78"/>
        <v>1010</v>
      </c>
      <c r="C517" s="1787">
        <v>28946</v>
      </c>
      <c r="D517" s="1786" t="str">
        <f t="shared" si="79"/>
        <v>אי.בי.אי לתגמולים ופיצויים שקלי לטווח קצר</v>
      </c>
      <c r="E517" s="1786" t="s">
        <v>3929</v>
      </c>
      <c r="F517" s="1786" t="s">
        <v>2958</v>
      </c>
      <c r="G517" s="1786" t="s">
        <v>2959</v>
      </c>
      <c r="H517" s="1786" t="str">
        <f t="shared" si="80"/>
        <v>לא פעיל</v>
      </c>
      <c r="I517" s="1788">
        <f t="shared" si="81"/>
        <v>39021</v>
      </c>
      <c r="J517" s="1788">
        <f t="shared" si="82"/>
        <v>42226.470439814802</v>
      </c>
      <c r="K517" s="1786">
        <v>0</v>
      </c>
      <c r="L517" s="1786" t="s">
        <v>1594</v>
      </c>
      <c r="M517" s="1786" t="s">
        <v>1653</v>
      </c>
      <c r="N517" s="1786" t="s">
        <v>1653</v>
      </c>
      <c r="O517" s="1786">
        <v>0</v>
      </c>
      <c r="P517" s="1786"/>
      <c r="Q517" s="1786">
        <v>0</v>
      </c>
      <c r="R517" s="1788"/>
      <c r="S517" s="1786">
        <f t="shared" si="83"/>
        <v>1198</v>
      </c>
      <c r="T517" s="1786" t="str">
        <f t="shared" si="84"/>
        <v>בנק הפועלים בע"מ</v>
      </c>
      <c r="U517" s="1786" t="str">
        <f t="shared" si="85"/>
        <v>אי.בי.אי קופה לתגמולים ופיצויים</v>
      </c>
      <c r="V517" s="1786" t="str">
        <f t="shared" si="86"/>
        <v>513163105</v>
      </c>
      <c r="W517" s="1789" t="str">
        <f t="shared" si="87"/>
        <v>הלמן - אלדובי קופות גמל ופנסיה בע"מ</v>
      </c>
      <c r="AC517" s="1761" t="s">
        <v>1586</v>
      </c>
      <c r="AD517" s="1762">
        <v>42226.470439814802</v>
      </c>
      <c r="AE517" s="1762">
        <v>39021</v>
      </c>
      <c r="AF517" s="1761" t="s">
        <v>1673</v>
      </c>
      <c r="AG517" s="1761" t="s">
        <v>1614</v>
      </c>
      <c r="AH517" s="1761" t="s">
        <v>1594</v>
      </c>
      <c r="AI517" s="1761" t="s">
        <v>3460</v>
      </c>
      <c r="AJ517" s="1761" t="s">
        <v>3460</v>
      </c>
      <c r="AK517" s="1761">
        <v>1010</v>
      </c>
      <c r="AL517" s="1761" t="s">
        <v>3300</v>
      </c>
      <c r="AM517" s="1761">
        <v>1198</v>
      </c>
      <c r="AN517" s="1761" t="s">
        <v>1695</v>
      </c>
      <c r="AO517" s="1764"/>
      <c r="AP517" s="1761" t="s">
        <v>5371</v>
      </c>
      <c r="AQ517" s="1761" t="s">
        <v>5372</v>
      </c>
      <c r="AR517" s="1761" t="s">
        <v>354</v>
      </c>
      <c r="AS517" s="1761" t="s">
        <v>355</v>
      </c>
      <c r="AT517" s="1761" t="s">
        <v>327</v>
      </c>
      <c r="AU517" s="1763"/>
      <c r="AV517" s="1763"/>
    </row>
    <row r="518" spans="1:48" ht="25" hidden="1">
      <c r="A518" s="1785" t="str">
        <f t="shared" si="77"/>
        <v>גמל</v>
      </c>
      <c r="B518" s="1786">
        <f t="shared" si="78"/>
        <v>1197</v>
      </c>
      <c r="C518" s="1787">
        <v>28946</v>
      </c>
      <c r="D518" s="1786" t="str">
        <f t="shared" si="79"/>
        <v>מיטב וויזר מרכזית לפיצויים כללית</v>
      </c>
      <c r="E518" s="1786" t="s">
        <v>3929</v>
      </c>
      <c r="F518" s="1786" t="s">
        <v>2958</v>
      </c>
      <c r="G518" s="1786" t="s">
        <v>2959</v>
      </c>
      <c r="H518" s="1786" t="str">
        <f t="shared" si="80"/>
        <v>לא פעיל</v>
      </c>
      <c r="I518" s="1788">
        <f t="shared" si="81"/>
        <v>39079</v>
      </c>
      <c r="J518" s="1788">
        <f t="shared" si="82"/>
        <v>40633</v>
      </c>
      <c r="K518" s="1786">
        <v>0</v>
      </c>
      <c r="L518" s="1786" t="s">
        <v>1594</v>
      </c>
      <c r="M518" s="1786" t="s">
        <v>1653</v>
      </c>
      <c r="N518" s="1786" t="s">
        <v>1653</v>
      </c>
      <c r="O518" s="1786">
        <v>0</v>
      </c>
      <c r="P518" s="1786"/>
      <c r="Q518" s="1786">
        <v>0</v>
      </c>
      <c r="R518" s="1788"/>
      <c r="S518" s="1786">
        <f t="shared" si="83"/>
        <v>1197</v>
      </c>
      <c r="T518" s="1786" t="str">
        <f t="shared" si="84"/>
        <v>בנק הפועלים בע"מ</v>
      </c>
      <c r="U518" s="1786" t="str">
        <f t="shared" si="85"/>
        <v>מיטב וויזר מרכזית לפיצויים כללית</v>
      </c>
      <c r="V518" s="1786">
        <f t="shared" si="86"/>
        <v>0</v>
      </c>
      <c r="W518" s="1789" t="str">
        <f t="shared" si="87"/>
        <v>מיטב גמל ופנסיה בע"מ</v>
      </c>
      <c r="AC518" s="1759" t="s">
        <v>1586</v>
      </c>
      <c r="AD518" s="1760">
        <v>40633</v>
      </c>
      <c r="AE518" s="1760">
        <v>39079</v>
      </c>
      <c r="AF518" s="1759" t="s">
        <v>1583</v>
      </c>
      <c r="AG518" s="1759" t="s">
        <v>1583</v>
      </c>
      <c r="AH518" s="1759" t="s">
        <v>1583</v>
      </c>
      <c r="AI518" s="1759" t="s">
        <v>2333</v>
      </c>
      <c r="AJ518" s="1759" t="s">
        <v>2333</v>
      </c>
      <c r="AK518" s="1759">
        <v>1197</v>
      </c>
      <c r="AL518" s="1759" t="s">
        <v>2333</v>
      </c>
      <c r="AM518" s="1759">
        <v>1197</v>
      </c>
      <c r="AN518" s="1759" t="s">
        <v>1695</v>
      </c>
      <c r="AO518" s="1764"/>
      <c r="AP518" s="1759"/>
      <c r="AQ518" s="1759"/>
      <c r="AR518" s="1759" t="s">
        <v>365</v>
      </c>
      <c r="AS518" s="1759" t="s">
        <v>366</v>
      </c>
      <c r="AT518" s="1759" t="s">
        <v>327</v>
      </c>
      <c r="AU518" s="1763"/>
      <c r="AV518" s="1763"/>
    </row>
    <row r="519" spans="1:48" ht="25" hidden="1">
      <c r="A519" s="1785" t="str">
        <f t="shared" si="77"/>
        <v>גמל</v>
      </c>
      <c r="B519" s="1786">
        <f t="shared" si="78"/>
        <v>1468</v>
      </c>
      <c r="C519" s="1787">
        <v>28946</v>
      </c>
      <c r="D519" s="1786" t="str">
        <f t="shared" si="79"/>
        <v>מיטב וויזר השתלמות אג"ח ממשלתי</v>
      </c>
      <c r="E519" s="1786" t="s">
        <v>3929</v>
      </c>
      <c r="F519" s="1786" t="s">
        <v>2958</v>
      </c>
      <c r="G519" s="1786" t="s">
        <v>2959</v>
      </c>
      <c r="H519" s="1786" t="str">
        <f t="shared" si="80"/>
        <v>לא פעיל</v>
      </c>
      <c r="I519" s="1788">
        <f t="shared" si="81"/>
        <v>39079</v>
      </c>
      <c r="J519" s="1788">
        <f t="shared" si="82"/>
        <v>40633</v>
      </c>
      <c r="K519" s="1786">
        <v>0</v>
      </c>
      <c r="L519" s="1786" t="s">
        <v>1594</v>
      </c>
      <c r="M519" s="1786" t="s">
        <v>1653</v>
      </c>
      <c r="N519" s="1786" t="s">
        <v>1653</v>
      </c>
      <c r="O519" s="1786">
        <v>0</v>
      </c>
      <c r="P519" s="1786"/>
      <c r="Q519" s="1786">
        <v>0</v>
      </c>
      <c r="R519" s="1788"/>
      <c r="S519" s="1786">
        <f t="shared" si="83"/>
        <v>1196</v>
      </c>
      <c r="T519" s="1786" t="str">
        <f t="shared" si="84"/>
        <v>בנק הפועלים בע"מ</v>
      </c>
      <c r="U519" s="1786" t="str">
        <f t="shared" si="85"/>
        <v>מיטב וויזר השתלמות כללית</v>
      </c>
      <c r="V519" s="1786">
        <f t="shared" si="86"/>
        <v>0</v>
      </c>
      <c r="W519" s="1789" t="str">
        <f t="shared" si="87"/>
        <v>מיטב גמל ופנסיה בע"מ</v>
      </c>
      <c r="AC519" s="1761" t="s">
        <v>1586</v>
      </c>
      <c r="AD519" s="1762">
        <v>40633</v>
      </c>
      <c r="AE519" s="1762">
        <v>39079</v>
      </c>
      <c r="AF519" s="1761" t="s">
        <v>2009</v>
      </c>
      <c r="AG519" s="1761" t="s">
        <v>1653</v>
      </c>
      <c r="AH519" s="1761" t="s">
        <v>1594</v>
      </c>
      <c r="AI519" s="1761" t="s">
        <v>2489</v>
      </c>
      <c r="AJ519" s="1761" t="s">
        <v>2489</v>
      </c>
      <c r="AK519" s="1761">
        <v>1468</v>
      </c>
      <c r="AL519" s="1761" t="s">
        <v>2332</v>
      </c>
      <c r="AM519" s="1761">
        <v>1196</v>
      </c>
      <c r="AN519" s="1761" t="s">
        <v>1695</v>
      </c>
      <c r="AO519" s="1764"/>
      <c r="AP519" s="1761"/>
      <c r="AQ519" s="1761"/>
      <c r="AR519" s="1761" t="s">
        <v>365</v>
      </c>
      <c r="AS519" s="1761" t="s">
        <v>366</v>
      </c>
      <c r="AT519" s="1761" t="s">
        <v>327</v>
      </c>
      <c r="AU519" s="1763"/>
      <c r="AV519" s="1763"/>
    </row>
    <row r="520" spans="1:48" ht="25" hidden="1">
      <c r="A520" s="1785" t="str">
        <f t="shared" si="77"/>
        <v>גמל</v>
      </c>
      <c r="B520" s="1786">
        <f t="shared" si="78"/>
        <v>1208</v>
      </c>
      <c r="C520" s="1787">
        <v>28946</v>
      </c>
      <c r="D520" s="1786" t="str">
        <f t="shared" si="79"/>
        <v>מיטב וויזר השתלמות מניות</v>
      </c>
      <c r="E520" s="1786" t="s">
        <v>3929</v>
      </c>
      <c r="F520" s="1786" t="s">
        <v>2958</v>
      </c>
      <c r="G520" s="1786" t="s">
        <v>2959</v>
      </c>
      <c r="H520" s="1786" t="str">
        <f t="shared" si="80"/>
        <v>לא פעיל</v>
      </c>
      <c r="I520" s="1788">
        <f t="shared" si="81"/>
        <v>39079</v>
      </c>
      <c r="J520" s="1788">
        <f t="shared" si="82"/>
        <v>40633</v>
      </c>
      <c r="K520" s="1786">
        <v>0</v>
      </c>
      <c r="L520" s="1786" t="s">
        <v>1594</v>
      </c>
      <c r="M520" s="1786" t="s">
        <v>1653</v>
      </c>
      <c r="N520" s="1786" t="s">
        <v>1653</v>
      </c>
      <c r="O520" s="1786">
        <v>0</v>
      </c>
      <c r="P520" s="1786"/>
      <c r="Q520" s="1786">
        <v>0</v>
      </c>
      <c r="R520" s="1788"/>
      <c r="S520" s="1786">
        <f t="shared" si="83"/>
        <v>1196</v>
      </c>
      <c r="T520" s="1786" t="str">
        <f t="shared" si="84"/>
        <v>בנק הפועלים בע"מ</v>
      </c>
      <c r="U520" s="1786" t="str">
        <f t="shared" si="85"/>
        <v>מיטב וויזר השתלמות כללית</v>
      </c>
      <c r="V520" s="1786">
        <f t="shared" si="86"/>
        <v>0</v>
      </c>
      <c r="W520" s="1789" t="str">
        <f t="shared" si="87"/>
        <v>מיטב גמל ופנסיה בע"מ</v>
      </c>
      <c r="AC520" s="1759" t="s">
        <v>1586</v>
      </c>
      <c r="AD520" s="1760">
        <v>40633</v>
      </c>
      <c r="AE520" s="1760">
        <v>39079</v>
      </c>
      <c r="AF520" s="1759" t="s">
        <v>1595</v>
      </c>
      <c r="AG520" s="1759" t="s">
        <v>75</v>
      </c>
      <c r="AH520" s="1759" t="s">
        <v>1594</v>
      </c>
      <c r="AI520" s="1759" t="s">
        <v>2336</v>
      </c>
      <c r="AJ520" s="1759" t="s">
        <v>2336</v>
      </c>
      <c r="AK520" s="1759">
        <v>1208</v>
      </c>
      <c r="AL520" s="1759" t="s">
        <v>2332</v>
      </c>
      <c r="AM520" s="1759">
        <v>1196</v>
      </c>
      <c r="AN520" s="1759" t="s">
        <v>1695</v>
      </c>
      <c r="AO520" s="1764"/>
      <c r="AP520" s="1759"/>
      <c r="AQ520" s="1759"/>
      <c r="AR520" s="1759" t="s">
        <v>365</v>
      </c>
      <c r="AS520" s="1759" t="s">
        <v>366</v>
      </c>
      <c r="AT520" s="1759" t="s">
        <v>327</v>
      </c>
      <c r="AU520" s="1763"/>
      <c r="AV520" s="1763"/>
    </row>
    <row r="521" spans="1:48" ht="25" hidden="1">
      <c r="A521" s="1785" t="str">
        <f t="shared" si="77"/>
        <v>גמל</v>
      </c>
      <c r="B521" s="1786">
        <f t="shared" si="78"/>
        <v>1321</v>
      </c>
      <c r="C521" s="1787">
        <v>28946</v>
      </c>
      <c r="D521" s="1786" t="str">
        <f t="shared" si="79"/>
        <v>מיטב וויזר השתלמות אג"ח</v>
      </c>
      <c r="E521" s="1786" t="s">
        <v>3929</v>
      </c>
      <c r="F521" s="1786" t="s">
        <v>2958</v>
      </c>
      <c r="G521" s="1786" t="s">
        <v>2959</v>
      </c>
      <c r="H521" s="1786" t="str">
        <f t="shared" si="80"/>
        <v>לא פעיל</v>
      </c>
      <c r="I521" s="1788">
        <f t="shared" si="81"/>
        <v>39079</v>
      </c>
      <c r="J521" s="1788">
        <f t="shared" si="82"/>
        <v>40633</v>
      </c>
      <c r="K521" s="1786">
        <v>0</v>
      </c>
      <c r="L521" s="1786" t="s">
        <v>1594</v>
      </c>
      <c r="M521" s="1786" t="s">
        <v>1653</v>
      </c>
      <c r="N521" s="1786" t="s">
        <v>1653</v>
      </c>
      <c r="O521" s="1786">
        <v>0</v>
      </c>
      <c r="P521" s="1786"/>
      <c r="Q521" s="1786">
        <v>0</v>
      </c>
      <c r="R521" s="1788"/>
      <c r="S521" s="1786">
        <f t="shared" si="83"/>
        <v>1196</v>
      </c>
      <c r="T521" s="1786" t="str">
        <f t="shared" si="84"/>
        <v>בנק הפועלים בע"מ</v>
      </c>
      <c r="U521" s="1786" t="str">
        <f t="shared" si="85"/>
        <v>מיטב וויזר השתלמות כללית</v>
      </c>
      <c r="V521" s="1786">
        <f t="shared" si="86"/>
        <v>0</v>
      </c>
      <c r="W521" s="1789" t="str">
        <f t="shared" si="87"/>
        <v>מיטב גמל ופנסיה בע"מ</v>
      </c>
      <c r="AC521" s="1761" t="s">
        <v>1586</v>
      </c>
      <c r="AD521" s="1762">
        <v>40633</v>
      </c>
      <c r="AE521" s="1762">
        <v>39079</v>
      </c>
      <c r="AF521" s="1761" t="s">
        <v>1653</v>
      </c>
      <c r="AG521" s="1761" t="s">
        <v>1653</v>
      </c>
      <c r="AH521" s="1761" t="s">
        <v>1594</v>
      </c>
      <c r="AI521" s="1761" t="s">
        <v>2402</v>
      </c>
      <c r="AJ521" s="1761" t="s">
        <v>2402</v>
      </c>
      <c r="AK521" s="1761">
        <v>1321</v>
      </c>
      <c r="AL521" s="1761" t="s">
        <v>2332</v>
      </c>
      <c r="AM521" s="1761">
        <v>1196</v>
      </c>
      <c r="AN521" s="1761" t="s">
        <v>1695</v>
      </c>
      <c r="AO521" s="1764"/>
      <c r="AP521" s="1761"/>
      <c r="AQ521" s="1761"/>
      <c r="AR521" s="1761" t="s">
        <v>365</v>
      </c>
      <c r="AS521" s="1761" t="s">
        <v>366</v>
      </c>
      <c r="AT521" s="1761" t="s">
        <v>327</v>
      </c>
      <c r="AU521" s="1763"/>
      <c r="AV521" s="1763"/>
    </row>
    <row r="522" spans="1:48" ht="25" hidden="1">
      <c r="A522" s="1785" t="str">
        <f t="shared" si="77"/>
        <v>גמל</v>
      </c>
      <c r="B522" s="1786">
        <f t="shared" si="78"/>
        <v>1196</v>
      </c>
      <c r="C522" s="1787">
        <v>28946</v>
      </c>
      <c r="D522" s="1786" t="str">
        <f t="shared" si="79"/>
        <v>מיטב וויזר השתלמות כללית</v>
      </c>
      <c r="E522" s="1786" t="s">
        <v>3929</v>
      </c>
      <c r="F522" s="1786" t="s">
        <v>2958</v>
      </c>
      <c r="G522" s="1786" t="s">
        <v>2959</v>
      </c>
      <c r="H522" s="1786" t="str">
        <f t="shared" si="80"/>
        <v>לא פעיל</v>
      </c>
      <c r="I522" s="1788">
        <f t="shared" si="81"/>
        <v>39079</v>
      </c>
      <c r="J522" s="1788">
        <f t="shared" si="82"/>
        <v>40633</v>
      </c>
      <c r="K522" s="1786">
        <v>0</v>
      </c>
      <c r="L522" s="1786" t="s">
        <v>1594</v>
      </c>
      <c r="M522" s="1786" t="s">
        <v>1653</v>
      </c>
      <c r="N522" s="1786" t="s">
        <v>1653</v>
      </c>
      <c r="O522" s="1786">
        <v>0</v>
      </c>
      <c r="P522" s="1786"/>
      <c r="Q522" s="1786">
        <v>0</v>
      </c>
      <c r="R522" s="1788"/>
      <c r="S522" s="1786">
        <f t="shared" si="83"/>
        <v>1196</v>
      </c>
      <c r="T522" s="1786" t="str">
        <f t="shared" si="84"/>
        <v>בנק הפועלים בע"מ</v>
      </c>
      <c r="U522" s="1786" t="str">
        <f t="shared" si="85"/>
        <v>מיטב וויזר השתלמות כללית</v>
      </c>
      <c r="V522" s="1786">
        <f t="shared" si="86"/>
        <v>0</v>
      </c>
      <c r="W522" s="1789" t="str">
        <f t="shared" si="87"/>
        <v>מיטב גמל ופנסיה בע"מ</v>
      </c>
      <c r="AC522" s="1759" t="s">
        <v>1586</v>
      </c>
      <c r="AD522" s="1760">
        <v>40633</v>
      </c>
      <c r="AE522" s="1760">
        <v>39079</v>
      </c>
      <c r="AF522" s="1759" t="s">
        <v>1583</v>
      </c>
      <c r="AG522" s="1759" t="s">
        <v>1583</v>
      </c>
      <c r="AH522" s="1759" t="s">
        <v>1583</v>
      </c>
      <c r="AI522" s="1759" t="s">
        <v>2332</v>
      </c>
      <c r="AJ522" s="1759" t="s">
        <v>2332</v>
      </c>
      <c r="AK522" s="1759">
        <v>1196</v>
      </c>
      <c r="AL522" s="1759" t="s">
        <v>2332</v>
      </c>
      <c r="AM522" s="1759">
        <v>1196</v>
      </c>
      <c r="AN522" s="1759" t="s">
        <v>1695</v>
      </c>
      <c r="AO522" s="1764"/>
      <c r="AP522" s="1759"/>
      <c r="AQ522" s="1759"/>
      <c r="AR522" s="1759" t="s">
        <v>365</v>
      </c>
      <c r="AS522" s="1759" t="s">
        <v>366</v>
      </c>
      <c r="AT522" s="1759" t="s">
        <v>327</v>
      </c>
      <c r="AU522" s="1763"/>
      <c r="AV522" s="1763"/>
    </row>
    <row r="523" spans="1:48" ht="25" hidden="1">
      <c r="A523" s="1785" t="str">
        <f t="shared" si="77"/>
        <v>גמל</v>
      </c>
      <c r="B523" s="1786">
        <f t="shared" si="78"/>
        <v>1195</v>
      </c>
      <c r="C523" s="1787">
        <v>28946</v>
      </c>
      <c r="D523" s="1786" t="str">
        <f t="shared" si="79"/>
        <v>מיטב וויזר גמל כללית</v>
      </c>
      <c r="E523" s="1786" t="s">
        <v>3929</v>
      </c>
      <c r="F523" s="1786" t="s">
        <v>2958</v>
      </c>
      <c r="G523" s="1786" t="s">
        <v>2959</v>
      </c>
      <c r="H523" s="1786" t="str">
        <f t="shared" si="80"/>
        <v>לא פעיל</v>
      </c>
      <c r="I523" s="1788">
        <f t="shared" si="81"/>
        <v>39079</v>
      </c>
      <c r="J523" s="1788">
        <f t="shared" si="82"/>
        <v>40633</v>
      </c>
      <c r="K523" s="1786">
        <v>0</v>
      </c>
      <c r="L523" s="1786" t="s">
        <v>1594</v>
      </c>
      <c r="M523" s="1786" t="s">
        <v>1653</v>
      </c>
      <c r="N523" s="1786" t="s">
        <v>1653</v>
      </c>
      <c r="O523" s="1786">
        <v>0</v>
      </c>
      <c r="P523" s="1786"/>
      <c r="Q523" s="1786">
        <v>0</v>
      </c>
      <c r="R523" s="1788"/>
      <c r="S523" s="1786">
        <f t="shared" si="83"/>
        <v>1195</v>
      </c>
      <c r="T523" s="1786" t="str">
        <f t="shared" si="84"/>
        <v>בנק הפועלים בע"מ</v>
      </c>
      <c r="U523" s="1786" t="str">
        <f t="shared" si="85"/>
        <v>מיטב וויזר גמל כללית</v>
      </c>
      <c r="V523" s="1786">
        <f t="shared" si="86"/>
        <v>0</v>
      </c>
      <c r="W523" s="1789" t="str">
        <f t="shared" si="87"/>
        <v>מיטב גמל ופנסיה בע"מ</v>
      </c>
      <c r="AC523" s="1761" t="s">
        <v>1586</v>
      </c>
      <c r="AD523" s="1762">
        <v>40633</v>
      </c>
      <c r="AE523" s="1762">
        <v>39079</v>
      </c>
      <c r="AF523" s="1761" t="s">
        <v>1583</v>
      </c>
      <c r="AG523" s="1761" t="s">
        <v>1583</v>
      </c>
      <c r="AH523" s="1761" t="s">
        <v>1583</v>
      </c>
      <c r="AI523" s="1761" t="s">
        <v>2331</v>
      </c>
      <c r="AJ523" s="1761" t="s">
        <v>2331</v>
      </c>
      <c r="AK523" s="1761">
        <v>1195</v>
      </c>
      <c r="AL523" s="1761" t="s">
        <v>2331</v>
      </c>
      <c r="AM523" s="1761">
        <v>1195</v>
      </c>
      <c r="AN523" s="1761" t="s">
        <v>1695</v>
      </c>
      <c r="AO523" s="1764"/>
      <c r="AP523" s="1761"/>
      <c r="AQ523" s="1761"/>
      <c r="AR523" s="1761" t="s">
        <v>365</v>
      </c>
      <c r="AS523" s="1761" t="s">
        <v>366</v>
      </c>
      <c r="AT523" s="1761" t="s">
        <v>327</v>
      </c>
      <c r="AU523" s="1763"/>
      <c r="AV523" s="1763"/>
    </row>
    <row r="524" spans="1:48" ht="25" hidden="1">
      <c r="A524" s="1785" t="str">
        <f t="shared" si="77"/>
        <v>גמל</v>
      </c>
      <c r="B524" s="1786">
        <f t="shared" si="78"/>
        <v>1194</v>
      </c>
      <c r="C524" s="1787">
        <v>28946</v>
      </c>
      <c r="D524" s="1786" t="str">
        <f t="shared" si="79"/>
        <v>בנק ערבי ישראלי קופה מרכזית לפיצויים</v>
      </c>
      <c r="E524" s="1786" t="s">
        <v>3929</v>
      </c>
      <c r="F524" s="1786" t="s">
        <v>2958</v>
      </c>
      <c r="G524" s="1786" t="s">
        <v>2959</v>
      </c>
      <c r="H524" s="1786" t="str">
        <f t="shared" si="80"/>
        <v>לא פעיל</v>
      </c>
      <c r="I524" s="1788">
        <f t="shared" si="81"/>
        <v>38937</v>
      </c>
      <c r="J524" s="1788">
        <f t="shared" si="82"/>
        <v>42675.559884259303</v>
      </c>
      <c r="K524" s="1786">
        <v>0</v>
      </c>
      <c r="L524" s="1786" t="s">
        <v>1594</v>
      </c>
      <c r="M524" s="1786" t="s">
        <v>1653</v>
      </c>
      <c r="N524" s="1786" t="s">
        <v>1653</v>
      </c>
      <c r="O524" s="1786">
        <v>0</v>
      </c>
      <c r="P524" s="1786"/>
      <c r="Q524" s="1786">
        <v>0</v>
      </c>
      <c r="R524" s="1788"/>
      <c r="S524" s="1786">
        <f t="shared" si="83"/>
        <v>1194</v>
      </c>
      <c r="T524" s="1786" t="str">
        <f t="shared" si="84"/>
        <v>בנק לאומי בע"מ</v>
      </c>
      <c r="U524" s="1786" t="str">
        <f t="shared" si="85"/>
        <v>בנק ערבי ישראלי קופה מרכזית לפיצויים</v>
      </c>
      <c r="V524" s="1786" t="str">
        <f t="shared" si="86"/>
        <v>520018078</v>
      </c>
      <c r="W524" s="1789" t="str">
        <f t="shared" si="87"/>
        <v>לאומי קמ"פ בע"מ</v>
      </c>
      <c r="AC524" s="1759" t="s">
        <v>1586</v>
      </c>
      <c r="AD524" s="1760">
        <v>42675.559884259303</v>
      </c>
      <c r="AE524" s="1760">
        <v>38937</v>
      </c>
      <c r="AF524" s="1759" t="s">
        <v>1583</v>
      </c>
      <c r="AG524" s="1759" t="s">
        <v>1583</v>
      </c>
      <c r="AH524" s="1759" t="s">
        <v>1583</v>
      </c>
      <c r="AI524" s="1759" t="s">
        <v>676</v>
      </c>
      <c r="AJ524" s="1759" t="s">
        <v>676</v>
      </c>
      <c r="AK524" s="1759">
        <v>1194</v>
      </c>
      <c r="AL524" s="1759" t="s">
        <v>676</v>
      </c>
      <c r="AM524" s="1759">
        <v>1194</v>
      </c>
      <c r="AN524" s="1759" t="s">
        <v>5470</v>
      </c>
      <c r="AO524" s="1764"/>
      <c r="AP524" s="1759" t="s">
        <v>5470</v>
      </c>
      <c r="AQ524" s="1759" t="s">
        <v>5525</v>
      </c>
      <c r="AR524" s="1759" t="s">
        <v>672</v>
      </c>
      <c r="AS524" s="1759" t="s">
        <v>673</v>
      </c>
      <c r="AT524" s="1759" t="s">
        <v>327</v>
      </c>
      <c r="AU524" s="1763"/>
      <c r="AV524" s="1763"/>
    </row>
    <row r="525" spans="1:48" ht="25" hidden="1">
      <c r="A525" s="1785" t="str">
        <f t="shared" si="77"/>
        <v>גמל</v>
      </c>
      <c r="B525" s="1786">
        <f t="shared" si="78"/>
        <v>1193</v>
      </c>
      <c r="C525" s="1787">
        <v>28946</v>
      </c>
      <c r="D525" s="1786" t="str">
        <f t="shared" si="79"/>
        <v>בנק לאומי למשכנתאות קופה מרכזית לפיצויים</v>
      </c>
      <c r="E525" s="1786" t="s">
        <v>3929</v>
      </c>
      <c r="F525" s="1786" t="s">
        <v>2958</v>
      </c>
      <c r="G525" s="1786" t="s">
        <v>2959</v>
      </c>
      <c r="H525" s="1786" t="str">
        <f t="shared" si="80"/>
        <v>לא פעיל</v>
      </c>
      <c r="I525" s="1788">
        <f t="shared" si="81"/>
        <v>38937</v>
      </c>
      <c r="J525" s="1788">
        <f t="shared" si="82"/>
        <v>41280.522847222201</v>
      </c>
      <c r="K525" s="1786">
        <v>0</v>
      </c>
      <c r="L525" s="1786" t="s">
        <v>1594</v>
      </c>
      <c r="M525" s="1786" t="s">
        <v>1653</v>
      </c>
      <c r="N525" s="1786" t="s">
        <v>1653</v>
      </c>
      <c r="O525" s="1786">
        <v>0</v>
      </c>
      <c r="P525" s="1786"/>
      <c r="Q525" s="1786">
        <v>0</v>
      </c>
      <c r="R525" s="1788"/>
      <c r="S525" s="1786">
        <f t="shared" si="83"/>
        <v>1193</v>
      </c>
      <c r="T525" s="1786" t="str">
        <f t="shared" si="84"/>
        <v>בנק לאומי בע"מ</v>
      </c>
      <c r="U525" s="1786" t="str">
        <f t="shared" si="85"/>
        <v>בנק לאומי למשכנתאות קופה מרכזית לפיצויים</v>
      </c>
      <c r="V525" s="1786" t="str">
        <f t="shared" si="86"/>
        <v>520018078</v>
      </c>
      <c r="W525" s="1789" t="str">
        <f t="shared" si="87"/>
        <v>לאומי קמ"פ בע"מ</v>
      </c>
      <c r="AC525" s="1761" t="s">
        <v>1586</v>
      </c>
      <c r="AD525" s="1762">
        <v>41280.522847222201</v>
      </c>
      <c r="AE525" s="1762">
        <v>38937</v>
      </c>
      <c r="AF525" s="1761" t="s">
        <v>1583</v>
      </c>
      <c r="AG525" s="1761" t="s">
        <v>1583</v>
      </c>
      <c r="AH525" s="1761" t="s">
        <v>1583</v>
      </c>
      <c r="AI525" s="1761" t="s">
        <v>675</v>
      </c>
      <c r="AJ525" s="1761" t="s">
        <v>675</v>
      </c>
      <c r="AK525" s="1761">
        <v>1193</v>
      </c>
      <c r="AL525" s="1761" t="s">
        <v>675</v>
      </c>
      <c r="AM525" s="1761">
        <v>1193</v>
      </c>
      <c r="AN525" s="1761" t="s">
        <v>5470</v>
      </c>
      <c r="AO525" s="1764"/>
      <c r="AP525" s="1761" t="s">
        <v>5470</v>
      </c>
      <c r="AQ525" s="1761" t="s">
        <v>5525</v>
      </c>
      <c r="AR525" s="1761" t="s">
        <v>672</v>
      </c>
      <c r="AS525" s="1761" t="s">
        <v>673</v>
      </c>
      <c r="AT525" s="1761" t="s">
        <v>327</v>
      </c>
      <c r="AU525" s="1763"/>
      <c r="AV525" s="1763"/>
    </row>
    <row r="526" spans="1:48" ht="25" hidden="1">
      <c r="A526" s="1785" t="str">
        <f t="shared" si="77"/>
        <v>גמל</v>
      </c>
      <c r="B526" s="1786">
        <f t="shared" si="78"/>
        <v>1192</v>
      </c>
      <c r="C526" s="1787">
        <v>28946</v>
      </c>
      <c r="D526" s="1786" t="str">
        <f t="shared" si="79"/>
        <v>לאומי קופה מרכזית לפציויים (2006)</v>
      </c>
      <c r="E526" s="1786" t="s">
        <v>3929</v>
      </c>
      <c r="F526" s="1786" t="s">
        <v>2958</v>
      </c>
      <c r="G526" s="1786" t="s">
        <v>2959</v>
      </c>
      <c r="H526" s="1786" t="str">
        <f t="shared" si="80"/>
        <v>פעיל</v>
      </c>
      <c r="I526" s="1788">
        <f t="shared" si="81"/>
        <v>38937</v>
      </c>
      <c r="J526" s="1788" t="str">
        <f t="shared" si="82"/>
        <v/>
      </c>
      <c r="K526" s="1786">
        <v>0</v>
      </c>
      <c r="L526" s="1786" t="s">
        <v>1594</v>
      </c>
      <c r="M526" s="1786" t="s">
        <v>1653</v>
      </c>
      <c r="N526" s="1786" t="s">
        <v>1653</v>
      </c>
      <c r="O526" s="1786">
        <v>0</v>
      </c>
      <c r="P526" s="1786"/>
      <c r="Q526" s="1786">
        <v>0</v>
      </c>
      <c r="R526" s="1788"/>
      <c r="S526" s="1786">
        <f t="shared" si="83"/>
        <v>1192</v>
      </c>
      <c r="T526" s="1786" t="str">
        <f t="shared" si="84"/>
        <v>בנק לאומי בע"מ</v>
      </c>
      <c r="U526" s="1786" t="str">
        <f t="shared" si="85"/>
        <v>לאומי קופה מרכזית לפציויים (2006)</v>
      </c>
      <c r="V526" s="1786" t="str">
        <f t="shared" si="86"/>
        <v>520018078</v>
      </c>
      <c r="W526" s="1789" t="str">
        <f t="shared" si="87"/>
        <v>לאומי קמ"פ בע"מ</v>
      </c>
      <c r="AC526" s="1759" t="s">
        <v>346</v>
      </c>
      <c r="AD526" s="1759"/>
      <c r="AE526" s="1760">
        <v>38937</v>
      </c>
      <c r="AF526" s="1759" t="s">
        <v>1583</v>
      </c>
      <c r="AG526" s="1759" t="s">
        <v>1583</v>
      </c>
      <c r="AH526" s="1759" t="s">
        <v>1583</v>
      </c>
      <c r="AI526" s="1759" t="s">
        <v>3542</v>
      </c>
      <c r="AJ526" s="1759" t="s">
        <v>674</v>
      </c>
      <c r="AK526" s="1759">
        <v>1192</v>
      </c>
      <c r="AL526" s="1759" t="s">
        <v>674</v>
      </c>
      <c r="AM526" s="1759">
        <v>1192</v>
      </c>
      <c r="AN526" s="1759" t="s">
        <v>5470</v>
      </c>
      <c r="AO526" s="1764"/>
      <c r="AP526" s="1759" t="s">
        <v>5470</v>
      </c>
      <c r="AQ526" s="1759" t="s">
        <v>5525</v>
      </c>
      <c r="AR526" s="1759" t="s">
        <v>672</v>
      </c>
      <c r="AS526" s="1759" t="s">
        <v>673</v>
      </c>
      <c r="AT526" s="1759" t="s">
        <v>327</v>
      </c>
      <c r="AU526" s="1763"/>
      <c r="AV526" s="1763"/>
    </row>
    <row r="527" spans="1:48" ht="25" hidden="1">
      <c r="A527" s="1785" t="str">
        <f t="shared" si="77"/>
        <v>גמל</v>
      </c>
      <c r="B527" s="1786">
        <f t="shared" si="78"/>
        <v>1188</v>
      </c>
      <c r="C527" s="1787">
        <v>28946</v>
      </c>
      <c r="D527" s="1786" t="str">
        <f t="shared" si="79"/>
        <v>מילניום קופה מרכזית לפיצויים</v>
      </c>
      <c r="E527" s="1786" t="s">
        <v>3929</v>
      </c>
      <c r="F527" s="1786" t="s">
        <v>2958</v>
      </c>
      <c r="G527" s="1786" t="s">
        <v>2959</v>
      </c>
      <c r="H527" s="1786" t="str">
        <f t="shared" si="80"/>
        <v>לא פעיל</v>
      </c>
      <c r="I527" s="1788">
        <f t="shared" si="81"/>
        <v>38899</v>
      </c>
      <c r="J527" s="1788">
        <f t="shared" si="82"/>
        <v>40633</v>
      </c>
      <c r="K527" s="1786">
        <v>0</v>
      </c>
      <c r="L527" s="1786" t="s">
        <v>1594</v>
      </c>
      <c r="M527" s="1786" t="s">
        <v>1653</v>
      </c>
      <c r="N527" s="1786" t="s">
        <v>1653</v>
      </c>
      <c r="O527" s="1786">
        <v>0</v>
      </c>
      <c r="P527" s="1786"/>
      <c r="Q527" s="1786">
        <v>0</v>
      </c>
      <c r="R527" s="1788"/>
      <c r="S527" s="1786">
        <f t="shared" si="83"/>
        <v>1188</v>
      </c>
      <c r="T527" s="1786" t="str">
        <f t="shared" si="84"/>
        <v>בנק הפועלים בע"מ</v>
      </c>
      <c r="U527" s="1786" t="str">
        <f t="shared" si="85"/>
        <v>מילניום קופה מרכזית לפיצויים</v>
      </c>
      <c r="V527" s="1786">
        <f t="shared" si="86"/>
        <v>0</v>
      </c>
      <c r="W527" s="1789" t="str">
        <f t="shared" si="87"/>
        <v>מילניום גמל והשתלמות בע"מ</v>
      </c>
      <c r="AC527" s="1761" t="s">
        <v>1586</v>
      </c>
      <c r="AD527" s="1762">
        <v>40633</v>
      </c>
      <c r="AE527" s="1762">
        <v>38899</v>
      </c>
      <c r="AF527" s="1761" t="s">
        <v>1583</v>
      </c>
      <c r="AG527" s="1761" t="s">
        <v>1583</v>
      </c>
      <c r="AH527" s="1761" t="s">
        <v>1583</v>
      </c>
      <c r="AI527" s="1761" t="s">
        <v>2329</v>
      </c>
      <c r="AJ527" s="1761" t="s">
        <v>2329</v>
      </c>
      <c r="AK527" s="1761">
        <v>1188</v>
      </c>
      <c r="AL527" s="1761" t="s">
        <v>2329</v>
      </c>
      <c r="AM527" s="1761">
        <v>1188</v>
      </c>
      <c r="AN527" s="1761" t="s">
        <v>1695</v>
      </c>
      <c r="AO527" s="1764"/>
      <c r="AP527" s="1761"/>
      <c r="AQ527" s="1761"/>
      <c r="AR527" s="1761" t="s">
        <v>2327</v>
      </c>
      <c r="AS527" s="1761" t="s">
        <v>2326</v>
      </c>
      <c r="AT527" s="1761" t="s">
        <v>327</v>
      </c>
      <c r="AU527" s="1763"/>
      <c r="AV527" s="1763"/>
    </row>
    <row r="528" spans="1:48" ht="37.5" hidden="1">
      <c r="A528" s="1785" t="str">
        <f t="shared" si="77"/>
        <v>גמל</v>
      </c>
      <c r="B528" s="1786">
        <f t="shared" si="78"/>
        <v>1187</v>
      </c>
      <c r="C528" s="1787">
        <v>28946</v>
      </c>
      <c r="D528" s="1786" t="str">
        <f t="shared" si="79"/>
        <v>מילניום קופה לתגמולים ופיצויים מסלולית - מסלול כללי</v>
      </c>
      <c r="E528" s="1786" t="s">
        <v>3929</v>
      </c>
      <c r="F528" s="1786" t="s">
        <v>2958</v>
      </c>
      <c r="G528" s="1786" t="s">
        <v>2959</v>
      </c>
      <c r="H528" s="1786" t="str">
        <f t="shared" si="80"/>
        <v>לא פעיל</v>
      </c>
      <c r="I528" s="1788">
        <f t="shared" si="81"/>
        <v>38899</v>
      </c>
      <c r="J528" s="1788">
        <f t="shared" si="82"/>
        <v>40633</v>
      </c>
      <c r="K528" s="1786">
        <v>0</v>
      </c>
      <c r="L528" s="1786" t="s">
        <v>1594</v>
      </c>
      <c r="M528" s="1786" t="s">
        <v>1653</v>
      </c>
      <c r="N528" s="1786" t="s">
        <v>1653</v>
      </c>
      <c r="O528" s="1786">
        <v>0</v>
      </c>
      <c r="P528" s="1786"/>
      <c r="Q528" s="1786">
        <v>0</v>
      </c>
      <c r="R528" s="1788"/>
      <c r="S528" s="1786">
        <f t="shared" si="83"/>
        <v>1187</v>
      </c>
      <c r="T528" s="1786" t="str">
        <f t="shared" si="84"/>
        <v>בנק הפועלים בע"מ</v>
      </c>
      <c r="U528" s="1786" t="str">
        <f t="shared" si="85"/>
        <v>מילניום קופה לתגמולים ופיצויים מסלולית - מסלול כללי</v>
      </c>
      <c r="V528" s="1786">
        <f t="shared" si="86"/>
        <v>0</v>
      </c>
      <c r="W528" s="1789" t="str">
        <f t="shared" si="87"/>
        <v>מילניום גמל והשתלמות בע"מ</v>
      </c>
      <c r="AC528" s="1759" t="s">
        <v>1586</v>
      </c>
      <c r="AD528" s="1760">
        <v>40633</v>
      </c>
      <c r="AE528" s="1760">
        <v>38899</v>
      </c>
      <c r="AF528" s="1759" t="s">
        <v>1583</v>
      </c>
      <c r="AG528" s="1759" t="s">
        <v>1583</v>
      </c>
      <c r="AH528" s="1759" t="s">
        <v>1583</v>
      </c>
      <c r="AI528" s="1759" t="s">
        <v>3541</v>
      </c>
      <c r="AJ528" s="1759" t="s">
        <v>2328</v>
      </c>
      <c r="AK528" s="1759">
        <v>1187</v>
      </c>
      <c r="AL528" s="1759" t="s">
        <v>2328</v>
      </c>
      <c r="AM528" s="1759">
        <v>1187</v>
      </c>
      <c r="AN528" s="1759" t="s">
        <v>1695</v>
      </c>
      <c r="AO528" s="1764"/>
      <c r="AP528" s="1759"/>
      <c r="AQ528" s="1759"/>
      <c r="AR528" s="1759" t="s">
        <v>2327</v>
      </c>
      <c r="AS528" s="1759" t="s">
        <v>2326</v>
      </c>
      <c r="AT528" s="1759" t="s">
        <v>327</v>
      </c>
      <c r="AU528" s="1763"/>
      <c r="AV528" s="1763"/>
    </row>
    <row r="529" spans="1:48" ht="37.5" hidden="1">
      <c r="A529" s="1785" t="str">
        <f t="shared" si="77"/>
        <v>גמל</v>
      </c>
      <c r="B529" s="1786">
        <f t="shared" si="78"/>
        <v>1312</v>
      </c>
      <c r="C529" s="1787">
        <v>28946</v>
      </c>
      <c r="D529" s="1786" t="str">
        <f t="shared" si="79"/>
        <v>מילניום קופה לתגמולים ופיצויים - מסלול אג"ח ללא  מניות</v>
      </c>
      <c r="E529" s="1786" t="s">
        <v>3929</v>
      </c>
      <c r="F529" s="1786" t="s">
        <v>2958</v>
      </c>
      <c r="G529" s="1786" t="s">
        <v>2959</v>
      </c>
      <c r="H529" s="1786" t="str">
        <f t="shared" si="80"/>
        <v>לא פעיל</v>
      </c>
      <c r="I529" s="1788">
        <f t="shared" si="81"/>
        <v>38899</v>
      </c>
      <c r="J529" s="1788">
        <f t="shared" si="82"/>
        <v>40633</v>
      </c>
      <c r="K529" s="1786">
        <v>0</v>
      </c>
      <c r="L529" s="1786" t="s">
        <v>1594</v>
      </c>
      <c r="M529" s="1786" t="s">
        <v>1653</v>
      </c>
      <c r="N529" s="1786" t="s">
        <v>1653</v>
      </c>
      <c r="O529" s="1786">
        <v>0</v>
      </c>
      <c r="P529" s="1786"/>
      <c r="Q529" s="1786">
        <v>0</v>
      </c>
      <c r="R529" s="1788"/>
      <c r="S529" s="1786">
        <f t="shared" si="83"/>
        <v>1187</v>
      </c>
      <c r="T529" s="1786" t="str">
        <f t="shared" si="84"/>
        <v>בנק הפועלים בע"מ</v>
      </c>
      <c r="U529" s="1786" t="str">
        <f t="shared" si="85"/>
        <v>מילניום קופה לתגמולים ופיצויים מסלולית - מסלול כללי</v>
      </c>
      <c r="V529" s="1786">
        <f t="shared" si="86"/>
        <v>0</v>
      </c>
      <c r="W529" s="1789" t="str">
        <f t="shared" si="87"/>
        <v>מילניום גמל והשתלמות בע"מ</v>
      </c>
      <c r="AC529" s="1761" t="s">
        <v>1586</v>
      </c>
      <c r="AD529" s="1762">
        <v>40633</v>
      </c>
      <c r="AE529" s="1762">
        <v>38899</v>
      </c>
      <c r="AF529" s="1761" t="s">
        <v>1681</v>
      </c>
      <c r="AG529" s="1761" t="s">
        <v>1653</v>
      </c>
      <c r="AH529" s="1761" t="s">
        <v>1594</v>
      </c>
      <c r="AI529" s="1761" t="s">
        <v>3604</v>
      </c>
      <c r="AJ529" s="1761" t="s">
        <v>2397</v>
      </c>
      <c r="AK529" s="1761">
        <v>1312</v>
      </c>
      <c r="AL529" s="1761" t="s">
        <v>2328</v>
      </c>
      <c r="AM529" s="1761">
        <v>1187</v>
      </c>
      <c r="AN529" s="1761" t="s">
        <v>1695</v>
      </c>
      <c r="AO529" s="1764"/>
      <c r="AP529" s="1761"/>
      <c r="AQ529" s="1761"/>
      <c r="AR529" s="1761" t="s">
        <v>2327</v>
      </c>
      <c r="AS529" s="1761" t="s">
        <v>2326</v>
      </c>
      <c r="AT529" s="1761" t="s">
        <v>327</v>
      </c>
      <c r="AU529" s="1763"/>
      <c r="AV529" s="1763"/>
    </row>
    <row r="530" spans="1:48" ht="37.5" hidden="1">
      <c r="A530" s="1785" t="str">
        <f t="shared" si="77"/>
        <v>גמל</v>
      </c>
      <c r="B530" s="1786">
        <f t="shared" si="78"/>
        <v>1221</v>
      </c>
      <c r="C530" s="1787">
        <v>28946</v>
      </c>
      <c r="D530" s="1786" t="str">
        <f t="shared" si="79"/>
        <v>מילניום קופה לתגמולים ופיצויים מסלולית - מסלול מניות</v>
      </c>
      <c r="E530" s="1786" t="s">
        <v>3929</v>
      </c>
      <c r="F530" s="1786" t="s">
        <v>2958</v>
      </c>
      <c r="G530" s="1786" t="s">
        <v>2959</v>
      </c>
      <c r="H530" s="1786" t="str">
        <f t="shared" si="80"/>
        <v>לא פעיל</v>
      </c>
      <c r="I530" s="1788">
        <f t="shared" si="81"/>
        <v>38899</v>
      </c>
      <c r="J530" s="1788">
        <f t="shared" si="82"/>
        <v>40633</v>
      </c>
      <c r="K530" s="1786">
        <v>0</v>
      </c>
      <c r="L530" s="1786" t="s">
        <v>1594</v>
      </c>
      <c r="M530" s="1786" t="s">
        <v>1653</v>
      </c>
      <c r="N530" s="1786" t="s">
        <v>1653</v>
      </c>
      <c r="O530" s="1786">
        <v>0</v>
      </c>
      <c r="P530" s="1786"/>
      <c r="Q530" s="1786">
        <v>0</v>
      </c>
      <c r="R530" s="1788"/>
      <c r="S530" s="1786">
        <f t="shared" si="83"/>
        <v>1187</v>
      </c>
      <c r="T530" s="1786" t="str">
        <f t="shared" si="84"/>
        <v>בנק הפועלים בע"מ</v>
      </c>
      <c r="U530" s="1786" t="str">
        <f t="shared" si="85"/>
        <v>מילניום קופה לתגמולים ופיצויים מסלולית - מסלול כללי</v>
      </c>
      <c r="V530" s="1786">
        <f t="shared" si="86"/>
        <v>0</v>
      </c>
      <c r="W530" s="1789" t="str">
        <f t="shared" si="87"/>
        <v>מילניום גמל והשתלמות בע"מ</v>
      </c>
      <c r="AC530" s="1759" t="s">
        <v>1586</v>
      </c>
      <c r="AD530" s="1760">
        <v>40633</v>
      </c>
      <c r="AE530" s="1760">
        <v>38899</v>
      </c>
      <c r="AF530" s="1759" t="s">
        <v>1595</v>
      </c>
      <c r="AG530" s="1759" t="s">
        <v>75</v>
      </c>
      <c r="AH530" s="1759" t="s">
        <v>1594</v>
      </c>
      <c r="AI530" s="1759" t="s">
        <v>3555</v>
      </c>
      <c r="AJ530" s="1759" t="s">
        <v>2346</v>
      </c>
      <c r="AK530" s="1759">
        <v>1221</v>
      </c>
      <c r="AL530" s="1759" t="s">
        <v>2328</v>
      </c>
      <c r="AM530" s="1759">
        <v>1187</v>
      </c>
      <c r="AN530" s="1759" t="s">
        <v>1695</v>
      </c>
      <c r="AO530" s="1764"/>
      <c r="AP530" s="1759"/>
      <c r="AQ530" s="1759"/>
      <c r="AR530" s="1759" t="s">
        <v>2327</v>
      </c>
      <c r="AS530" s="1759" t="s">
        <v>2326</v>
      </c>
      <c r="AT530" s="1759" t="s">
        <v>327</v>
      </c>
      <c r="AU530" s="1763"/>
      <c r="AV530" s="1763"/>
    </row>
    <row r="531" spans="1:48" ht="25" hidden="1">
      <c r="A531" s="1785" t="str">
        <f t="shared" si="77"/>
        <v>גמל</v>
      </c>
      <c r="B531" s="1786">
        <f t="shared" si="78"/>
        <v>1186</v>
      </c>
      <c r="C531" s="1787">
        <v>28946</v>
      </c>
      <c r="D531" s="1786" t="str">
        <f t="shared" si="79"/>
        <v>מילניום קרן השתלמות מסלולית - מסלול כללי</v>
      </c>
      <c r="E531" s="1786" t="s">
        <v>3929</v>
      </c>
      <c r="F531" s="1786" t="s">
        <v>2958</v>
      </c>
      <c r="G531" s="1786" t="s">
        <v>2959</v>
      </c>
      <c r="H531" s="1786" t="str">
        <f t="shared" si="80"/>
        <v>לא פעיל</v>
      </c>
      <c r="I531" s="1788">
        <f t="shared" si="81"/>
        <v>38899</v>
      </c>
      <c r="J531" s="1788">
        <f t="shared" si="82"/>
        <v>40633</v>
      </c>
      <c r="K531" s="1786">
        <v>0</v>
      </c>
      <c r="L531" s="1786" t="s">
        <v>1594</v>
      </c>
      <c r="M531" s="1786" t="s">
        <v>1653</v>
      </c>
      <c r="N531" s="1786" t="s">
        <v>1653</v>
      </c>
      <c r="O531" s="1786">
        <v>0</v>
      </c>
      <c r="P531" s="1786"/>
      <c r="Q531" s="1786">
        <v>0</v>
      </c>
      <c r="R531" s="1788"/>
      <c r="S531" s="1786">
        <f t="shared" si="83"/>
        <v>1186</v>
      </c>
      <c r="T531" s="1786" t="str">
        <f t="shared" si="84"/>
        <v>בנק הפועלים בע"מ</v>
      </c>
      <c r="U531" s="1786" t="str">
        <f t="shared" si="85"/>
        <v>מילניום קרן השתלמות מסלולית - מסלול כללי</v>
      </c>
      <c r="V531" s="1786">
        <f t="shared" si="86"/>
        <v>0</v>
      </c>
      <c r="W531" s="1789" t="str">
        <f t="shared" si="87"/>
        <v>מילניום גמל והשתלמות בע"מ</v>
      </c>
      <c r="AC531" s="1761" t="s">
        <v>1586</v>
      </c>
      <c r="AD531" s="1762">
        <v>40633</v>
      </c>
      <c r="AE531" s="1762">
        <v>38899</v>
      </c>
      <c r="AF531" s="1761" t="s">
        <v>1583</v>
      </c>
      <c r="AG531" s="1761" t="s">
        <v>1583</v>
      </c>
      <c r="AH531" s="1761" t="s">
        <v>1583</v>
      </c>
      <c r="AI531" s="1761" t="s">
        <v>3540</v>
      </c>
      <c r="AJ531" s="1761" t="s">
        <v>2325</v>
      </c>
      <c r="AK531" s="1761">
        <v>1186</v>
      </c>
      <c r="AL531" s="1761" t="s">
        <v>2325</v>
      </c>
      <c r="AM531" s="1761">
        <v>1186</v>
      </c>
      <c r="AN531" s="1761" t="s">
        <v>1695</v>
      </c>
      <c r="AO531" s="1764"/>
      <c r="AP531" s="1761"/>
      <c r="AQ531" s="1761"/>
      <c r="AR531" s="1761" t="s">
        <v>2327</v>
      </c>
      <c r="AS531" s="1761" t="s">
        <v>2326</v>
      </c>
      <c r="AT531" s="1761" t="s">
        <v>327</v>
      </c>
      <c r="AU531" s="1763"/>
      <c r="AV531" s="1763"/>
    </row>
    <row r="532" spans="1:48" ht="25" hidden="1">
      <c r="A532" s="1785" t="str">
        <f t="shared" si="77"/>
        <v>גמל</v>
      </c>
      <c r="B532" s="1786">
        <f t="shared" si="78"/>
        <v>1220</v>
      </c>
      <c r="C532" s="1787">
        <v>28946</v>
      </c>
      <c r="D532" s="1786" t="str">
        <f t="shared" si="79"/>
        <v>מילניום קרן השתלמות מסלולית - מסלול מניות</v>
      </c>
      <c r="E532" s="1786" t="s">
        <v>3929</v>
      </c>
      <c r="F532" s="1786" t="s">
        <v>2958</v>
      </c>
      <c r="G532" s="1786" t="s">
        <v>2959</v>
      </c>
      <c r="H532" s="1786" t="str">
        <f t="shared" si="80"/>
        <v>לא פעיל</v>
      </c>
      <c r="I532" s="1788">
        <f t="shared" si="81"/>
        <v>38899</v>
      </c>
      <c r="J532" s="1788">
        <f t="shared" si="82"/>
        <v>40633</v>
      </c>
      <c r="K532" s="1786">
        <v>0</v>
      </c>
      <c r="L532" s="1786" t="s">
        <v>1594</v>
      </c>
      <c r="M532" s="1786" t="s">
        <v>1653</v>
      </c>
      <c r="N532" s="1786" t="s">
        <v>1653</v>
      </c>
      <c r="O532" s="1786">
        <v>0</v>
      </c>
      <c r="P532" s="1786"/>
      <c r="Q532" s="1786">
        <v>0</v>
      </c>
      <c r="R532" s="1788"/>
      <c r="S532" s="1786">
        <f t="shared" si="83"/>
        <v>1186</v>
      </c>
      <c r="T532" s="1786" t="str">
        <f t="shared" si="84"/>
        <v>בנק הפועלים בע"מ</v>
      </c>
      <c r="U532" s="1786" t="str">
        <f t="shared" si="85"/>
        <v>מילניום קרן השתלמות מסלולית - מסלול כללי</v>
      </c>
      <c r="V532" s="1786">
        <f t="shared" si="86"/>
        <v>0</v>
      </c>
      <c r="W532" s="1789" t="str">
        <f t="shared" si="87"/>
        <v>מילניום גמל והשתלמות בע"מ</v>
      </c>
      <c r="AC532" s="1759" t="s">
        <v>1586</v>
      </c>
      <c r="AD532" s="1760">
        <v>40633</v>
      </c>
      <c r="AE532" s="1760">
        <v>38899</v>
      </c>
      <c r="AF532" s="1759" t="s">
        <v>1595</v>
      </c>
      <c r="AG532" s="1759" t="s">
        <v>75</v>
      </c>
      <c r="AH532" s="1759" t="s">
        <v>1594</v>
      </c>
      <c r="AI532" s="1759" t="s">
        <v>3554</v>
      </c>
      <c r="AJ532" s="1759" t="s">
        <v>2345</v>
      </c>
      <c r="AK532" s="1759">
        <v>1220</v>
      </c>
      <c r="AL532" s="1759" t="s">
        <v>2325</v>
      </c>
      <c r="AM532" s="1759">
        <v>1186</v>
      </c>
      <c r="AN532" s="1759" t="s">
        <v>1695</v>
      </c>
      <c r="AO532" s="1764"/>
      <c r="AP532" s="1759"/>
      <c r="AQ532" s="1759"/>
      <c r="AR532" s="1759" t="s">
        <v>2327</v>
      </c>
      <c r="AS532" s="1759" t="s">
        <v>2326</v>
      </c>
      <c r="AT532" s="1759" t="s">
        <v>327</v>
      </c>
      <c r="AU532" s="1763"/>
      <c r="AV532" s="1763"/>
    </row>
    <row r="533" spans="1:48" ht="25" hidden="1">
      <c r="A533" s="1785" t="str">
        <f t="shared" si="77"/>
        <v>גמל</v>
      </c>
      <c r="B533" s="1786">
        <f t="shared" si="78"/>
        <v>1311</v>
      </c>
      <c r="C533" s="1787">
        <v>28946</v>
      </c>
      <c r="D533" s="1786" t="str">
        <f t="shared" si="79"/>
        <v>מילניום קרן השתלמות מסלולית - מסלול אג"ח ללא מניות</v>
      </c>
      <c r="E533" s="1786" t="s">
        <v>3929</v>
      </c>
      <c r="F533" s="1786" t="s">
        <v>2958</v>
      </c>
      <c r="G533" s="1786" t="s">
        <v>2959</v>
      </c>
      <c r="H533" s="1786" t="str">
        <f t="shared" si="80"/>
        <v>לא פעיל</v>
      </c>
      <c r="I533" s="1788">
        <f t="shared" si="81"/>
        <v>38899</v>
      </c>
      <c r="J533" s="1788">
        <f t="shared" si="82"/>
        <v>40633</v>
      </c>
      <c r="K533" s="1786">
        <v>0</v>
      </c>
      <c r="L533" s="1786" t="s">
        <v>1594</v>
      </c>
      <c r="M533" s="1786" t="s">
        <v>1653</v>
      </c>
      <c r="N533" s="1786" t="s">
        <v>1653</v>
      </c>
      <c r="O533" s="1786">
        <v>0</v>
      </c>
      <c r="P533" s="1786"/>
      <c r="Q533" s="1786">
        <v>0</v>
      </c>
      <c r="R533" s="1788"/>
      <c r="S533" s="1786">
        <f t="shared" si="83"/>
        <v>1186</v>
      </c>
      <c r="T533" s="1786" t="str">
        <f t="shared" si="84"/>
        <v>בנק הפועלים בע"מ</v>
      </c>
      <c r="U533" s="1786" t="str">
        <f t="shared" si="85"/>
        <v>מילניום קרן השתלמות מסלולית - מסלול כללי</v>
      </c>
      <c r="V533" s="1786">
        <f t="shared" si="86"/>
        <v>0</v>
      </c>
      <c r="W533" s="1789" t="str">
        <f t="shared" si="87"/>
        <v>מילניום גמל והשתלמות בע"מ</v>
      </c>
      <c r="AC533" s="1761" t="s">
        <v>1586</v>
      </c>
      <c r="AD533" s="1762">
        <v>40633</v>
      </c>
      <c r="AE533" s="1762">
        <v>38899</v>
      </c>
      <c r="AF533" s="1761" t="s">
        <v>1681</v>
      </c>
      <c r="AG533" s="1761" t="s">
        <v>1653</v>
      </c>
      <c r="AH533" s="1761" t="s">
        <v>1594</v>
      </c>
      <c r="AI533" s="1761" t="s">
        <v>3603</v>
      </c>
      <c r="AJ533" s="1761" t="s">
        <v>2396</v>
      </c>
      <c r="AK533" s="1761">
        <v>1311</v>
      </c>
      <c r="AL533" s="1761" t="s">
        <v>2325</v>
      </c>
      <c r="AM533" s="1761">
        <v>1186</v>
      </c>
      <c r="AN533" s="1761" t="s">
        <v>1695</v>
      </c>
      <c r="AO533" s="1764"/>
      <c r="AP533" s="1761"/>
      <c r="AQ533" s="1761"/>
      <c r="AR533" s="1761" t="s">
        <v>2327</v>
      </c>
      <c r="AS533" s="1761" t="s">
        <v>2326</v>
      </c>
      <c r="AT533" s="1761" t="s">
        <v>327</v>
      </c>
      <c r="AU533" s="1763"/>
      <c r="AV533" s="1763"/>
    </row>
    <row r="534" spans="1:48" ht="25" hidden="1">
      <c r="A534" s="1785" t="str">
        <f t="shared" si="77"/>
        <v>גמל</v>
      </c>
      <c r="B534" s="1786">
        <f t="shared" si="78"/>
        <v>1185</v>
      </c>
      <c r="C534" s="1787">
        <v>28946</v>
      </c>
      <c r="D534" s="1786" t="str">
        <f t="shared" si="79"/>
        <v>פסגות השתלמות מניות</v>
      </c>
      <c r="E534" s="1786" t="s">
        <v>3929</v>
      </c>
      <c r="F534" s="1786" t="s">
        <v>2958</v>
      </c>
      <c r="G534" s="1786" t="s">
        <v>2959</v>
      </c>
      <c r="H534" s="1786" t="str">
        <f t="shared" si="80"/>
        <v>לא פעיל</v>
      </c>
      <c r="I534" s="1788">
        <f t="shared" si="81"/>
        <v>38861</v>
      </c>
      <c r="J534" s="1788">
        <f t="shared" si="82"/>
        <v>41647.446018518502</v>
      </c>
      <c r="K534" s="1786">
        <v>0</v>
      </c>
      <c r="L534" s="1786" t="s">
        <v>1594</v>
      </c>
      <c r="M534" s="1786" t="s">
        <v>1653</v>
      </c>
      <c r="N534" s="1786" t="s">
        <v>1653</v>
      </c>
      <c r="O534" s="1786">
        <v>0</v>
      </c>
      <c r="P534" s="1786"/>
      <c r="Q534" s="1786">
        <v>0</v>
      </c>
      <c r="R534" s="1788"/>
      <c r="S534" s="1786">
        <f t="shared" si="83"/>
        <v>1183</v>
      </c>
      <c r="T534" s="1786" t="str">
        <f t="shared" si="84"/>
        <v>בנק לאומי בע"מ</v>
      </c>
      <c r="U534" s="1786" t="str">
        <f t="shared" si="85"/>
        <v>פסגות השתלמות כללי</v>
      </c>
      <c r="V534" s="1786" t="str">
        <f t="shared" si="86"/>
        <v>513767079</v>
      </c>
      <c r="W534" s="1789" t="str">
        <f t="shared" si="87"/>
        <v>פסגות קופות גמל ופנסיה בע"מ</v>
      </c>
      <c r="AC534" s="1759" t="s">
        <v>1586</v>
      </c>
      <c r="AD534" s="1760">
        <v>41647.446018518502</v>
      </c>
      <c r="AE534" s="1760">
        <v>38861</v>
      </c>
      <c r="AF534" s="1759" t="s">
        <v>1595</v>
      </c>
      <c r="AG534" s="1759" t="s">
        <v>75</v>
      </c>
      <c r="AH534" s="1759" t="s">
        <v>1594</v>
      </c>
      <c r="AI534" s="1759" t="s">
        <v>2324</v>
      </c>
      <c r="AJ534" s="1759" t="s">
        <v>2324</v>
      </c>
      <c r="AK534" s="1759">
        <v>1185</v>
      </c>
      <c r="AL534" s="1759" t="s">
        <v>671</v>
      </c>
      <c r="AM534" s="1759">
        <v>1183</v>
      </c>
      <c r="AN534" s="1759" t="s">
        <v>5470</v>
      </c>
      <c r="AO534" s="1764"/>
      <c r="AP534" s="1759" t="s">
        <v>5365</v>
      </c>
      <c r="AQ534" s="1759" t="s">
        <v>5366</v>
      </c>
      <c r="AR534" s="1759" t="s">
        <v>351</v>
      </c>
      <c r="AS534" s="1759" t="s">
        <v>352</v>
      </c>
      <c r="AT534" s="1759" t="s">
        <v>327</v>
      </c>
      <c r="AU534" s="1763"/>
      <c r="AV534" s="1763"/>
    </row>
    <row r="535" spans="1:48" ht="25" hidden="1">
      <c r="A535" s="1785" t="str">
        <f t="shared" ref="A535:A598" si="88">AT535</f>
        <v>גמל</v>
      </c>
      <c r="B535" s="1786">
        <f t="shared" ref="B535:B598" si="89">AK535</f>
        <v>1184</v>
      </c>
      <c r="C535" s="1787">
        <v>28946</v>
      </c>
      <c r="D535" s="1786" t="str">
        <f t="shared" ref="D535:D598" si="90">AJ535</f>
        <v>פסגות השתלמות אג"ח</v>
      </c>
      <c r="E535" s="1786" t="s">
        <v>3929</v>
      </c>
      <c r="F535" s="1786" t="s">
        <v>2958</v>
      </c>
      <c r="G535" s="1786" t="s">
        <v>2959</v>
      </c>
      <c r="H535" s="1786" t="str">
        <f t="shared" ref="H535:H598" si="91">AC535</f>
        <v>לא פעיל</v>
      </c>
      <c r="I535" s="1788">
        <f t="shared" ref="I535:I598" si="92">IF(AE535="","",AE535)</f>
        <v>38861</v>
      </c>
      <c r="J535" s="1788">
        <f t="shared" ref="J535:J598" si="93">IF(AD535="","",AD535)</f>
        <v>41647.446018518502</v>
      </c>
      <c r="K535" s="1786">
        <v>0</v>
      </c>
      <c r="L535" s="1786" t="s">
        <v>1594</v>
      </c>
      <c r="M535" s="1786" t="s">
        <v>1653</v>
      </c>
      <c r="N535" s="1786" t="s">
        <v>1653</v>
      </c>
      <c r="O535" s="1786">
        <v>0</v>
      </c>
      <c r="P535" s="1786"/>
      <c r="Q535" s="1786">
        <v>0</v>
      </c>
      <c r="R535" s="1788"/>
      <c r="S535" s="1786">
        <f t="shared" ref="S535:S598" si="94">AM535</f>
        <v>1183</v>
      </c>
      <c r="T535" s="1786" t="str">
        <f t="shared" ref="T535:T598" si="95">AN535</f>
        <v>בנק לאומי בע"מ</v>
      </c>
      <c r="U535" s="1786" t="str">
        <f t="shared" ref="U535:U598" si="96">AL535</f>
        <v>פסגות השתלמות כללי</v>
      </c>
      <c r="V535" s="1786" t="str">
        <f t="shared" ref="V535:V598" si="97">AQ535</f>
        <v>513767079</v>
      </c>
      <c r="W535" s="1789" t="str">
        <f t="shared" ref="W535:W598" si="98">AR535</f>
        <v>פסגות קופות גמל ופנסיה בע"מ</v>
      </c>
      <c r="AC535" s="1761" t="s">
        <v>1586</v>
      </c>
      <c r="AD535" s="1762">
        <v>41647.446018518502</v>
      </c>
      <c r="AE535" s="1762">
        <v>38861</v>
      </c>
      <c r="AF535" s="1761" t="s">
        <v>1653</v>
      </c>
      <c r="AG535" s="1761" t="s">
        <v>1653</v>
      </c>
      <c r="AH535" s="1761" t="s">
        <v>1594</v>
      </c>
      <c r="AI535" s="1761" t="s">
        <v>2323</v>
      </c>
      <c r="AJ535" s="1761" t="s">
        <v>2323</v>
      </c>
      <c r="AK535" s="1761">
        <v>1184</v>
      </c>
      <c r="AL535" s="1761" t="s">
        <v>671</v>
      </c>
      <c r="AM535" s="1761">
        <v>1183</v>
      </c>
      <c r="AN535" s="1761" t="s">
        <v>5470</v>
      </c>
      <c r="AO535" s="1764"/>
      <c r="AP535" s="1761" t="s">
        <v>5365</v>
      </c>
      <c r="AQ535" s="1761" t="s">
        <v>5366</v>
      </c>
      <c r="AR535" s="1761" t="s">
        <v>351</v>
      </c>
      <c r="AS535" s="1761" t="s">
        <v>352</v>
      </c>
      <c r="AT535" s="1761" t="s">
        <v>327</v>
      </c>
      <c r="AU535" s="1763"/>
      <c r="AV535" s="1763"/>
    </row>
    <row r="536" spans="1:48" ht="25" hidden="1">
      <c r="A536" s="1785" t="str">
        <f t="shared" si="88"/>
        <v>גמל</v>
      </c>
      <c r="B536" s="1786">
        <f t="shared" si="89"/>
        <v>1426</v>
      </c>
      <c r="C536" s="1787">
        <v>28946</v>
      </c>
      <c r="D536" s="1786" t="str">
        <f t="shared" si="90"/>
        <v>פסגות השתלמות אג"ח מדינה</v>
      </c>
      <c r="E536" s="1786" t="s">
        <v>3929</v>
      </c>
      <c r="F536" s="1786" t="s">
        <v>2958</v>
      </c>
      <c r="G536" s="1786" t="s">
        <v>2959</v>
      </c>
      <c r="H536" s="1786" t="str">
        <f t="shared" si="91"/>
        <v>לא פעיל</v>
      </c>
      <c r="I536" s="1788">
        <f t="shared" si="92"/>
        <v>38861</v>
      </c>
      <c r="J536" s="1788">
        <f t="shared" si="93"/>
        <v>41647.446018518502</v>
      </c>
      <c r="K536" s="1786">
        <v>0</v>
      </c>
      <c r="L536" s="1786" t="s">
        <v>1594</v>
      </c>
      <c r="M536" s="1786" t="s">
        <v>1653</v>
      </c>
      <c r="N536" s="1786" t="s">
        <v>1653</v>
      </c>
      <c r="O536" s="1786">
        <v>0</v>
      </c>
      <c r="P536" s="1786"/>
      <c r="Q536" s="1786">
        <v>0</v>
      </c>
      <c r="R536" s="1788"/>
      <c r="S536" s="1786">
        <f t="shared" si="94"/>
        <v>1183</v>
      </c>
      <c r="T536" s="1786" t="str">
        <f t="shared" si="95"/>
        <v>בנק לאומי בע"מ</v>
      </c>
      <c r="U536" s="1786" t="str">
        <f t="shared" si="96"/>
        <v>פסגות השתלמות כללי</v>
      </c>
      <c r="V536" s="1786" t="str">
        <f t="shared" si="97"/>
        <v>513767079</v>
      </c>
      <c r="W536" s="1789" t="str">
        <f t="shared" si="98"/>
        <v>פסגות קופות גמל ופנסיה בע"מ</v>
      </c>
      <c r="AC536" s="1759" t="s">
        <v>1586</v>
      </c>
      <c r="AD536" s="1760">
        <v>41647.446018518502</v>
      </c>
      <c r="AE536" s="1760">
        <v>38861</v>
      </c>
      <c r="AF536" s="1759" t="s">
        <v>2009</v>
      </c>
      <c r="AG536" s="1759" t="s">
        <v>1653</v>
      </c>
      <c r="AH536" s="1759" t="s">
        <v>1594</v>
      </c>
      <c r="AI536" s="1759" t="s">
        <v>2461</v>
      </c>
      <c r="AJ536" s="1759" t="s">
        <v>2461</v>
      </c>
      <c r="AK536" s="1759">
        <v>1426</v>
      </c>
      <c r="AL536" s="1759" t="s">
        <v>671</v>
      </c>
      <c r="AM536" s="1759">
        <v>1183</v>
      </c>
      <c r="AN536" s="1759" t="s">
        <v>5470</v>
      </c>
      <c r="AO536" s="1764"/>
      <c r="AP536" s="1759" t="s">
        <v>5365</v>
      </c>
      <c r="AQ536" s="1759" t="s">
        <v>5366</v>
      </c>
      <c r="AR536" s="1759" t="s">
        <v>351</v>
      </c>
      <c r="AS536" s="1759" t="s">
        <v>352</v>
      </c>
      <c r="AT536" s="1759" t="s">
        <v>327</v>
      </c>
      <c r="AU536" s="1763"/>
      <c r="AV536" s="1763"/>
    </row>
    <row r="537" spans="1:48" ht="25" hidden="1">
      <c r="A537" s="1785" t="str">
        <f t="shared" si="88"/>
        <v>גמל</v>
      </c>
      <c r="B537" s="1786">
        <f t="shared" si="89"/>
        <v>1425</v>
      </c>
      <c r="C537" s="1787">
        <v>28946</v>
      </c>
      <c r="D537" s="1786" t="str">
        <f t="shared" si="90"/>
        <v>פסגות השתלמות כספית</v>
      </c>
      <c r="E537" s="1786" t="s">
        <v>3929</v>
      </c>
      <c r="F537" s="1786" t="s">
        <v>2958</v>
      </c>
      <c r="G537" s="1786" t="s">
        <v>2959</v>
      </c>
      <c r="H537" s="1786" t="str">
        <f t="shared" si="91"/>
        <v>לא פעיל</v>
      </c>
      <c r="I537" s="1788">
        <f t="shared" si="92"/>
        <v>38861</v>
      </c>
      <c r="J537" s="1788">
        <f t="shared" si="93"/>
        <v>41647.446018518502</v>
      </c>
      <c r="K537" s="1786">
        <v>0</v>
      </c>
      <c r="L537" s="1786" t="s">
        <v>1594</v>
      </c>
      <c r="M537" s="1786" t="s">
        <v>1653</v>
      </c>
      <c r="N537" s="1786" t="s">
        <v>1653</v>
      </c>
      <c r="O537" s="1786">
        <v>0</v>
      </c>
      <c r="P537" s="1786"/>
      <c r="Q537" s="1786">
        <v>0</v>
      </c>
      <c r="R537" s="1788"/>
      <c r="S537" s="1786">
        <f t="shared" si="94"/>
        <v>1183</v>
      </c>
      <c r="T537" s="1786" t="str">
        <f t="shared" si="95"/>
        <v>בנק לאומי בע"מ</v>
      </c>
      <c r="U537" s="1786" t="str">
        <f t="shared" si="96"/>
        <v>פסגות השתלמות כללי</v>
      </c>
      <c r="V537" s="1786" t="str">
        <f t="shared" si="97"/>
        <v>513767079</v>
      </c>
      <c r="W537" s="1789" t="str">
        <f t="shared" si="98"/>
        <v>פסגות קופות גמל ופנסיה בע"מ</v>
      </c>
      <c r="AC537" s="1761" t="s">
        <v>1586</v>
      </c>
      <c r="AD537" s="1762">
        <v>41647.446018518502</v>
      </c>
      <c r="AE537" s="1762">
        <v>38861</v>
      </c>
      <c r="AF537" s="1761" t="s">
        <v>2409</v>
      </c>
      <c r="AG537" s="1761" t="s">
        <v>1614</v>
      </c>
      <c r="AH537" s="1761" t="s">
        <v>1594</v>
      </c>
      <c r="AI537" s="1761" t="s">
        <v>2460</v>
      </c>
      <c r="AJ537" s="1761" t="s">
        <v>2460</v>
      </c>
      <c r="AK537" s="1761">
        <v>1425</v>
      </c>
      <c r="AL537" s="1761" t="s">
        <v>671</v>
      </c>
      <c r="AM537" s="1761">
        <v>1183</v>
      </c>
      <c r="AN537" s="1761" t="s">
        <v>5470</v>
      </c>
      <c r="AO537" s="1764"/>
      <c r="AP537" s="1761" t="s">
        <v>5365</v>
      </c>
      <c r="AQ537" s="1761" t="s">
        <v>5366</v>
      </c>
      <c r="AR537" s="1761" t="s">
        <v>351</v>
      </c>
      <c r="AS537" s="1761" t="s">
        <v>352</v>
      </c>
      <c r="AT537" s="1761" t="s">
        <v>327</v>
      </c>
      <c r="AU537" s="1763"/>
      <c r="AV537" s="1763"/>
    </row>
    <row r="538" spans="1:48" ht="14.15" hidden="1" customHeight="1">
      <c r="A538" s="1785" t="str">
        <f t="shared" si="88"/>
        <v>גמל</v>
      </c>
      <c r="B538" s="1786">
        <f t="shared" si="89"/>
        <v>1182</v>
      </c>
      <c r="C538" s="1787">
        <v>28946</v>
      </c>
      <c r="D538" s="1786" t="str">
        <f t="shared" si="90"/>
        <v>קרן השתלמות של העובדים באוניברסיטה העברית בירושלים</v>
      </c>
      <c r="E538" s="1786" t="s">
        <v>3929</v>
      </c>
      <c r="F538" s="1786" t="s">
        <v>2958</v>
      </c>
      <c r="G538" s="1786" t="s">
        <v>2959</v>
      </c>
      <c r="H538" s="1786" t="str">
        <f t="shared" si="91"/>
        <v>פעיל</v>
      </c>
      <c r="I538" s="1788">
        <f t="shared" si="92"/>
        <v>38860</v>
      </c>
      <c r="J538" s="1788" t="str">
        <f t="shared" si="93"/>
        <v/>
      </c>
      <c r="K538" s="1786">
        <v>0</v>
      </c>
      <c r="L538" s="1786" t="s">
        <v>1594</v>
      </c>
      <c r="M538" s="1786" t="s">
        <v>1653</v>
      </c>
      <c r="N538" s="1786" t="s">
        <v>1653</v>
      </c>
      <c r="O538" s="1786">
        <v>0</v>
      </c>
      <c r="P538" s="1786"/>
      <c r="Q538" s="1786">
        <v>0</v>
      </c>
      <c r="R538" s="1788"/>
      <c r="S538" s="1786">
        <f t="shared" si="94"/>
        <v>1182</v>
      </c>
      <c r="T538" s="1786" t="str">
        <f t="shared" si="95"/>
        <v>בנק הפועלים בע"מ</v>
      </c>
      <c r="U538" s="1786" t="str">
        <f t="shared" si="96"/>
        <v>קרן השתלמות של העובדים באוניברסיטה העברית בירושלים</v>
      </c>
      <c r="V538" s="1786">
        <f t="shared" si="97"/>
        <v>0</v>
      </c>
      <c r="W538" s="1789" t="str">
        <f t="shared" si="98"/>
        <v>חברת הגמל לעובדי האוניברסיטה העברית בע"מ</v>
      </c>
      <c r="AC538" s="1759" t="s">
        <v>346</v>
      </c>
      <c r="AD538" s="1759"/>
      <c r="AE538" s="1760">
        <v>38860</v>
      </c>
      <c r="AF538" s="1759" t="s">
        <v>1583</v>
      </c>
      <c r="AG538" s="1759" t="s">
        <v>1583</v>
      </c>
      <c r="AH538" s="1759" t="s">
        <v>1583</v>
      </c>
      <c r="AI538" s="1759" t="s">
        <v>3539</v>
      </c>
      <c r="AJ538" s="1759" t="s">
        <v>670</v>
      </c>
      <c r="AK538" s="1759">
        <v>1182</v>
      </c>
      <c r="AL538" s="1759" t="s">
        <v>670</v>
      </c>
      <c r="AM538" s="1759">
        <v>1182</v>
      </c>
      <c r="AN538" s="1759" t="s">
        <v>1695</v>
      </c>
      <c r="AO538" s="1764"/>
      <c r="AP538" s="1759"/>
      <c r="AQ538" s="1759"/>
      <c r="AR538" s="1759" t="s">
        <v>3953</v>
      </c>
      <c r="AS538" s="1759" t="s">
        <v>546</v>
      </c>
      <c r="AT538" s="1759" t="s">
        <v>327</v>
      </c>
      <c r="AU538" s="1763"/>
      <c r="AV538" s="1763"/>
    </row>
    <row r="539" spans="1:48" ht="25" hidden="1">
      <c r="A539" s="1785" t="str">
        <f t="shared" si="88"/>
        <v>גמל</v>
      </c>
      <c r="B539" s="1786">
        <f t="shared" si="89"/>
        <v>1181</v>
      </c>
      <c r="C539" s="1787">
        <v>28946</v>
      </c>
      <c r="D539" s="1786" t="str">
        <f t="shared" si="90"/>
        <v>גאון גמל כללי ב'</v>
      </c>
      <c r="E539" s="1786" t="s">
        <v>3929</v>
      </c>
      <c r="F539" s="1786" t="s">
        <v>2958</v>
      </c>
      <c r="G539" s="1786" t="s">
        <v>2959</v>
      </c>
      <c r="H539" s="1786" t="str">
        <f t="shared" si="91"/>
        <v>לא פעיל</v>
      </c>
      <c r="I539" s="1788">
        <f t="shared" si="92"/>
        <v>38846</v>
      </c>
      <c r="J539" s="1788">
        <f t="shared" si="93"/>
        <v>40056</v>
      </c>
      <c r="K539" s="1786">
        <v>0</v>
      </c>
      <c r="L539" s="1786" t="s">
        <v>1594</v>
      </c>
      <c r="M539" s="1786" t="s">
        <v>1653</v>
      </c>
      <c r="N539" s="1786" t="s">
        <v>1653</v>
      </c>
      <c r="O539" s="1786">
        <v>0</v>
      </c>
      <c r="P539" s="1786"/>
      <c r="Q539" s="1786">
        <v>0</v>
      </c>
      <c r="R539" s="1788"/>
      <c r="S539" s="1786">
        <f t="shared" si="94"/>
        <v>1181</v>
      </c>
      <c r="T539" s="1786" t="str">
        <f t="shared" si="95"/>
        <v>בנק הפועלים בע"מ</v>
      </c>
      <c r="U539" s="1786" t="str">
        <f t="shared" si="96"/>
        <v>גאון גמל כללי ב'</v>
      </c>
      <c r="V539" s="1786">
        <f t="shared" si="97"/>
        <v>0</v>
      </c>
      <c r="W539" s="1789" t="str">
        <f t="shared" si="98"/>
        <v>גאון גמל בע"מ</v>
      </c>
      <c r="AC539" s="1761" t="s">
        <v>1586</v>
      </c>
      <c r="AD539" s="1762">
        <v>40056</v>
      </c>
      <c r="AE539" s="1762">
        <v>38846</v>
      </c>
      <c r="AF539" s="1761" t="s">
        <v>1583</v>
      </c>
      <c r="AG539" s="1761" t="s">
        <v>1583</v>
      </c>
      <c r="AH539" s="1761" t="s">
        <v>1583</v>
      </c>
      <c r="AI539" s="1761" t="s">
        <v>2322</v>
      </c>
      <c r="AJ539" s="1761" t="s">
        <v>2322</v>
      </c>
      <c r="AK539" s="1761">
        <v>1181</v>
      </c>
      <c r="AL539" s="1761" t="s">
        <v>2322</v>
      </c>
      <c r="AM539" s="1761">
        <v>1181</v>
      </c>
      <c r="AN539" s="1761" t="s">
        <v>1695</v>
      </c>
      <c r="AO539" s="1764"/>
      <c r="AP539" s="1761"/>
      <c r="AQ539" s="1761"/>
      <c r="AR539" s="1761" t="s">
        <v>1848</v>
      </c>
      <c r="AS539" s="1761" t="s">
        <v>1847</v>
      </c>
      <c r="AT539" s="1761" t="s">
        <v>327</v>
      </c>
      <c r="AU539" s="1763"/>
      <c r="AV539" s="1763"/>
    </row>
    <row r="540" spans="1:48" ht="25" hidden="1">
      <c r="A540" s="1785" t="str">
        <f t="shared" si="88"/>
        <v>גמל</v>
      </c>
      <c r="B540" s="1786">
        <f t="shared" si="89"/>
        <v>1180</v>
      </c>
      <c r="C540" s="1787">
        <v>28946</v>
      </c>
      <c r="D540" s="1786" t="str">
        <f t="shared" si="90"/>
        <v>גאון השתלמות כללי ב'</v>
      </c>
      <c r="E540" s="1786" t="s">
        <v>3929</v>
      </c>
      <c r="F540" s="1786" t="s">
        <v>2958</v>
      </c>
      <c r="G540" s="1786" t="s">
        <v>2959</v>
      </c>
      <c r="H540" s="1786" t="str">
        <f t="shared" si="91"/>
        <v>לא פעיל</v>
      </c>
      <c r="I540" s="1788">
        <f t="shared" si="92"/>
        <v>38846</v>
      </c>
      <c r="J540" s="1788">
        <f t="shared" si="93"/>
        <v>40056</v>
      </c>
      <c r="K540" s="1786">
        <v>0</v>
      </c>
      <c r="L540" s="1786" t="s">
        <v>1594</v>
      </c>
      <c r="M540" s="1786" t="s">
        <v>1653</v>
      </c>
      <c r="N540" s="1786" t="s">
        <v>1653</v>
      </c>
      <c r="O540" s="1786">
        <v>0</v>
      </c>
      <c r="P540" s="1786"/>
      <c r="Q540" s="1786">
        <v>0</v>
      </c>
      <c r="R540" s="1788"/>
      <c r="S540" s="1786">
        <f t="shared" si="94"/>
        <v>1180</v>
      </c>
      <c r="T540" s="1786" t="str">
        <f t="shared" si="95"/>
        <v>בנק הפועלים בע"מ</v>
      </c>
      <c r="U540" s="1786" t="str">
        <f t="shared" si="96"/>
        <v>גאון השתלמות כללי ב'</v>
      </c>
      <c r="V540" s="1786">
        <f t="shared" si="97"/>
        <v>0</v>
      </c>
      <c r="W540" s="1789" t="str">
        <f t="shared" si="98"/>
        <v>גאון גמל בע"מ</v>
      </c>
      <c r="AC540" s="1759" t="s">
        <v>1586</v>
      </c>
      <c r="AD540" s="1760">
        <v>40056</v>
      </c>
      <c r="AE540" s="1760">
        <v>38846</v>
      </c>
      <c r="AF540" s="1759" t="s">
        <v>1583</v>
      </c>
      <c r="AG540" s="1759" t="s">
        <v>1583</v>
      </c>
      <c r="AH540" s="1759" t="s">
        <v>1583</v>
      </c>
      <c r="AI540" s="1759" t="s">
        <v>2321</v>
      </c>
      <c r="AJ540" s="1759" t="s">
        <v>2321</v>
      </c>
      <c r="AK540" s="1759">
        <v>1180</v>
      </c>
      <c r="AL540" s="1759" t="s">
        <v>2321</v>
      </c>
      <c r="AM540" s="1759">
        <v>1180</v>
      </c>
      <c r="AN540" s="1759" t="s">
        <v>1695</v>
      </c>
      <c r="AO540" s="1764"/>
      <c r="AP540" s="1759"/>
      <c r="AQ540" s="1759"/>
      <c r="AR540" s="1759" t="s">
        <v>1848</v>
      </c>
      <c r="AS540" s="1759" t="s">
        <v>1847</v>
      </c>
      <c r="AT540" s="1759" t="s">
        <v>327</v>
      </c>
      <c r="AU540" s="1763"/>
      <c r="AV540" s="1763"/>
    </row>
    <row r="541" spans="1:48" ht="25" hidden="1">
      <c r="A541" s="1785" t="str">
        <f t="shared" si="88"/>
        <v>גמל</v>
      </c>
      <c r="B541" s="1786">
        <f t="shared" si="89"/>
        <v>1179</v>
      </c>
      <c r="C541" s="1787">
        <v>28946</v>
      </c>
      <c r="D541" s="1786" t="str">
        <f t="shared" si="90"/>
        <v>גאון השתלמות תיק אג"ח</v>
      </c>
      <c r="E541" s="1786" t="s">
        <v>3929</v>
      </c>
      <c r="F541" s="1786" t="s">
        <v>2958</v>
      </c>
      <c r="G541" s="1786" t="s">
        <v>2959</v>
      </c>
      <c r="H541" s="1786" t="str">
        <f t="shared" si="91"/>
        <v>לא פעיל</v>
      </c>
      <c r="I541" s="1788">
        <f t="shared" si="92"/>
        <v>38846</v>
      </c>
      <c r="J541" s="1788">
        <f t="shared" si="93"/>
        <v>40111.501608796301</v>
      </c>
      <c r="K541" s="1786">
        <v>0</v>
      </c>
      <c r="L541" s="1786" t="s">
        <v>1594</v>
      </c>
      <c r="M541" s="1786" t="s">
        <v>1653</v>
      </c>
      <c r="N541" s="1786" t="s">
        <v>1653</v>
      </c>
      <c r="O541" s="1786">
        <v>0</v>
      </c>
      <c r="P541" s="1786"/>
      <c r="Q541" s="1786">
        <v>0</v>
      </c>
      <c r="R541" s="1788"/>
      <c r="S541" s="1786">
        <f t="shared" si="94"/>
        <v>1179</v>
      </c>
      <c r="T541" s="1786" t="str">
        <f t="shared" si="95"/>
        <v>בנק הפועלים בע"מ</v>
      </c>
      <c r="U541" s="1786" t="str">
        <f t="shared" si="96"/>
        <v>גאון השתלמות תיק אג"ח</v>
      </c>
      <c r="V541" s="1786">
        <f t="shared" si="97"/>
        <v>0</v>
      </c>
      <c r="W541" s="1789" t="str">
        <f t="shared" si="98"/>
        <v>גאון גמל בע"מ</v>
      </c>
      <c r="AC541" s="1761" t="s">
        <v>1586</v>
      </c>
      <c r="AD541" s="1762">
        <v>40111.501608796301</v>
      </c>
      <c r="AE541" s="1762">
        <v>38846</v>
      </c>
      <c r="AF541" s="1761" t="s">
        <v>1653</v>
      </c>
      <c r="AG541" s="1761" t="s">
        <v>1653</v>
      </c>
      <c r="AH541" s="1761" t="s">
        <v>1594</v>
      </c>
      <c r="AI541" s="1761" t="s">
        <v>2320</v>
      </c>
      <c r="AJ541" s="1761" t="s">
        <v>2320</v>
      </c>
      <c r="AK541" s="1761">
        <v>1179</v>
      </c>
      <c r="AL541" s="1761" t="s">
        <v>2320</v>
      </c>
      <c r="AM541" s="1761">
        <v>1179</v>
      </c>
      <c r="AN541" s="1761" t="s">
        <v>1695</v>
      </c>
      <c r="AO541" s="1764"/>
      <c r="AP541" s="1761"/>
      <c r="AQ541" s="1761"/>
      <c r="AR541" s="1761" t="s">
        <v>1848</v>
      </c>
      <c r="AS541" s="1761" t="s">
        <v>1847</v>
      </c>
      <c r="AT541" s="1761" t="s">
        <v>327</v>
      </c>
      <c r="AU541" s="1763"/>
      <c r="AV541" s="1763"/>
    </row>
    <row r="542" spans="1:48" ht="25" hidden="1">
      <c r="A542" s="1785" t="str">
        <f t="shared" si="88"/>
        <v>גמל</v>
      </c>
      <c r="B542" s="1786">
        <f t="shared" si="89"/>
        <v>1178</v>
      </c>
      <c r="C542" s="1787">
        <v>28946</v>
      </c>
      <c r="D542" s="1786" t="str">
        <f t="shared" si="90"/>
        <v>גאון מרכזית לפיצויים כללי ב'</v>
      </c>
      <c r="E542" s="1786" t="s">
        <v>3929</v>
      </c>
      <c r="F542" s="1786" t="s">
        <v>2958</v>
      </c>
      <c r="G542" s="1786" t="s">
        <v>2959</v>
      </c>
      <c r="H542" s="1786" t="str">
        <f t="shared" si="91"/>
        <v>לא פעיל</v>
      </c>
      <c r="I542" s="1788">
        <f t="shared" si="92"/>
        <v>38846</v>
      </c>
      <c r="J542" s="1788">
        <f t="shared" si="93"/>
        <v>40056</v>
      </c>
      <c r="K542" s="1786">
        <v>0</v>
      </c>
      <c r="L542" s="1786" t="s">
        <v>1594</v>
      </c>
      <c r="M542" s="1786" t="s">
        <v>1653</v>
      </c>
      <c r="N542" s="1786" t="s">
        <v>1653</v>
      </c>
      <c r="O542" s="1786">
        <v>0</v>
      </c>
      <c r="P542" s="1786"/>
      <c r="Q542" s="1786">
        <v>0</v>
      </c>
      <c r="R542" s="1788"/>
      <c r="S542" s="1786">
        <f t="shared" si="94"/>
        <v>1178</v>
      </c>
      <c r="T542" s="1786" t="str">
        <f t="shared" si="95"/>
        <v>בנק הפועלים בע"מ</v>
      </c>
      <c r="U542" s="1786" t="str">
        <f t="shared" si="96"/>
        <v>גאון מרכזית לפיצויים כללי ב'</v>
      </c>
      <c r="V542" s="1786">
        <f t="shared" si="97"/>
        <v>0</v>
      </c>
      <c r="W542" s="1789" t="str">
        <f t="shared" si="98"/>
        <v>גאון גמל בע"מ</v>
      </c>
      <c r="AC542" s="1759" t="s">
        <v>1586</v>
      </c>
      <c r="AD542" s="1760">
        <v>40056</v>
      </c>
      <c r="AE542" s="1760">
        <v>38846</v>
      </c>
      <c r="AF542" s="1759" t="s">
        <v>1583</v>
      </c>
      <c r="AG542" s="1759" t="s">
        <v>1583</v>
      </c>
      <c r="AH542" s="1759" t="s">
        <v>1583</v>
      </c>
      <c r="AI542" s="1759" t="s">
        <v>2319</v>
      </c>
      <c r="AJ542" s="1759" t="s">
        <v>2319</v>
      </c>
      <c r="AK542" s="1759">
        <v>1178</v>
      </c>
      <c r="AL542" s="1759" t="s">
        <v>2319</v>
      </c>
      <c r="AM542" s="1759">
        <v>1178</v>
      </c>
      <c r="AN542" s="1759" t="s">
        <v>1695</v>
      </c>
      <c r="AO542" s="1764"/>
      <c r="AP542" s="1759"/>
      <c r="AQ542" s="1759"/>
      <c r="AR542" s="1759" t="s">
        <v>1848</v>
      </c>
      <c r="AS542" s="1759" t="s">
        <v>1847</v>
      </c>
      <c r="AT542" s="1759" t="s">
        <v>327</v>
      </c>
      <c r="AU542" s="1763"/>
      <c r="AV542" s="1763"/>
    </row>
    <row r="543" spans="1:48" ht="25">
      <c r="A543" s="1785" t="str">
        <f t="shared" si="88"/>
        <v>פנסיה</v>
      </c>
      <c r="B543" s="1786">
        <f t="shared" si="89"/>
        <v>2111</v>
      </c>
      <c r="C543" s="1787">
        <v>28946</v>
      </c>
      <c r="D543" s="1786" t="str">
        <f t="shared" si="90"/>
        <v>הלמן אלדובי קרן פנסיה כללית - מסלול כללי</v>
      </c>
      <c r="E543" s="1786" t="s">
        <v>3929</v>
      </c>
      <c r="F543" s="1786" t="s">
        <v>2958</v>
      </c>
      <c r="G543" s="1786" t="s">
        <v>2959</v>
      </c>
      <c r="H543" s="1786" t="str">
        <f t="shared" si="91"/>
        <v>לא פעיל</v>
      </c>
      <c r="I543" s="1788">
        <f t="shared" si="92"/>
        <v>38805</v>
      </c>
      <c r="J543" s="1788">
        <f t="shared" si="93"/>
        <v>42701.585543981499</v>
      </c>
      <c r="K543" s="1786">
        <v>0</v>
      </c>
      <c r="L543" s="1786" t="s">
        <v>1594</v>
      </c>
      <c r="M543" s="1786" t="s">
        <v>1653</v>
      </c>
      <c r="N543" s="1786" t="s">
        <v>1653</v>
      </c>
      <c r="O543" s="1786">
        <v>0</v>
      </c>
      <c r="P543" s="1786"/>
      <c r="Q543" s="1786">
        <v>0</v>
      </c>
      <c r="R543" s="1788"/>
      <c r="S543" s="1786">
        <f t="shared" si="94"/>
        <v>1177</v>
      </c>
      <c r="T543" s="1786" t="str">
        <f t="shared" si="95"/>
        <v>חברת תפעול גמל בע"מ</v>
      </c>
      <c r="U543" s="1786" t="str">
        <f t="shared" si="96"/>
        <v>הלמן-אלדובי קרן פנסיה כללית</v>
      </c>
      <c r="V543" s="1786" t="str">
        <f t="shared" si="97"/>
        <v>513163105</v>
      </c>
      <c r="W543" s="1789" t="str">
        <f t="shared" si="98"/>
        <v>הלמן - אלדובי קופות גמל ופנסיה בע"מ</v>
      </c>
      <c r="AC543" s="1761" t="s">
        <v>1586</v>
      </c>
      <c r="AD543" s="1762">
        <v>42701.585543981499</v>
      </c>
      <c r="AE543" s="1762">
        <v>38805</v>
      </c>
      <c r="AF543" s="1761" t="s">
        <v>1583</v>
      </c>
      <c r="AG543" s="1761" t="s">
        <v>1583</v>
      </c>
      <c r="AH543" s="1761" t="s">
        <v>1583</v>
      </c>
      <c r="AI543" s="1761" t="s">
        <v>2563</v>
      </c>
      <c r="AJ543" s="1761" t="s">
        <v>2563</v>
      </c>
      <c r="AK543" s="1761">
        <v>2111</v>
      </c>
      <c r="AL543" s="1761" t="s">
        <v>4159</v>
      </c>
      <c r="AM543" s="1761">
        <v>1177</v>
      </c>
      <c r="AN543" s="1761" t="s">
        <v>5394</v>
      </c>
      <c r="AO543" s="1764"/>
      <c r="AP543" s="1761" t="s">
        <v>5371</v>
      </c>
      <c r="AQ543" s="1761" t="s">
        <v>5372</v>
      </c>
      <c r="AR543" s="1761" t="s">
        <v>354</v>
      </c>
      <c r="AS543" s="1761" t="s">
        <v>355</v>
      </c>
      <c r="AT543" s="1761" t="s">
        <v>328</v>
      </c>
      <c r="AU543" s="1763"/>
      <c r="AV543" s="1763"/>
    </row>
    <row r="544" spans="1:48" ht="25">
      <c r="A544" s="1785" t="str">
        <f t="shared" si="88"/>
        <v>פנסיה</v>
      </c>
      <c r="B544" s="1786">
        <f t="shared" si="89"/>
        <v>2200</v>
      </c>
      <c r="C544" s="1787">
        <v>28946</v>
      </c>
      <c r="D544" s="1786" t="str">
        <f t="shared" si="90"/>
        <v>הלמן-אלדובי קרן פנסיה כללית מסלול בסיסי למקבלי פנסיה קיימים (עד 1.1.18)</v>
      </c>
      <c r="E544" s="1786" t="s">
        <v>3929</v>
      </c>
      <c r="F544" s="1786" t="s">
        <v>2958</v>
      </c>
      <c r="G544" s="1786" t="s">
        <v>2959</v>
      </c>
      <c r="H544" s="1786" t="str">
        <f t="shared" si="91"/>
        <v>פעיל</v>
      </c>
      <c r="I544" s="1788">
        <f t="shared" si="92"/>
        <v>38805</v>
      </c>
      <c r="J544" s="1788" t="str">
        <f t="shared" si="93"/>
        <v/>
      </c>
      <c r="K544" s="1786">
        <v>0</v>
      </c>
      <c r="L544" s="1786" t="s">
        <v>1594</v>
      </c>
      <c r="M544" s="1786" t="s">
        <v>1653</v>
      </c>
      <c r="N544" s="1786" t="s">
        <v>1653</v>
      </c>
      <c r="O544" s="1786">
        <v>0</v>
      </c>
      <c r="P544" s="1786"/>
      <c r="Q544" s="1786">
        <v>0</v>
      </c>
      <c r="R544" s="1788"/>
      <c r="S544" s="1786">
        <f t="shared" si="94"/>
        <v>1177</v>
      </c>
      <c r="T544" s="1786" t="str">
        <f t="shared" si="95"/>
        <v>חברת תפעול גמל בע"מ</v>
      </c>
      <c r="U544" s="1786" t="str">
        <f t="shared" si="96"/>
        <v>הלמן-אלדובי קרן פנסיה כללית</v>
      </c>
      <c r="V544" s="1786" t="str">
        <f t="shared" si="97"/>
        <v>513163105</v>
      </c>
      <c r="W544" s="1789" t="str">
        <f t="shared" si="98"/>
        <v>הלמן - אלדובי קופות גמל ופנסיה בע"מ</v>
      </c>
      <c r="AC544" s="1759" t="s">
        <v>346</v>
      </c>
      <c r="AD544" s="1759"/>
      <c r="AE544" s="1760">
        <v>38805</v>
      </c>
      <c r="AF544" s="1759" t="s">
        <v>4160</v>
      </c>
      <c r="AG544" s="1759" t="s">
        <v>2614</v>
      </c>
      <c r="AH544" s="1759" t="s">
        <v>3658</v>
      </c>
      <c r="AI544" s="1759" t="s">
        <v>5526</v>
      </c>
      <c r="AJ544" s="1759" t="s">
        <v>5527</v>
      </c>
      <c r="AK544" s="1759">
        <v>2200</v>
      </c>
      <c r="AL544" s="1759" t="s">
        <v>4159</v>
      </c>
      <c r="AM544" s="1759">
        <v>1177</v>
      </c>
      <c r="AN544" s="1759" t="s">
        <v>5394</v>
      </c>
      <c r="AO544" s="1764"/>
      <c r="AP544" s="1759" t="s">
        <v>5371</v>
      </c>
      <c r="AQ544" s="1759" t="s">
        <v>5372</v>
      </c>
      <c r="AR544" s="1759" t="s">
        <v>354</v>
      </c>
      <c r="AS544" s="1759" t="s">
        <v>355</v>
      </c>
      <c r="AT544" s="1759" t="s">
        <v>328</v>
      </c>
      <c r="AU544" s="1763"/>
      <c r="AV544" s="1763"/>
    </row>
    <row r="545" spans="1:48" ht="25">
      <c r="A545" s="1785" t="str">
        <f t="shared" si="88"/>
        <v>פנסיה</v>
      </c>
      <c r="B545" s="1786">
        <f t="shared" si="89"/>
        <v>9753</v>
      </c>
      <c r="C545" s="1787">
        <v>28946</v>
      </c>
      <c r="D545" s="1786" t="str">
        <f t="shared" si="90"/>
        <v>הלמן-אלדובי קרן פנסיה כללית- מסלול לבני 50 עד 60</v>
      </c>
      <c r="E545" s="1786" t="s">
        <v>3929</v>
      </c>
      <c r="F545" s="1786" t="s">
        <v>2958</v>
      </c>
      <c r="G545" s="1786" t="s">
        <v>2959</v>
      </c>
      <c r="H545" s="1786" t="str">
        <f t="shared" si="91"/>
        <v>פעיל</v>
      </c>
      <c r="I545" s="1788">
        <f t="shared" si="92"/>
        <v>38805</v>
      </c>
      <c r="J545" s="1788" t="str">
        <f t="shared" si="93"/>
        <v/>
      </c>
      <c r="K545" s="1786">
        <v>0</v>
      </c>
      <c r="L545" s="1786" t="s">
        <v>1594</v>
      </c>
      <c r="M545" s="1786" t="s">
        <v>1653</v>
      </c>
      <c r="N545" s="1786" t="s">
        <v>1653</v>
      </c>
      <c r="O545" s="1786">
        <v>0</v>
      </c>
      <c r="P545" s="1786"/>
      <c r="Q545" s="1786">
        <v>0</v>
      </c>
      <c r="R545" s="1788"/>
      <c r="S545" s="1786">
        <f t="shared" si="94"/>
        <v>1177</v>
      </c>
      <c r="T545" s="1786" t="str">
        <f t="shared" si="95"/>
        <v>חברת תפעול גמל בע"מ</v>
      </c>
      <c r="U545" s="1786" t="str">
        <f t="shared" si="96"/>
        <v>הלמן-אלדובי קרן פנסיה כללית</v>
      </c>
      <c r="V545" s="1786" t="str">
        <f t="shared" si="97"/>
        <v>513163105</v>
      </c>
      <c r="W545" s="1789" t="str">
        <f t="shared" si="98"/>
        <v>הלמן - אלדובי קופות גמל ופנסיה בע"מ</v>
      </c>
      <c r="AC545" s="1761" t="s">
        <v>346</v>
      </c>
      <c r="AD545" s="1759"/>
      <c r="AE545" s="1762">
        <v>38805</v>
      </c>
      <c r="AF545" s="1761" t="s">
        <v>1583</v>
      </c>
      <c r="AG545" s="1761" t="s">
        <v>1583</v>
      </c>
      <c r="AH545" s="1761" t="s">
        <v>1583</v>
      </c>
      <c r="AI545" s="1761" t="s">
        <v>4328</v>
      </c>
      <c r="AJ545" s="1761" t="s">
        <v>4328</v>
      </c>
      <c r="AK545" s="1761">
        <v>9753</v>
      </c>
      <c r="AL545" s="1761" t="s">
        <v>4159</v>
      </c>
      <c r="AM545" s="1761">
        <v>1177</v>
      </c>
      <c r="AN545" s="1761" t="s">
        <v>5394</v>
      </c>
      <c r="AO545" s="1764"/>
      <c r="AP545" s="1761" t="s">
        <v>5371</v>
      </c>
      <c r="AQ545" s="1761" t="s">
        <v>5372</v>
      </c>
      <c r="AR545" s="1761" t="s">
        <v>354</v>
      </c>
      <c r="AS545" s="1761" t="s">
        <v>355</v>
      </c>
      <c r="AT545" s="1761" t="s">
        <v>328</v>
      </c>
      <c r="AU545" s="1763"/>
      <c r="AV545" s="1763"/>
    </row>
    <row r="546" spans="1:48" ht="25">
      <c r="A546" s="1785" t="str">
        <f t="shared" si="88"/>
        <v>פנסיה</v>
      </c>
      <c r="B546" s="1786">
        <f t="shared" si="89"/>
        <v>9752</v>
      </c>
      <c r="C546" s="1787">
        <v>28946</v>
      </c>
      <c r="D546" s="1786" t="str">
        <f t="shared" si="90"/>
        <v>הלמן-אלדובי קרן פנסיה כללית- מסלול לבני 50 ומטה</v>
      </c>
      <c r="E546" s="1786" t="s">
        <v>3929</v>
      </c>
      <c r="F546" s="1786" t="s">
        <v>2958</v>
      </c>
      <c r="G546" s="1786" t="s">
        <v>2959</v>
      </c>
      <c r="H546" s="1786" t="str">
        <f t="shared" si="91"/>
        <v>פעיל</v>
      </c>
      <c r="I546" s="1788">
        <f t="shared" si="92"/>
        <v>38805</v>
      </c>
      <c r="J546" s="1788" t="str">
        <f t="shared" si="93"/>
        <v/>
      </c>
      <c r="K546" s="1786">
        <v>0</v>
      </c>
      <c r="L546" s="1786" t="s">
        <v>1594</v>
      </c>
      <c r="M546" s="1786" t="s">
        <v>1653</v>
      </c>
      <c r="N546" s="1786" t="s">
        <v>1653</v>
      </c>
      <c r="O546" s="1786">
        <v>0</v>
      </c>
      <c r="P546" s="1786"/>
      <c r="Q546" s="1786">
        <v>0</v>
      </c>
      <c r="R546" s="1788"/>
      <c r="S546" s="1786">
        <f t="shared" si="94"/>
        <v>1177</v>
      </c>
      <c r="T546" s="1786" t="str">
        <f t="shared" si="95"/>
        <v>חברת תפעול גמל בע"מ</v>
      </c>
      <c r="U546" s="1786" t="str">
        <f t="shared" si="96"/>
        <v>הלמן-אלדובי קרן פנסיה כללית</v>
      </c>
      <c r="V546" s="1786" t="str">
        <f t="shared" si="97"/>
        <v>513163105</v>
      </c>
      <c r="W546" s="1789" t="str">
        <f t="shared" si="98"/>
        <v>הלמן - אלדובי קופות גמל ופנסיה בע"מ</v>
      </c>
      <c r="AC546" s="1759" t="s">
        <v>346</v>
      </c>
      <c r="AD546" s="1759"/>
      <c r="AE546" s="1760">
        <v>38805</v>
      </c>
      <c r="AF546" s="1759" t="s">
        <v>1583</v>
      </c>
      <c r="AG546" s="1759" t="s">
        <v>1583</v>
      </c>
      <c r="AH546" s="1759" t="s">
        <v>1583</v>
      </c>
      <c r="AI546" s="1759" t="s">
        <v>4327</v>
      </c>
      <c r="AJ546" s="1759" t="s">
        <v>4327</v>
      </c>
      <c r="AK546" s="1759">
        <v>9752</v>
      </c>
      <c r="AL546" s="1759" t="s">
        <v>4159</v>
      </c>
      <c r="AM546" s="1759">
        <v>1177</v>
      </c>
      <c r="AN546" s="1759" t="s">
        <v>5394</v>
      </c>
      <c r="AO546" s="1764"/>
      <c r="AP546" s="1759" t="s">
        <v>5371</v>
      </c>
      <c r="AQ546" s="1759" t="s">
        <v>5372</v>
      </c>
      <c r="AR546" s="1759" t="s">
        <v>354</v>
      </c>
      <c r="AS546" s="1759" t="s">
        <v>355</v>
      </c>
      <c r="AT546" s="1759" t="s">
        <v>328</v>
      </c>
      <c r="AU546" s="1763"/>
      <c r="AV546" s="1763"/>
    </row>
    <row r="547" spans="1:48" ht="25">
      <c r="A547" s="1785" t="str">
        <f t="shared" si="88"/>
        <v>פנסיה</v>
      </c>
      <c r="B547" s="1786">
        <f t="shared" si="89"/>
        <v>12136</v>
      </c>
      <c r="C547" s="1787">
        <v>28946</v>
      </c>
      <c r="D547" s="1786" t="str">
        <f t="shared" si="90"/>
        <v>הלמן-אלדובי קרן פנסיה כללית פנסיונרים בסיסי</v>
      </c>
      <c r="E547" s="1786" t="s">
        <v>3929</v>
      </c>
      <c r="F547" s="1786" t="s">
        <v>2958</v>
      </c>
      <c r="G547" s="1786" t="s">
        <v>2959</v>
      </c>
      <c r="H547" s="1786" t="str">
        <f t="shared" si="91"/>
        <v>פעיל</v>
      </c>
      <c r="I547" s="1788">
        <f t="shared" si="92"/>
        <v>38805</v>
      </c>
      <c r="J547" s="1788" t="str">
        <f t="shared" si="93"/>
        <v/>
      </c>
      <c r="K547" s="1786">
        <v>0</v>
      </c>
      <c r="L547" s="1786" t="s">
        <v>1594</v>
      </c>
      <c r="M547" s="1786" t="s">
        <v>1653</v>
      </c>
      <c r="N547" s="1786" t="s">
        <v>1653</v>
      </c>
      <c r="O547" s="1786">
        <v>0</v>
      </c>
      <c r="P547" s="1786"/>
      <c r="Q547" s="1786">
        <v>0</v>
      </c>
      <c r="R547" s="1788"/>
      <c r="S547" s="1786">
        <f t="shared" si="94"/>
        <v>1177</v>
      </c>
      <c r="T547" s="1786" t="str">
        <f t="shared" si="95"/>
        <v>חברת תפעול גמל בע"מ</v>
      </c>
      <c r="U547" s="1786" t="str">
        <f t="shared" si="96"/>
        <v>הלמן-אלדובי קרן פנסיה כללית</v>
      </c>
      <c r="V547" s="1786" t="str">
        <f t="shared" si="97"/>
        <v>513163105</v>
      </c>
      <c r="W547" s="1789" t="str">
        <f t="shared" si="98"/>
        <v>הלמן - אלדובי קופות גמל ופנסיה בע"מ</v>
      </c>
      <c r="AC547" s="1761" t="s">
        <v>346</v>
      </c>
      <c r="AD547" s="1761"/>
      <c r="AE547" s="1762">
        <v>38805</v>
      </c>
      <c r="AF547" s="1761" t="s">
        <v>4160</v>
      </c>
      <c r="AG547" s="1761" t="s">
        <v>2614</v>
      </c>
      <c r="AH547" s="1761" t="s">
        <v>3658</v>
      </c>
      <c r="AI547" s="1761" t="s">
        <v>5528</v>
      </c>
      <c r="AJ547" s="1761" t="s">
        <v>5529</v>
      </c>
      <c r="AK547" s="1761">
        <v>12136</v>
      </c>
      <c r="AL547" s="1761" t="s">
        <v>4159</v>
      </c>
      <c r="AM547" s="1761">
        <v>1177</v>
      </c>
      <c r="AN547" s="1761" t="s">
        <v>5394</v>
      </c>
      <c r="AO547" s="1764"/>
      <c r="AP547" s="1761" t="s">
        <v>5371</v>
      </c>
      <c r="AQ547" s="1761" t="s">
        <v>5372</v>
      </c>
      <c r="AR547" s="1761" t="s">
        <v>354</v>
      </c>
      <c r="AS547" s="1761" t="s">
        <v>355</v>
      </c>
      <c r="AT547" s="1761" t="s">
        <v>328</v>
      </c>
      <c r="AU547" s="1763"/>
      <c r="AV547" s="1763"/>
    </row>
    <row r="548" spans="1:48" ht="25">
      <c r="A548" s="1785" t="str">
        <f t="shared" si="88"/>
        <v>פנסיה</v>
      </c>
      <c r="B548" s="1786">
        <f t="shared" si="89"/>
        <v>9754</v>
      </c>
      <c r="C548" s="1787">
        <v>28946</v>
      </c>
      <c r="D548" s="1786" t="str">
        <f t="shared" si="90"/>
        <v>הלמן-אלדובי קרן פנסיה כללית- מסלול לבני 60 ומעלה</v>
      </c>
      <c r="E548" s="1786" t="s">
        <v>3929</v>
      </c>
      <c r="F548" s="1786" t="s">
        <v>2958</v>
      </c>
      <c r="G548" s="1786" t="s">
        <v>2959</v>
      </c>
      <c r="H548" s="1786" t="str">
        <f t="shared" si="91"/>
        <v>פעיל</v>
      </c>
      <c r="I548" s="1788">
        <f t="shared" si="92"/>
        <v>38805</v>
      </c>
      <c r="J548" s="1788" t="str">
        <f t="shared" si="93"/>
        <v/>
      </c>
      <c r="K548" s="1786">
        <v>0</v>
      </c>
      <c r="L548" s="1786" t="s">
        <v>1594</v>
      </c>
      <c r="M548" s="1786" t="s">
        <v>1653</v>
      </c>
      <c r="N548" s="1786" t="s">
        <v>1653</v>
      </c>
      <c r="O548" s="1786">
        <v>0</v>
      </c>
      <c r="P548" s="1786"/>
      <c r="Q548" s="1786">
        <v>0</v>
      </c>
      <c r="R548" s="1788"/>
      <c r="S548" s="1786">
        <f t="shared" si="94"/>
        <v>1177</v>
      </c>
      <c r="T548" s="1786" t="str">
        <f t="shared" si="95"/>
        <v>חברת תפעול גמל בע"מ</v>
      </c>
      <c r="U548" s="1786" t="str">
        <f t="shared" si="96"/>
        <v>הלמן-אלדובי קרן פנסיה כללית</v>
      </c>
      <c r="V548" s="1786" t="str">
        <f t="shared" si="97"/>
        <v>513163105</v>
      </c>
      <c r="W548" s="1789" t="str">
        <f t="shared" si="98"/>
        <v>הלמן - אלדובי קופות גמל ופנסיה בע"מ</v>
      </c>
      <c r="AC548" s="1759" t="s">
        <v>346</v>
      </c>
      <c r="AD548" s="1759"/>
      <c r="AE548" s="1760">
        <v>38805</v>
      </c>
      <c r="AF548" s="1759" t="s">
        <v>1583</v>
      </c>
      <c r="AG548" s="1759" t="s">
        <v>1583</v>
      </c>
      <c r="AH548" s="1759" t="s">
        <v>1583</v>
      </c>
      <c r="AI548" s="1759" t="s">
        <v>4329</v>
      </c>
      <c r="AJ548" s="1759" t="s">
        <v>4329</v>
      </c>
      <c r="AK548" s="1759">
        <v>9754</v>
      </c>
      <c r="AL548" s="1759" t="s">
        <v>4159</v>
      </c>
      <c r="AM548" s="1759">
        <v>1177</v>
      </c>
      <c r="AN548" s="1759" t="s">
        <v>5394</v>
      </c>
      <c r="AO548" s="1764"/>
      <c r="AP548" s="1759" t="s">
        <v>5371</v>
      </c>
      <c r="AQ548" s="1759" t="s">
        <v>5372</v>
      </c>
      <c r="AR548" s="1759" t="s">
        <v>354</v>
      </c>
      <c r="AS548" s="1759" t="s">
        <v>355</v>
      </c>
      <c r="AT548" s="1759" t="s">
        <v>328</v>
      </c>
      <c r="AU548" s="1763"/>
      <c r="AV548" s="1763"/>
    </row>
    <row r="549" spans="1:48" ht="25" hidden="1">
      <c r="A549" s="1785" t="str">
        <f t="shared" si="88"/>
        <v>גמל</v>
      </c>
      <c r="B549" s="1786">
        <f t="shared" si="89"/>
        <v>1169</v>
      </c>
      <c r="C549" s="1787">
        <v>28946</v>
      </c>
      <c r="D549" s="1786" t="str">
        <f t="shared" si="90"/>
        <v>מגדלור מרכזית לפיצויים אפיקים</v>
      </c>
      <c r="E549" s="1786" t="s">
        <v>3929</v>
      </c>
      <c r="F549" s="1786" t="s">
        <v>2958</v>
      </c>
      <c r="G549" s="1786" t="s">
        <v>2959</v>
      </c>
      <c r="H549" s="1786" t="str">
        <f t="shared" si="91"/>
        <v>לא פעיל</v>
      </c>
      <c r="I549" s="1788">
        <f t="shared" si="92"/>
        <v>38782</v>
      </c>
      <c r="J549" s="1788">
        <f t="shared" si="93"/>
        <v>40178</v>
      </c>
      <c r="K549" s="1786">
        <v>0</v>
      </c>
      <c r="L549" s="1786" t="s">
        <v>1594</v>
      </c>
      <c r="M549" s="1786" t="s">
        <v>1653</v>
      </c>
      <c r="N549" s="1786" t="s">
        <v>1653</v>
      </c>
      <c r="O549" s="1786">
        <v>0</v>
      </c>
      <c r="P549" s="1786"/>
      <c r="Q549" s="1786">
        <v>0</v>
      </c>
      <c r="R549" s="1788"/>
      <c r="S549" s="1786">
        <f t="shared" si="94"/>
        <v>1168</v>
      </c>
      <c r="T549" s="1786">
        <f t="shared" si="95"/>
        <v>0</v>
      </c>
      <c r="U549" s="1786" t="str">
        <f t="shared" si="96"/>
        <v>מגדלור מרכזית לפיצויים נאות</v>
      </c>
      <c r="V549" s="1786">
        <f t="shared" si="97"/>
        <v>0</v>
      </c>
      <c r="W549" s="1789" t="str">
        <f t="shared" si="98"/>
        <v>מגדל גמל פלטינום בע"מ</v>
      </c>
      <c r="AC549" s="1761" t="s">
        <v>1586</v>
      </c>
      <c r="AD549" s="1762">
        <v>40178</v>
      </c>
      <c r="AE549" s="1762">
        <v>38782</v>
      </c>
      <c r="AF549" s="1761" t="s">
        <v>1583</v>
      </c>
      <c r="AG549" s="1761" t="s">
        <v>1583</v>
      </c>
      <c r="AH549" s="1761" t="s">
        <v>1583</v>
      </c>
      <c r="AI549" s="1761" t="s">
        <v>2311</v>
      </c>
      <c r="AJ549" s="1761" t="s">
        <v>2311</v>
      </c>
      <c r="AK549" s="1761">
        <v>1169</v>
      </c>
      <c r="AL549" s="1761" t="s">
        <v>2310</v>
      </c>
      <c r="AM549" s="1761">
        <v>1168</v>
      </c>
      <c r="AN549" s="1761"/>
      <c r="AO549" s="1764"/>
      <c r="AP549" s="1761"/>
      <c r="AQ549" s="1761"/>
      <c r="AR549" s="1761" t="s">
        <v>1656</v>
      </c>
      <c r="AS549" s="1761" t="s">
        <v>1655</v>
      </c>
      <c r="AT549" s="1761" t="s">
        <v>327</v>
      </c>
      <c r="AU549" s="1763"/>
      <c r="AV549" s="1763"/>
    </row>
    <row r="550" spans="1:48" ht="25" hidden="1">
      <c r="A550" s="1785" t="str">
        <f t="shared" si="88"/>
        <v>גמל</v>
      </c>
      <c r="B550" s="1786">
        <f t="shared" si="89"/>
        <v>1168</v>
      </c>
      <c r="C550" s="1787">
        <v>28946</v>
      </c>
      <c r="D550" s="1786" t="str">
        <f t="shared" si="90"/>
        <v>מגדלור מרכזית לפיצויים נאות</v>
      </c>
      <c r="E550" s="1786" t="s">
        <v>3929</v>
      </c>
      <c r="F550" s="1786" t="s">
        <v>2958</v>
      </c>
      <c r="G550" s="1786" t="s">
        <v>2959</v>
      </c>
      <c r="H550" s="1786" t="str">
        <f t="shared" si="91"/>
        <v>לא פעיל</v>
      </c>
      <c r="I550" s="1788">
        <f t="shared" si="92"/>
        <v>38782</v>
      </c>
      <c r="J550" s="1788">
        <f t="shared" si="93"/>
        <v>40178</v>
      </c>
      <c r="K550" s="1786">
        <v>0</v>
      </c>
      <c r="L550" s="1786" t="s">
        <v>1594</v>
      </c>
      <c r="M550" s="1786" t="s">
        <v>1653</v>
      </c>
      <c r="N550" s="1786" t="s">
        <v>1653</v>
      </c>
      <c r="O550" s="1786">
        <v>0</v>
      </c>
      <c r="P550" s="1786"/>
      <c r="Q550" s="1786">
        <v>0</v>
      </c>
      <c r="R550" s="1788"/>
      <c r="S550" s="1786">
        <f t="shared" si="94"/>
        <v>1168</v>
      </c>
      <c r="T550" s="1786">
        <f t="shared" si="95"/>
        <v>0</v>
      </c>
      <c r="U550" s="1786" t="str">
        <f t="shared" si="96"/>
        <v>מגדלור מרכזית לפיצויים נאות</v>
      </c>
      <c r="V550" s="1786">
        <f t="shared" si="97"/>
        <v>0</v>
      </c>
      <c r="W550" s="1789" t="str">
        <f t="shared" si="98"/>
        <v>מגדל גמל פלטינום בע"מ</v>
      </c>
      <c r="AC550" s="1759" t="s">
        <v>1586</v>
      </c>
      <c r="AD550" s="1760">
        <v>40178</v>
      </c>
      <c r="AE550" s="1760">
        <v>38782</v>
      </c>
      <c r="AF550" s="1759" t="s">
        <v>1583</v>
      </c>
      <c r="AG550" s="1759" t="s">
        <v>1583</v>
      </c>
      <c r="AH550" s="1759" t="s">
        <v>1583</v>
      </c>
      <c r="AI550" s="1759" t="s">
        <v>2310</v>
      </c>
      <c r="AJ550" s="1759" t="s">
        <v>2310</v>
      </c>
      <c r="AK550" s="1759">
        <v>1168</v>
      </c>
      <c r="AL550" s="1759" t="s">
        <v>2310</v>
      </c>
      <c r="AM550" s="1759">
        <v>1168</v>
      </c>
      <c r="AN550" s="1759"/>
      <c r="AO550" s="1764"/>
      <c r="AP550" s="1759"/>
      <c r="AQ550" s="1759"/>
      <c r="AR550" s="1759" t="s">
        <v>1656</v>
      </c>
      <c r="AS550" s="1759" t="s">
        <v>1655</v>
      </c>
      <c r="AT550" s="1759" t="s">
        <v>327</v>
      </c>
      <c r="AU550" s="1763"/>
      <c r="AV550" s="1763"/>
    </row>
    <row r="551" spans="1:48" ht="25" hidden="1">
      <c r="A551" s="1785" t="str">
        <f t="shared" si="88"/>
        <v>גמל</v>
      </c>
      <c r="B551" s="1786">
        <f t="shared" si="89"/>
        <v>1166</v>
      </c>
      <c r="C551" s="1787">
        <v>28946</v>
      </c>
      <c r="D551" s="1786" t="str">
        <f t="shared" si="90"/>
        <v>מגדלור להשתלמות נאות</v>
      </c>
      <c r="E551" s="1786" t="s">
        <v>3929</v>
      </c>
      <c r="F551" s="1786" t="s">
        <v>2958</v>
      </c>
      <c r="G551" s="1786" t="s">
        <v>2959</v>
      </c>
      <c r="H551" s="1786" t="str">
        <f t="shared" si="91"/>
        <v>לא פעיל</v>
      </c>
      <c r="I551" s="1788">
        <f t="shared" si="92"/>
        <v>38782</v>
      </c>
      <c r="J551" s="1788">
        <f t="shared" si="93"/>
        <v>40178</v>
      </c>
      <c r="K551" s="1786">
        <v>0</v>
      </c>
      <c r="L551" s="1786" t="s">
        <v>1594</v>
      </c>
      <c r="M551" s="1786" t="s">
        <v>1653</v>
      </c>
      <c r="N551" s="1786" t="s">
        <v>1653</v>
      </c>
      <c r="O551" s="1786">
        <v>0</v>
      </c>
      <c r="P551" s="1786"/>
      <c r="Q551" s="1786">
        <v>0</v>
      </c>
      <c r="R551" s="1788"/>
      <c r="S551" s="1786">
        <f t="shared" si="94"/>
        <v>1166</v>
      </c>
      <c r="T551" s="1786">
        <f t="shared" si="95"/>
        <v>0</v>
      </c>
      <c r="U551" s="1786" t="str">
        <f t="shared" si="96"/>
        <v>מגדלור להשתלמות נאות</v>
      </c>
      <c r="V551" s="1786">
        <f t="shared" si="97"/>
        <v>0</v>
      </c>
      <c r="W551" s="1789" t="str">
        <f t="shared" si="98"/>
        <v>מגדל גמל פלטינום בע"מ</v>
      </c>
      <c r="AC551" s="1761" t="s">
        <v>1586</v>
      </c>
      <c r="AD551" s="1762">
        <v>40178</v>
      </c>
      <c r="AE551" s="1762">
        <v>38782</v>
      </c>
      <c r="AF551" s="1761" t="s">
        <v>1583</v>
      </c>
      <c r="AG551" s="1761" t="s">
        <v>1583</v>
      </c>
      <c r="AH551" s="1761" t="s">
        <v>1583</v>
      </c>
      <c r="AI551" s="1761" t="s">
        <v>2308</v>
      </c>
      <c r="AJ551" s="1761" t="s">
        <v>2308</v>
      </c>
      <c r="AK551" s="1761">
        <v>1166</v>
      </c>
      <c r="AL551" s="1761" t="s">
        <v>2308</v>
      </c>
      <c r="AM551" s="1761">
        <v>1166</v>
      </c>
      <c r="AN551" s="1761"/>
      <c r="AO551" s="1764"/>
      <c r="AP551" s="1761"/>
      <c r="AQ551" s="1761"/>
      <c r="AR551" s="1761" t="s">
        <v>1656</v>
      </c>
      <c r="AS551" s="1761" t="s">
        <v>1655</v>
      </c>
      <c r="AT551" s="1761" t="s">
        <v>327</v>
      </c>
      <c r="AU551" s="1763"/>
      <c r="AV551" s="1763"/>
    </row>
    <row r="552" spans="1:48" ht="25" hidden="1">
      <c r="A552" s="1785" t="str">
        <f t="shared" si="88"/>
        <v>גמל</v>
      </c>
      <c r="B552" s="1786">
        <f t="shared" si="89"/>
        <v>1167</v>
      </c>
      <c r="C552" s="1787">
        <v>28946</v>
      </c>
      <c r="D552" s="1786" t="str">
        <f t="shared" si="90"/>
        <v>מגדלור להשתלמות אפיקים</v>
      </c>
      <c r="E552" s="1786" t="s">
        <v>3929</v>
      </c>
      <c r="F552" s="1786" t="s">
        <v>2958</v>
      </c>
      <c r="G552" s="1786" t="s">
        <v>2959</v>
      </c>
      <c r="H552" s="1786" t="str">
        <f t="shared" si="91"/>
        <v>לא פעיל</v>
      </c>
      <c r="I552" s="1788">
        <f t="shared" si="92"/>
        <v>38782</v>
      </c>
      <c r="J552" s="1788">
        <f t="shared" si="93"/>
        <v>40178</v>
      </c>
      <c r="K552" s="1786">
        <v>0</v>
      </c>
      <c r="L552" s="1786" t="s">
        <v>1594</v>
      </c>
      <c r="M552" s="1786" t="s">
        <v>1653</v>
      </c>
      <c r="N552" s="1786" t="s">
        <v>1653</v>
      </c>
      <c r="O552" s="1786">
        <v>0</v>
      </c>
      <c r="P552" s="1786"/>
      <c r="Q552" s="1786">
        <v>0</v>
      </c>
      <c r="R552" s="1788"/>
      <c r="S552" s="1786">
        <f t="shared" si="94"/>
        <v>1166</v>
      </c>
      <c r="T552" s="1786">
        <f t="shared" si="95"/>
        <v>0</v>
      </c>
      <c r="U552" s="1786" t="str">
        <f t="shared" si="96"/>
        <v>מגדלור להשתלמות נאות</v>
      </c>
      <c r="V552" s="1786">
        <f t="shared" si="97"/>
        <v>0</v>
      </c>
      <c r="W552" s="1789" t="str">
        <f t="shared" si="98"/>
        <v>מגדל גמל פלטינום בע"מ</v>
      </c>
      <c r="AC552" s="1759" t="s">
        <v>1586</v>
      </c>
      <c r="AD552" s="1760">
        <v>40178</v>
      </c>
      <c r="AE552" s="1760">
        <v>38782</v>
      </c>
      <c r="AF552" s="1759" t="s">
        <v>1583</v>
      </c>
      <c r="AG552" s="1759" t="s">
        <v>1583</v>
      </c>
      <c r="AH552" s="1759" t="s">
        <v>1583</v>
      </c>
      <c r="AI552" s="1759" t="s">
        <v>2309</v>
      </c>
      <c r="AJ552" s="1759" t="s">
        <v>2309</v>
      </c>
      <c r="AK552" s="1759">
        <v>1167</v>
      </c>
      <c r="AL552" s="1759" t="s">
        <v>2308</v>
      </c>
      <c r="AM552" s="1759">
        <v>1166</v>
      </c>
      <c r="AN552" s="1759"/>
      <c r="AO552" s="1764"/>
      <c r="AP552" s="1759"/>
      <c r="AQ552" s="1759"/>
      <c r="AR552" s="1759" t="s">
        <v>1656</v>
      </c>
      <c r="AS552" s="1759" t="s">
        <v>1655</v>
      </c>
      <c r="AT552" s="1759" t="s">
        <v>327</v>
      </c>
      <c r="AU552" s="1763"/>
      <c r="AV552" s="1763"/>
    </row>
    <row r="553" spans="1:48" ht="25" hidden="1">
      <c r="A553" s="1785" t="str">
        <f t="shared" si="88"/>
        <v>גמל</v>
      </c>
      <c r="B553" s="1786">
        <f t="shared" si="89"/>
        <v>1164</v>
      </c>
      <c r="C553" s="1787">
        <v>28946</v>
      </c>
      <c r="D553" s="1786" t="str">
        <f t="shared" si="90"/>
        <v>מגדלור לתגמולים ולפיצויים נאות</v>
      </c>
      <c r="E553" s="1786" t="s">
        <v>3929</v>
      </c>
      <c r="F553" s="1786" t="s">
        <v>2958</v>
      </c>
      <c r="G553" s="1786" t="s">
        <v>2959</v>
      </c>
      <c r="H553" s="1786" t="str">
        <f t="shared" si="91"/>
        <v>לא פעיל</v>
      </c>
      <c r="I553" s="1788">
        <f t="shared" si="92"/>
        <v>38782</v>
      </c>
      <c r="J553" s="1788">
        <f t="shared" si="93"/>
        <v>40178</v>
      </c>
      <c r="K553" s="1786">
        <v>0</v>
      </c>
      <c r="L553" s="1786" t="s">
        <v>1594</v>
      </c>
      <c r="M553" s="1786" t="s">
        <v>1653</v>
      </c>
      <c r="N553" s="1786" t="s">
        <v>1653</v>
      </c>
      <c r="O553" s="1786">
        <v>0</v>
      </c>
      <c r="P553" s="1786"/>
      <c r="Q553" s="1786">
        <v>0</v>
      </c>
      <c r="R553" s="1788"/>
      <c r="S553" s="1786">
        <f t="shared" si="94"/>
        <v>1164</v>
      </c>
      <c r="T553" s="1786">
        <f t="shared" si="95"/>
        <v>0</v>
      </c>
      <c r="U553" s="1786" t="str">
        <f t="shared" si="96"/>
        <v>מגדלור לתגמולים ולפיצויים נאות</v>
      </c>
      <c r="V553" s="1786">
        <f t="shared" si="97"/>
        <v>0</v>
      </c>
      <c r="W553" s="1789" t="str">
        <f t="shared" si="98"/>
        <v>מגדל גמל פלטינום בע"מ</v>
      </c>
      <c r="AC553" s="1761" t="s">
        <v>1586</v>
      </c>
      <c r="AD553" s="1762">
        <v>40178</v>
      </c>
      <c r="AE553" s="1762">
        <v>38782</v>
      </c>
      <c r="AF553" s="1761" t="s">
        <v>1583</v>
      </c>
      <c r="AG553" s="1761" t="s">
        <v>1583</v>
      </c>
      <c r="AH553" s="1761" t="s">
        <v>1583</v>
      </c>
      <c r="AI553" s="1761" t="s">
        <v>2306</v>
      </c>
      <c r="AJ553" s="1761" t="s">
        <v>2306</v>
      </c>
      <c r="AK553" s="1761">
        <v>1164</v>
      </c>
      <c r="AL553" s="1761" t="s">
        <v>2306</v>
      </c>
      <c r="AM553" s="1761">
        <v>1164</v>
      </c>
      <c r="AN553" s="1761"/>
      <c r="AO553" s="1764"/>
      <c r="AP553" s="1761"/>
      <c r="AQ553" s="1761"/>
      <c r="AR553" s="1761" t="s">
        <v>1656</v>
      </c>
      <c r="AS553" s="1761" t="s">
        <v>1655</v>
      </c>
      <c r="AT553" s="1761" t="s">
        <v>327</v>
      </c>
      <c r="AU553" s="1763"/>
      <c r="AV553" s="1763"/>
    </row>
    <row r="554" spans="1:48" ht="25" hidden="1">
      <c r="A554" s="1785" t="str">
        <f t="shared" si="88"/>
        <v>גמל</v>
      </c>
      <c r="B554" s="1786">
        <f t="shared" si="89"/>
        <v>1165</v>
      </c>
      <c r="C554" s="1787">
        <v>28946</v>
      </c>
      <c r="D554" s="1786" t="str">
        <f t="shared" si="90"/>
        <v>מגדלור לתגמולים ולפיצויים אפיקים</v>
      </c>
      <c r="E554" s="1786" t="s">
        <v>3929</v>
      </c>
      <c r="F554" s="1786" t="s">
        <v>2958</v>
      </c>
      <c r="G554" s="1786" t="s">
        <v>2959</v>
      </c>
      <c r="H554" s="1786" t="str">
        <f t="shared" si="91"/>
        <v>לא פעיל</v>
      </c>
      <c r="I554" s="1788">
        <f t="shared" si="92"/>
        <v>38782</v>
      </c>
      <c r="J554" s="1788">
        <f t="shared" si="93"/>
        <v>40178</v>
      </c>
      <c r="K554" s="1786">
        <v>0</v>
      </c>
      <c r="L554" s="1786" t="s">
        <v>1594</v>
      </c>
      <c r="M554" s="1786" t="s">
        <v>1653</v>
      </c>
      <c r="N554" s="1786" t="s">
        <v>1653</v>
      </c>
      <c r="O554" s="1786">
        <v>0</v>
      </c>
      <c r="P554" s="1786"/>
      <c r="Q554" s="1786">
        <v>0</v>
      </c>
      <c r="R554" s="1788"/>
      <c r="S554" s="1786">
        <f t="shared" si="94"/>
        <v>1164</v>
      </c>
      <c r="T554" s="1786">
        <f t="shared" si="95"/>
        <v>0</v>
      </c>
      <c r="U554" s="1786" t="str">
        <f t="shared" si="96"/>
        <v>מגדלור לתגמולים ולפיצויים נאות</v>
      </c>
      <c r="V554" s="1786">
        <f t="shared" si="97"/>
        <v>0</v>
      </c>
      <c r="W554" s="1789" t="str">
        <f t="shared" si="98"/>
        <v>מגדל גמל פלטינום בע"מ</v>
      </c>
      <c r="AC554" s="1759" t="s">
        <v>1586</v>
      </c>
      <c r="AD554" s="1760">
        <v>40178</v>
      </c>
      <c r="AE554" s="1760">
        <v>38782</v>
      </c>
      <c r="AF554" s="1759" t="s">
        <v>1583</v>
      </c>
      <c r="AG554" s="1759" t="s">
        <v>1583</v>
      </c>
      <c r="AH554" s="1759" t="s">
        <v>1583</v>
      </c>
      <c r="AI554" s="1759" t="s">
        <v>2307</v>
      </c>
      <c r="AJ554" s="1759" t="s">
        <v>2307</v>
      </c>
      <c r="AK554" s="1759">
        <v>1165</v>
      </c>
      <c r="AL554" s="1759" t="s">
        <v>2306</v>
      </c>
      <c r="AM554" s="1759">
        <v>1164</v>
      </c>
      <c r="AN554" s="1759"/>
      <c r="AO554" s="1764"/>
      <c r="AP554" s="1759"/>
      <c r="AQ554" s="1759"/>
      <c r="AR554" s="1759" t="s">
        <v>1656</v>
      </c>
      <c r="AS554" s="1759" t="s">
        <v>1655</v>
      </c>
      <c r="AT554" s="1759" t="s">
        <v>327</v>
      </c>
      <c r="AU554" s="1763"/>
      <c r="AV554" s="1763"/>
    </row>
    <row r="555" spans="1:48" ht="26.5" hidden="1" customHeight="1">
      <c r="A555" s="1785" t="str">
        <f t="shared" si="88"/>
        <v>גמל</v>
      </c>
      <c r="B555" s="1786">
        <f t="shared" si="89"/>
        <v>1161</v>
      </c>
      <c r="C555" s="1787">
        <v>28946</v>
      </c>
      <c r="D555" s="1786" t="str">
        <f t="shared" si="90"/>
        <v>מקפת דמי מחלה</v>
      </c>
      <c r="E555" s="1786" t="s">
        <v>3929</v>
      </c>
      <c r="F555" s="1786" t="s">
        <v>2958</v>
      </c>
      <c r="G555" s="1786" t="s">
        <v>2959</v>
      </c>
      <c r="H555" s="1786" t="str">
        <f t="shared" si="91"/>
        <v>פעיל</v>
      </c>
      <c r="I555" s="1788">
        <f t="shared" si="92"/>
        <v>38714</v>
      </c>
      <c r="J555" s="1788" t="str">
        <f t="shared" si="93"/>
        <v/>
      </c>
      <c r="K555" s="1786">
        <v>0</v>
      </c>
      <c r="L555" s="1786" t="s">
        <v>1594</v>
      </c>
      <c r="M555" s="1786" t="s">
        <v>1653</v>
      </c>
      <c r="N555" s="1786" t="s">
        <v>1653</v>
      </c>
      <c r="O555" s="1786">
        <v>0</v>
      </c>
      <c r="P555" s="1786"/>
      <c r="Q555" s="1786">
        <v>0</v>
      </c>
      <c r="R555" s="1788"/>
      <c r="S555" s="1786">
        <f t="shared" si="94"/>
        <v>1161</v>
      </c>
      <c r="T555" s="1786" t="str">
        <f t="shared" si="95"/>
        <v>לאומי</v>
      </c>
      <c r="U555" s="1786" t="str">
        <f t="shared" si="96"/>
        <v>מקפת דמי מחלה</v>
      </c>
      <c r="V555" s="1786" t="str">
        <f t="shared" si="97"/>
        <v>510464803</v>
      </c>
      <c r="W555" s="1789" t="str">
        <f t="shared" si="98"/>
        <v>מגדל מקפת קרנות פנסיה וקופות גמל בע"מ</v>
      </c>
      <c r="AC555" s="1761" t="s">
        <v>346</v>
      </c>
      <c r="AD555" s="1761"/>
      <c r="AE555" s="1762">
        <v>38714</v>
      </c>
      <c r="AF555" s="1761" t="s">
        <v>1583</v>
      </c>
      <c r="AG555" s="1761" t="s">
        <v>1583</v>
      </c>
      <c r="AH555" s="1761" t="s">
        <v>1583</v>
      </c>
      <c r="AI555" s="1761" t="s">
        <v>669</v>
      </c>
      <c r="AJ555" s="1761" t="s">
        <v>669</v>
      </c>
      <c r="AK555" s="1761">
        <v>1161</v>
      </c>
      <c r="AL555" s="1761" t="s">
        <v>669</v>
      </c>
      <c r="AM555" s="1761">
        <v>1161</v>
      </c>
      <c r="AN555" s="1761" t="s">
        <v>5305</v>
      </c>
      <c r="AO555" s="1764"/>
      <c r="AP555" s="1761" t="s">
        <v>5382</v>
      </c>
      <c r="AQ555" s="1761" t="s">
        <v>5383</v>
      </c>
      <c r="AR555" s="1761" t="s">
        <v>394</v>
      </c>
      <c r="AS555" s="1761" t="s">
        <v>395</v>
      </c>
      <c r="AT555" s="1761" t="s">
        <v>327</v>
      </c>
      <c r="AU555" s="1763"/>
      <c r="AV555" s="1763"/>
    </row>
    <row r="556" spans="1:48" ht="37.5" hidden="1">
      <c r="A556" s="1785" t="str">
        <f t="shared" si="88"/>
        <v>גמל</v>
      </c>
      <c r="B556" s="1786">
        <f t="shared" si="89"/>
        <v>1160</v>
      </c>
      <c r="C556" s="1787">
        <v>28946</v>
      </c>
      <c r="D556" s="1786" t="str">
        <f t="shared" si="90"/>
        <v>איילון תקציבית</v>
      </c>
      <c r="E556" s="1786" t="s">
        <v>3929</v>
      </c>
      <c r="F556" s="1786" t="s">
        <v>2958</v>
      </c>
      <c r="G556" s="1786" t="s">
        <v>2959</v>
      </c>
      <c r="H556" s="1786" t="str">
        <f t="shared" si="91"/>
        <v>לא פעיל</v>
      </c>
      <c r="I556" s="1788">
        <f t="shared" si="92"/>
        <v>38714</v>
      </c>
      <c r="J556" s="1788">
        <f t="shared" si="93"/>
        <v>38747</v>
      </c>
      <c r="K556" s="1786">
        <v>0</v>
      </c>
      <c r="L556" s="1786" t="s">
        <v>1594</v>
      </c>
      <c r="M556" s="1786" t="s">
        <v>1653</v>
      </c>
      <c r="N556" s="1786" t="s">
        <v>1653</v>
      </c>
      <c r="O556" s="1786">
        <v>0</v>
      </c>
      <c r="P556" s="1786"/>
      <c r="Q556" s="1786">
        <v>0</v>
      </c>
      <c r="R556" s="1788"/>
      <c r="S556" s="1786">
        <f t="shared" si="94"/>
        <v>1160</v>
      </c>
      <c r="T556" s="1786" t="str">
        <f t="shared" si="95"/>
        <v>פיק, כהן ושות' חברה למיכון ומחשבים בע"מ</v>
      </c>
      <c r="U556" s="1786" t="str">
        <f t="shared" si="96"/>
        <v>איילון תקציבית</v>
      </c>
      <c r="V556" s="1786" t="str">
        <f t="shared" si="97"/>
        <v>520030677</v>
      </c>
      <c r="W556" s="1789" t="str">
        <f t="shared" si="98"/>
        <v>איילון פנסיה וגמל בע"מ</v>
      </c>
      <c r="AC556" s="1759" t="s">
        <v>1586</v>
      </c>
      <c r="AD556" s="1760">
        <v>38747</v>
      </c>
      <c r="AE556" s="1760">
        <v>38714</v>
      </c>
      <c r="AF556" s="1759" t="s">
        <v>1583</v>
      </c>
      <c r="AG556" s="1759" t="s">
        <v>1583</v>
      </c>
      <c r="AH556" s="1759" t="s">
        <v>1583</v>
      </c>
      <c r="AI556" s="1759" t="s">
        <v>2304</v>
      </c>
      <c r="AJ556" s="1759" t="s">
        <v>2304</v>
      </c>
      <c r="AK556" s="1759">
        <v>1160</v>
      </c>
      <c r="AL556" s="1759" t="s">
        <v>2304</v>
      </c>
      <c r="AM556" s="1759">
        <v>1160</v>
      </c>
      <c r="AN556" s="1759" t="s">
        <v>5530</v>
      </c>
      <c r="AO556" s="1764"/>
      <c r="AP556" s="1759" t="s">
        <v>5385</v>
      </c>
      <c r="AQ556" s="1759" t="s">
        <v>5386</v>
      </c>
      <c r="AR556" s="1759" t="s">
        <v>2780</v>
      </c>
      <c r="AS556" s="1759" t="s">
        <v>426</v>
      </c>
      <c r="AT556" s="1759" t="s">
        <v>327</v>
      </c>
      <c r="AU556" s="1763"/>
      <c r="AV556" s="1763"/>
    </row>
    <row r="557" spans="1:48" ht="37.5" hidden="1">
      <c r="A557" s="1785" t="str">
        <f t="shared" si="88"/>
        <v>גמל</v>
      </c>
      <c r="B557" s="1786">
        <f t="shared" si="89"/>
        <v>1154</v>
      </c>
      <c r="C557" s="1787">
        <v>28946</v>
      </c>
      <c r="D557" s="1786" t="str">
        <f t="shared" si="90"/>
        <v>מבטחים קופת גמל למטרות חופשה, חגים והבראה</v>
      </c>
      <c r="E557" s="1786" t="s">
        <v>3929</v>
      </c>
      <c r="F557" s="1786" t="s">
        <v>2958</v>
      </c>
      <c r="G557" s="1786" t="s">
        <v>2959</v>
      </c>
      <c r="H557" s="1786" t="str">
        <f t="shared" si="91"/>
        <v>פעיל</v>
      </c>
      <c r="I557" s="1788">
        <f t="shared" si="92"/>
        <v>38659</v>
      </c>
      <c r="J557" s="1788" t="str">
        <f t="shared" si="93"/>
        <v/>
      </c>
      <c r="K557" s="1786">
        <v>0</v>
      </c>
      <c r="L557" s="1786" t="s">
        <v>1594</v>
      </c>
      <c r="M557" s="1786" t="s">
        <v>1653</v>
      </c>
      <c r="N557" s="1786" t="s">
        <v>1653</v>
      </c>
      <c r="O557" s="1786">
        <v>0</v>
      </c>
      <c r="P557" s="1786"/>
      <c r="Q557" s="1786">
        <v>0</v>
      </c>
      <c r="R557" s="1788"/>
      <c r="S557" s="1786">
        <f t="shared" si="94"/>
        <v>1154</v>
      </c>
      <c r="T557" s="1786">
        <f t="shared" si="95"/>
        <v>0</v>
      </c>
      <c r="U557" s="1786" t="str">
        <f t="shared" si="96"/>
        <v>מבטחים קופת גמל למטרות חופשה, חגים והבראה</v>
      </c>
      <c r="V557" s="1786" t="str">
        <f t="shared" si="97"/>
        <v>520007469</v>
      </c>
      <c r="W557" s="1789" t="str">
        <f t="shared" si="98"/>
        <v>מנורה מבטחים פנסיה וגמל בע"מ</v>
      </c>
      <c r="AC557" s="1761" t="s">
        <v>346</v>
      </c>
      <c r="AD557" s="1761"/>
      <c r="AE557" s="1762">
        <v>38659</v>
      </c>
      <c r="AF557" s="1761" t="s">
        <v>1583</v>
      </c>
      <c r="AG557" s="1761" t="s">
        <v>1583</v>
      </c>
      <c r="AH557" s="1761" t="s">
        <v>1583</v>
      </c>
      <c r="AI557" s="1761" t="s">
        <v>3533</v>
      </c>
      <c r="AJ557" s="1761" t="s">
        <v>668</v>
      </c>
      <c r="AK557" s="1761">
        <v>1154</v>
      </c>
      <c r="AL557" s="1761" t="s">
        <v>668</v>
      </c>
      <c r="AM557" s="1761">
        <v>1154</v>
      </c>
      <c r="AN557" s="1761"/>
      <c r="AO557" s="1764"/>
      <c r="AP557" s="1761" t="s">
        <v>5377</v>
      </c>
      <c r="AQ557" s="1761" t="s">
        <v>5378</v>
      </c>
      <c r="AR557" s="1761" t="s">
        <v>2971</v>
      </c>
      <c r="AS557" s="1761" t="s">
        <v>396</v>
      </c>
      <c r="AT557" s="1761" t="s">
        <v>327</v>
      </c>
      <c r="AU557" s="1763"/>
      <c r="AV557" s="1763"/>
    </row>
    <row r="558" spans="1:48" ht="25" hidden="1">
      <c r="A558" s="1785" t="str">
        <f t="shared" si="88"/>
        <v>גמל</v>
      </c>
      <c r="B558" s="1786">
        <f t="shared" si="89"/>
        <v>1152</v>
      </c>
      <c r="C558" s="1787">
        <v>28946</v>
      </c>
      <c r="D558" s="1786" t="str">
        <f t="shared" si="90"/>
        <v>פרפקט קופת פיצויים מרכזית מסלול כללי</v>
      </c>
      <c r="E558" s="1786" t="s">
        <v>3929</v>
      </c>
      <c r="F558" s="1786" t="s">
        <v>2958</v>
      </c>
      <c r="G558" s="1786" t="s">
        <v>2959</v>
      </c>
      <c r="H558" s="1786" t="str">
        <f t="shared" si="91"/>
        <v>לא פעיל</v>
      </c>
      <c r="I558" s="1788">
        <f t="shared" si="92"/>
        <v>38608</v>
      </c>
      <c r="J558" s="1788">
        <f t="shared" si="93"/>
        <v>40821.499363425901</v>
      </c>
      <c r="K558" s="1786">
        <v>0</v>
      </c>
      <c r="L558" s="1786" t="s">
        <v>1594</v>
      </c>
      <c r="M558" s="1786" t="s">
        <v>1653</v>
      </c>
      <c r="N558" s="1786" t="s">
        <v>1653</v>
      </c>
      <c r="O558" s="1786">
        <v>0</v>
      </c>
      <c r="P558" s="1786"/>
      <c r="Q558" s="1786">
        <v>0</v>
      </c>
      <c r="R558" s="1788"/>
      <c r="S558" s="1786">
        <f t="shared" si="94"/>
        <v>1152</v>
      </c>
      <c r="T558" s="1786" t="str">
        <f t="shared" si="95"/>
        <v>בנק הפועלים בע"מ</v>
      </c>
      <c r="U558" s="1786" t="str">
        <f t="shared" si="96"/>
        <v>פרפקט קופת פיצויים מרכזית מסלול כללי</v>
      </c>
      <c r="V558" s="1786" t="str">
        <f t="shared" si="97"/>
        <v>511446551</v>
      </c>
      <c r="W558" s="1789" t="str">
        <f t="shared" si="98"/>
        <v>אלטשולר שחם גמל ופנסיה בע"מ</v>
      </c>
      <c r="AC558" s="1759" t="s">
        <v>1586</v>
      </c>
      <c r="AD558" s="1760">
        <v>40821.499363425901</v>
      </c>
      <c r="AE558" s="1760">
        <v>38608</v>
      </c>
      <c r="AF558" s="1759" t="s">
        <v>1583</v>
      </c>
      <c r="AG558" s="1759" t="s">
        <v>1583</v>
      </c>
      <c r="AH558" s="1759" t="s">
        <v>1583</v>
      </c>
      <c r="AI558" s="1759" t="s">
        <v>2301</v>
      </c>
      <c r="AJ558" s="1759" t="s">
        <v>2301</v>
      </c>
      <c r="AK558" s="1759">
        <v>1152</v>
      </c>
      <c r="AL558" s="1759" t="s">
        <v>2301</v>
      </c>
      <c r="AM558" s="1759">
        <v>1152</v>
      </c>
      <c r="AN558" s="1759" t="s">
        <v>1695</v>
      </c>
      <c r="AO558" s="1764"/>
      <c r="AP558" s="1759" t="s">
        <v>5375</v>
      </c>
      <c r="AQ558" s="1759" t="s">
        <v>5376</v>
      </c>
      <c r="AR558" s="1759" t="s">
        <v>2963</v>
      </c>
      <c r="AS558" s="1759" t="s">
        <v>523</v>
      </c>
      <c r="AT558" s="1759" t="s">
        <v>327</v>
      </c>
      <c r="AU558" s="1763"/>
      <c r="AV558" s="1763"/>
    </row>
    <row r="559" spans="1:48" ht="25" hidden="1">
      <c r="A559" s="1785" t="str">
        <f t="shared" si="88"/>
        <v>גמל</v>
      </c>
      <c r="B559" s="1786">
        <f t="shared" si="89"/>
        <v>1419</v>
      </c>
      <c r="C559" s="1787">
        <v>28946</v>
      </c>
      <c r="D559" s="1786" t="str">
        <f t="shared" si="90"/>
        <v>פרפקט השתלמות מסלול כספית</v>
      </c>
      <c r="E559" s="1786" t="s">
        <v>3929</v>
      </c>
      <c r="F559" s="1786" t="s">
        <v>2958</v>
      </c>
      <c r="G559" s="1786" t="s">
        <v>2959</v>
      </c>
      <c r="H559" s="1786" t="str">
        <f t="shared" si="91"/>
        <v>לא פעיל</v>
      </c>
      <c r="I559" s="1788">
        <f t="shared" si="92"/>
        <v>38608</v>
      </c>
      <c r="J559" s="1788">
        <f t="shared" si="93"/>
        <v>40178</v>
      </c>
      <c r="K559" s="1786">
        <v>0</v>
      </c>
      <c r="L559" s="1786" t="s">
        <v>1594</v>
      </c>
      <c r="M559" s="1786" t="s">
        <v>1653</v>
      </c>
      <c r="N559" s="1786" t="s">
        <v>1653</v>
      </c>
      <c r="O559" s="1786">
        <v>0</v>
      </c>
      <c r="P559" s="1786"/>
      <c r="Q559" s="1786">
        <v>0</v>
      </c>
      <c r="R559" s="1788"/>
      <c r="S559" s="1786">
        <f t="shared" si="94"/>
        <v>1151</v>
      </c>
      <c r="T559" s="1786" t="str">
        <f t="shared" si="95"/>
        <v>בנק הפועלים בע"מ</v>
      </c>
      <c r="U559" s="1786" t="str">
        <f t="shared" si="96"/>
        <v>פרפקט השתלמות</v>
      </c>
      <c r="V559" s="1786" t="str">
        <f t="shared" si="97"/>
        <v>511446551</v>
      </c>
      <c r="W559" s="1789" t="str">
        <f t="shared" si="98"/>
        <v>אלטשולר שחם גמל ופנסיה בע"מ</v>
      </c>
      <c r="AC559" s="1761" t="s">
        <v>1586</v>
      </c>
      <c r="AD559" s="1762">
        <v>40178</v>
      </c>
      <c r="AE559" s="1762">
        <v>38608</v>
      </c>
      <c r="AF559" s="1761" t="s">
        <v>2409</v>
      </c>
      <c r="AG559" s="1761" t="s">
        <v>1614</v>
      </c>
      <c r="AH559" s="1761" t="s">
        <v>1594</v>
      </c>
      <c r="AI559" s="1761" t="s">
        <v>2455</v>
      </c>
      <c r="AJ559" s="1761" t="s">
        <v>2455</v>
      </c>
      <c r="AK559" s="1761">
        <v>1419</v>
      </c>
      <c r="AL559" s="1761" t="s">
        <v>3632</v>
      </c>
      <c r="AM559" s="1761">
        <v>1151</v>
      </c>
      <c r="AN559" s="1761" t="s">
        <v>1695</v>
      </c>
      <c r="AO559" s="1764"/>
      <c r="AP559" s="1761" t="s">
        <v>5375</v>
      </c>
      <c r="AQ559" s="1761" t="s">
        <v>5376</v>
      </c>
      <c r="AR559" s="1761" t="s">
        <v>2963</v>
      </c>
      <c r="AS559" s="1761" t="s">
        <v>523</v>
      </c>
      <c r="AT559" s="1761" t="s">
        <v>327</v>
      </c>
      <c r="AU559" s="1763"/>
      <c r="AV559" s="1763"/>
    </row>
    <row r="560" spans="1:48" ht="25" hidden="1">
      <c r="A560" s="1785" t="str">
        <f t="shared" si="88"/>
        <v>גמל</v>
      </c>
      <c r="B560" s="1786">
        <f t="shared" si="89"/>
        <v>1151</v>
      </c>
      <c r="C560" s="1787">
        <v>28946</v>
      </c>
      <c r="D560" s="1786" t="str">
        <f t="shared" si="90"/>
        <v>אלטשולר שחם השתלמות</v>
      </c>
      <c r="E560" s="1786" t="s">
        <v>3929</v>
      </c>
      <c r="F560" s="1786" t="s">
        <v>2958</v>
      </c>
      <c r="G560" s="1786" t="s">
        <v>2959</v>
      </c>
      <c r="H560" s="1786" t="str">
        <f t="shared" si="91"/>
        <v>לא פעיל</v>
      </c>
      <c r="I560" s="1788">
        <f t="shared" si="92"/>
        <v>38608</v>
      </c>
      <c r="J560" s="1788">
        <f t="shared" si="93"/>
        <v>40821.501377314802</v>
      </c>
      <c r="K560" s="1786">
        <v>0</v>
      </c>
      <c r="L560" s="1786" t="s">
        <v>1594</v>
      </c>
      <c r="M560" s="1786" t="s">
        <v>1653</v>
      </c>
      <c r="N560" s="1786" t="s">
        <v>1653</v>
      </c>
      <c r="O560" s="1786">
        <v>0</v>
      </c>
      <c r="P560" s="1786"/>
      <c r="Q560" s="1786">
        <v>0</v>
      </c>
      <c r="R560" s="1788"/>
      <c r="S560" s="1786">
        <f t="shared" si="94"/>
        <v>1151</v>
      </c>
      <c r="T560" s="1786" t="str">
        <f t="shared" si="95"/>
        <v>בנק הפועלים בע"מ</v>
      </c>
      <c r="U560" s="1786" t="str">
        <f t="shared" si="96"/>
        <v>אלטשולר שחם השתלמות</v>
      </c>
      <c r="V560" s="1786" t="str">
        <f t="shared" si="97"/>
        <v>511446551</v>
      </c>
      <c r="W560" s="1789" t="str">
        <f t="shared" si="98"/>
        <v>אלטשולר שחם גמל ופנסיה בע"מ</v>
      </c>
      <c r="AC560" s="1759" t="s">
        <v>1586</v>
      </c>
      <c r="AD560" s="1760">
        <v>40821.501377314802</v>
      </c>
      <c r="AE560" s="1760">
        <v>38608</v>
      </c>
      <c r="AF560" s="1759" t="s">
        <v>1583</v>
      </c>
      <c r="AG560" s="1759" t="s">
        <v>1583</v>
      </c>
      <c r="AH560" s="1759" t="s">
        <v>1583</v>
      </c>
      <c r="AI560" s="1759" t="s">
        <v>2300</v>
      </c>
      <c r="AJ560" s="1759" t="s">
        <v>2300</v>
      </c>
      <c r="AK560" s="1759">
        <v>1151</v>
      </c>
      <c r="AL560" s="1759" t="s">
        <v>2300</v>
      </c>
      <c r="AM560" s="1759">
        <v>1151</v>
      </c>
      <c r="AN560" s="1759" t="s">
        <v>1695</v>
      </c>
      <c r="AO560" s="1764"/>
      <c r="AP560" s="1759" t="s">
        <v>5375</v>
      </c>
      <c r="AQ560" s="1759" t="s">
        <v>5376</v>
      </c>
      <c r="AR560" s="1759" t="s">
        <v>2963</v>
      </c>
      <c r="AS560" s="1759" t="s">
        <v>523</v>
      </c>
      <c r="AT560" s="1759" t="s">
        <v>327</v>
      </c>
      <c r="AU560" s="1763"/>
      <c r="AV560" s="1763"/>
    </row>
    <row r="561" spans="1:48" ht="25" hidden="1">
      <c r="A561" s="1785" t="str">
        <f t="shared" si="88"/>
        <v>גמל</v>
      </c>
      <c r="B561" s="1786">
        <f t="shared" si="89"/>
        <v>1150</v>
      </c>
      <c r="C561" s="1787">
        <v>28946</v>
      </c>
      <c r="D561" s="1786" t="str">
        <f t="shared" si="90"/>
        <v>אלטשולר שחם גמל</v>
      </c>
      <c r="E561" s="1786" t="s">
        <v>3929</v>
      </c>
      <c r="F561" s="1786" t="s">
        <v>2958</v>
      </c>
      <c r="G561" s="1786" t="s">
        <v>2959</v>
      </c>
      <c r="H561" s="1786" t="str">
        <f t="shared" si="91"/>
        <v>לא פעיל</v>
      </c>
      <c r="I561" s="1788">
        <f t="shared" si="92"/>
        <v>38608</v>
      </c>
      <c r="J561" s="1788">
        <f t="shared" si="93"/>
        <v>40821.3984837963</v>
      </c>
      <c r="K561" s="1786">
        <v>0</v>
      </c>
      <c r="L561" s="1786" t="s">
        <v>1594</v>
      </c>
      <c r="M561" s="1786" t="s">
        <v>1653</v>
      </c>
      <c r="N561" s="1786" t="s">
        <v>1653</v>
      </c>
      <c r="O561" s="1786">
        <v>0</v>
      </c>
      <c r="P561" s="1786"/>
      <c r="Q561" s="1786">
        <v>0</v>
      </c>
      <c r="R561" s="1788"/>
      <c r="S561" s="1786">
        <f t="shared" si="94"/>
        <v>1150</v>
      </c>
      <c r="T561" s="1786" t="str">
        <f t="shared" si="95"/>
        <v>בנק הפועלים בע"מ</v>
      </c>
      <c r="U561" s="1786" t="str">
        <f t="shared" si="96"/>
        <v>אלטשולר שחם גמל</v>
      </c>
      <c r="V561" s="1786" t="str">
        <f t="shared" si="97"/>
        <v>511446551</v>
      </c>
      <c r="W561" s="1789" t="str">
        <f t="shared" si="98"/>
        <v>אלטשולר שחם גמל ופנסיה בע"מ</v>
      </c>
      <c r="AC561" s="1761" t="s">
        <v>1586</v>
      </c>
      <c r="AD561" s="1762">
        <v>40821.3984837963</v>
      </c>
      <c r="AE561" s="1762">
        <v>38608</v>
      </c>
      <c r="AF561" s="1761" t="s">
        <v>1583</v>
      </c>
      <c r="AG561" s="1761" t="s">
        <v>1583</v>
      </c>
      <c r="AH561" s="1761" t="s">
        <v>1583</v>
      </c>
      <c r="AI561" s="1761" t="s">
        <v>652</v>
      </c>
      <c r="AJ561" s="1761" t="s">
        <v>652</v>
      </c>
      <c r="AK561" s="1761">
        <v>1150</v>
      </c>
      <c r="AL561" s="1761" t="s">
        <v>652</v>
      </c>
      <c r="AM561" s="1761">
        <v>1150</v>
      </c>
      <c r="AN561" s="1761" t="s">
        <v>1695</v>
      </c>
      <c r="AO561" s="1764"/>
      <c r="AP561" s="1761" t="s">
        <v>5375</v>
      </c>
      <c r="AQ561" s="1761" t="s">
        <v>5376</v>
      </c>
      <c r="AR561" s="1761" t="s">
        <v>2963</v>
      </c>
      <c r="AS561" s="1761" t="s">
        <v>523</v>
      </c>
      <c r="AT561" s="1761" t="s">
        <v>327</v>
      </c>
      <c r="AU561" s="1763"/>
      <c r="AV561" s="1763"/>
    </row>
    <row r="562" spans="1:48" ht="25" hidden="1">
      <c r="A562" s="1785" t="str">
        <f t="shared" si="88"/>
        <v>גמל</v>
      </c>
      <c r="B562" s="1786">
        <f t="shared" si="89"/>
        <v>1291</v>
      </c>
      <c r="C562" s="1787">
        <v>28946</v>
      </c>
      <c r="D562" s="1786" t="str">
        <f t="shared" si="90"/>
        <v>אלטשולר שחם גמל מסלול אמרלד</v>
      </c>
      <c r="E562" s="1786" t="s">
        <v>3929</v>
      </c>
      <c r="F562" s="1786" t="s">
        <v>2958</v>
      </c>
      <c r="G562" s="1786" t="s">
        <v>2959</v>
      </c>
      <c r="H562" s="1786" t="str">
        <f t="shared" si="91"/>
        <v>לא פעיל</v>
      </c>
      <c r="I562" s="1788">
        <f t="shared" si="92"/>
        <v>38608</v>
      </c>
      <c r="J562" s="1788">
        <f t="shared" si="93"/>
        <v>40821.502708333297</v>
      </c>
      <c r="K562" s="1786">
        <v>0</v>
      </c>
      <c r="L562" s="1786" t="s">
        <v>1594</v>
      </c>
      <c r="M562" s="1786" t="s">
        <v>1653</v>
      </c>
      <c r="N562" s="1786" t="s">
        <v>1653</v>
      </c>
      <c r="O562" s="1786">
        <v>0</v>
      </c>
      <c r="P562" s="1786"/>
      <c r="Q562" s="1786">
        <v>0</v>
      </c>
      <c r="R562" s="1788"/>
      <c r="S562" s="1786">
        <f t="shared" si="94"/>
        <v>1150</v>
      </c>
      <c r="T562" s="1786" t="str">
        <f t="shared" si="95"/>
        <v>בנק הפועלים בע"מ</v>
      </c>
      <c r="U562" s="1786" t="str">
        <f t="shared" si="96"/>
        <v>אלטשולר שחם גמל</v>
      </c>
      <c r="V562" s="1786" t="str">
        <f t="shared" si="97"/>
        <v>511446551</v>
      </c>
      <c r="W562" s="1789" t="str">
        <f t="shared" si="98"/>
        <v>אלטשולר שחם גמל ופנסיה בע"מ</v>
      </c>
      <c r="AC562" s="1759" t="s">
        <v>1586</v>
      </c>
      <c r="AD562" s="1760">
        <v>40821.502708333297</v>
      </c>
      <c r="AE562" s="1760">
        <v>38608</v>
      </c>
      <c r="AF562" s="1759" t="s">
        <v>1653</v>
      </c>
      <c r="AG562" s="1759" t="s">
        <v>1653</v>
      </c>
      <c r="AH562" s="1759" t="s">
        <v>1594</v>
      </c>
      <c r="AI562" s="1759" t="s">
        <v>2386</v>
      </c>
      <c r="AJ562" s="1759" t="s">
        <v>2386</v>
      </c>
      <c r="AK562" s="1759">
        <v>1291</v>
      </c>
      <c r="AL562" s="1759" t="s">
        <v>652</v>
      </c>
      <c r="AM562" s="1759">
        <v>1150</v>
      </c>
      <c r="AN562" s="1759" t="s">
        <v>1695</v>
      </c>
      <c r="AO562" s="1764"/>
      <c r="AP562" s="1759" t="s">
        <v>5375</v>
      </c>
      <c r="AQ562" s="1759" t="s">
        <v>5376</v>
      </c>
      <c r="AR562" s="1759" t="s">
        <v>2963</v>
      </c>
      <c r="AS562" s="1759" t="s">
        <v>523</v>
      </c>
      <c r="AT562" s="1759" t="s">
        <v>327</v>
      </c>
      <c r="AU562" s="1763"/>
      <c r="AV562" s="1763"/>
    </row>
    <row r="563" spans="1:48" ht="25" hidden="1">
      <c r="A563" s="1785" t="str">
        <f t="shared" si="88"/>
        <v>גמל</v>
      </c>
      <c r="B563" s="1786">
        <f t="shared" si="89"/>
        <v>1418</v>
      </c>
      <c r="C563" s="1787">
        <v>28946</v>
      </c>
      <c r="D563" s="1786" t="str">
        <f t="shared" si="90"/>
        <v>פרפקט גמל מסלול כספית</v>
      </c>
      <c r="E563" s="1786" t="s">
        <v>3929</v>
      </c>
      <c r="F563" s="1786" t="s">
        <v>2958</v>
      </c>
      <c r="G563" s="1786" t="s">
        <v>2959</v>
      </c>
      <c r="H563" s="1786" t="str">
        <f t="shared" si="91"/>
        <v>לא פעיל</v>
      </c>
      <c r="I563" s="1788">
        <f t="shared" si="92"/>
        <v>38608</v>
      </c>
      <c r="J563" s="1788">
        <f t="shared" si="93"/>
        <v>40178</v>
      </c>
      <c r="K563" s="1786">
        <v>0</v>
      </c>
      <c r="L563" s="1786" t="s">
        <v>1594</v>
      </c>
      <c r="M563" s="1786" t="s">
        <v>1653</v>
      </c>
      <c r="N563" s="1786" t="s">
        <v>1653</v>
      </c>
      <c r="O563" s="1786">
        <v>0</v>
      </c>
      <c r="P563" s="1786"/>
      <c r="Q563" s="1786">
        <v>0</v>
      </c>
      <c r="R563" s="1788"/>
      <c r="S563" s="1786">
        <f t="shared" si="94"/>
        <v>1150</v>
      </c>
      <c r="T563" s="1786" t="str">
        <f t="shared" si="95"/>
        <v>בנק הפועלים בע"מ</v>
      </c>
      <c r="U563" s="1786" t="str">
        <f t="shared" si="96"/>
        <v>פרפקט גמל</v>
      </c>
      <c r="V563" s="1786" t="str">
        <f t="shared" si="97"/>
        <v>511446551</v>
      </c>
      <c r="W563" s="1789" t="str">
        <f t="shared" si="98"/>
        <v>אלטשולר שחם גמל ופנסיה בע"מ</v>
      </c>
      <c r="AC563" s="1761" t="s">
        <v>1586</v>
      </c>
      <c r="AD563" s="1762">
        <v>40178</v>
      </c>
      <c r="AE563" s="1762">
        <v>38608</v>
      </c>
      <c r="AF563" s="1761" t="s">
        <v>2409</v>
      </c>
      <c r="AG563" s="1761" t="s">
        <v>1614</v>
      </c>
      <c r="AH563" s="1761" t="s">
        <v>1594</v>
      </c>
      <c r="AI563" s="1761" t="s">
        <v>2454</v>
      </c>
      <c r="AJ563" s="1761" t="s">
        <v>2454</v>
      </c>
      <c r="AK563" s="1761">
        <v>1418</v>
      </c>
      <c r="AL563" s="1761" t="s">
        <v>3631</v>
      </c>
      <c r="AM563" s="1761">
        <v>1150</v>
      </c>
      <c r="AN563" s="1761" t="s">
        <v>1695</v>
      </c>
      <c r="AO563" s="1764"/>
      <c r="AP563" s="1761" t="s">
        <v>5375</v>
      </c>
      <c r="AQ563" s="1761" t="s">
        <v>5376</v>
      </c>
      <c r="AR563" s="1761" t="s">
        <v>2963</v>
      </c>
      <c r="AS563" s="1761" t="s">
        <v>523</v>
      </c>
      <c r="AT563" s="1761" t="s">
        <v>327</v>
      </c>
      <c r="AU563" s="1763"/>
      <c r="AV563" s="1763"/>
    </row>
    <row r="564" spans="1:48" ht="25" hidden="1">
      <c r="A564" s="1785" t="str">
        <f t="shared" si="88"/>
        <v>גמל</v>
      </c>
      <c r="B564" s="1786">
        <f t="shared" si="89"/>
        <v>1148</v>
      </c>
      <c r="C564" s="1787">
        <v>28946</v>
      </c>
      <c r="D564" s="1786" t="str">
        <f t="shared" si="90"/>
        <v>מנורה השתלמות כללי</v>
      </c>
      <c r="E564" s="1786" t="s">
        <v>3929</v>
      </c>
      <c r="F564" s="1786" t="s">
        <v>2958</v>
      </c>
      <c r="G564" s="1786" t="s">
        <v>2959</v>
      </c>
      <c r="H564" s="1786" t="str">
        <f t="shared" si="91"/>
        <v>לא פעיל</v>
      </c>
      <c r="I564" s="1788">
        <f t="shared" si="92"/>
        <v>38607</v>
      </c>
      <c r="J564" s="1788">
        <f t="shared" si="93"/>
        <v>41597.742974537003</v>
      </c>
      <c r="K564" s="1786">
        <v>0</v>
      </c>
      <c r="L564" s="1786" t="s">
        <v>1594</v>
      </c>
      <c r="M564" s="1786" t="s">
        <v>1653</v>
      </c>
      <c r="N564" s="1786" t="s">
        <v>1653</v>
      </c>
      <c r="O564" s="1786">
        <v>0</v>
      </c>
      <c r="P564" s="1786"/>
      <c r="Q564" s="1786">
        <v>0</v>
      </c>
      <c r="R564" s="1788"/>
      <c r="S564" s="1786">
        <f t="shared" si="94"/>
        <v>1148</v>
      </c>
      <c r="T564" s="1786" t="str">
        <f t="shared" si="95"/>
        <v>בנק לאומי בע"מ</v>
      </c>
      <c r="U564" s="1786" t="str">
        <f t="shared" si="96"/>
        <v>מנורה השתלמות כללי</v>
      </c>
      <c r="V564" s="1786">
        <f t="shared" si="97"/>
        <v>0</v>
      </c>
      <c r="W564" s="1789" t="str">
        <f t="shared" si="98"/>
        <v>מנורה מבטחים גמל בע"מ</v>
      </c>
      <c r="AC564" s="1759" t="s">
        <v>1586</v>
      </c>
      <c r="AD564" s="1760">
        <v>41597.742974537003</v>
      </c>
      <c r="AE564" s="1760">
        <v>38607</v>
      </c>
      <c r="AF564" s="1759" t="s">
        <v>1583</v>
      </c>
      <c r="AG564" s="1759" t="s">
        <v>1583</v>
      </c>
      <c r="AH564" s="1759" t="s">
        <v>1583</v>
      </c>
      <c r="AI564" s="1759" t="s">
        <v>667</v>
      </c>
      <c r="AJ564" s="1759" t="s">
        <v>667</v>
      </c>
      <c r="AK564" s="1759">
        <v>1148</v>
      </c>
      <c r="AL564" s="1759" t="s">
        <v>667</v>
      </c>
      <c r="AM564" s="1759">
        <v>1148</v>
      </c>
      <c r="AN564" s="1759" t="s">
        <v>5470</v>
      </c>
      <c r="AO564" s="1764"/>
      <c r="AP564" s="1759"/>
      <c r="AQ564" s="1759"/>
      <c r="AR564" s="1759" t="s">
        <v>363</v>
      </c>
      <c r="AS564" s="1759" t="s">
        <v>364</v>
      </c>
      <c r="AT564" s="1759" t="s">
        <v>327</v>
      </c>
      <c r="AU564" s="1763"/>
      <c r="AV564" s="1763"/>
    </row>
    <row r="565" spans="1:48" ht="25" hidden="1">
      <c r="A565" s="1785" t="str">
        <f t="shared" si="88"/>
        <v>גמל</v>
      </c>
      <c r="B565" s="1786">
        <f t="shared" si="89"/>
        <v>1146</v>
      </c>
      <c r="C565" s="1787">
        <v>28946</v>
      </c>
      <c r="D565" s="1786" t="str">
        <f t="shared" si="90"/>
        <v>מנורה גמל כללי</v>
      </c>
      <c r="E565" s="1786" t="s">
        <v>3929</v>
      </c>
      <c r="F565" s="1786" t="s">
        <v>2958</v>
      </c>
      <c r="G565" s="1786" t="s">
        <v>2959</v>
      </c>
      <c r="H565" s="1786" t="str">
        <f t="shared" si="91"/>
        <v>לא פעיל</v>
      </c>
      <c r="I565" s="1788">
        <f t="shared" si="92"/>
        <v>38607</v>
      </c>
      <c r="J565" s="1788">
        <f t="shared" si="93"/>
        <v>41372.411851851903</v>
      </c>
      <c r="K565" s="1786">
        <v>0</v>
      </c>
      <c r="L565" s="1786" t="s">
        <v>1594</v>
      </c>
      <c r="M565" s="1786" t="s">
        <v>1653</v>
      </c>
      <c r="N565" s="1786" t="s">
        <v>1653</v>
      </c>
      <c r="O565" s="1786">
        <v>0</v>
      </c>
      <c r="P565" s="1786"/>
      <c r="Q565" s="1786">
        <v>0</v>
      </c>
      <c r="R565" s="1788"/>
      <c r="S565" s="1786">
        <f t="shared" si="94"/>
        <v>1146</v>
      </c>
      <c r="T565" s="1786" t="str">
        <f t="shared" si="95"/>
        <v>בנק לאומי בע"מ</v>
      </c>
      <c r="U565" s="1786" t="str">
        <f t="shared" si="96"/>
        <v>מנורה גמל כללי</v>
      </c>
      <c r="V565" s="1786">
        <f t="shared" si="97"/>
        <v>0</v>
      </c>
      <c r="W565" s="1789" t="str">
        <f t="shared" si="98"/>
        <v>מנורה מבטחים גמל בע"מ</v>
      </c>
      <c r="AC565" s="1761" t="s">
        <v>1586</v>
      </c>
      <c r="AD565" s="1762">
        <v>41372.411851851903</v>
      </c>
      <c r="AE565" s="1762">
        <v>38607</v>
      </c>
      <c r="AF565" s="1761" t="s">
        <v>1583</v>
      </c>
      <c r="AG565" s="1761" t="s">
        <v>1583</v>
      </c>
      <c r="AH565" s="1761" t="s">
        <v>1583</v>
      </c>
      <c r="AI565" s="1761" t="s">
        <v>666</v>
      </c>
      <c r="AJ565" s="1761" t="s">
        <v>666</v>
      </c>
      <c r="AK565" s="1761">
        <v>1146</v>
      </c>
      <c r="AL565" s="1761" t="s">
        <v>666</v>
      </c>
      <c r="AM565" s="1761">
        <v>1146</v>
      </c>
      <c r="AN565" s="1761" t="s">
        <v>5470</v>
      </c>
      <c r="AO565" s="1764"/>
      <c r="AP565" s="1761"/>
      <c r="AQ565" s="1761"/>
      <c r="AR565" s="1761" t="s">
        <v>363</v>
      </c>
      <c r="AS565" s="1761" t="s">
        <v>364</v>
      </c>
      <c r="AT565" s="1761" t="s">
        <v>327</v>
      </c>
      <c r="AU565" s="1763"/>
      <c r="AV565" s="1763"/>
    </row>
    <row r="566" spans="1:48" ht="25" hidden="1">
      <c r="A566" s="1785" t="str">
        <f t="shared" si="88"/>
        <v>גמל</v>
      </c>
      <c r="B566" s="1786">
        <f t="shared" si="89"/>
        <v>1345</v>
      </c>
      <c r="C566" s="1787">
        <v>28946</v>
      </c>
      <c r="D566" s="1786" t="str">
        <f t="shared" si="90"/>
        <v>מנורה גמל לפרישה 2020</v>
      </c>
      <c r="E566" s="1786" t="s">
        <v>3929</v>
      </c>
      <c r="F566" s="1786" t="s">
        <v>2958</v>
      </c>
      <c r="G566" s="1786" t="s">
        <v>2959</v>
      </c>
      <c r="H566" s="1786" t="str">
        <f t="shared" si="91"/>
        <v>לא פעיל</v>
      </c>
      <c r="I566" s="1788">
        <f t="shared" si="92"/>
        <v>38607</v>
      </c>
      <c r="J566" s="1788">
        <f t="shared" si="93"/>
        <v>41070.455289351798</v>
      </c>
      <c r="K566" s="1786">
        <v>0</v>
      </c>
      <c r="L566" s="1786" t="s">
        <v>1594</v>
      </c>
      <c r="M566" s="1786" t="s">
        <v>1653</v>
      </c>
      <c r="N566" s="1786" t="s">
        <v>1653</v>
      </c>
      <c r="O566" s="1786">
        <v>0</v>
      </c>
      <c r="P566" s="1786"/>
      <c r="Q566" s="1786">
        <v>0</v>
      </c>
      <c r="R566" s="1788"/>
      <c r="S566" s="1786">
        <f t="shared" si="94"/>
        <v>1146</v>
      </c>
      <c r="T566" s="1786" t="str">
        <f t="shared" si="95"/>
        <v>בנק לאומי בע"מ</v>
      </c>
      <c r="U566" s="1786" t="str">
        <f t="shared" si="96"/>
        <v>מנורה גמל כללי</v>
      </c>
      <c r="V566" s="1786">
        <f t="shared" si="97"/>
        <v>0</v>
      </c>
      <c r="W566" s="1789" t="str">
        <f t="shared" si="98"/>
        <v>מנורה מבטחים גמל בע"מ</v>
      </c>
      <c r="AC566" s="1759" t="s">
        <v>1586</v>
      </c>
      <c r="AD566" s="1760">
        <v>41070.455289351798</v>
      </c>
      <c r="AE566" s="1760">
        <v>38607</v>
      </c>
      <c r="AF566" s="1759" t="s">
        <v>1583</v>
      </c>
      <c r="AG566" s="1759" t="s">
        <v>1583</v>
      </c>
      <c r="AH566" s="1759" t="s">
        <v>1583</v>
      </c>
      <c r="AI566" s="1759" t="s">
        <v>2415</v>
      </c>
      <c r="AJ566" s="1759" t="s">
        <v>2415</v>
      </c>
      <c r="AK566" s="1759">
        <v>1345</v>
      </c>
      <c r="AL566" s="1759" t="s">
        <v>666</v>
      </c>
      <c r="AM566" s="1759">
        <v>1146</v>
      </c>
      <c r="AN566" s="1759" t="s">
        <v>5470</v>
      </c>
      <c r="AO566" s="1764"/>
      <c r="AP566" s="1759"/>
      <c r="AQ566" s="1759"/>
      <c r="AR566" s="1759" t="s">
        <v>363</v>
      </c>
      <c r="AS566" s="1759" t="s">
        <v>364</v>
      </c>
      <c r="AT566" s="1759" t="s">
        <v>327</v>
      </c>
      <c r="AU566" s="1763"/>
      <c r="AV566" s="1763"/>
    </row>
    <row r="567" spans="1:48" ht="25" hidden="1">
      <c r="A567" s="1785" t="str">
        <f t="shared" si="88"/>
        <v>גמל</v>
      </c>
      <c r="B567" s="1786">
        <f t="shared" si="89"/>
        <v>1346</v>
      </c>
      <c r="C567" s="1787">
        <v>28946</v>
      </c>
      <c r="D567" s="1786" t="str">
        <f t="shared" si="90"/>
        <v>מנורה גמל לפרישה 2030</v>
      </c>
      <c r="E567" s="1786" t="s">
        <v>3929</v>
      </c>
      <c r="F567" s="1786" t="s">
        <v>2958</v>
      </c>
      <c r="G567" s="1786" t="s">
        <v>2959</v>
      </c>
      <c r="H567" s="1786" t="str">
        <f t="shared" si="91"/>
        <v>לא פעיל</v>
      </c>
      <c r="I567" s="1788">
        <f t="shared" si="92"/>
        <v>38607</v>
      </c>
      <c r="J567" s="1788">
        <f t="shared" si="93"/>
        <v>41070.456412036998</v>
      </c>
      <c r="K567" s="1786">
        <v>0</v>
      </c>
      <c r="L567" s="1786" t="s">
        <v>1594</v>
      </c>
      <c r="M567" s="1786" t="s">
        <v>1653</v>
      </c>
      <c r="N567" s="1786" t="s">
        <v>1653</v>
      </c>
      <c r="O567" s="1786">
        <v>0</v>
      </c>
      <c r="P567" s="1786"/>
      <c r="Q567" s="1786">
        <v>0</v>
      </c>
      <c r="R567" s="1788"/>
      <c r="S567" s="1786">
        <f t="shared" si="94"/>
        <v>1146</v>
      </c>
      <c r="T567" s="1786" t="str">
        <f t="shared" si="95"/>
        <v>בנק לאומי בע"מ</v>
      </c>
      <c r="U567" s="1786" t="str">
        <f t="shared" si="96"/>
        <v>מנורה גמל כללי</v>
      </c>
      <c r="V567" s="1786">
        <f t="shared" si="97"/>
        <v>0</v>
      </c>
      <c r="W567" s="1789" t="str">
        <f t="shared" si="98"/>
        <v>מנורה מבטחים גמל בע"מ</v>
      </c>
      <c r="AC567" s="1761" t="s">
        <v>1586</v>
      </c>
      <c r="AD567" s="1762">
        <v>41070.456412036998</v>
      </c>
      <c r="AE567" s="1762">
        <v>38607</v>
      </c>
      <c r="AF567" s="1761" t="s">
        <v>1583</v>
      </c>
      <c r="AG567" s="1761" t="s">
        <v>1583</v>
      </c>
      <c r="AH567" s="1761" t="s">
        <v>1583</v>
      </c>
      <c r="AI567" s="1761" t="s">
        <v>2416</v>
      </c>
      <c r="AJ567" s="1761" t="s">
        <v>2416</v>
      </c>
      <c r="AK567" s="1761">
        <v>1346</v>
      </c>
      <c r="AL567" s="1761" t="s">
        <v>666</v>
      </c>
      <c r="AM567" s="1761">
        <v>1146</v>
      </c>
      <c r="AN567" s="1761" t="s">
        <v>5470</v>
      </c>
      <c r="AO567" s="1764"/>
      <c r="AP567" s="1761"/>
      <c r="AQ567" s="1761"/>
      <c r="AR567" s="1761" t="s">
        <v>363</v>
      </c>
      <c r="AS567" s="1761" t="s">
        <v>364</v>
      </c>
      <c r="AT567" s="1761" t="s">
        <v>327</v>
      </c>
      <c r="AU567" s="1763"/>
      <c r="AV567" s="1763"/>
    </row>
    <row r="568" spans="1:48" ht="25" hidden="1">
      <c r="A568" s="1785" t="str">
        <f t="shared" si="88"/>
        <v>גמל</v>
      </c>
      <c r="B568" s="1786">
        <f t="shared" si="89"/>
        <v>1347</v>
      </c>
      <c r="C568" s="1787">
        <v>28946</v>
      </c>
      <c r="D568" s="1786" t="str">
        <f t="shared" si="90"/>
        <v>מנורה גמל לפרישה 2040</v>
      </c>
      <c r="E568" s="1786" t="s">
        <v>3929</v>
      </c>
      <c r="F568" s="1786" t="s">
        <v>2958</v>
      </c>
      <c r="G568" s="1786" t="s">
        <v>2959</v>
      </c>
      <c r="H568" s="1786" t="str">
        <f t="shared" si="91"/>
        <v>לא פעיל</v>
      </c>
      <c r="I568" s="1788">
        <f t="shared" si="92"/>
        <v>38607</v>
      </c>
      <c r="J568" s="1788">
        <f t="shared" si="93"/>
        <v>40062.580787036997</v>
      </c>
      <c r="K568" s="1786">
        <v>0</v>
      </c>
      <c r="L568" s="1786" t="s">
        <v>1594</v>
      </c>
      <c r="M568" s="1786" t="s">
        <v>1653</v>
      </c>
      <c r="N568" s="1786" t="s">
        <v>1653</v>
      </c>
      <c r="O568" s="1786">
        <v>0</v>
      </c>
      <c r="P568" s="1786"/>
      <c r="Q568" s="1786">
        <v>0</v>
      </c>
      <c r="R568" s="1788"/>
      <c r="S568" s="1786">
        <f t="shared" si="94"/>
        <v>1146</v>
      </c>
      <c r="T568" s="1786" t="str">
        <f t="shared" si="95"/>
        <v>בנק לאומי בע"מ</v>
      </c>
      <c r="U568" s="1786" t="str">
        <f t="shared" si="96"/>
        <v>מנורה גמל כללי</v>
      </c>
      <c r="V568" s="1786">
        <f t="shared" si="97"/>
        <v>0</v>
      </c>
      <c r="W568" s="1789" t="str">
        <f t="shared" si="98"/>
        <v>מנורה מבטחים גמל בע"מ</v>
      </c>
      <c r="AC568" s="1759" t="s">
        <v>1586</v>
      </c>
      <c r="AD568" s="1760">
        <v>40062.580787036997</v>
      </c>
      <c r="AE568" s="1760">
        <v>38607</v>
      </c>
      <c r="AF568" s="1759" t="s">
        <v>1583</v>
      </c>
      <c r="AG568" s="1759" t="s">
        <v>1583</v>
      </c>
      <c r="AH568" s="1759" t="s">
        <v>1583</v>
      </c>
      <c r="AI568" s="1759" t="s">
        <v>2417</v>
      </c>
      <c r="AJ568" s="1759" t="s">
        <v>2417</v>
      </c>
      <c r="AK568" s="1759">
        <v>1347</v>
      </c>
      <c r="AL568" s="1759" t="s">
        <v>666</v>
      </c>
      <c r="AM568" s="1759">
        <v>1146</v>
      </c>
      <c r="AN568" s="1759" t="s">
        <v>5470</v>
      </c>
      <c r="AO568" s="1764"/>
      <c r="AP568" s="1759"/>
      <c r="AQ568" s="1759"/>
      <c r="AR568" s="1759" t="s">
        <v>363</v>
      </c>
      <c r="AS568" s="1759" t="s">
        <v>364</v>
      </c>
      <c r="AT568" s="1759" t="s">
        <v>327</v>
      </c>
      <c r="AU568" s="1763"/>
      <c r="AV568" s="1763"/>
    </row>
    <row r="569" spans="1:48" ht="25" hidden="1">
      <c r="A569" s="1785" t="str">
        <f t="shared" si="88"/>
        <v>גמל</v>
      </c>
      <c r="B569" s="1786">
        <f t="shared" si="89"/>
        <v>1255</v>
      </c>
      <c r="C569" s="1787">
        <v>28946</v>
      </c>
      <c r="D569" s="1786" t="str">
        <f t="shared" si="90"/>
        <v>מנורה גמל מנייתי</v>
      </c>
      <c r="E569" s="1786" t="s">
        <v>3929</v>
      </c>
      <c r="F569" s="1786" t="s">
        <v>2958</v>
      </c>
      <c r="G569" s="1786" t="s">
        <v>2959</v>
      </c>
      <c r="H569" s="1786" t="str">
        <f t="shared" si="91"/>
        <v>לא פעיל</v>
      </c>
      <c r="I569" s="1788">
        <f t="shared" si="92"/>
        <v>38607</v>
      </c>
      <c r="J569" s="1788">
        <f t="shared" si="93"/>
        <v>41372.411284722199</v>
      </c>
      <c r="K569" s="1786">
        <v>0</v>
      </c>
      <c r="L569" s="1786" t="s">
        <v>1594</v>
      </c>
      <c r="M569" s="1786" t="s">
        <v>1653</v>
      </c>
      <c r="N569" s="1786" t="s">
        <v>1653</v>
      </c>
      <c r="O569" s="1786">
        <v>0</v>
      </c>
      <c r="P569" s="1786"/>
      <c r="Q569" s="1786">
        <v>0</v>
      </c>
      <c r="R569" s="1788"/>
      <c r="S569" s="1786">
        <f t="shared" si="94"/>
        <v>1146</v>
      </c>
      <c r="T569" s="1786" t="str">
        <f t="shared" si="95"/>
        <v>בנק לאומי בע"מ</v>
      </c>
      <c r="U569" s="1786" t="str">
        <f t="shared" si="96"/>
        <v>מנורה גמל כללי</v>
      </c>
      <c r="V569" s="1786">
        <f t="shared" si="97"/>
        <v>0</v>
      </c>
      <c r="W569" s="1789" t="str">
        <f t="shared" si="98"/>
        <v>מנורה מבטחים גמל בע"מ</v>
      </c>
      <c r="AC569" s="1761" t="s">
        <v>1586</v>
      </c>
      <c r="AD569" s="1762">
        <v>41372.411284722199</v>
      </c>
      <c r="AE569" s="1762">
        <v>38607</v>
      </c>
      <c r="AF569" s="1761" t="s">
        <v>1595</v>
      </c>
      <c r="AG569" s="1761" t="s">
        <v>75</v>
      </c>
      <c r="AH569" s="1761" t="s">
        <v>1594</v>
      </c>
      <c r="AI569" s="1761" t="s">
        <v>2359</v>
      </c>
      <c r="AJ569" s="1761" t="s">
        <v>2359</v>
      </c>
      <c r="AK569" s="1761">
        <v>1255</v>
      </c>
      <c r="AL569" s="1761" t="s">
        <v>666</v>
      </c>
      <c r="AM569" s="1761">
        <v>1146</v>
      </c>
      <c r="AN569" s="1761" t="s">
        <v>5470</v>
      </c>
      <c r="AO569" s="1764"/>
      <c r="AP569" s="1761"/>
      <c r="AQ569" s="1761"/>
      <c r="AR569" s="1761" t="s">
        <v>363</v>
      </c>
      <c r="AS569" s="1761" t="s">
        <v>364</v>
      </c>
      <c r="AT569" s="1761" t="s">
        <v>327</v>
      </c>
      <c r="AU569" s="1763"/>
      <c r="AV569" s="1763"/>
    </row>
    <row r="570" spans="1:48" ht="25" hidden="1">
      <c r="A570" s="1785" t="str">
        <f t="shared" si="88"/>
        <v>גמל</v>
      </c>
      <c r="B570" s="1786">
        <f t="shared" si="89"/>
        <v>1144</v>
      </c>
      <c r="C570" s="1787">
        <v>28946</v>
      </c>
      <c r="D570" s="1786" t="str">
        <f t="shared" si="90"/>
        <v>מנורה מרכזית לפיצויים כללי</v>
      </c>
      <c r="E570" s="1786" t="s">
        <v>3929</v>
      </c>
      <c r="F570" s="1786" t="s">
        <v>2958</v>
      </c>
      <c r="G570" s="1786" t="s">
        <v>2959</v>
      </c>
      <c r="H570" s="1786" t="str">
        <f t="shared" si="91"/>
        <v>פעיל</v>
      </c>
      <c r="I570" s="1788">
        <f t="shared" si="92"/>
        <v>38607</v>
      </c>
      <c r="J570" s="1788" t="str">
        <f t="shared" si="93"/>
        <v/>
      </c>
      <c r="K570" s="1786">
        <v>0</v>
      </c>
      <c r="L570" s="1786" t="s">
        <v>1594</v>
      </c>
      <c r="M570" s="1786" t="s">
        <v>1653</v>
      </c>
      <c r="N570" s="1786" t="s">
        <v>1653</v>
      </c>
      <c r="O570" s="1786">
        <v>0</v>
      </c>
      <c r="P570" s="1786"/>
      <c r="Q570" s="1786">
        <v>0</v>
      </c>
      <c r="R570" s="1788"/>
      <c r="S570" s="1786">
        <f t="shared" si="94"/>
        <v>1144</v>
      </c>
      <c r="T570" s="1786" t="str">
        <f t="shared" si="95"/>
        <v>בנק לאומי בע"מ</v>
      </c>
      <c r="U570" s="1786" t="str">
        <f t="shared" si="96"/>
        <v>מנורה מרכזית לפיצויים כללי</v>
      </c>
      <c r="V570" s="1786" t="str">
        <f t="shared" si="97"/>
        <v>520007469</v>
      </c>
      <c r="W570" s="1789" t="str">
        <f t="shared" si="98"/>
        <v>מנורה מבטחים פנסיה וגמל בע"מ</v>
      </c>
      <c r="AC570" s="1759" t="s">
        <v>346</v>
      </c>
      <c r="AD570" s="1759"/>
      <c r="AE570" s="1760">
        <v>38607</v>
      </c>
      <c r="AF570" s="1759" t="s">
        <v>1583</v>
      </c>
      <c r="AG570" s="1759" t="s">
        <v>1583</v>
      </c>
      <c r="AH570" s="1759" t="s">
        <v>1583</v>
      </c>
      <c r="AI570" s="1759" t="s">
        <v>665</v>
      </c>
      <c r="AJ570" s="1759" t="s">
        <v>665</v>
      </c>
      <c r="AK570" s="1759">
        <v>1144</v>
      </c>
      <c r="AL570" s="1759" t="s">
        <v>665</v>
      </c>
      <c r="AM570" s="1759">
        <v>1144</v>
      </c>
      <c r="AN570" s="1759" t="s">
        <v>5470</v>
      </c>
      <c r="AO570" s="1764"/>
      <c r="AP570" s="1759" t="s">
        <v>5377</v>
      </c>
      <c r="AQ570" s="1759" t="s">
        <v>5378</v>
      </c>
      <c r="AR570" s="1759" t="s">
        <v>2971</v>
      </c>
      <c r="AS570" s="1759" t="s">
        <v>396</v>
      </c>
      <c r="AT570" s="1759" t="s">
        <v>327</v>
      </c>
      <c r="AU570" s="1763"/>
      <c r="AV570" s="1763"/>
    </row>
    <row r="571" spans="1:48" ht="25" hidden="1">
      <c r="A571" s="1785" t="str">
        <f t="shared" si="88"/>
        <v>גמל</v>
      </c>
      <c r="B571" s="1786">
        <f t="shared" si="89"/>
        <v>1374</v>
      </c>
      <c r="C571" s="1787">
        <v>28946</v>
      </c>
      <c r="D571" s="1786" t="str">
        <f t="shared" si="90"/>
        <v>מנורה מרכזית לפיצויים ללא מניות</v>
      </c>
      <c r="E571" s="1786" t="s">
        <v>3929</v>
      </c>
      <c r="F571" s="1786" t="s">
        <v>2958</v>
      </c>
      <c r="G571" s="1786" t="s">
        <v>2959</v>
      </c>
      <c r="H571" s="1786" t="str">
        <f t="shared" si="91"/>
        <v>פעיל</v>
      </c>
      <c r="I571" s="1788">
        <f t="shared" si="92"/>
        <v>38607</v>
      </c>
      <c r="J571" s="1788" t="str">
        <f t="shared" si="93"/>
        <v/>
      </c>
      <c r="K571" s="1786">
        <v>0</v>
      </c>
      <c r="L571" s="1786" t="s">
        <v>1594</v>
      </c>
      <c r="M571" s="1786" t="s">
        <v>1653</v>
      </c>
      <c r="N571" s="1786" t="s">
        <v>1653</v>
      </c>
      <c r="O571" s="1786">
        <v>0</v>
      </c>
      <c r="P571" s="1786"/>
      <c r="Q571" s="1786">
        <v>0</v>
      </c>
      <c r="R571" s="1788"/>
      <c r="S571" s="1786">
        <f t="shared" si="94"/>
        <v>1144</v>
      </c>
      <c r="T571" s="1786" t="str">
        <f t="shared" si="95"/>
        <v>בנק לאומי בע"מ</v>
      </c>
      <c r="U571" s="1786" t="str">
        <f t="shared" si="96"/>
        <v>מנורה מרכזית לפיצויים כללי</v>
      </c>
      <c r="V571" s="1786" t="str">
        <f t="shared" si="97"/>
        <v>520007469</v>
      </c>
      <c r="W571" s="1789" t="str">
        <f t="shared" si="98"/>
        <v>מנורה מבטחים פנסיה וגמל בע"מ</v>
      </c>
      <c r="AC571" s="1761" t="s">
        <v>346</v>
      </c>
      <c r="AD571" s="1759"/>
      <c r="AE571" s="1762">
        <v>38607</v>
      </c>
      <c r="AF571" s="1761" t="s">
        <v>1681</v>
      </c>
      <c r="AG571" s="1761" t="s">
        <v>1583</v>
      </c>
      <c r="AH571" s="1761" t="s">
        <v>1583</v>
      </c>
      <c r="AI571" s="1761" t="s">
        <v>2429</v>
      </c>
      <c r="AJ571" s="1761" t="s">
        <v>2429</v>
      </c>
      <c r="AK571" s="1761">
        <v>1374</v>
      </c>
      <c r="AL571" s="1761" t="s">
        <v>665</v>
      </c>
      <c r="AM571" s="1761">
        <v>1144</v>
      </c>
      <c r="AN571" s="1761" t="s">
        <v>5470</v>
      </c>
      <c r="AO571" s="1764"/>
      <c r="AP571" s="1761" t="s">
        <v>5377</v>
      </c>
      <c r="AQ571" s="1761" t="s">
        <v>5378</v>
      </c>
      <c r="AR571" s="1761" t="s">
        <v>2971</v>
      </c>
      <c r="AS571" s="1761" t="s">
        <v>396</v>
      </c>
      <c r="AT571" s="1761" t="s">
        <v>327</v>
      </c>
      <c r="AU571" s="1763"/>
      <c r="AV571" s="1763"/>
    </row>
    <row r="572" spans="1:48" ht="25" hidden="1">
      <c r="A572" s="1785" t="str">
        <f t="shared" si="88"/>
        <v>גמל</v>
      </c>
      <c r="B572" s="1786">
        <f t="shared" si="89"/>
        <v>1145</v>
      </c>
      <c r="C572" s="1787">
        <v>28946</v>
      </c>
      <c r="D572" s="1786" t="str">
        <f t="shared" si="90"/>
        <v>מנורה מרכזית לפיצויים עד 10% מניות</v>
      </c>
      <c r="E572" s="1786" t="s">
        <v>3929</v>
      </c>
      <c r="F572" s="1786" t="s">
        <v>2958</v>
      </c>
      <c r="G572" s="1786" t="s">
        <v>2959</v>
      </c>
      <c r="H572" s="1786" t="str">
        <f t="shared" si="91"/>
        <v>פעיל</v>
      </c>
      <c r="I572" s="1788">
        <f t="shared" si="92"/>
        <v>38607</v>
      </c>
      <c r="J572" s="1788" t="str">
        <f t="shared" si="93"/>
        <v/>
      </c>
      <c r="K572" s="1786">
        <v>0</v>
      </c>
      <c r="L572" s="1786" t="s">
        <v>1594</v>
      </c>
      <c r="M572" s="1786" t="s">
        <v>1653</v>
      </c>
      <c r="N572" s="1786" t="s">
        <v>1653</v>
      </c>
      <c r="O572" s="1786">
        <v>0</v>
      </c>
      <c r="P572" s="1786"/>
      <c r="Q572" s="1786">
        <v>0</v>
      </c>
      <c r="R572" s="1788"/>
      <c r="S572" s="1786">
        <f t="shared" si="94"/>
        <v>1144</v>
      </c>
      <c r="T572" s="1786" t="str">
        <f t="shared" si="95"/>
        <v>בנק לאומי בע"מ</v>
      </c>
      <c r="U572" s="1786" t="str">
        <f t="shared" si="96"/>
        <v>מנורה מרכזית לפיצויים כללי</v>
      </c>
      <c r="V572" s="1786" t="str">
        <f t="shared" si="97"/>
        <v>520007469</v>
      </c>
      <c r="W572" s="1789" t="str">
        <f t="shared" si="98"/>
        <v>מנורה מבטחים פנסיה וגמל בע"מ</v>
      </c>
      <c r="AC572" s="1759" t="s">
        <v>346</v>
      </c>
      <c r="AD572" s="1759"/>
      <c r="AE572" s="1760">
        <v>38607</v>
      </c>
      <c r="AF572" s="1759" t="s">
        <v>2025</v>
      </c>
      <c r="AG572" s="1759" t="s">
        <v>1583</v>
      </c>
      <c r="AH572" s="1759" t="s">
        <v>1583</v>
      </c>
      <c r="AI572" s="1759" t="s">
        <v>2299</v>
      </c>
      <c r="AJ572" s="1759" t="s">
        <v>2299</v>
      </c>
      <c r="AK572" s="1759">
        <v>1145</v>
      </c>
      <c r="AL572" s="1759" t="s">
        <v>665</v>
      </c>
      <c r="AM572" s="1759">
        <v>1144</v>
      </c>
      <c r="AN572" s="1759" t="s">
        <v>5470</v>
      </c>
      <c r="AO572" s="1764"/>
      <c r="AP572" s="1759" t="s">
        <v>5377</v>
      </c>
      <c r="AQ572" s="1759" t="s">
        <v>5378</v>
      </c>
      <c r="AR572" s="1759" t="s">
        <v>2971</v>
      </c>
      <c r="AS572" s="1759" t="s">
        <v>396</v>
      </c>
      <c r="AT572" s="1759" t="s">
        <v>327</v>
      </c>
      <c r="AU572" s="1763"/>
      <c r="AV572" s="1763"/>
    </row>
    <row r="573" spans="1:48" ht="25">
      <c r="A573" s="1785" t="str">
        <f t="shared" si="88"/>
        <v>פנסיה</v>
      </c>
      <c r="B573" s="1786">
        <f t="shared" si="89"/>
        <v>2103</v>
      </c>
      <c r="C573" s="1787">
        <v>28946</v>
      </c>
      <c r="D573" s="1786" t="str">
        <f t="shared" si="90"/>
        <v>מיטב פנסיה מקיפה - מסלול כללי</v>
      </c>
      <c r="E573" s="1786" t="s">
        <v>3929</v>
      </c>
      <c r="F573" s="1786" t="s">
        <v>2958</v>
      </c>
      <c r="G573" s="1786" t="s">
        <v>2959</v>
      </c>
      <c r="H573" s="1786" t="str">
        <f t="shared" si="91"/>
        <v>לא פעיל</v>
      </c>
      <c r="I573" s="1788">
        <f t="shared" si="92"/>
        <v>38687</v>
      </c>
      <c r="J573" s="1788">
        <f t="shared" si="93"/>
        <v>41277.657291666699</v>
      </c>
      <c r="K573" s="1786">
        <v>0</v>
      </c>
      <c r="L573" s="1786" t="s">
        <v>1594</v>
      </c>
      <c r="M573" s="1786" t="s">
        <v>1653</v>
      </c>
      <c r="N573" s="1786" t="s">
        <v>1653</v>
      </c>
      <c r="O573" s="1786">
        <v>0</v>
      </c>
      <c r="P573" s="1786"/>
      <c r="Q573" s="1786">
        <v>0</v>
      </c>
      <c r="R573" s="1788"/>
      <c r="S573" s="1786">
        <f t="shared" si="94"/>
        <v>1142</v>
      </c>
      <c r="T573" s="1786" t="str">
        <f t="shared" si="95"/>
        <v>חברת תפעול גמל בע"מ</v>
      </c>
      <c r="U573" s="1786" t="str">
        <f t="shared" si="96"/>
        <v>מיטב פנסיה מקיפה</v>
      </c>
      <c r="V573" s="1786" t="str">
        <f t="shared" si="97"/>
        <v>520043795</v>
      </c>
      <c r="W573" s="1789" t="str">
        <f t="shared" si="98"/>
        <v>מיטב דש גמל ופנסיה בע"מ</v>
      </c>
      <c r="AC573" s="1761" t="s">
        <v>1586</v>
      </c>
      <c r="AD573" s="1762">
        <v>41277.657291666699</v>
      </c>
      <c r="AE573" s="1762">
        <v>38687</v>
      </c>
      <c r="AF573" s="1761" t="s">
        <v>1583</v>
      </c>
      <c r="AG573" s="1761" t="s">
        <v>1583</v>
      </c>
      <c r="AH573" s="1761" t="s">
        <v>1583</v>
      </c>
      <c r="AI573" s="1761" t="s">
        <v>2560</v>
      </c>
      <c r="AJ573" s="1761" t="s">
        <v>2560</v>
      </c>
      <c r="AK573" s="1761">
        <v>2103</v>
      </c>
      <c r="AL573" s="1761" t="s">
        <v>664</v>
      </c>
      <c r="AM573" s="1761">
        <v>1142</v>
      </c>
      <c r="AN573" s="1761" t="s">
        <v>5394</v>
      </c>
      <c r="AO573" s="1764"/>
      <c r="AP573" s="1761" t="s">
        <v>5373</v>
      </c>
      <c r="AQ573" s="1761" t="s">
        <v>5374</v>
      </c>
      <c r="AR573" s="1761" t="s">
        <v>2899</v>
      </c>
      <c r="AS573" s="1761" t="s">
        <v>349</v>
      </c>
      <c r="AT573" s="1761" t="s">
        <v>328</v>
      </c>
      <c r="AU573" s="1763"/>
      <c r="AV573" s="1763"/>
    </row>
    <row r="574" spans="1:48" ht="25">
      <c r="A574" s="1785" t="str">
        <f t="shared" si="88"/>
        <v>פנסיה</v>
      </c>
      <c r="B574" s="1786">
        <f t="shared" si="89"/>
        <v>2103</v>
      </c>
      <c r="C574" s="1787">
        <v>28946</v>
      </c>
      <c r="D574" s="1786" t="str">
        <f t="shared" si="90"/>
        <v>מיטב פנסיה מקיפה - מסלול כללי</v>
      </c>
      <c r="E574" s="1786" t="s">
        <v>3929</v>
      </c>
      <c r="F574" s="1786" t="s">
        <v>2958</v>
      </c>
      <c r="G574" s="1786" t="s">
        <v>2959</v>
      </c>
      <c r="H574" s="1786" t="str">
        <f t="shared" si="91"/>
        <v>לא פעיל</v>
      </c>
      <c r="I574" s="1788">
        <f t="shared" si="92"/>
        <v>38687</v>
      </c>
      <c r="J574" s="1788">
        <f t="shared" si="93"/>
        <v>41277.657291666699</v>
      </c>
      <c r="K574" s="1786">
        <v>0</v>
      </c>
      <c r="L574" s="1786" t="s">
        <v>1594</v>
      </c>
      <c r="M574" s="1786" t="s">
        <v>1653</v>
      </c>
      <c r="N574" s="1786" t="s">
        <v>1653</v>
      </c>
      <c r="O574" s="1786">
        <v>0</v>
      </c>
      <c r="P574" s="1786"/>
      <c r="Q574" s="1786">
        <v>0</v>
      </c>
      <c r="R574" s="1788"/>
      <c r="S574" s="1786">
        <f t="shared" si="94"/>
        <v>1142</v>
      </c>
      <c r="T574" s="1786" t="str">
        <f t="shared" si="95"/>
        <v>חברת תפעול גמל בע"מ</v>
      </c>
      <c r="U574" s="1786" t="str">
        <f t="shared" si="96"/>
        <v>מיטב פנסיה מקיפה</v>
      </c>
      <c r="V574" s="1786" t="str">
        <f t="shared" si="97"/>
        <v>520043795</v>
      </c>
      <c r="W574" s="1789" t="str">
        <f t="shared" si="98"/>
        <v>מיטב דש גמל ופנסיה בע"מ</v>
      </c>
      <c r="AC574" s="1759" t="s">
        <v>1586</v>
      </c>
      <c r="AD574" s="1760">
        <v>41277.657291666699</v>
      </c>
      <c r="AE574" s="1760">
        <v>38687</v>
      </c>
      <c r="AF574" s="1759" t="s">
        <v>1583</v>
      </c>
      <c r="AG574" s="1759" t="s">
        <v>1583</v>
      </c>
      <c r="AH574" s="1759" t="s">
        <v>1583</v>
      </c>
      <c r="AI574" s="1759" t="s">
        <v>2560</v>
      </c>
      <c r="AJ574" s="1759" t="s">
        <v>2560</v>
      </c>
      <c r="AK574" s="1759">
        <v>2103</v>
      </c>
      <c r="AL574" s="1759" t="s">
        <v>664</v>
      </c>
      <c r="AM574" s="1759">
        <v>1142</v>
      </c>
      <c r="AN574" s="1759" t="s">
        <v>5394</v>
      </c>
      <c r="AO574" s="1764"/>
      <c r="AP574" s="1759" t="s">
        <v>5373</v>
      </c>
      <c r="AQ574" s="1759" t="s">
        <v>5374</v>
      </c>
      <c r="AR574" s="1759" t="s">
        <v>2899</v>
      </c>
      <c r="AS574" s="1759" t="s">
        <v>349</v>
      </c>
      <c r="AT574" s="1759" t="s">
        <v>328</v>
      </c>
      <c r="AU574" s="1763"/>
      <c r="AV574" s="1763"/>
    </row>
    <row r="575" spans="1:48" ht="25">
      <c r="A575" s="1785" t="str">
        <f t="shared" si="88"/>
        <v>פנסיה</v>
      </c>
      <c r="B575" s="1786">
        <f t="shared" si="89"/>
        <v>2106</v>
      </c>
      <c r="C575" s="1787">
        <v>28946</v>
      </c>
      <c r="D575" s="1786" t="str">
        <f t="shared" si="90"/>
        <v>מיטב פנסיה מקיפה - מסלול כהלכה</v>
      </c>
      <c r="E575" s="1786" t="s">
        <v>3929</v>
      </c>
      <c r="F575" s="1786" t="s">
        <v>2958</v>
      </c>
      <c r="G575" s="1786" t="s">
        <v>2959</v>
      </c>
      <c r="H575" s="1786" t="str">
        <f t="shared" si="91"/>
        <v>לא פעיל</v>
      </c>
      <c r="I575" s="1788">
        <f t="shared" si="92"/>
        <v>38687</v>
      </c>
      <c r="J575" s="1788">
        <f t="shared" si="93"/>
        <v>41277.658020833303</v>
      </c>
      <c r="K575" s="1786">
        <v>0</v>
      </c>
      <c r="L575" s="1786" t="s">
        <v>1594</v>
      </c>
      <c r="M575" s="1786" t="s">
        <v>1653</v>
      </c>
      <c r="N575" s="1786" t="s">
        <v>1653</v>
      </c>
      <c r="O575" s="1786">
        <v>0</v>
      </c>
      <c r="P575" s="1786"/>
      <c r="Q575" s="1786">
        <v>0</v>
      </c>
      <c r="R575" s="1788"/>
      <c r="S575" s="1786">
        <f t="shared" si="94"/>
        <v>1142</v>
      </c>
      <c r="T575" s="1786" t="str">
        <f t="shared" si="95"/>
        <v>חברת תפעול גמל בע"מ</v>
      </c>
      <c r="U575" s="1786" t="str">
        <f t="shared" si="96"/>
        <v>מיטב פנסיה מקיפה</v>
      </c>
      <c r="V575" s="1786" t="str">
        <f t="shared" si="97"/>
        <v>520043795</v>
      </c>
      <c r="W575" s="1789" t="str">
        <f t="shared" si="98"/>
        <v>מיטב דש גמל ופנסיה בע"מ</v>
      </c>
      <c r="AC575" s="1761" t="s">
        <v>1586</v>
      </c>
      <c r="AD575" s="1762">
        <v>41277.658020833303</v>
      </c>
      <c r="AE575" s="1762">
        <v>38687</v>
      </c>
      <c r="AF575" s="1761" t="s">
        <v>4603</v>
      </c>
      <c r="AG575" s="1761" t="s">
        <v>2029</v>
      </c>
      <c r="AH575" s="1761" t="s">
        <v>2028</v>
      </c>
      <c r="AI575" s="1761" t="s">
        <v>2561</v>
      </c>
      <c r="AJ575" s="1761" t="s">
        <v>2561</v>
      </c>
      <c r="AK575" s="1761">
        <v>2106</v>
      </c>
      <c r="AL575" s="1761" t="s">
        <v>664</v>
      </c>
      <c r="AM575" s="1761">
        <v>1142</v>
      </c>
      <c r="AN575" s="1761" t="s">
        <v>5394</v>
      </c>
      <c r="AO575" s="1764"/>
      <c r="AP575" s="1761" t="s">
        <v>5373</v>
      </c>
      <c r="AQ575" s="1761" t="s">
        <v>5374</v>
      </c>
      <c r="AR575" s="1761" t="s">
        <v>2899</v>
      </c>
      <c r="AS575" s="1761" t="s">
        <v>349</v>
      </c>
      <c r="AT575" s="1761" t="s">
        <v>328</v>
      </c>
      <c r="AU575" s="1763"/>
      <c r="AV575" s="1763"/>
    </row>
    <row r="576" spans="1:48" ht="25">
      <c r="A576" s="1785" t="str">
        <f t="shared" si="88"/>
        <v>פנסיה</v>
      </c>
      <c r="B576" s="1786">
        <f t="shared" si="89"/>
        <v>2106</v>
      </c>
      <c r="C576" s="1787">
        <v>28946</v>
      </c>
      <c r="D576" s="1786" t="str">
        <f t="shared" si="90"/>
        <v>מיטב פנסיה מקיפה - מסלול כהלכה</v>
      </c>
      <c r="E576" s="1786" t="s">
        <v>3929</v>
      </c>
      <c r="F576" s="1786" t="s">
        <v>2958</v>
      </c>
      <c r="G576" s="1786" t="s">
        <v>2959</v>
      </c>
      <c r="H576" s="1786" t="str">
        <f t="shared" si="91"/>
        <v>לא פעיל</v>
      </c>
      <c r="I576" s="1788">
        <f t="shared" si="92"/>
        <v>38687</v>
      </c>
      <c r="J576" s="1788">
        <f t="shared" si="93"/>
        <v>41277.658020833303</v>
      </c>
      <c r="K576" s="1786">
        <v>0</v>
      </c>
      <c r="L576" s="1786" t="s">
        <v>1594</v>
      </c>
      <c r="M576" s="1786" t="s">
        <v>1653</v>
      </c>
      <c r="N576" s="1786" t="s">
        <v>1653</v>
      </c>
      <c r="O576" s="1786">
        <v>0</v>
      </c>
      <c r="P576" s="1786"/>
      <c r="Q576" s="1786">
        <v>0</v>
      </c>
      <c r="R576" s="1788"/>
      <c r="S576" s="1786">
        <f t="shared" si="94"/>
        <v>1142</v>
      </c>
      <c r="T576" s="1786" t="str">
        <f t="shared" si="95"/>
        <v>חברת תפעול גמל בע"מ</v>
      </c>
      <c r="U576" s="1786" t="str">
        <f t="shared" si="96"/>
        <v>מיטב פנסיה מקיפה</v>
      </c>
      <c r="V576" s="1786" t="str">
        <f t="shared" si="97"/>
        <v>520043795</v>
      </c>
      <c r="W576" s="1789" t="str">
        <f t="shared" si="98"/>
        <v>מיטב דש גמל ופנסיה בע"מ</v>
      </c>
      <c r="AC576" s="1759" t="s">
        <v>1586</v>
      </c>
      <c r="AD576" s="1760">
        <v>41277.658020833303</v>
      </c>
      <c r="AE576" s="1760">
        <v>38687</v>
      </c>
      <c r="AF576" s="1759" t="s">
        <v>4603</v>
      </c>
      <c r="AG576" s="1759" t="s">
        <v>2029</v>
      </c>
      <c r="AH576" s="1759" t="s">
        <v>2028</v>
      </c>
      <c r="AI576" s="1759" t="s">
        <v>2561</v>
      </c>
      <c r="AJ576" s="1759" t="s">
        <v>2561</v>
      </c>
      <c r="AK576" s="1759">
        <v>2106</v>
      </c>
      <c r="AL576" s="1759" t="s">
        <v>664</v>
      </c>
      <c r="AM576" s="1759">
        <v>1142</v>
      </c>
      <c r="AN576" s="1759" t="s">
        <v>5394</v>
      </c>
      <c r="AO576" s="1764"/>
      <c r="AP576" s="1759" t="s">
        <v>5373</v>
      </c>
      <c r="AQ576" s="1759" t="s">
        <v>5374</v>
      </c>
      <c r="AR576" s="1759" t="s">
        <v>2899</v>
      </c>
      <c r="AS576" s="1759" t="s">
        <v>349</v>
      </c>
      <c r="AT576" s="1759" t="s">
        <v>328</v>
      </c>
      <c r="AU576" s="1763"/>
      <c r="AV576" s="1763"/>
    </row>
    <row r="577" spans="1:48" ht="25">
      <c r="A577" s="1785" t="str">
        <f t="shared" si="88"/>
        <v>פנסיה</v>
      </c>
      <c r="B577" s="1786">
        <f t="shared" si="89"/>
        <v>2210</v>
      </c>
      <c r="C577" s="1787">
        <v>28946</v>
      </c>
      <c r="D577" s="1786" t="str">
        <f t="shared" si="90"/>
        <v>מיטב פנסיה מקיפה - פנסיונרים</v>
      </c>
      <c r="E577" s="1786" t="s">
        <v>3929</v>
      </c>
      <c r="F577" s="1786" t="s">
        <v>2958</v>
      </c>
      <c r="G577" s="1786" t="s">
        <v>2959</v>
      </c>
      <c r="H577" s="1786" t="str">
        <f t="shared" si="91"/>
        <v>לא פעיל</v>
      </c>
      <c r="I577" s="1788">
        <f t="shared" si="92"/>
        <v>38687</v>
      </c>
      <c r="J577" s="1788">
        <f t="shared" si="93"/>
        <v>41277.659456018497</v>
      </c>
      <c r="K577" s="1786">
        <v>0</v>
      </c>
      <c r="L577" s="1786" t="s">
        <v>1594</v>
      </c>
      <c r="M577" s="1786" t="s">
        <v>1653</v>
      </c>
      <c r="N577" s="1786" t="s">
        <v>1653</v>
      </c>
      <c r="O577" s="1786">
        <v>0</v>
      </c>
      <c r="P577" s="1786"/>
      <c r="Q577" s="1786">
        <v>0</v>
      </c>
      <c r="R577" s="1788"/>
      <c r="S577" s="1786">
        <f t="shared" si="94"/>
        <v>1142</v>
      </c>
      <c r="T577" s="1786" t="str">
        <f t="shared" si="95"/>
        <v>חברת תפעול גמל בע"מ</v>
      </c>
      <c r="U577" s="1786" t="str">
        <f t="shared" si="96"/>
        <v>מיטב פנסיה מקיפה</v>
      </c>
      <c r="V577" s="1786" t="str">
        <f t="shared" si="97"/>
        <v>520043795</v>
      </c>
      <c r="W577" s="1789" t="str">
        <f t="shared" si="98"/>
        <v>מיטב דש גמל ופנסיה בע"מ</v>
      </c>
      <c r="AC577" s="1761" t="s">
        <v>1586</v>
      </c>
      <c r="AD577" s="1762">
        <v>41277.659456018497</v>
      </c>
      <c r="AE577" s="1762">
        <v>38687</v>
      </c>
      <c r="AF577" s="1761" t="s">
        <v>4160</v>
      </c>
      <c r="AG577" s="1761" t="s">
        <v>2614</v>
      </c>
      <c r="AH577" s="1761" t="s">
        <v>3658</v>
      </c>
      <c r="AI577" s="1761" t="s">
        <v>2649</v>
      </c>
      <c r="AJ577" s="1761" t="s">
        <v>2649</v>
      </c>
      <c r="AK577" s="1761">
        <v>2210</v>
      </c>
      <c r="AL577" s="1761" t="s">
        <v>664</v>
      </c>
      <c r="AM577" s="1761">
        <v>1142</v>
      </c>
      <c r="AN577" s="1761" t="s">
        <v>5394</v>
      </c>
      <c r="AO577" s="1764"/>
      <c r="AP577" s="1761" t="s">
        <v>5373</v>
      </c>
      <c r="AQ577" s="1761" t="s">
        <v>5374</v>
      </c>
      <c r="AR577" s="1761" t="s">
        <v>2899</v>
      </c>
      <c r="AS577" s="1761" t="s">
        <v>349</v>
      </c>
      <c r="AT577" s="1761" t="s">
        <v>328</v>
      </c>
      <c r="AU577" s="1763"/>
      <c r="AV577" s="1763"/>
    </row>
    <row r="578" spans="1:48" ht="25">
      <c r="A578" s="1785" t="str">
        <f t="shared" si="88"/>
        <v>פנסיה</v>
      </c>
      <c r="B578" s="1786">
        <f t="shared" si="89"/>
        <v>2210</v>
      </c>
      <c r="C578" s="1787">
        <v>28946</v>
      </c>
      <c r="D578" s="1786" t="str">
        <f t="shared" si="90"/>
        <v>מיטב פנסיה מקיפה - פנסיונרים</v>
      </c>
      <c r="E578" s="1786" t="s">
        <v>3929</v>
      </c>
      <c r="F578" s="1786" t="s">
        <v>2958</v>
      </c>
      <c r="G578" s="1786" t="s">
        <v>2959</v>
      </c>
      <c r="H578" s="1786" t="str">
        <f t="shared" si="91"/>
        <v>לא פעיל</v>
      </c>
      <c r="I578" s="1788">
        <f t="shared" si="92"/>
        <v>38687</v>
      </c>
      <c r="J578" s="1788">
        <f t="shared" si="93"/>
        <v>41277.659456018497</v>
      </c>
      <c r="K578" s="1786">
        <v>0</v>
      </c>
      <c r="L578" s="1786" t="s">
        <v>1594</v>
      </c>
      <c r="M578" s="1786" t="s">
        <v>1653</v>
      </c>
      <c r="N578" s="1786" t="s">
        <v>1653</v>
      </c>
      <c r="O578" s="1786">
        <v>0</v>
      </c>
      <c r="P578" s="1786"/>
      <c r="Q578" s="1786">
        <v>0</v>
      </c>
      <c r="R578" s="1788"/>
      <c r="S578" s="1786">
        <f t="shared" si="94"/>
        <v>1142</v>
      </c>
      <c r="T578" s="1786" t="str">
        <f t="shared" si="95"/>
        <v>חברת תפעול גמל בע"מ</v>
      </c>
      <c r="U578" s="1786" t="str">
        <f t="shared" si="96"/>
        <v>מיטב פנסיה מקיפה</v>
      </c>
      <c r="V578" s="1786" t="str">
        <f t="shared" si="97"/>
        <v>520043795</v>
      </c>
      <c r="W578" s="1789" t="str">
        <f t="shared" si="98"/>
        <v>מיטב דש גמל ופנסיה בע"מ</v>
      </c>
      <c r="AC578" s="1759" t="s">
        <v>1586</v>
      </c>
      <c r="AD578" s="1760">
        <v>41277.659456018497</v>
      </c>
      <c r="AE578" s="1760">
        <v>38687</v>
      </c>
      <c r="AF578" s="1759" t="s">
        <v>4160</v>
      </c>
      <c r="AG578" s="1759" t="s">
        <v>2614</v>
      </c>
      <c r="AH578" s="1759" t="s">
        <v>3658</v>
      </c>
      <c r="AI578" s="1759" t="s">
        <v>2649</v>
      </c>
      <c r="AJ578" s="1759" t="s">
        <v>2649</v>
      </c>
      <c r="AK578" s="1759">
        <v>2210</v>
      </c>
      <c r="AL578" s="1759" t="s">
        <v>664</v>
      </c>
      <c r="AM578" s="1759">
        <v>1142</v>
      </c>
      <c r="AN578" s="1759" t="s">
        <v>5394</v>
      </c>
      <c r="AO578" s="1764"/>
      <c r="AP578" s="1759" t="s">
        <v>5373</v>
      </c>
      <c r="AQ578" s="1759" t="s">
        <v>5374</v>
      </c>
      <c r="AR578" s="1759" t="s">
        <v>2899</v>
      </c>
      <c r="AS578" s="1759" t="s">
        <v>349</v>
      </c>
      <c r="AT578" s="1759" t="s">
        <v>328</v>
      </c>
      <c r="AU578" s="1763"/>
      <c r="AV578" s="1763"/>
    </row>
    <row r="579" spans="1:48" ht="25" hidden="1">
      <c r="A579" s="1785" t="str">
        <f t="shared" si="88"/>
        <v>גמל</v>
      </c>
      <c r="B579" s="1786">
        <f t="shared" si="89"/>
        <v>1133</v>
      </c>
      <c r="C579" s="1787">
        <v>28946</v>
      </c>
      <c r="D579" s="1786" t="str">
        <f t="shared" si="90"/>
        <v>כלל פיננסים השתלמות שקלי</v>
      </c>
      <c r="E579" s="1786" t="s">
        <v>3929</v>
      </c>
      <c r="F579" s="1786" t="s">
        <v>2958</v>
      </c>
      <c r="G579" s="1786" t="s">
        <v>2959</v>
      </c>
      <c r="H579" s="1786" t="str">
        <f t="shared" si="91"/>
        <v>לא פעיל</v>
      </c>
      <c r="I579" s="1788">
        <f t="shared" si="92"/>
        <v>38509</v>
      </c>
      <c r="J579" s="1788">
        <f t="shared" si="93"/>
        <v>40178</v>
      </c>
      <c r="K579" s="1786">
        <v>0</v>
      </c>
      <c r="L579" s="1786" t="s">
        <v>1594</v>
      </c>
      <c r="M579" s="1786" t="s">
        <v>1653</v>
      </c>
      <c r="N579" s="1786" t="s">
        <v>1653</v>
      </c>
      <c r="O579" s="1786">
        <v>0</v>
      </c>
      <c r="P579" s="1786"/>
      <c r="Q579" s="1786">
        <v>0</v>
      </c>
      <c r="R579" s="1788"/>
      <c r="S579" s="1786">
        <f t="shared" si="94"/>
        <v>1130</v>
      </c>
      <c r="T579" s="1786" t="str">
        <f t="shared" si="95"/>
        <v>ד.ס.ש ייעוץ ושירותים בע"מ</v>
      </c>
      <c r="U579" s="1786" t="str">
        <f t="shared" si="96"/>
        <v>כלל פיננסים השתלמות מניות</v>
      </c>
      <c r="V579" s="1786">
        <f t="shared" si="97"/>
        <v>0</v>
      </c>
      <c r="W579" s="1789" t="str">
        <f t="shared" si="98"/>
        <v>כלל גמל בע"מ</v>
      </c>
      <c r="AC579" s="1761" t="s">
        <v>1586</v>
      </c>
      <c r="AD579" s="1762">
        <v>40178</v>
      </c>
      <c r="AE579" s="1762">
        <v>38509</v>
      </c>
      <c r="AF579" s="1761" t="s">
        <v>1076</v>
      </c>
      <c r="AG579" s="1761" t="s">
        <v>1614</v>
      </c>
      <c r="AH579" s="1761" t="s">
        <v>1594</v>
      </c>
      <c r="AI579" s="1761" t="s">
        <v>2291</v>
      </c>
      <c r="AJ579" s="1761" t="s">
        <v>2291</v>
      </c>
      <c r="AK579" s="1761">
        <v>1133</v>
      </c>
      <c r="AL579" s="1761" t="s">
        <v>2288</v>
      </c>
      <c r="AM579" s="1761">
        <v>1130</v>
      </c>
      <c r="AN579" s="1761" t="s">
        <v>5393</v>
      </c>
      <c r="AO579" s="1764"/>
      <c r="AP579" s="1761"/>
      <c r="AQ579" s="1761"/>
      <c r="AR579" s="1761" t="s">
        <v>1972</v>
      </c>
      <c r="AS579" s="1761" t="s">
        <v>1971</v>
      </c>
      <c r="AT579" s="1761" t="s">
        <v>327</v>
      </c>
      <c r="AU579" s="1763"/>
      <c r="AV579" s="1763"/>
    </row>
    <row r="580" spans="1:48" ht="25" hidden="1">
      <c r="A580" s="1785" t="str">
        <f t="shared" si="88"/>
        <v>גמל</v>
      </c>
      <c r="B580" s="1786">
        <f t="shared" si="89"/>
        <v>1132</v>
      </c>
      <c r="C580" s="1787">
        <v>28946</v>
      </c>
      <c r="D580" s="1786" t="str">
        <f t="shared" si="90"/>
        <v>כלל פיננסים השתלמות מדד</v>
      </c>
      <c r="E580" s="1786" t="s">
        <v>3929</v>
      </c>
      <c r="F580" s="1786" t="s">
        <v>2958</v>
      </c>
      <c r="G580" s="1786" t="s">
        <v>2959</v>
      </c>
      <c r="H580" s="1786" t="str">
        <f t="shared" si="91"/>
        <v>לא פעיל</v>
      </c>
      <c r="I580" s="1788">
        <f t="shared" si="92"/>
        <v>38509</v>
      </c>
      <c r="J580" s="1788">
        <f t="shared" si="93"/>
        <v>40178</v>
      </c>
      <c r="K580" s="1786">
        <v>0</v>
      </c>
      <c r="L580" s="1786" t="s">
        <v>1594</v>
      </c>
      <c r="M580" s="1786" t="s">
        <v>1653</v>
      </c>
      <c r="N580" s="1786" t="s">
        <v>1653</v>
      </c>
      <c r="O580" s="1786">
        <v>0</v>
      </c>
      <c r="P580" s="1786"/>
      <c r="Q580" s="1786">
        <v>0</v>
      </c>
      <c r="R580" s="1788"/>
      <c r="S580" s="1786">
        <f t="shared" si="94"/>
        <v>1130</v>
      </c>
      <c r="T580" s="1786" t="str">
        <f t="shared" si="95"/>
        <v>ד.ס.ש ייעוץ ושירותים בע"מ</v>
      </c>
      <c r="U580" s="1786" t="str">
        <f t="shared" si="96"/>
        <v>כלל פיננסים השתלמות מניות</v>
      </c>
      <c r="V580" s="1786">
        <f t="shared" si="97"/>
        <v>0</v>
      </c>
      <c r="W580" s="1789" t="str">
        <f t="shared" si="98"/>
        <v>כלל גמל בע"מ</v>
      </c>
      <c r="AC580" s="1759" t="s">
        <v>1586</v>
      </c>
      <c r="AD580" s="1760">
        <v>40178</v>
      </c>
      <c r="AE580" s="1760">
        <v>38509</v>
      </c>
      <c r="AF580" s="1759" t="s">
        <v>1094</v>
      </c>
      <c r="AG580" s="1759" t="s">
        <v>1094</v>
      </c>
      <c r="AH580" s="1759" t="s">
        <v>1594</v>
      </c>
      <c r="AI580" s="1759" t="s">
        <v>2290</v>
      </c>
      <c r="AJ580" s="1759" t="s">
        <v>2290</v>
      </c>
      <c r="AK580" s="1759">
        <v>1132</v>
      </c>
      <c r="AL580" s="1759" t="s">
        <v>2288</v>
      </c>
      <c r="AM580" s="1759">
        <v>1130</v>
      </c>
      <c r="AN580" s="1759" t="s">
        <v>5393</v>
      </c>
      <c r="AO580" s="1764"/>
      <c r="AP580" s="1759"/>
      <c r="AQ580" s="1759"/>
      <c r="AR580" s="1759" t="s">
        <v>1972</v>
      </c>
      <c r="AS580" s="1759" t="s">
        <v>1971</v>
      </c>
      <c r="AT580" s="1759" t="s">
        <v>327</v>
      </c>
      <c r="AU580" s="1763"/>
      <c r="AV580" s="1763"/>
    </row>
    <row r="581" spans="1:48" ht="25" hidden="1">
      <c r="A581" s="1785" t="str">
        <f t="shared" si="88"/>
        <v>גמל</v>
      </c>
      <c r="B581" s="1786">
        <f t="shared" si="89"/>
        <v>1137</v>
      </c>
      <c r="C581" s="1787">
        <v>28946</v>
      </c>
      <c r="D581" s="1786" t="str">
        <f t="shared" si="90"/>
        <v>כלל פיננסים השתלמות איתן</v>
      </c>
      <c r="E581" s="1786" t="s">
        <v>3929</v>
      </c>
      <c r="F581" s="1786" t="s">
        <v>2958</v>
      </c>
      <c r="G581" s="1786" t="s">
        <v>2959</v>
      </c>
      <c r="H581" s="1786" t="str">
        <f t="shared" si="91"/>
        <v>לא פעיל</v>
      </c>
      <c r="I581" s="1788">
        <f t="shared" si="92"/>
        <v>38509</v>
      </c>
      <c r="J581" s="1788">
        <f t="shared" si="93"/>
        <v>40178</v>
      </c>
      <c r="K581" s="1786">
        <v>0</v>
      </c>
      <c r="L581" s="1786" t="s">
        <v>1594</v>
      </c>
      <c r="M581" s="1786" t="s">
        <v>1653</v>
      </c>
      <c r="N581" s="1786" t="s">
        <v>1653</v>
      </c>
      <c r="O581" s="1786">
        <v>0</v>
      </c>
      <c r="P581" s="1786"/>
      <c r="Q581" s="1786">
        <v>0</v>
      </c>
      <c r="R581" s="1788"/>
      <c r="S581" s="1786">
        <f t="shared" si="94"/>
        <v>1130</v>
      </c>
      <c r="T581" s="1786" t="str">
        <f t="shared" si="95"/>
        <v>ד.ס.ש ייעוץ ושירותים בע"מ</v>
      </c>
      <c r="U581" s="1786" t="str">
        <f t="shared" si="96"/>
        <v>כלל פיננסים השתלמות מניות</v>
      </c>
      <c r="V581" s="1786">
        <f t="shared" si="97"/>
        <v>0</v>
      </c>
      <c r="W581" s="1789" t="str">
        <f t="shared" si="98"/>
        <v>כלל גמל בע"מ</v>
      </c>
      <c r="AC581" s="1761" t="s">
        <v>1586</v>
      </c>
      <c r="AD581" s="1762">
        <v>40178</v>
      </c>
      <c r="AE581" s="1762">
        <v>38509</v>
      </c>
      <c r="AF581" s="1761" t="s">
        <v>1583</v>
      </c>
      <c r="AG581" s="1761" t="s">
        <v>1583</v>
      </c>
      <c r="AH581" s="1761" t="s">
        <v>1583</v>
      </c>
      <c r="AI581" s="1761" t="s">
        <v>2295</v>
      </c>
      <c r="AJ581" s="1761" t="s">
        <v>2295</v>
      </c>
      <c r="AK581" s="1761">
        <v>1137</v>
      </c>
      <c r="AL581" s="1761" t="s">
        <v>2288</v>
      </c>
      <c r="AM581" s="1761">
        <v>1130</v>
      </c>
      <c r="AN581" s="1761" t="s">
        <v>5393</v>
      </c>
      <c r="AO581" s="1764"/>
      <c r="AP581" s="1761"/>
      <c r="AQ581" s="1761"/>
      <c r="AR581" s="1761" t="s">
        <v>1972</v>
      </c>
      <c r="AS581" s="1761" t="s">
        <v>1971</v>
      </c>
      <c r="AT581" s="1761" t="s">
        <v>327</v>
      </c>
      <c r="AU581" s="1763"/>
      <c r="AV581" s="1763"/>
    </row>
    <row r="582" spans="1:48" ht="25" hidden="1">
      <c r="A582" s="1785" t="str">
        <f t="shared" si="88"/>
        <v>גמל</v>
      </c>
      <c r="B582" s="1786">
        <f t="shared" si="89"/>
        <v>1136</v>
      </c>
      <c r="C582" s="1787">
        <v>28946</v>
      </c>
      <c r="D582" s="1786" t="str">
        <f t="shared" si="90"/>
        <v>כלל פיננסים השתלמות כללי</v>
      </c>
      <c r="E582" s="1786" t="s">
        <v>3929</v>
      </c>
      <c r="F582" s="1786" t="s">
        <v>2958</v>
      </c>
      <c r="G582" s="1786" t="s">
        <v>2959</v>
      </c>
      <c r="H582" s="1786" t="str">
        <f t="shared" si="91"/>
        <v>לא פעיל</v>
      </c>
      <c r="I582" s="1788">
        <f t="shared" si="92"/>
        <v>38509</v>
      </c>
      <c r="J582" s="1788">
        <f t="shared" si="93"/>
        <v>40178</v>
      </c>
      <c r="K582" s="1786">
        <v>0</v>
      </c>
      <c r="L582" s="1786" t="s">
        <v>1594</v>
      </c>
      <c r="M582" s="1786" t="s">
        <v>1653</v>
      </c>
      <c r="N582" s="1786" t="s">
        <v>1653</v>
      </c>
      <c r="O582" s="1786">
        <v>0</v>
      </c>
      <c r="P582" s="1786"/>
      <c r="Q582" s="1786">
        <v>0</v>
      </c>
      <c r="R582" s="1788"/>
      <c r="S582" s="1786">
        <f t="shared" si="94"/>
        <v>1130</v>
      </c>
      <c r="T582" s="1786" t="str">
        <f t="shared" si="95"/>
        <v>ד.ס.ש ייעוץ ושירותים בע"מ</v>
      </c>
      <c r="U582" s="1786" t="str">
        <f t="shared" si="96"/>
        <v>כלל פיננסים השתלמות מניות</v>
      </c>
      <c r="V582" s="1786">
        <f t="shared" si="97"/>
        <v>0</v>
      </c>
      <c r="W582" s="1789" t="str">
        <f t="shared" si="98"/>
        <v>כלל גמל בע"מ</v>
      </c>
      <c r="AC582" s="1759" t="s">
        <v>1586</v>
      </c>
      <c r="AD582" s="1760">
        <v>40178</v>
      </c>
      <c r="AE582" s="1760">
        <v>38509</v>
      </c>
      <c r="AF582" s="1759" t="s">
        <v>1583</v>
      </c>
      <c r="AG582" s="1759" t="s">
        <v>1583</v>
      </c>
      <c r="AH582" s="1759" t="s">
        <v>1583</v>
      </c>
      <c r="AI582" s="1759" t="s">
        <v>2294</v>
      </c>
      <c r="AJ582" s="1759" t="s">
        <v>2294</v>
      </c>
      <c r="AK582" s="1759">
        <v>1136</v>
      </c>
      <c r="AL582" s="1759" t="s">
        <v>2288</v>
      </c>
      <c r="AM582" s="1759">
        <v>1130</v>
      </c>
      <c r="AN582" s="1759" t="s">
        <v>5393</v>
      </c>
      <c r="AO582" s="1764"/>
      <c r="AP582" s="1759"/>
      <c r="AQ582" s="1759"/>
      <c r="AR582" s="1759" t="s">
        <v>1972</v>
      </c>
      <c r="AS582" s="1759" t="s">
        <v>1971</v>
      </c>
      <c r="AT582" s="1759" t="s">
        <v>327</v>
      </c>
      <c r="AU582" s="1763"/>
      <c r="AV582" s="1763"/>
    </row>
    <row r="583" spans="1:48" ht="25" hidden="1">
      <c r="A583" s="1785" t="str">
        <f t="shared" si="88"/>
        <v>גמל</v>
      </c>
      <c r="B583" s="1786">
        <f t="shared" si="89"/>
        <v>1135</v>
      </c>
      <c r="C583" s="1787">
        <v>28946</v>
      </c>
      <c r="D583" s="1786" t="str">
        <f t="shared" si="90"/>
        <v>כלל פיננסים השתלמות אג"ח טווח קצר</v>
      </c>
      <c r="E583" s="1786" t="s">
        <v>3929</v>
      </c>
      <c r="F583" s="1786" t="s">
        <v>2958</v>
      </c>
      <c r="G583" s="1786" t="s">
        <v>2959</v>
      </c>
      <c r="H583" s="1786" t="str">
        <f t="shared" si="91"/>
        <v>לא פעיל</v>
      </c>
      <c r="I583" s="1788">
        <f t="shared" si="92"/>
        <v>38509</v>
      </c>
      <c r="J583" s="1788">
        <f t="shared" si="93"/>
        <v>40178</v>
      </c>
      <c r="K583" s="1786">
        <v>0</v>
      </c>
      <c r="L583" s="1786" t="s">
        <v>1594</v>
      </c>
      <c r="M583" s="1786" t="s">
        <v>1653</v>
      </c>
      <c r="N583" s="1786" t="s">
        <v>1653</v>
      </c>
      <c r="O583" s="1786">
        <v>0</v>
      </c>
      <c r="P583" s="1786"/>
      <c r="Q583" s="1786">
        <v>0</v>
      </c>
      <c r="R583" s="1788"/>
      <c r="S583" s="1786">
        <f t="shared" si="94"/>
        <v>1130</v>
      </c>
      <c r="T583" s="1786" t="str">
        <f t="shared" si="95"/>
        <v>ד.ס.ש ייעוץ ושירותים בע"מ</v>
      </c>
      <c r="U583" s="1786" t="str">
        <f t="shared" si="96"/>
        <v>כלל פיננסים השתלמות מניות</v>
      </c>
      <c r="V583" s="1786">
        <f t="shared" si="97"/>
        <v>0</v>
      </c>
      <c r="W583" s="1789" t="str">
        <f t="shared" si="98"/>
        <v>כלל גמל בע"מ</v>
      </c>
      <c r="AC583" s="1761" t="s">
        <v>1586</v>
      </c>
      <c r="AD583" s="1762">
        <v>40178</v>
      </c>
      <c r="AE583" s="1762">
        <v>38509</v>
      </c>
      <c r="AF583" s="1761" t="s">
        <v>1673</v>
      </c>
      <c r="AG583" s="1761" t="s">
        <v>1653</v>
      </c>
      <c r="AH583" s="1761" t="s">
        <v>1594</v>
      </c>
      <c r="AI583" s="1761" t="s">
        <v>2293</v>
      </c>
      <c r="AJ583" s="1761" t="s">
        <v>2293</v>
      </c>
      <c r="AK583" s="1761">
        <v>1135</v>
      </c>
      <c r="AL583" s="1761" t="s">
        <v>2288</v>
      </c>
      <c r="AM583" s="1761">
        <v>1130</v>
      </c>
      <c r="AN583" s="1761" t="s">
        <v>5393</v>
      </c>
      <c r="AO583" s="1764"/>
      <c r="AP583" s="1761"/>
      <c r="AQ583" s="1761"/>
      <c r="AR583" s="1761" t="s">
        <v>1972</v>
      </c>
      <c r="AS583" s="1761" t="s">
        <v>1971</v>
      </c>
      <c r="AT583" s="1761" t="s">
        <v>327</v>
      </c>
      <c r="AU583" s="1763"/>
      <c r="AV583" s="1763"/>
    </row>
    <row r="584" spans="1:48" ht="25" hidden="1">
      <c r="A584" s="1785" t="str">
        <f t="shared" si="88"/>
        <v>גמל</v>
      </c>
      <c r="B584" s="1786">
        <f t="shared" si="89"/>
        <v>1134</v>
      </c>
      <c r="C584" s="1787">
        <v>28946</v>
      </c>
      <c r="D584" s="1786" t="str">
        <f t="shared" si="90"/>
        <v>כלל פיננסים השתלמות חו"ל</v>
      </c>
      <c r="E584" s="1786" t="s">
        <v>3929</v>
      </c>
      <c r="F584" s="1786" t="s">
        <v>2958</v>
      </c>
      <c r="G584" s="1786" t="s">
        <v>2959</v>
      </c>
      <c r="H584" s="1786" t="str">
        <f t="shared" si="91"/>
        <v>לא פעיל</v>
      </c>
      <c r="I584" s="1788">
        <f t="shared" si="92"/>
        <v>38509</v>
      </c>
      <c r="J584" s="1788">
        <f t="shared" si="93"/>
        <v>40178</v>
      </c>
      <c r="K584" s="1786">
        <v>0</v>
      </c>
      <c r="L584" s="1786" t="s">
        <v>1594</v>
      </c>
      <c r="M584" s="1786" t="s">
        <v>1653</v>
      </c>
      <c r="N584" s="1786" t="s">
        <v>1653</v>
      </c>
      <c r="O584" s="1786">
        <v>0</v>
      </c>
      <c r="P584" s="1786"/>
      <c r="Q584" s="1786">
        <v>0</v>
      </c>
      <c r="R584" s="1788"/>
      <c r="S584" s="1786">
        <f t="shared" si="94"/>
        <v>1130</v>
      </c>
      <c r="T584" s="1786" t="str">
        <f t="shared" si="95"/>
        <v>ד.ס.ש ייעוץ ושירותים בע"מ</v>
      </c>
      <c r="U584" s="1786" t="str">
        <f t="shared" si="96"/>
        <v>כלל פיננסים השתלמות מניות</v>
      </c>
      <c r="V584" s="1786">
        <f t="shared" si="97"/>
        <v>0</v>
      </c>
      <c r="W584" s="1789" t="str">
        <f t="shared" si="98"/>
        <v>כלל גמל בע"מ</v>
      </c>
      <c r="AC584" s="1759" t="s">
        <v>1586</v>
      </c>
      <c r="AD584" s="1760">
        <v>40178</v>
      </c>
      <c r="AE584" s="1760">
        <v>38509</v>
      </c>
      <c r="AF584" s="1759" t="s">
        <v>1948</v>
      </c>
      <c r="AG584" s="1759" t="s">
        <v>1947</v>
      </c>
      <c r="AH584" s="1759" t="s">
        <v>1594</v>
      </c>
      <c r="AI584" s="1759" t="s">
        <v>2292</v>
      </c>
      <c r="AJ584" s="1759" t="s">
        <v>2292</v>
      </c>
      <c r="AK584" s="1759">
        <v>1134</v>
      </c>
      <c r="AL584" s="1759" t="s">
        <v>2288</v>
      </c>
      <c r="AM584" s="1759">
        <v>1130</v>
      </c>
      <c r="AN584" s="1759" t="s">
        <v>5393</v>
      </c>
      <c r="AO584" s="1764"/>
      <c r="AP584" s="1759"/>
      <c r="AQ584" s="1759"/>
      <c r="AR584" s="1759" t="s">
        <v>1972</v>
      </c>
      <c r="AS584" s="1759" t="s">
        <v>1971</v>
      </c>
      <c r="AT584" s="1759" t="s">
        <v>327</v>
      </c>
      <c r="AU584" s="1763"/>
      <c r="AV584" s="1763"/>
    </row>
    <row r="585" spans="1:48" ht="25" hidden="1">
      <c r="A585" s="1785" t="str">
        <f t="shared" si="88"/>
        <v>גמל</v>
      </c>
      <c r="B585" s="1786">
        <f t="shared" si="89"/>
        <v>1130</v>
      </c>
      <c r="C585" s="1787">
        <v>28946</v>
      </c>
      <c r="D585" s="1786" t="str">
        <f t="shared" si="90"/>
        <v>כלל פיננסים השתלמות מניות</v>
      </c>
      <c r="E585" s="1786" t="s">
        <v>3929</v>
      </c>
      <c r="F585" s="1786" t="s">
        <v>2958</v>
      </c>
      <c r="G585" s="1786" t="s">
        <v>2959</v>
      </c>
      <c r="H585" s="1786" t="str">
        <f t="shared" si="91"/>
        <v>לא פעיל</v>
      </c>
      <c r="I585" s="1788">
        <f t="shared" si="92"/>
        <v>38509</v>
      </c>
      <c r="J585" s="1788">
        <f t="shared" si="93"/>
        <v>40178</v>
      </c>
      <c r="K585" s="1786">
        <v>0</v>
      </c>
      <c r="L585" s="1786" t="s">
        <v>1594</v>
      </c>
      <c r="M585" s="1786" t="s">
        <v>1653</v>
      </c>
      <c r="N585" s="1786" t="s">
        <v>1653</v>
      </c>
      <c r="O585" s="1786">
        <v>0</v>
      </c>
      <c r="P585" s="1786"/>
      <c r="Q585" s="1786">
        <v>0</v>
      </c>
      <c r="R585" s="1788"/>
      <c r="S585" s="1786">
        <f t="shared" si="94"/>
        <v>1130</v>
      </c>
      <c r="T585" s="1786" t="str">
        <f t="shared" si="95"/>
        <v>ד.ס.ש ייעוץ ושירותים בע"מ</v>
      </c>
      <c r="U585" s="1786" t="str">
        <f t="shared" si="96"/>
        <v>כלל פיננסים השתלמות מניות</v>
      </c>
      <c r="V585" s="1786">
        <f t="shared" si="97"/>
        <v>0</v>
      </c>
      <c r="W585" s="1789" t="str">
        <f t="shared" si="98"/>
        <v>כלל גמל בע"מ</v>
      </c>
      <c r="AC585" s="1761" t="s">
        <v>1586</v>
      </c>
      <c r="AD585" s="1762">
        <v>40178</v>
      </c>
      <c r="AE585" s="1762">
        <v>38509</v>
      </c>
      <c r="AF585" s="1761" t="s">
        <v>1595</v>
      </c>
      <c r="AG585" s="1761" t="s">
        <v>75</v>
      </c>
      <c r="AH585" s="1761" t="s">
        <v>1594</v>
      </c>
      <c r="AI585" s="1761" t="s">
        <v>2288</v>
      </c>
      <c r="AJ585" s="1761" t="s">
        <v>2288</v>
      </c>
      <c r="AK585" s="1761">
        <v>1130</v>
      </c>
      <c r="AL585" s="1761" t="s">
        <v>2288</v>
      </c>
      <c r="AM585" s="1761">
        <v>1130</v>
      </c>
      <c r="AN585" s="1761" t="s">
        <v>5393</v>
      </c>
      <c r="AO585" s="1764"/>
      <c r="AP585" s="1761"/>
      <c r="AQ585" s="1761"/>
      <c r="AR585" s="1761" t="s">
        <v>1972</v>
      </c>
      <c r="AS585" s="1761" t="s">
        <v>1971</v>
      </c>
      <c r="AT585" s="1761" t="s">
        <v>327</v>
      </c>
      <c r="AU585" s="1763"/>
      <c r="AV585" s="1763"/>
    </row>
    <row r="586" spans="1:48" ht="14.15" hidden="1" customHeight="1">
      <c r="A586" s="1785" t="str">
        <f t="shared" si="88"/>
        <v>גמל</v>
      </c>
      <c r="B586" s="1786">
        <f t="shared" si="89"/>
        <v>1131</v>
      </c>
      <c r="C586" s="1787">
        <v>28946</v>
      </c>
      <c r="D586" s="1786" t="str">
        <f t="shared" si="90"/>
        <v>כלל פיננסים השתלמות מט"ח</v>
      </c>
      <c r="E586" s="1786" t="s">
        <v>3929</v>
      </c>
      <c r="F586" s="1786" t="s">
        <v>2958</v>
      </c>
      <c r="G586" s="1786" t="s">
        <v>2959</v>
      </c>
      <c r="H586" s="1786" t="str">
        <f t="shared" si="91"/>
        <v>לא פעיל</v>
      </c>
      <c r="I586" s="1788">
        <f t="shared" si="92"/>
        <v>38509</v>
      </c>
      <c r="J586" s="1788">
        <f t="shared" si="93"/>
        <v>40178</v>
      </c>
      <c r="K586" s="1786">
        <v>0</v>
      </c>
      <c r="L586" s="1786" t="s">
        <v>1594</v>
      </c>
      <c r="M586" s="1786" t="s">
        <v>1653</v>
      </c>
      <c r="N586" s="1786" t="s">
        <v>1653</v>
      </c>
      <c r="O586" s="1786">
        <v>0</v>
      </c>
      <c r="P586" s="1786"/>
      <c r="Q586" s="1786">
        <v>0</v>
      </c>
      <c r="R586" s="1788"/>
      <c r="S586" s="1786">
        <f t="shared" si="94"/>
        <v>1130</v>
      </c>
      <c r="T586" s="1786" t="str">
        <f t="shared" si="95"/>
        <v>ד.ס.ש ייעוץ ושירותים בע"מ</v>
      </c>
      <c r="U586" s="1786" t="str">
        <f t="shared" si="96"/>
        <v>כלל פיננסים השתלמות מניות</v>
      </c>
      <c r="V586" s="1786">
        <f t="shared" si="97"/>
        <v>0</v>
      </c>
      <c r="W586" s="1789" t="str">
        <f t="shared" si="98"/>
        <v>כלל גמל בע"מ</v>
      </c>
      <c r="AC586" s="1759" t="s">
        <v>1586</v>
      </c>
      <c r="AD586" s="1760">
        <v>40178</v>
      </c>
      <c r="AE586" s="1760">
        <v>38509</v>
      </c>
      <c r="AF586" s="1759" t="s">
        <v>1611</v>
      </c>
      <c r="AG586" s="1759" t="s">
        <v>1611</v>
      </c>
      <c r="AH586" s="1759" t="s">
        <v>1594</v>
      </c>
      <c r="AI586" s="1759" t="s">
        <v>2289</v>
      </c>
      <c r="AJ586" s="1759" t="s">
        <v>2289</v>
      </c>
      <c r="AK586" s="1759">
        <v>1131</v>
      </c>
      <c r="AL586" s="1759" t="s">
        <v>2288</v>
      </c>
      <c r="AM586" s="1759">
        <v>1130</v>
      </c>
      <c r="AN586" s="1759" t="s">
        <v>5393</v>
      </c>
      <c r="AO586" s="1764"/>
      <c r="AP586" s="1759"/>
      <c r="AQ586" s="1759"/>
      <c r="AR586" s="1759" t="s">
        <v>1972</v>
      </c>
      <c r="AS586" s="1759" t="s">
        <v>1971</v>
      </c>
      <c r="AT586" s="1759" t="s">
        <v>327</v>
      </c>
      <c r="AU586" s="1763"/>
      <c r="AV586" s="1763"/>
    </row>
    <row r="587" spans="1:48" ht="14.15" hidden="1" customHeight="1">
      <c r="A587" s="1785" t="str">
        <f t="shared" si="88"/>
        <v>גמל</v>
      </c>
      <c r="B587" s="1786">
        <f t="shared" si="89"/>
        <v>1125</v>
      </c>
      <c r="C587" s="1787">
        <v>28946</v>
      </c>
      <c r="D587" s="1786" t="str">
        <f t="shared" si="90"/>
        <v>כלל גמל שקלי</v>
      </c>
      <c r="E587" s="1786" t="s">
        <v>3929</v>
      </c>
      <c r="F587" s="1786" t="s">
        <v>2958</v>
      </c>
      <c r="G587" s="1786" t="s">
        <v>2959</v>
      </c>
      <c r="H587" s="1786" t="str">
        <f t="shared" si="91"/>
        <v>לא פעיל</v>
      </c>
      <c r="I587" s="1788">
        <f t="shared" si="92"/>
        <v>38509</v>
      </c>
      <c r="J587" s="1788">
        <f t="shared" si="93"/>
        <v>39922.434884259303</v>
      </c>
      <c r="K587" s="1786">
        <v>0</v>
      </c>
      <c r="L587" s="1786" t="s">
        <v>1594</v>
      </c>
      <c r="M587" s="1786" t="s">
        <v>1653</v>
      </c>
      <c r="N587" s="1786" t="s">
        <v>1653</v>
      </c>
      <c r="O587" s="1786">
        <v>0</v>
      </c>
      <c r="P587" s="1786"/>
      <c r="Q587" s="1786">
        <v>0</v>
      </c>
      <c r="R587" s="1788"/>
      <c r="S587" s="1786">
        <f t="shared" si="94"/>
        <v>1122</v>
      </c>
      <c r="T587" s="1786" t="str">
        <f t="shared" si="95"/>
        <v>בנק הפועלים בע"מ</v>
      </c>
      <c r="U587" s="1786" t="str">
        <f t="shared" si="96"/>
        <v>כלל גמל מניות</v>
      </c>
      <c r="V587" s="1786">
        <f t="shared" si="97"/>
        <v>0</v>
      </c>
      <c r="W587" s="1789" t="str">
        <f t="shared" si="98"/>
        <v>כלל גמל בע"מ</v>
      </c>
      <c r="AC587" s="1761" t="s">
        <v>1586</v>
      </c>
      <c r="AD587" s="1762">
        <v>39922.434884259303</v>
      </c>
      <c r="AE587" s="1762">
        <v>38509</v>
      </c>
      <c r="AF587" s="1761" t="s">
        <v>1076</v>
      </c>
      <c r="AG587" s="1761" t="s">
        <v>1614</v>
      </c>
      <c r="AH587" s="1761" t="s">
        <v>1594</v>
      </c>
      <c r="AI587" s="1761" t="s">
        <v>2283</v>
      </c>
      <c r="AJ587" s="1761" t="s">
        <v>2283</v>
      </c>
      <c r="AK587" s="1761">
        <v>1125</v>
      </c>
      <c r="AL587" s="1761" t="s">
        <v>663</v>
      </c>
      <c r="AM587" s="1761">
        <v>1122</v>
      </c>
      <c r="AN587" s="1761" t="s">
        <v>1695</v>
      </c>
      <c r="AO587" s="1764"/>
      <c r="AP587" s="1761"/>
      <c r="AQ587" s="1761"/>
      <c r="AR587" s="1761" t="s">
        <v>1972</v>
      </c>
      <c r="AS587" s="1761" t="s">
        <v>1971</v>
      </c>
      <c r="AT587" s="1761" t="s">
        <v>327</v>
      </c>
      <c r="AU587" s="1763"/>
      <c r="AV587" s="1763"/>
    </row>
    <row r="588" spans="1:48" ht="25" hidden="1">
      <c r="A588" s="1785" t="str">
        <f t="shared" si="88"/>
        <v>גמל</v>
      </c>
      <c r="B588" s="1786">
        <f t="shared" si="89"/>
        <v>1126</v>
      </c>
      <c r="C588" s="1787">
        <v>28946</v>
      </c>
      <c r="D588" s="1786" t="str">
        <f t="shared" si="90"/>
        <v>כלל גמל חו"ל</v>
      </c>
      <c r="E588" s="1786" t="s">
        <v>3929</v>
      </c>
      <c r="F588" s="1786" t="s">
        <v>2958</v>
      </c>
      <c r="G588" s="1786" t="s">
        <v>2959</v>
      </c>
      <c r="H588" s="1786" t="str">
        <f t="shared" si="91"/>
        <v>לא פעיל</v>
      </c>
      <c r="I588" s="1788">
        <f t="shared" si="92"/>
        <v>38509</v>
      </c>
      <c r="J588" s="1788">
        <f t="shared" si="93"/>
        <v>39922.434976851902</v>
      </c>
      <c r="K588" s="1786">
        <v>0</v>
      </c>
      <c r="L588" s="1786" t="s">
        <v>1594</v>
      </c>
      <c r="M588" s="1786" t="s">
        <v>1653</v>
      </c>
      <c r="N588" s="1786" t="s">
        <v>1653</v>
      </c>
      <c r="O588" s="1786">
        <v>0</v>
      </c>
      <c r="P588" s="1786"/>
      <c r="Q588" s="1786">
        <v>0</v>
      </c>
      <c r="R588" s="1788"/>
      <c r="S588" s="1786">
        <f t="shared" si="94"/>
        <v>1122</v>
      </c>
      <c r="T588" s="1786" t="str">
        <f t="shared" si="95"/>
        <v>בנק הפועלים בע"מ</v>
      </c>
      <c r="U588" s="1786" t="str">
        <f t="shared" si="96"/>
        <v>כלל גמל מניות</v>
      </c>
      <c r="V588" s="1786">
        <f t="shared" si="97"/>
        <v>0</v>
      </c>
      <c r="W588" s="1789" t="str">
        <f t="shared" si="98"/>
        <v>כלל גמל בע"מ</v>
      </c>
      <c r="AC588" s="1759" t="s">
        <v>1586</v>
      </c>
      <c r="AD588" s="1760">
        <v>39922.434976851902</v>
      </c>
      <c r="AE588" s="1760">
        <v>38509</v>
      </c>
      <c r="AF588" s="1759" t="s">
        <v>1948</v>
      </c>
      <c r="AG588" s="1759" t="s">
        <v>1947</v>
      </c>
      <c r="AH588" s="1759" t="s">
        <v>1594</v>
      </c>
      <c r="AI588" s="1759" t="s">
        <v>2284</v>
      </c>
      <c r="AJ588" s="1759" t="s">
        <v>2284</v>
      </c>
      <c r="AK588" s="1759">
        <v>1126</v>
      </c>
      <c r="AL588" s="1759" t="s">
        <v>663</v>
      </c>
      <c r="AM588" s="1759">
        <v>1122</v>
      </c>
      <c r="AN588" s="1759" t="s">
        <v>1695</v>
      </c>
      <c r="AO588" s="1764"/>
      <c r="AP588" s="1759"/>
      <c r="AQ588" s="1759"/>
      <c r="AR588" s="1759" t="s">
        <v>1972</v>
      </c>
      <c r="AS588" s="1759" t="s">
        <v>1971</v>
      </c>
      <c r="AT588" s="1759" t="s">
        <v>327</v>
      </c>
      <c r="AU588" s="1763"/>
      <c r="AV588" s="1763"/>
    </row>
    <row r="589" spans="1:48" ht="25" hidden="1">
      <c r="A589" s="1785" t="str">
        <f t="shared" si="88"/>
        <v>גמל</v>
      </c>
      <c r="B589" s="1786">
        <f t="shared" si="89"/>
        <v>1127</v>
      </c>
      <c r="C589" s="1787">
        <v>28946</v>
      </c>
      <c r="D589" s="1786" t="str">
        <f t="shared" si="90"/>
        <v>כלל גמל שקלי טווח קצר</v>
      </c>
      <c r="E589" s="1786" t="s">
        <v>3929</v>
      </c>
      <c r="F589" s="1786" t="s">
        <v>2958</v>
      </c>
      <c r="G589" s="1786" t="s">
        <v>2959</v>
      </c>
      <c r="H589" s="1786" t="str">
        <f t="shared" si="91"/>
        <v>לא פעיל</v>
      </c>
      <c r="I589" s="1788">
        <f t="shared" si="92"/>
        <v>38509</v>
      </c>
      <c r="J589" s="1788">
        <f t="shared" si="93"/>
        <v>41655.449965277803</v>
      </c>
      <c r="K589" s="1786">
        <v>0</v>
      </c>
      <c r="L589" s="1786" t="s">
        <v>1594</v>
      </c>
      <c r="M589" s="1786" t="s">
        <v>1653</v>
      </c>
      <c r="N589" s="1786" t="s">
        <v>1653</v>
      </c>
      <c r="O589" s="1786">
        <v>0</v>
      </c>
      <c r="P589" s="1786"/>
      <c r="Q589" s="1786">
        <v>0</v>
      </c>
      <c r="R589" s="1788"/>
      <c r="S589" s="1786">
        <f t="shared" si="94"/>
        <v>1122</v>
      </c>
      <c r="T589" s="1786" t="str">
        <f t="shared" si="95"/>
        <v>בנק הפועלים בע"מ</v>
      </c>
      <c r="U589" s="1786" t="str">
        <f t="shared" si="96"/>
        <v>כלל גמל מניות</v>
      </c>
      <c r="V589" s="1786">
        <f t="shared" si="97"/>
        <v>0</v>
      </c>
      <c r="W589" s="1789" t="str">
        <f t="shared" si="98"/>
        <v>כלל פנסיה וגמל בע"מ</v>
      </c>
      <c r="AC589" s="1761" t="s">
        <v>1586</v>
      </c>
      <c r="AD589" s="1762">
        <v>41655.449965277803</v>
      </c>
      <c r="AE589" s="1762">
        <v>38509</v>
      </c>
      <c r="AF589" s="1761" t="s">
        <v>1673</v>
      </c>
      <c r="AG589" s="1761" t="s">
        <v>1614</v>
      </c>
      <c r="AH589" s="1761" t="s">
        <v>1594</v>
      </c>
      <c r="AI589" s="1761" t="s">
        <v>2285</v>
      </c>
      <c r="AJ589" s="1761" t="s">
        <v>2285</v>
      </c>
      <c r="AK589" s="1761">
        <v>1127</v>
      </c>
      <c r="AL589" s="1761" t="s">
        <v>663</v>
      </c>
      <c r="AM589" s="1761">
        <v>1122</v>
      </c>
      <c r="AN589" s="1761" t="s">
        <v>1695</v>
      </c>
      <c r="AO589" s="1764"/>
      <c r="AP589" s="1761"/>
      <c r="AQ589" s="1761"/>
      <c r="AR589" s="1761" t="s">
        <v>378</v>
      </c>
      <c r="AS589" s="1761" t="s">
        <v>379</v>
      </c>
      <c r="AT589" s="1761" t="s">
        <v>327</v>
      </c>
      <c r="AU589" s="1763"/>
      <c r="AV589" s="1763"/>
    </row>
    <row r="590" spans="1:48" ht="25" hidden="1">
      <c r="A590" s="1785" t="str">
        <f t="shared" si="88"/>
        <v>גמל</v>
      </c>
      <c r="B590" s="1786">
        <f t="shared" si="89"/>
        <v>1129</v>
      </c>
      <c r="C590" s="1787">
        <v>28946</v>
      </c>
      <c r="D590" s="1786" t="str">
        <f t="shared" si="90"/>
        <v>כלל גמל איתן</v>
      </c>
      <c r="E590" s="1786" t="s">
        <v>3929</v>
      </c>
      <c r="F590" s="1786" t="s">
        <v>2958</v>
      </c>
      <c r="G590" s="1786" t="s">
        <v>2959</v>
      </c>
      <c r="H590" s="1786" t="str">
        <f t="shared" si="91"/>
        <v>לא פעיל</v>
      </c>
      <c r="I590" s="1788">
        <f t="shared" si="92"/>
        <v>38509</v>
      </c>
      <c r="J590" s="1788">
        <f t="shared" si="93"/>
        <v>41955.496701388904</v>
      </c>
      <c r="K590" s="1786">
        <v>0</v>
      </c>
      <c r="L590" s="1786" t="s">
        <v>1594</v>
      </c>
      <c r="M590" s="1786" t="s">
        <v>1653</v>
      </c>
      <c r="N590" s="1786" t="s">
        <v>1653</v>
      </c>
      <c r="O590" s="1786">
        <v>0</v>
      </c>
      <c r="P590" s="1786"/>
      <c r="Q590" s="1786">
        <v>0</v>
      </c>
      <c r="R590" s="1788"/>
      <c r="S590" s="1786">
        <f t="shared" si="94"/>
        <v>1122</v>
      </c>
      <c r="T590" s="1786" t="str">
        <f t="shared" si="95"/>
        <v>בנק הפועלים בע"מ</v>
      </c>
      <c r="U590" s="1786" t="str">
        <f t="shared" si="96"/>
        <v>כלל גמל מניות</v>
      </c>
      <c r="V590" s="1786">
        <f t="shared" si="97"/>
        <v>0</v>
      </c>
      <c r="W590" s="1789" t="str">
        <f t="shared" si="98"/>
        <v>כלל פנסיה וגמל בע"מ</v>
      </c>
      <c r="AC590" s="1759" t="s">
        <v>1586</v>
      </c>
      <c r="AD590" s="1760">
        <v>41955.496701388904</v>
      </c>
      <c r="AE590" s="1760">
        <v>38509</v>
      </c>
      <c r="AF590" s="1759" t="s">
        <v>1583</v>
      </c>
      <c r="AG590" s="1759" t="s">
        <v>1583</v>
      </c>
      <c r="AH590" s="1759" t="s">
        <v>1583</v>
      </c>
      <c r="AI590" s="1759" t="s">
        <v>2287</v>
      </c>
      <c r="AJ590" s="1759" t="s">
        <v>2287</v>
      </c>
      <c r="AK590" s="1759">
        <v>1129</v>
      </c>
      <c r="AL590" s="1759" t="s">
        <v>663</v>
      </c>
      <c r="AM590" s="1759">
        <v>1122</v>
      </c>
      <c r="AN590" s="1759" t="s">
        <v>1695</v>
      </c>
      <c r="AO590" s="1764"/>
      <c r="AP590" s="1759"/>
      <c r="AQ590" s="1759"/>
      <c r="AR590" s="1759" t="s">
        <v>378</v>
      </c>
      <c r="AS590" s="1759" t="s">
        <v>379</v>
      </c>
      <c r="AT590" s="1759" t="s">
        <v>327</v>
      </c>
      <c r="AU590" s="1763"/>
      <c r="AV590" s="1763"/>
    </row>
    <row r="591" spans="1:48" ht="14.15" hidden="1" customHeight="1">
      <c r="A591" s="1785" t="str">
        <f t="shared" si="88"/>
        <v>גמל</v>
      </c>
      <c r="B591" s="1786">
        <f t="shared" si="89"/>
        <v>1128</v>
      </c>
      <c r="C591" s="1787">
        <v>28946</v>
      </c>
      <c r="D591" s="1786" t="str">
        <f t="shared" si="90"/>
        <v>כלל גמל כללי</v>
      </c>
      <c r="E591" s="1786" t="s">
        <v>3929</v>
      </c>
      <c r="F591" s="1786" t="s">
        <v>2958</v>
      </c>
      <c r="G591" s="1786" t="s">
        <v>2959</v>
      </c>
      <c r="H591" s="1786" t="str">
        <f t="shared" si="91"/>
        <v>לא פעיל</v>
      </c>
      <c r="I591" s="1788">
        <f t="shared" si="92"/>
        <v>38509</v>
      </c>
      <c r="J591" s="1788">
        <f t="shared" si="93"/>
        <v>41651.453206018501</v>
      </c>
      <c r="K591" s="1786">
        <v>0</v>
      </c>
      <c r="L591" s="1786" t="s">
        <v>1594</v>
      </c>
      <c r="M591" s="1786" t="s">
        <v>1653</v>
      </c>
      <c r="N591" s="1786" t="s">
        <v>1653</v>
      </c>
      <c r="O591" s="1786">
        <v>0</v>
      </c>
      <c r="P591" s="1786"/>
      <c r="Q591" s="1786">
        <v>0</v>
      </c>
      <c r="R591" s="1788"/>
      <c r="S591" s="1786">
        <f t="shared" si="94"/>
        <v>1122</v>
      </c>
      <c r="T591" s="1786" t="str">
        <f t="shared" si="95"/>
        <v>בנק הפועלים בע"מ</v>
      </c>
      <c r="U591" s="1786" t="str">
        <f t="shared" si="96"/>
        <v>כלל גמל מניות</v>
      </c>
      <c r="V591" s="1786">
        <f t="shared" si="97"/>
        <v>0</v>
      </c>
      <c r="W591" s="1789" t="str">
        <f t="shared" si="98"/>
        <v>כלל פנסיה וגמל בע"מ</v>
      </c>
      <c r="AC591" s="1761" t="s">
        <v>1586</v>
      </c>
      <c r="AD591" s="1762">
        <v>41651.453206018501</v>
      </c>
      <c r="AE591" s="1762">
        <v>38509</v>
      </c>
      <c r="AF591" s="1761" t="s">
        <v>1583</v>
      </c>
      <c r="AG591" s="1761" t="s">
        <v>1583</v>
      </c>
      <c r="AH591" s="1761" t="s">
        <v>1583</v>
      </c>
      <c r="AI591" s="1761" t="s">
        <v>2286</v>
      </c>
      <c r="AJ591" s="1761" t="s">
        <v>2286</v>
      </c>
      <c r="AK591" s="1761">
        <v>1128</v>
      </c>
      <c r="AL591" s="1761" t="s">
        <v>663</v>
      </c>
      <c r="AM591" s="1761">
        <v>1122</v>
      </c>
      <c r="AN591" s="1761" t="s">
        <v>1695</v>
      </c>
      <c r="AO591" s="1764"/>
      <c r="AP591" s="1761"/>
      <c r="AQ591" s="1761"/>
      <c r="AR591" s="1761" t="s">
        <v>378</v>
      </c>
      <c r="AS591" s="1761" t="s">
        <v>379</v>
      </c>
      <c r="AT591" s="1761" t="s">
        <v>327</v>
      </c>
      <c r="AU591" s="1763"/>
      <c r="AV591" s="1763"/>
    </row>
    <row r="592" spans="1:48" ht="25" hidden="1">
      <c r="A592" s="1785" t="str">
        <f t="shared" si="88"/>
        <v>גמל</v>
      </c>
      <c r="B592" s="1786">
        <f t="shared" si="89"/>
        <v>1123</v>
      </c>
      <c r="C592" s="1787">
        <v>28946</v>
      </c>
      <c r="D592" s="1786" t="str">
        <f t="shared" si="90"/>
        <v>כלל גמל מט"ח</v>
      </c>
      <c r="E592" s="1786" t="s">
        <v>3929</v>
      </c>
      <c r="F592" s="1786" t="s">
        <v>2958</v>
      </c>
      <c r="G592" s="1786" t="s">
        <v>2959</v>
      </c>
      <c r="H592" s="1786" t="str">
        <f t="shared" si="91"/>
        <v>לא פעיל</v>
      </c>
      <c r="I592" s="1788">
        <f t="shared" si="92"/>
        <v>38509</v>
      </c>
      <c r="J592" s="1788">
        <f t="shared" si="93"/>
        <v>39922.434745370403</v>
      </c>
      <c r="K592" s="1786">
        <v>0</v>
      </c>
      <c r="L592" s="1786" t="s">
        <v>1594</v>
      </c>
      <c r="M592" s="1786" t="s">
        <v>1653</v>
      </c>
      <c r="N592" s="1786" t="s">
        <v>1653</v>
      </c>
      <c r="O592" s="1786">
        <v>0</v>
      </c>
      <c r="P592" s="1786"/>
      <c r="Q592" s="1786">
        <v>0</v>
      </c>
      <c r="R592" s="1788"/>
      <c r="S592" s="1786">
        <f t="shared" si="94"/>
        <v>1122</v>
      </c>
      <c r="T592" s="1786" t="str">
        <f t="shared" si="95"/>
        <v>בנק הפועלים בע"מ</v>
      </c>
      <c r="U592" s="1786" t="str">
        <f t="shared" si="96"/>
        <v>כלל גמל מניות</v>
      </c>
      <c r="V592" s="1786">
        <f t="shared" si="97"/>
        <v>0</v>
      </c>
      <c r="W592" s="1789" t="str">
        <f t="shared" si="98"/>
        <v>כלל גמל בע"מ</v>
      </c>
      <c r="AC592" s="1759" t="s">
        <v>1586</v>
      </c>
      <c r="AD592" s="1760">
        <v>39922.434745370403</v>
      </c>
      <c r="AE592" s="1760">
        <v>38509</v>
      </c>
      <c r="AF592" s="1759" t="s">
        <v>1611</v>
      </c>
      <c r="AG592" s="1759" t="s">
        <v>1611</v>
      </c>
      <c r="AH592" s="1759" t="s">
        <v>1594</v>
      </c>
      <c r="AI592" s="1759" t="s">
        <v>2281</v>
      </c>
      <c r="AJ592" s="1759" t="s">
        <v>2281</v>
      </c>
      <c r="AK592" s="1759">
        <v>1123</v>
      </c>
      <c r="AL592" s="1759" t="s">
        <v>663</v>
      </c>
      <c r="AM592" s="1759">
        <v>1122</v>
      </c>
      <c r="AN592" s="1759" t="s">
        <v>1695</v>
      </c>
      <c r="AO592" s="1764"/>
      <c r="AP592" s="1759"/>
      <c r="AQ592" s="1759"/>
      <c r="AR592" s="1759" t="s">
        <v>1972</v>
      </c>
      <c r="AS592" s="1759" t="s">
        <v>1971</v>
      </c>
      <c r="AT592" s="1759" t="s">
        <v>327</v>
      </c>
      <c r="AU592" s="1763"/>
      <c r="AV592" s="1763"/>
    </row>
    <row r="593" spans="1:48" ht="25" hidden="1">
      <c r="A593" s="1785" t="str">
        <f t="shared" si="88"/>
        <v>גמל</v>
      </c>
      <c r="B593" s="1786">
        <f t="shared" si="89"/>
        <v>1122</v>
      </c>
      <c r="C593" s="1787">
        <v>28946</v>
      </c>
      <c r="D593" s="1786" t="str">
        <f t="shared" si="90"/>
        <v>כלל גמל מניות</v>
      </c>
      <c r="E593" s="1786" t="s">
        <v>3929</v>
      </c>
      <c r="F593" s="1786" t="s">
        <v>2958</v>
      </c>
      <c r="G593" s="1786" t="s">
        <v>2959</v>
      </c>
      <c r="H593" s="1786" t="str">
        <f t="shared" si="91"/>
        <v>לא פעיל</v>
      </c>
      <c r="I593" s="1788">
        <f t="shared" si="92"/>
        <v>38509</v>
      </c>
      <c r="J593" s="1788">
        <f t="shared" si="93"/>
        <v>41655.449965277803</v>
      </c>
      <c r="K593" s="1786">
        <v>0</v>
      </c>
      <c r="L593" s="1786" t="s">
        <v>1594</v>
      </c>
      <c r="M593" s="1786" t="s">
        <v>1653</v>
      </c>
      <c r="N593" s="1786" t="s">
        <v>1653</v>
      </c>
      <c r="O593" s="1786">
        <v>0</v>
      </c>
      <c r="P593" s="1786"/>
      <c r="Q593" s="1786">
        <v>0</v>
      </c>
      <c r="R593" s="1788"/>
      <c r="S593" s="1786">
        <f t="shared" si="94"/>
        <v>1122</v>
      </c>
      <c r="T593" s="1786" t="str">
        <f t="shared" si="95"/>
        <v>בנק הפועלים בע"מ</v>
      </c>
      <c r="U593" s="1786" t="str">
        <f t="shared" si="96"/>
        <v>כלל גמל מניות</v>
      </c>
      <c r="V593" s="1786">
        <f t="shared" si="97"/>
        <v>0</v>
      </c>
      <c r="W593" s="1789" t="str">
        <f t="shared" si="98"/>
        <v>כלל פנסיה וגמל בע"מ</v>
      </c>
      <c r="AC593" s="1761" t="s">
        <v>1586</v>
      </c>
      <c r="AD593" s="1762">
        <v>41655.449965277803</v>
      </c>
      <c r="AE593" s="1762">
        <v>38509</v>
      </c>
      <c r="AF593" s="1761" t="s">
        <v>1595</v>
      </c>
      <c r="AG593" s="1761" t="s">
        <v>75</v>
      </c>
      <c r="AH593" s="1761" t="s">
        <v>1594</v>
      </c>
      <c r="AI593" s="1761" t="s">
        <v>663</v>
      </c>
      <c r="AJ593" s="1761" t="s">
        <v>663</v>
      </c>
      <c r="AK593" s="1761">
        <v>1122</v>
      </c>
      <c r="AL593" s="1761" t="s">
        <v>663</v>
      </c>
      <c r="AM593" s="1761">
        <v>1122</v>
      </c>
      <c r="AN593" s="1761" t="s">
        <v>1695</v>
      </c>
      <c r="AO593" s="1764"/>
      <c r="AP593" s="1761"/>
      <c r="AQ593" s="1761"/>
      <c r="AR593" s="1761" t="s">
        <v>378</v>
      </c>
      <c r="AS593" s="1761" t="s">
        <v>379</v>
      </c>
      <c r="AT593" s="1761" t="s">
        <v>327</v>
      </c>
      <c r="AU593" s="1763"/>
      <c r="AV593" s="1763"/>
    </row>
    <row r="594" spans="1:48" ht="25" hidden="1">
      <c r="A594" s="1785" t="str">
        <f t="shared" si="88"/>
        <v>גמל</v>
      </c>
      <c r="B594" s="1786">
        <f t="shared" si="89"/>
        <v>1124</v>
      </c>
      <c r="C594" s="1787">
        <v>28946</v>
      </c>
      <c r="D594" s="1786" t="str">
        <f t="shared" si="90"/>
        <v>כלל גמל מדד</v>
      </c>
      <c r="E594" s="1786" t="s">
        <v>3929</v>
      </c>
      <c r="F594" s="1786" t="s">
        <v>2958</v>
      </c>
      <c r="G594" s="1786" t="s">
        <v>2959</v>
      </c>
      <c r="H594" s="1786" t="str">
        <f t="shared" si="91"/>
        <v>לא פעיל</v>
      </c>
      <c r="I594" s="1788">
        <f t="shared" si="92"/>
        <v>38509</v>
      </c>
      <c r="J594" s="1788">
        <f t="shared" si="93"/>
        <v>41655.449965277803</v>
      </c>
      <c r="K594" s="1786">
        <v>0</v>
      </c>
      <c r="L594" s="1786" t="s">
        <v>1594</v>
      </c>
      <c r="M594" s="1786" t="s">
        <v>1653</v>
      </c>
      <c r="N594" s="1786" t="s">
        <v>1653</v>
      </c>
      <c r="O594" s="1786">
        <v>0</v>
      </c>
      <c r="P594" s="1786"/>
      <c r="Q594" s="1786">
        <v>0</v>
      </c>
      <c r="R594" s="1788"/>
      <c r="S594" s="1786">
        <f t="shared" si="94"/>
        <v>1122</v>
      </c>
      <c r="T594" s="1786" t="str">
        <f t="shared" si="95"/>
        <v>בנק הפועלים בע"מ</v>
      </c>
      <c r="U594" s="1786" t="str">
        <f t="shared" si="96"/>
        <v>כלל גמל מניות</v>
      </c>
      <c r="V594" s="1786">
        <f t="shared" si="97"/>
        <v>0</v>
      </c>
      <c r="W594" s="1789" t="str">
        <f t="shared" si="98"/>
        <v>כלל פנסיה וגמל בע"מ</v>
      </c>
      <c r="AC594" s="1759" t="s">
        <v>1586</v>
      </c>
      <c r="AD594" s="1760">
        <v>41655.449965277803</v>
      </c>
      <c r="AE594" s="1760">
        <v>38509</v>
      </c>
      <c r="AF594" s="1759" t="s">
        <v>1094</v>
      </c>
      <c r="AG594" s="1759" t="s">
        <v>1094</v>
      </c>
      <c r="AH594" s="1759" t="s">
        <v>1594</v>
      </c>
      <c r="AI594" s="1759" t="s">
        <v>2282</v>
      </c>
      <c r="AJ594" s="1759" t="s">
        <v>2282</v>
      </c>
      <c r="AK594" s="1759">
        <v>1124</v>
      </c>
      <c r="AL594" s="1759" t="s">
        <v>663</v>
      </c>
      <c r="AM594" s="1759">
        <v>1122</v>
      </c>
      <c r="AN594" s="1759" t="s">
        <v>1695</v>
      </c>
      <c r="AO594" s="1764"/>
      <c r="AP594" s="1759"/>
      <c r="AQ594" s="1759"/>
      <c r="AR594" s="1759" t="s">
        <v>378</v>
      </c>
      <c r="AS594" s="1759" t="s">
        <v>379</v>
      </c>
      <c r="AT594" s="1759" t="s">
        <v>327</v>
      </c>
      <c r="AU594" s="1763"/>
      <c r="AV594" s="1763"/>
    </row>
    <row r="595" spans="1:48" ht="25" hidden="1">
      <c r="A595" s="1785" t="str">
        <f t="shared" si="88"/>
        <v>גמל</v>
      </c>
      <c r="B595" s="1786">
        <f t="shared" si="89"/>
        <v>1121</v>
      </c>
      <c r="C595" s="1787">
        <v>28946</v>
      </c>
      <c r="D595" s="1786" t="str">
        <f t="shared" si="90"/>
        <v>ישיר דינאמית מרכזית לפיצויים</v>
      </c>
      <c r="E595" s="1786" t="s">
        <v>3929</v>
      </c>
      <c r="F595" s="1786" t="s">
        <v>2958</v>
      </c>
      <c r="G595" s="1786" t="s">
        <v>2959</v>
      </c>
      <c r="H595" s="1786" t="str">
        <f t="shared" si="91"/>
        <v>לא פעיל</v>
      </c>
      <c r="I595" s="1788">
        <f t="shared" si="92"/>
        <v>38508</v>
      </c>
      <c r="J595" s="1788">
        <f t="shared" si="93"/>
        <v>40360</v>
      </c>
      <c r="K595" s="1786">
        <v>0</v>
      </c>
      <c r="L595" s="1786" t="s">
        <v>1594</v>
      </c>
      <c r="M595" s="1786" t="s">
        <v>1653</v>
      </c>
      <c r="N595" s="1786" t="s">
        <v>1653</v>
      </c>
      <c r="O595" s="1786">
        <v>0</v>
      </c>
      <c r="P595" s="1786"/>
      <c r="Q595" s="1786">
        <v>0</v>
      </c>
      <c r="R595" s="1788"/>
      <c r="S595" s="1786">
        <f t="shared" si="94"/>
        <v>1121</v>
      </c>
      <c r="T595" s="1786" t="str">
        <f t="shared" si="95"/>
        <v>בנק הפועלים בע"מ</v>
      </c>
      <c r="U595" s="1786" t="str">
        <f t="shared" si="96"/>
        <v>ישיר דינאמית מרכזית לפיצויים</v>
      </c>
      <c r="V595" s="1786">
        <f t="shared" si="97"/>
        <v>0</v>
      </c>
      <c r="W595" s="1789" t="str">
        <f t="shared" si="98"/>
        <v>ישיר בית השקעות (קופות גמל) בע"מ</v>
      </c>
      <c r="AC595" s="1761" t="s">
        <v>1586</v>
      </c>
      <c r="AD595" s="1762">
        <v>40360</v>
      </c>
      <c r="AE595" s="1762">
        <v>38508</v>
      </c>
      <c r="AF595" s="1761" t="s">
        <v>1583</v>
      </c>
      <c r="AG595" s="1761" t="s">
        <v>1583</v>
      </c>
      <c r="AH595" s="1761" t="s">
        <v>1583</v>
      </c>
      <c r="AI595" s="1761" t="s">
        <v>2280</v>
      </c>
      <c r="AJ595" s="1761" t="s">
        <v>2280</v>
      </c>
      <c r="AK595" s="1761">
        <v>1121</v>
      </c>
      <c r="AL595" s="1761" t="s">
        <v>2280</v>
      </c>
      <c r="AM595" s="1761">
        <v>1121</v>
      </c>
      <c r="AN595" s="1761" t="s">
        <v>1695</v>
      </c>
      <c r="AO595" s="1764"/>
      <c r="AP595" s="1761"/>
      <c r="AQ595" s="1761"/>
      <c r="AR595" s="1761" t="s">
        <v>2162</v>
      </c>
      <c r="AS595" s="1761" t="s">
        <v>2161</v>
      </c>
      <c r="AT595" s="1761" t="s">
        <v>327</v>
      </c>
      <c r="AU595" s="1763"/>
      <c r="AV595" s="1763"/>
    </row>
    <row r="596" spans="1:48" ht="25" hidden="1">
      <c r="A596" s="1785" t="str">
        <f t="shared" si="88"/>
        <v>גמל</v>
      </c>
      <c r="B596" s="1786">
        <f t="shared" si="89"/>
        <v>1371</v>
      </c>
      <c r="C596" s="1787">
        <v>28946</v>
      </c>
      <c r="D596" s="1786" t="str">
        <f t="shared" si="90"/>
        <v>מיטב דינאמית גמל כספית ללא מניות</v>
      </c>
      <c r="E596" s="1786" t="s">
        <v>3929</v>
      </c>
      <c r="F596" s="1786" t="s">
        <v>2958</v>
      </c>
      <c r="G596" s="1786" t="s">
        <v>2959</v>
      </c>
      <c r="H596" s="1786" t="str">
        <f t="shared" si="91"/>
        <v>לא פעיל</v>
      </c>
      <c r="I596" s="1788">
        <f t="shared" si="92"/>
        <v>38508</v>
      </c>
      <c r="J596" s="1788">
        <f t="shared" si="93"/>
        <v>41001.471631944398</v>
      </c>
      <c r="K596" s="1786">
        <v>0</v>
      </c>
      <c r="L596" s="1786" t="s">
        <v>1594</v>
      </c>
      <c r="M596" s="1786" t="s">
        <v>1653</v>
      </c>
      <c r="N596" s="1786" t="s">
        <v>1653</v>
      </c>
      <c r="O596" s="1786">
        <v>0</v>
      </c>
      <c r="P596" s="1786"/>
      <c r="Q596" s="1786">
        <v>0</v>
      </c>
      <c r="R596" s="1788"/>
      <c r="S596" s="1786">
        <f t="shared" si="94"/>
        <v>1119</v>
      </c>
      <c r="T596" s="1786" t="str">
        <f t="shared" si="95"/>
        <v>בנק הפועלים בע"מ</v>
      </c>
      <c r="U596" s="1786" t="str">
        <f t="shared" si="96"/>
        <v>מיטב דינאמית גמל מסלול אג"ח</v>
      </c>
      <c r="V596" s="1786">
        <f t="shared" si="97"/>
        <v>0</v>
      </c>
      <c r="W596" s="1789" t="str">
        <f t="shared" si="98"/>
        <v>מיטב גמל ופנסיה בע"מ</v>
      </c>
      <c r="AC596" s="1759" t="s">
        <v>1586</v>
      </c>
      <c r="AD596" s="1760">
        <v>41001.471631944398</v>
      </c>
      <c r="AE596" s="1760">
        <v>38508</v>
      </c>
      <c r="AF596" s="1759" t="s">
        <v>1681</v>
      </c>
      <c r="AG596" s="1759" t="s">
        <v>1583</v>
      </c>
      <c r="AH596" s="1759" t="s">
        <v>1583</v>
      </c>
      <c r="AI596" s="1759" t="s">
        <v>2427</v>
      </c>
      <c r="AJ596" s="1759" t="s">
        <v>2427</v>
      </c>
      <c r="AK596" s="1759">
        <v>1371</v>
      </c>
      <c r="AL596" s="1759" t="s">
        <v>662</v>
      </c>
      <c r="AM596" s="1759">
        <v>1119</v>
      </c>
      <c r="AN596" s="1759" t="s">
        <v>1695</v>
      </c>
      <c r="AO596" s="1764"/>
      <c r="AP596" s="1759"/>
      <c r="AQ596" s="1759"/>
      <c r="AR596" s="1759" t="s">
        <v>365</v>
      </c>
      <c r="AS596" s="1759" t="s">
        <v>366</v>
      </c>
      <c r="AT596" s="1759" t="s">
        <v>327</v>
      </c>
      <c r="AU596" s="1763"/>
      <c r="AV596" s="1763"/>
    </row>
    <row r="597" spans="1:48" ht="25" hidden="1">
      <c r="A597" s="1785" t="str">
        <f t="shared" si="88"/>
        <v>גמל</v>
      </c>
      <c r="B597" s="1786">
        <f t="shared" si="89"/>
        <v>784</v>
      </c>
      <c r="C597" s="1787">
        <v>28946</v>
      </c>
      <c r="D597" s="1786" t="str">
        <f t="shared" si="90"/>
        <v>מיטב דינאמית גמל מסלול צמוד מדד</v>
      </c>
      <c r="E597" s="1786" t="s">
        <v>3929</v>
      </c>
      <c r="F597" s="1786" t="s">
        <v>2958</v>
      </c>
      <c r="G597" s="1786" t="s">
        <v>2959</v>
      </c>
      <c r="H597" s="1786" t="str">
        <f t="shared" si="91"/>
        <v>לא פעיל</v>
      </c>
      <c r="I597" s="1788">
        <f t="shared" si="92"/>
        <v>38508</v>
      </c>
      <c r="J597" s="1788">
        <f t="shared" si="93"/>
        <v>41001.470405092601</v>
      </c>
      <c r="K597" s="1786">
        <v>0</v>
      </c>
      <c r="L597" s="1786" t="s">
        <v>1594</v>
      </c>
      <c r="M597" s="1786" t="s">
        <v>1653</v>
      </c>
      <c r="N597" s="1786" t="s">
        <v>1653</v>
      </c>
      <c r="O597" s="1786">
        <v>0</v>
      </c>
      <c r="P597" s="1786"/>
      <c r="Q597" s="1786">
        <v>0</v>
      </c>
      <c r="R597" s="1788"/>
      <c r="S597" s="1786">
        <f t="shared" si="94"/>
        <v>1119</v>
      </c>
      <c r="T597" s="1786" t="str">
        <f t="shared" si="95"/>
        <v>בנק הפועלים בע"מ</v>
      </c>
      <c r="U597" s="1786" t="str">
        <f t="shared" si="96"/>
        <v>מיטב דינאמית גמל מסלול אג"ח</v>
      </c>
      <c r="V597" s="1786">
        <f t="shared" si="97"/>
        <v>0</v>
      </c>
      <c r="W597" s="1789" t="str">
        <f t="shared" si="98"/>
        <v>מיטב גמל ופנסיה בע"מ</v>
      </c>
      <c r="AC597" s="1761" t="s">
        <v>1586</v>
      </c>
      <c r="AD597" s="1762">
        <v>41001.470405092601</v>
      </c>
      <c r="AE597" s="1762">
        <v>38508</v>
      </c>
      <c r="AF597" s="1761" t="s">
        <v>1094</v>
      </c>
      <c r="AG597" s="1761" t="s">
        <v>1094</v>
      </c>
      <c r="AH597" s="1761" t="s">
        <v>1594</v>
      </c>
      <c r="AI597" s="1761" t="s">
        <v>3310</v>
      </c>
      <c r="AJ597" s="1761" t="s">
        <v>2041</v>
      </c>
      <c r="AK597" s="1761">
        <v>784</v>
      </c>
      <c r="AL597" s="1761" t="s">
        <v>662</v>
      </c>
      <c r="AM597" s="1761">
        <v>1119</v>
      </c>
      <c r="AN597" s="1761" t="s">
        <v>1695</v>
      </c>
      <c r="AO597" s="1764"/>
      <c r="AP597" s="1761"/>
      <c r="AQ597" s="1761"/>
      <c r="AR597" s="1761" t="s">
        <v>365</v>
      </c>
      <c r="AS597" s="1761" t="s">
        <v>366</v>
      </c>
      <c r="AT597" s="1761" t="s">
        <v>327</v>
      </c>
      <c r="AU597" s="1763"/>
      <c r="AV597" s="1763"/>
    </row>
    <row r="598" spans="1:48" ht="25" hidden="1">
      <c r="A598" s="1785" t="str">
        <f t="shared" si="88"/>
        <v>גמל</v>
      </c>
      <c r="B598" s="1786">
        <f t="shared" si="89"/>
        <v>1120</v>
      </c>
      <c r="C598" s="1787">
        <v>28946</v>
      </c>
      <c r="D598" s="1786" t="str">
        <f t="shared" si="90"/>
        <v>מיטב דינאמית גמל מסלול כללי</v>
      </c>
      <c r="E598" s="1786" t="s">
        <v>3929</v>
      </c>
      <c r="F598" s="1786" t="s">
        <v>2958</v>
      </c>
      <c r="G598" s="1786" t="s">
        <v>2959</v>
      </c>
      <c r="H598" s="1786" t="str">
        <f t="shared" si="91"/>
        <v>לא פעיל</v>
      </c>
      <c r="I598" s="1788">
        <f t="shared" si="92"/>
        <v>38508</v>
      </c>
      <c r="J598" s="1788">
        <f t="shared" si="93"/>
        <v>41001.469432870399</v>
      </c>
      <c r="K598" s="1786">
        <v>0</v>
      </c>
      <c r="L598" s="1786" t="s">
        <v>1594</v>
      </c>
      <c r="M598" s="1786" t="s">
        <v>1653</v>
      </c>
      <c r="N598" s="1786" t="s">
        <v>1653</v>
      </c>
      <c r="O598" s="1786">
        <v>0</v>
      </c>
      <c r="P598" s="1786"/>
      <c r="Q598" s="1786">
        <v>0</v>
      </c>
      <c r="R598" s="1788"/>
      <c r="S598" s="1786">
        <f t="shared" si="94"/>
        <v>1119</v>
      </c>
      <c r="T598" s="1786" t="str">
        <f t="shared" si="95"/>
        <v>בנק הפועלים בע"מ</v>
      </c>
      <c r="U598" s="1786" t="str">
        <f t="shared" si="96"/>
        <v>מיטב דינאמית גמל מסלול אג"ח</v>
      </c>
      <c r="V598" s="1786">
        <f t="shared" si="97"/>
        <v>0</v>
      </c>
      <c r="W598" s="1789" t="str">
        <f t="shared" si="98"/>
        <v>מיטב גמל ופנסיה בע"מ</v>
      </c>
      <c r="AC598" s="1759" t="s">
        <v>1586</v>
      </c>
      <c r="AD598" s="1760">
        <v>41001.469432870399</v>
      </c>
      <c r="AE598" s="1760">
        <v>38508</v>
      </c>
      <c r="AF598" s="1759" t="s">
        <v>1583</v>
      </c>
      <c r="AG598" s="1759" t="s">
        <v>1583</v>
      </c>
      <c r="AH598" s="1759" t="s">
        <v>1583</v>
      </c>
      <c r="AI598" s="1759" t="s">
        <v>3531</v>
      </c>
      <c r="AJ598" s="1759" t="s">
        <v>2279</v>
      </c>
      <c r="AK598" s="1759">
        <v>1120</v>
      </c>
      <c r="AL598" s="1759" t="s">
        <v>662</v>
      </c>
      <c r="AM598" s="1759">
        <v>1119</v>
      </c>
      <c r="AN598" s="1759" t="s">
        <v>1695</v>
      </c>
      <c r="AO598" s="1764"/>
      <c r="AP598" s="1759"/>
      <c r="AQ598" s="1759"/>
      <c r="AR598" s="1759" t="s">
        <v>365</v>
      </c>
      <c r="AS598" s="1759" t="s">
        <v>366</v>
      </c>
      <c r="AT598" s="1759" t="s">
        <v>327</v>
      </c>
      <c r="AU598" s="1763"/>
      <c r="AV598" s="1763"/>
    </row>
    <row r="599" spans="1:48" ht="25" hidden="1">
      <c r="A599" s="1785" t="str">
        <f t="shared" ref="A599:A662" si="99">AT599</f>
        <v>גמל</v>
      </c>
      <c r="B599" s="1786">
        <f t="shared" ref="B599:B662" si="100">AK599</f>
        <v>782</v>
      </c>
      <c r="C599" s="1787">
        <v>28946</v>
      </c>
      <c r="D599" s="1786" t="str">
        <f t="shared" ref="D599:D662" si="101">AJ599</f>
        <v>מיטב דינאמית גמל מסלול מניות</v>
      </c>
      <c r="E599" s="1786" t="s">
        <v>3929</v>
      </c>
      <c r="F599" s="1786" t="s">
        <v>2958</v>
      </c>
      <c r="G599" s="1786" t="s">
        <v>2959</v>
      </c>
      <c r="H599" s="1786" t="str">
        <f t="shared" ref="H599:H662" si="102">AC599</f>
        <v>לא פעיל</v>
      </c>
      <c r="I599" s="1788">
        <f t="shared" ref="I599:I662" si="103">IF(AE599="","",AE599)</f>
        <v>38508</v>
      </c>
      <c r="J599" s="1788">
        <f t="shared" ref="J599:J662" si="104">IF(AD599="","",AD599)</f>
        <v>41001.470752314803</v>
      </c>
      <c r="K599" s="1786">
        <v>0</v>
      </c>
      <c r="L599" s="1786" t="s">
        <v>1594</v>
      </c>
      <c r="M599" s="1786" t="s">
        <v>1653</v>
      </c>
      <c r="N599" s="1786" t="s">
        <v>1653</v>
      </c>
      <c r="O599" s="1786">
        <v>0</v>
      </c>
      <c r="P599" s="1786"/>
      <c r="Q599" s="1786">
        <v>0</v>
      </c>
      <c r="R599" s="1788"/>
      <c r="S599" s="1786">
        <f t="shared" ref="S599:S662" si="105">AM599</f>
        <v>1119</v>
      </c>
      <c r="T599" s="1786" t="str">
        <f t="shared" ref="T599:T662" si="106">AN599</f>
        <v>בנק הפועלים בע"מ</v>
      </c>
      <c r="U599" s="1786" t="str">
        <f t="shared" ref="U599:U662" si="107">AL599</f>
        <v>מיטב דינאמית גמל מסלול אג"ח</v>
      </c>
      <c r="V599" s="1786">
        <f t="shared" ref="V599:V662" si="108">AQ599</f>
        <v>0</v>
      </c>
      <c r="W599" s="1789" t="str">
        <f t="shared" ref="W599:W662" si="109">AR599</f>
        <v>מיטב גמל ופנסיה בע"מ</v>
      </c>
      <c r="AC599" s="1761" t="s">
        <v>1586</v>
      </c>
      <c r="AD599" s="1762">
        <v>41001.470752314803</v>
      </c>
      <c r="AE599" s="1762">
        <v>38508</v>
      </c>
      <c r="AF599" s="1761" t="s">
        <v>1595</v>
      </c>
      <c r="AG599" s="1761" t="s">
        <v>75</v>
      </c>
      <c r="AH599" s="1761" t="s">
        <v>1594</v>
      </c>
      <c r="AI599" s="1761" t="s">
        <v>3308</v>
      </c>
      <c r="AJ599" s="1761" t="s">
        <v>2039</v>
      </c>
      <c r="AK599" s="1761">
        <v>782</v>
      </c>
      <c r="AL599" s="1761" t="s">
        <v>662</v>
      </c>
      <c r="AM599" s="1761">
        <v>1119</v>
      </c>
      <c r="AN599" s="1761" t="s">
        <v>1695</v>
      </c>
      <c r="AO599" s="1764"/>
      <c r="AP599" s="1761"/>
      <c r="AQ599" s="1761"/>
      <c r="AR599" s="1761" t="s">
        <v>365</v>
      </c>
      <c r="AS599" s="1761" t="s">
        <v>366</v>
      </c>
      <c r="AT599" s="1761" t="s">
        <v>327</v>
      </c>
      <c r="AU599" s="1763"/>
      <c r="AV599" s="1763"/>
    </row>
    <row r="600" spans="1:48" ht="25" hidden="1">
      <c r="A600" s="1785" t="str">
        <f t="shared" si="99"/>
        <v>גמל</v>
      </c>
      <c r="B600" s="1786">
        <f t="shared" si="100"/>
        <v>785</v>
      </c>
      <c r="C600" s="1787">
        <v>28946</v>
      </c>
      <c r="D600" s="1786" t="str">
        <f t="shared" si="101"/>
        <v>מיטב דינאמית גמל מסלול שקלי</v>
      </c>
      <c r="E600" s="1786" t="s">
        <v>3929</v>
      </c>
      <c r="F600" s="1786" t="s">
        <v>2958</v>
      </c>
      <c r="G600" s="1786" t="s">
        <v>2959</v>
      </c>
      <c r="H600" s="1786" t="str">
        <f t="shared" si="102"/>
        <v>לא פעיל</v>
      </c>
      <c r="I600" s="1788">
        <f t="shared" si="103"/>
        <v>38508</v>
      </c>
      <c r="J600" s="1788">
        <f t="shared" si="104"/>
        <v>41001.471215277801</v>
      </c>
      <c r="K600" s="1786">
        <v>0</v>
      </c>
      <c r="L600" s="1786" t="s">
        <v>1594</v>
      </c>
      <c r="M600" s="1786" t="s">
        <v>1653</v>
      </c>
      <c r="N600" s="1786" t="s">
        <v>1653</v>
      </c>
      <c r="O600" s="1786">
        <v>0</v>
      </c>
      <c r="P600" s="1786"/>
      <c r="Q600" s="1786">
        <v>0</v>
      </c>
      <c r="R600" s="1788"/>
      <c r="S600" s="1786">
        <f t="shared" si="105"/>
        <v>1119</v>
      </c>
      <c r="T600" s="1786" t="str">
        <f t="shared" si="106"/>
        <v>בנק הפועלים בע"מ</v>
      </c>
      <c r="U600" s="1786" t="str">
        <f t="shared" si="107"/>
        <v>מיטב דינאמית גמל מסלול אג"ח</v>
      </c>
      <c r="V600" s="1786">
        <f t="shared" si="108"/>
        <v>0</v>
      </c>
      <c r="W600" s="1789" t="str">
        <f t="shared" si="109"/>
        <v>מיטב גמל ופנסיה בע"מ</v>
      </c>
      <c r="AC600" s="1759" t="s">
        <v>1586</v>
      </c>
      <c r="AD600" s="1760">
        <v>41001.471215277801</v>
      </c>
      <c r="AE600" s="1760">
        <v>38508</v>
      </c>
      <c r="AF600" s="1759" t="s">
        <v>1076</v>
      </c>
      <c r="AG600" s="1759" t="s">
        <v>1614</v>
      </c>
      <c r="AH600" s="1759" t="s">
        <v>1594</v>
      </c>
      <c r="AI600" s="1759" t="s">
        <v>3311</v>
      </c>
      <c r="AJ600" s="1759" t="s">
        <v>2042</v>
      </c>
      <c r="AK600" s="1759">
        <v>785</v>
      </c>
      <c r="AL600" s="1759" t="s">
        <v>662</v>
      </c>
      <c r="AM600" s="1759">
        <v>1119</v>
      </c>
      <c r="AN600" s="1759" t="s">
        <v>1695</v>
      </c>
      <c r="AO600" s="1764"/>
      <c r="AP600" s="1759"/>
      <c r="AQ600" s="1759"/>
      <c r="AR600" s="1759" t="s">
        <v>365</v>
      </c>
      <c r="AS600" s="1759" t="s">
        <v>366</v>
      </c>
      <c r="AT600" s="1759" t="s">
        <v>327</v>
      </c>
      <c r="AU600" s="1763"/>
      <c r="AV600" s="1763"/>
    </row>
    <row r="601" spans="1:48" ht="25" hidden="1">
      <c r="A601" s="1785" t="str">
        <f t="shared" si="99"/>
        <v>גמל</v>
      </c>
      <c r="B601" s="1786">
        <f t="shared" si="100"/>
        <v>1118</v>
      </c>
      <c r="C601" s="1787">
        <v>28946</v>
      </c>
      <c r="D601" s="1786" t="str">
        <f t="shared" si="101"/>
        <v>מיטב פיצויים פלוס</v>
      </c>
      <c r="E601" s="1786" t="s">
        <v>3929</v>
      </c>
      <c r="F601" s="1786" t="s">
        <v>2958</v>
      </c>
      <c r="G601" s="1786" t="s">
        <v>2959</v>
      </c>
      <c r="H601" s="1786" t="str">
        <f t="shared" si="102"/>
        <v>לא פעיל</v>
      </c>
      <c r="I601" s="1788">
        <f t="shared" si="103"/>
        <v>38504</v>
      </c>
      <c r="J601" s="1788">
        <f t="shared" si="104"/>
        <v>41052.625520833302</v>
      </c>
      <c r="K601" s="1786">
        <v>0</v>
      </c>
      <c r="L601" s="1786" t="s">
        <v>1594</v>
      </c>
      <c r="M601" s="1786" t="s">
        <v>1653</v>
      </c>
      <c r="N601" s="1786" t="s">
        <v>1653</v>
      </c>
      <c r="O601" s="1786">
        <v>0</v>
      </c>
      <c r="P601" s="1786"/>
      <c r="Q601" s="1786">
        <v>0</v>
      </c>
      <c r="R601" s="1788"/>
      <c r="S601" s="1786">
        <f t="shared" si="105"/>
        <v>1118</v>
      </c>
      <c r="T601" s="1786" t="str">
        <f t="shared" si="106"/>
        <v>בנק הפועלים בע"מ</v>
      </c>
      <c r="U601" s="1786" t="str">
        <f t="shared" si="107"/>
        <v>מיטב פיצויים פלוס</v>
      </c>
      <c r="V601" s="1786">
        <f t="shared" si="108"/>
        <v>0</v>
      </c>
      <c r="W601" s="1789" t="str">
        <f t="shared" si="109"/>
        <v>מיטב גמל ופנסיה בע"מ</v>
      </c>
      <c r="AC601" s="1761" t="s">
        <v>1586</v>
      </c>
      <c r="AD601" s="1762">
        <v>41052.625520833302</v>
      </c>
      <c r="AE601" s="1762">
        <v>38504</v>
      </c>
      <c r="AF601" s="1761" t="s">
        <v>1583</v>
      </c>
      <c r="AG601" s="1761" t="s">
        <v>1583</v>
      </c>
      <c r="AH601" s="1761" t="s">
        <v>1583</v>
      </c>
      <c r="AI601" s="1761" t="s">
        <v>661</v>
      </c>
      <c r="AJ601" s="1761" t="s">
        <v>661</v>
      </c>
      <c r="AK601" s="1761">
        <v>1118</v>
      </c>
      <c r="AL601" s="1761" t="s">
        <v>661</v>
      </c>
      <c r="AM601" s="1761">
        <v>1118</v>
      </c>
      <c r="AN601" s="1761" t="s">
        <v>1695</v>
      </c>
      <c r="AO601" s="1764"/>
      <c r="AP601" s="1761"/>
      <c r="AQ601" s="1761"/>
      <c r="AR601" s="1761" t="s">
        <v>365</v>
      </c>
      <c r="AS601" s="1761" t="s">
        <v>366</v>
      </c>
      <c r="AT601" s="1761" t="s">
        <v>327</v>
      </c>
      <c r="AU601" s="1763"/>
      <c r="AV601" s="1763"/>
    </row>
    <row r="602" spans="1:48" ht="25" hidden="1">
      <c r="A602" s="1785" t="str">
        <f t="shared" si="99"/>
        <v>גמל</v>
      </c>
      <c r="B602" s="1786">
        <f t="shared" si="100"/>
        <v>1117</v>
      </c>
      <c r="C602" s="1787">
        <v>28946</v>
      </c>
      <c r="D602" s="1786" t="str">
        <f t="shared" si="101"/>
        <v>מיטב השתלמות פלוס</v>
      </c>
      <c r="E602" s="1786" t="s">
        <v>3929</v>
      </c>
      <c r="F602" s="1786" t="s">
        <v>2958</v>
      </c>
      <c r="G602" s="1786" t="s">
        <v>2959</v>
      </c>
      <c r="H602" s="1786" t="str">
        <f t="shared" si="102"/>
        <v>לא פעיל</v>
      </c>
      <c r="I602" s="1788">
        <f t="shared" si="103"/>
        <v>38504</v>
      </c>
      <c r="J602" s="1788">
        <f t="shared" si="104"/>
        <v>41052.6238773148</v>
      </c>
      <c r="K602" s="1786">
        <v>0</v>
      </c>
      <c r="L602" s="1786" t="s">
        <v>1594</v>
      </c>
      <c r="M602" s="1786" t="s">
        <v>1653</v>
      </c>
      <c r="N602" s="1786" t="s">
        <v>1653</v>
      </c>
      <c r="O602" s="1786">
        <v>0</v>
      </c>
      <c r="P602" s="1786"/>
      <c r="Q602" s="1786">
        <v>0</v>
      </c>
      <c r="R602" s="1788"/>
      <c r="S602" s="1786">
        <f t="shared" si="105"/>
        <v>1117</v>
      </c>
      <c r="T602" s="1786" t="str">
        <f t="shared" si="106"/>
        <v>בנק הפועלים בע"מ</v>
      </c>
      <c r="U602" s="1786" t="str">
        <f t="shared" si="107"/>
        <v>מיטב השתלמות פלוס</v>
      </c>
      <c r="V602" s="1786">
        <f t="shared" si="108"/>
        <v>0</v>
      </c>
      <c r="W602" s="1789" t="str">
        <f t="shared" si="109"/>
        <v>מיטב גמל ופנסיה בע"מ</v>
      </c>
      <c r="AC602" s="1759" t="s">
        <v>1586</v>
      </c>
      <c r="AD602" s="1760">
        <v>41052.6238773148</v>
      </c>
      <c r="AE602" s="1760">
        <v>38504</v>
      </c>
      <c r="AF602" s="1759" t="s">
        <v>1583</v>
      </c>
      <c r="AG602" s="1759" t="s">
        <v>1583</v>
      </c>
      <c r="AH602" s="1759" t="s">
        <v>1583</v>
      </c>
      <c r="AI602" s="1759" t="s">
        <v>660</v>
      </c>
      <c r="AJ602" s="1759" t="s">
        <v>660</v>
      </c>
      <c r="AK602" s="1759">
        <v>1117</v>
      </c>
      <c r="AL602" s="1759" t="s">
        <v>660</v>
      </c>
      <c r="AM602" s="1759">
        <v>1117</v>
      </c>
      <c r="AN602" s="1759" t="s">
        <v>1695</v>
      </c>
      <c r="AO602" s="1764"/>
      <c r="AP602" s="1759"/>
      <c r="AQ602" s="1759"/>
      <c r="AR602" s="1759" t="s">
        <v>365</v>
      </c>
      <c r="AS602" s="1759" t="s">
        <v>366</v>
      </c>
      <c r="AT602" s="1759" t="s">
        <v>327</v>
      </c>
      <c r="AU602" s="1763"/>
      <c r="AV602" s="1763"/>
    </row>
    <row r="603" spans="1:48" ht="25" hidden="1">
      <c r="A603" s="1785" t="str">
        <f t="shared" si="99"/>
        <v>גמל</v>
      </c>
      <c r="B603" s="1786">
        <f t="shared" si="100"/>
        <v>1116</v>
      </c>
      <c r="C603" s="1787">
        <v>28946</v>
      </c>
      <c r="D603" s="1786" t="str">
        <f t="shared" si="101"/>
        <v>מיטב גמל פלוס</v>
      </c>
      <c r="E603" s="1786" t="s">
        <v>3929</v>
      </c>
      <c r="F603" s="1786" t="s">
        <v>2958</v>
      </c>
      <c r="G603" s="1786" t="s">
        <v>2959</v>
      </c>
      <c r="H603" s="1786" t="str">
        <f t="shared" si="102"/>
        <v>לא פעיל</v>
      </c>
      <c r="I603" s="1788">
        <f t="shared" si="103"/>
        <v>38504</v>
      </c>
      <c r="J603" s="1788">
        <f t="shared" si="104"/>
        <v>41052.622777777797</v>
      </c>
      <c r="K603" s="1786">
        <v>0</v>
      </c>
      <c r="L603" s="1786" t="s">
        <v>1594</v>
      </c>
      <c r="M603" s="1786" t="s">
        <v>1653</v>
      </c>
      <c r="N603" s="1786" t="s">
        <v>1653</v>
      </c>
      <c r="O603" s="1786">
        <v>0</v>
      </c>
      <c r="P603" s="1786"/>
      <c r="Q603" s="1786">
        <v>0</v>
      </c>
      <c r="R603" s="1788"/>
      <c r="S603" s="1786">
        <f t="shared" si="105"/>
        <v>1116</v>
      </c>
      <c r="T603" s="1786" t="str">
        <f t="shared" si="106"/>
        <v>בנק הפועלים בע"מ</v>
      </c>
      <c r="U603" s="1786" t="str">
        <f t="shared" si="107"/>
        <v>מיטב גמל פלוס</v>
      </c>
      <c r="V603" s="1786">
        <f t="shared" si="108"/>
        <v>0</v>
      </c>
      <c r="W603" s="1789" t="str">
        <f t="shared" si="109"/>
        <v>מיטב גמל ופנסיה בע"מ</v>
      </c>
      <c r="AC603" s="1761" t="s">
        <v>1586</v>
      </c>
      <c r="AD603" s="1762">
        <v>41052.622777777797</v>
      </c>
      <c r="AE603" s="1762">
        <v>38504</v>
      </c>
      <c r="AF603" s="1761" t="s">
        <v>1583</v>
      </c>
      <c r="AG603" s="1761" t="s">
        <v>1583</v>
      </c>
      <c r="AH603" s="1761" t="s">
        <v>1583</v>
      </c>
      <c r="AI603" s="1761" t="s">
        <v>659</v>
      </c>
      <c r="AJ603" s="1761" t="s">
        <v>659</v>
      </c>
      <c r="AK603" s="1761">
        <v>1116</v>
      </c>
      <c r="AL603" s="1761" t="s">
        <v>659</v>
      </c>
      <c r="AM603" s="1761">
        <v>1116</v>
      </c>
      <c r="AN603" s="1761" t="s">
        <v>1695</v>
      </c>
      <c r="AO603" s="1764"/>
      <c r="AP603" s="1761"/>
      <c r="AQ603" s="1761"/>
      <c r="AR603" s="1761" t="s">
        <v>365</v>
      </c>
      <c r="AS603" s="1761" t="s">
        <v>366</v>
      </c>
      <c r="AT603" s="1761" t="s">
        <v>327</v>
      </c>
      <c r="AU603" s="1763"/>
      <c r="AV603" s="1763"/>
    </row>
    <row r="604" spans="1:48" ht="25" hidden="1">
      <c r="A604" s="1785" t="str">
        <f t="shared" si="99"/>
        <v>גמל</v>
      </c>
      <c r="B604" s="1786">
        <f t="shared" si="100"/>
        <v>1115</v>
      </c>
      <c r="C604" s="1787">
        <v>28946</v>
      </c>
      <c r="D604" s="1786" t="str">
        <f t="shared" si="101"/>
        <v>קואטרו (פ) מרכזית לפיצויים</v>
      </c>
      <c r="E604" s="1786" t="s">
        <v>3929</v>
      </c>
      <c r="F604" s="1786" t="s">
        <v>2958</v>
      </c>
      <c r="G604" s="1786" t="s">
        <v>2959</v>
      </c>
      <c r="H604" s="1786" t="str">
        <f t="shared" si="102"/>
        <v>לא פעיל</v>
      </c>
      <c r="I604" s="1788">
        <f t="shared" si="103"/>
        <v>38503</v>
      </c>
      <c r="J604" s="1788">
        <f t="shared" si="104"/>
        <v>39965</v>
      </c>
      <c r="K604" s="1786">
        <v>0</v>
      </c>
      <c r="L604" s="1786" t="s">
        <v>1594</v>
      </c>
      <c r="M604" s="1786" t="s">
        <v>1653</v>
      </c>
      <c r="N604" s="1786" t="s">
        <v>1653</v>
      </c>
      <c r="O604" s="1786">
        <v>0</v>
      </c>
      <c r="P604" s="1786"/>
      <c r="Q604" s="1786">
        <v>0</v>
      </c>
      <c r="R604" s="1788"/>
      <c r="S604" s="1786">
        <f t="shared" si="105"/>
        <v>1115</v>
      </c>
      <c r="T604" s="1786" t="str">
        <f t="shared" si="106"/>
        <v>בנק הפועלים בע"מ</v>
      </c>
      <c r="U604" s="1786" t="str">
        <f t="shared" si="107"/>
        <v>קואטרו (פ) מרכזית לפיצויים</v>
      </c>
      <c r="V604" s="1786">
        <f t="shared" si="108"/>
        <v>0</v>
      </c>
      <c r="W604" s="1789" t="str">
        <f t="shared" si="109"/>
        <v>קואטרו גמל בע"מ</v>
      </c>
      <c r="AC604" s="1759" t="s">
        <v>1586</v>
      </c>
      <c r="AD604" s="1760">
        <v>39965</v>
      </c>
      <c r="AE604" s="1760">
        <v>38503</v>
      </c>
      <c r="AF604" s="1759" t="s">
        <v>1583</v>
      </c>
      <c r="AG604" s="1759" t="s">
        <v>1583</v>
      </c>
      <c r="AH604" s="1759" t="s">
        <v>1583</v>
      </c>
      <c r="AI604" s="1759" t="s">
        <v>2277</v>
      </c>
      <c r="AJ604" s="1759" t="s">
        <v>2277</v>
      </c>
      <c r="AK604" s="1759">
        <v>1115</v>
      </c>
      <c r="AL604" s="1759" t="s">
        <v>2277</v>
      </c>
      <c r="AM604" s="1759">
        <v>1115</v>
      </c>
      <c r="AN604" s="1759" t="s">
        <v>1695</v>
      </c>
      <c r="AO604" s="1764"/>
      <c r="AP604" s="1759"/>
      <c r="AQ604" s="1759"/>
      <c r="AR604" s="1759" t="s">
        <v>2241</v>
      </c>
      <c r="AS604" s="1759" t="s">
        <v>2240</v>
      </c>
      <c r="AT604" s="1759" t="s">
        <v>327</v>
      </c>
      <c r="AU604" s="1763"/>
      <c r="AV604" s="1763"/>
    </row>
    <row r="605" spans="1:48" ht="25" hidden="1">
      <c r="A605" s="1785" t="str">
        <f t="shared" si="99"/>
        <v>גמל</v>
      </c>
      <c r="B605" s="1786">
        <f t="shared" si="100"/>
        <v>1113</v>
      </c>
      <c r="C605" s="1787">
        <v>28946</v>
      </c>
      <c r="D605" s="1786" t="str">
        <f t="shared" si="101"/>
        <v>מנורה מסד השתלמות - מסלול כללי</v>
      </c>
      <c r="E605" s="1786" t="s">
        <v>3929</v>
      </c>
      <c r="F605" s="1786" t="s">
        <v>2958</v>
      </c>
      <c r="G605" s="1786" t="s">
        <v>2959</v>
      </c>
      <c r="H605" s="1786" t="str">
        <f t="shared" si="102"/>
        <v>לא פעיל</v>
      </c>
      <c r="I605" s="1788">
        <f t="shared" si="103"/>
        <v>38474</v>
      </c>
      <c r="J605" s="1788">
        <f t="shared" si="104"/>
        <v>40178</v>
      </c>
      <c r="K605" s="1786">
        <v>0</v>
      </c>
      <c r="L605" s="1786" t="s">
        <v>1594</v>
      </c>
      <c r="M605" s="1786" t="s">
        <v>1653</v>
      </c>
      <c r="N605" s="1786" t="s">
        <v>1653</v>
      </c>
      <c r="O605" s="1786">
        <v>0</v>
      </c>
      <c r="P605" s="1786"/>
      <c r="Q605" s="1786">
        <v>0</v>
      </c>
      <c r="R605" s="1788"/>
      <c r="S605" s="1786">
        <f t="shared" si="105"/>
        <v>1113</v>
      </c>
      <c r="T605" s="1786" t="str">
        <f t="shared" si="106"/>
        <v>בנק מסד בע"מ</v>
      </c>
      <c r="U605" s="1786" t="str">
        <f t="shared" si="107"/>
        <v>מנורה מסד השתלמות - מסלול כללי</v>
      </c>
      <c r="V605" s="1786">
        <f t="shared" si="108"/>
        <v>0</v>
      </c>
      <c r="W605" s="1789" t="str">
        <f t="shared" si="109"/>
        <v>מנורה מבטחים גמל בע"מ</v>
      </c>
      <c r="AC605" s="1761" t="s">
        <v>1586</v>
      </c>
      <c r="AD605" s="1762">
        <v>40178</v>
      </c>
      <c r="AE605" s="1762">
        <v>38474</v>
      </c>
      <c r="AF605" s="1761" t="s">
        <v>1583</v>
      </c>
      <c r="AG605" s="1761" t="s">
        <v>1583</v>
      </c>
      <c r="AH605" s="1761" t="s">
        <v>1583</v>
      </c>
      <c r="AI605" s="1761" t="s">
        <v>2276</v>
      </c>
      <c r="AJ605" s="1761" t="s">
        <v>2276</v>
      </c>
      <c r="AK605" s="1761">
        <v>1113</v>
      </c>
      <c r="AL605" s="1761" t="s">
        <v>2276</v>
      </c>
      <c r="AM605" s="1761">
        <v>1113</v>
      </c>
      <c r="AN605" s="1761" t="s">
        <v>5531</v>
      </c>
      <c r="AO605" s="1764"/>
      <c r="AP605" s="1761"/>
      <c r="AQ605" s="1761"/>
      <c r="AR605" s="1761" t="s">
        <v>363</v>
      </c>
      <c r="AS605" s="1761" t="s">
        <v>364</v>
      </c>
      <c r="AT605" s="1761" t="s">
        <v>327</v>
      </c>
      <c r="AU605" s="1763"/>
      <c r="AV605" s="1763"/>
    </row>
    <row r="606" spans="1:48" ht="25" hidden="1">
      <c r="A606" s="1785" t="str">
        <f t="shared" si="99"/>
        <v>גמל</v>
      </c>
      <c r="B606" s="1786">
        <f t="shared" si="100"/>
        <v>1112</v>
      </c>
      <c r="C606" s="1787">
        <v>28946</v>
      </c>
      <c r="D606" s="1786" t="str">
        <f t="shared" si="101"/>
        <v>מנורה מסד השתלמות - מסלול מנייתי</v>
      </c>
      <c r="E606" s="1786" t="s">
        <v>3929</v>
      </c>
      <c r="F606" s="1786" t="s">
        <v>2958</v>
      </c>
      <c r="G606" s="1786" t="s">
        <v>2959</v>
      </c>
      <c r="H606" s="1786" t="str">
        <f t="shared" si="102"/>
        <v>לא פעיל</v>
      </c>
      <c r="I606" s="1788">
        <f t="shared" si="103"/>
        <v>38474</v>
      </c>
      <c r="J606" s="1788">
        <f t="shared" si="104"/>
        <v>39805.382997685199</v>
      </c>
      <c r="K606" s="1786">
        <v>0</v>
      </c>
      <c r="L606" s="1786" t="s">
        <v>1594</v>
      </c>
      <c r="M606" s="1786" t="s">
        <v>1653</v>
      </c>
      <c r="N606" s="1786" t="s">
        <v>1653</v>
      </c>
      <c r="O606" s="1786">
        <v>0</v>
      </c>
      <c r="P606" s="1786"/>
      <c r="Q606" s="1786">
        <v>0</v>
      </c>
      <c r="R606" s="1788"/>
      <c r="S606" s="1786">
        <f t="shared" si="105"/>
        <v>1112</v>
      </c>
      <c r="T606" s="1786" t="str">
        <f t="shared" si="106"/>
        <v>בנק מסד בע"מ</v>
      </c>
      <c r="U606" s="1786" t="str">
        <f t="shared" si="107"/>
        <v>מנורה מסד השתלמות - מסלול מנייתי</v>
      </c>
      <c r="V606" s="1786">
        <f t="shared" si="108"/>
        <v>0</v>
      </c>
      <c r="W606" s="1789" t="str">
        <f t="shared" si="109"/>
        <v>מנורה מבטחים גמל בע"מ</v>
      </c>
      <c r="AC606" s="1759" t="s">
        <v>1586</v>
      </c>
      <c r="AD606" s="1760">
        <v>39805.382997685199</v>
      </c>
      <c r="AE606" s="1760">
        <v>38474</v>
      </c>
      <c r="AF606" s="1759" t="s">
        <v>1595</v>
      </c>
      <c r="AG606" s="1759" t="s">
        <v>75</v>
      </c>
      <c r="AH606" s="1759" t="s">
        <v>1594</v>
      </c>
      <c r="AI606" s="1759" t="s">
        <v>2275</v>
      </c>
      <c r="AJ606" s="1759" t="s">
        <v>2275</v>
      </c>
      <c r="AK606" s="1759">
        <v>1112</v>
      </c>
      <c r="AL606" s="1759" t="s">
        <v>2275</v>
      </c>
      <c r="AM606" s="1759">
        <v>1112</v>
      </c>
      <c r="AN606" s="1759" t="s">
        <v>5531</v>
      </c>
      <c r="AO606" s="1764"/>
      <c r="AP606" s="1759"/>
      <c r="AQ606" s="1759"/>
      <c r="AR606" s="1759" t="s">
        <v>363</v>
      </c>
      <c r="AS606" s="1759" t="s">
        <v>364</v>
      </c>
      <c r="AT606" s="1759" t="s">
        <v>327</v>
      </c>
      <c r="AU606" s="1763"/>
      <c r="AV606" s="1763"/>
    </row>
    <row r="607" spans="1:48" ht="25" hidden="1">
      <c r="A607" s="1785" t="str">
        <f t="shared" si="99"/>
        <v>גמל</v>
      </c>
      <c r="B607" s="1786">
        <f t="shared" si="100"/>
        <v>1111</v>
      </c>
      <c r="C607" s="1787">
        <v>28946</v>
      </c>
      <c r="D607" s="1786" t="str">
        <f t="shared" si="101"/>
        <v>מנורה מסד השתלמות - מסלול מט"חי</v>
      </c>
      <c r="E607" s="1786" t="s">
        <v>3929</v>
      </c>
      <c r="F607" s="1786" t="s">
        <v>2958</v>
      </c>
      <c r="G607" s="1786" t="s">
        <v>2959</v>
      </c>
      <c r="H607" s="1786" t="str">
        <f t="shared" si="102"/>
        <v>לא פעיל</v>
      </c>
      <c r="I607" s="1788">
        <f t="shared" si="103"/>
        <v>38474</v>
      </c>
      <c r="J607" s="1788">
        <f t="shared" si="104"/>
        <v>39805.382916666698</v>
      </c>
      <c r="K607" s="1786">
        <v>0</v>
      </c>
      <c r="L607" s="1786" t="s">
        <v>1594</v>
      </c>
      <c r="M607" s="1786" t="s">
        <v>1653</v>
      </c>
      <c r="N607" s="1786" t="s">
        <v>1653</v>
      </c>
      <c r="O607" s="1786">
        <v>0</v>
      </c>
      <c r="P607" s="1786"/>
      <c r="Q607" s="1786">
        <v>0</v>
      </c>
      <c r="R607" s="1788"/>
      <c r="S607" s="1786">
        <f t="shared" si="105"/>
        <v>1111</v>
      </c>
      <c r="T607" s="1786" t="str">
        <f t="shared" si="106"/>
        <v>בנק מסד בע"מ</v>
      </c>
      <c r="U607" s="1786" t="str">
        <f t="shared" si="107"/>
        <v>מנורה מסד השתלמות - מסלול מט"חי</v>
      </c>
      <c r="V607" s="1786">
        <f t="shared" si="108"/>
        <v>0</v>
      </c>
      <c r="W607" s="1789" t="str">
        <f t="shared" si="109"/>
        <v>מנורה מבטחים גמל בע"מ</v>
      </c>
      <c r="AC607" s="1761" t="s">
        <v>1586</v>
      </c>
      <c r="AD607" s="1762">
        <v>39805.382916666698</v>
      </c>
      <c r="AE607" s="1762">
        <v>38474</v>
      </c>
      <c r="AF607" s="1761" t="s">
        <v>1611</v>
      </c>
      <c r="AG607" s="1761" t="s">
        <v>1611</v>
      </c>
      <c r="AH607" s="1761" t="s">
        <v>1594</v>
      </c>
      <c r="AI607" s="1761" t="s">
        <v>2274</v>
      </c>
      <c r="AJ607" s="1761" t="s">
        <v>2274</v>
      </c>
      <c r="AK607" s="1761">
        <v>1111</v>
      </c>
      <c r="AL607" s="1761" t="s">
        <v>2274</v>
      </c>
      <c r="AM607" s="1761">
        <v>1111</v>
      </c>
      <c r="AN607" s="1761" t="s">
        <v>5531</v>
      </c>
      <c r="AO607" s="1764"/>
      <c r="AP607" s="1761"/>
      <c r="AQ607" s="1761"/>
      <c r="AR607" s="1761" t="s">
        <v>363</v>
      </c>
      <c r="AS607" s="1761" t="s">
        <v>364</v>
      </c>
      <c r="AT607" s="1761" t="s">
        <v>327</v>
      </c>
      <c r="AU607" s="1763"/>
      <c r="AV607" s="1763"/>
    </row>
    <row r="608" spans="1:48" ht="25" hidden="1">
      <c r="A608" s="1785" t="str">
        <f t="shared" si="99"/>
        <v>גמל</v>
      </c>
      <c r="B608" s="1786">
        <f t="shared" si="100"/>
        <v>1105</v>
      </c>
      <c r="C608" s="1787">
        <v>28946</v>
      </c>
      <c r="D608" s="1786" t="str">
        <f t="shared" si="101"/>
        <v>קואטרו השתלמות כללי 1</v>
      </c>
      <c r="E608" s="1786" t="s">
        <v>3929</v>
      </c>
      <c r="F608" s="1786" t="s">
        <v>2958</v>
      </c>
      <c r="G608" s="1786" t="s">
        <v>2959</v>
      </c>
      <c r="H608" s="1786" t="str">
        <f t="shared" si="102"/>
        <v>לא פעיל</v>
      </c>
      <c r="I608" s="1788">
        <f t="shared" si="103"/>
        <v>38411</v>
      </c>
      <c r="J608" s="1788">
        <f t="shared" si="104"/>
        <v>39965</v>
      </c>
      <c r="K608" s="1786">
        <v>0</v>
      </c>
      <c r="L608" s="1786" t="s">
        <v>1594</v>
      </c>
      <c r="M608" s="1786" t="s">
        <v>1653</v>
      </c>
      <c r="N608" s="1786" t="s">
        <v>1653</v>
      </c>
      <c r="O608" s="1786">
        <v>0</v>
      </c>
      <c r="P608" s="1786"/>
      <c r="Q608" s="1786">
        <v>0</v>
      </c>
      <c r="R608" s="1788"/>
      <c r="S608" s="1786">
        <f t="shared" si="105"/>
        <v>1105</v>
      </c>
      <c r="T608" s="1786" t="str">
        <f t="shared" si="106"/>
        <v>בנק הפועלים בע"מ</v>
      </c>
      <c r="U608" s="1786" t="str">
        <f t="shared" si="107"/>
        <v>קואטרו השתלמות כללי 1</v>
      </c>
      <c r="V608" s="1786">
        <f t="shared" si="108"/>
        <v>0</v>
      </c>
      <c r="W608" s="1789" t="str">
        <f t="shared" si="109"/>
        <v>קואטרו גמל בע"מ</v>
      </c>
      <c r="AC608" s="1759" t="s">
        <v>1586</v>
      </c>
      <c r="AD608" s="1760">
        <v>39965</v>
      </c>
      <c r="AE608" s="1760">
        <v>38411</v>
      </c>
      <c r="AF608" s="1759" t="s">
        <v>1583</v>
      </c>
      <c r="AG608" s="1759" t="s">
        <v>1583</v>
      </c>
      <c r="AH608" s="1759" t="s">
        <v>1583</v>
      </c>
      <c r="AI608" s="1759" t="s">
        <v>3527</v>
      </c>
      <c r="AJ608" s="1759" t="s">
        <v>2271</v>
      </c>
      <c r="AK608" s="1759">
        <v>1105</v>
      </c>
      <c r="AL608" s="1759" t="s">
        <v>2271</v>
      </c>
      <c r="AM608" s="1759">
        <v>1105</v>
      </c>
      <c r="AN608" s="1759" t="s">
        <v>1695</v>
      </c>
      <c r="AO608" s="1764"/>
      <c r="AP608" s="1759"/>
      <c r="AQ608" s="1759"/>
      <c r="AR608" s="1759" t="s">
        <v>2241</v>
      </c>
      <c r="AS608" s="1759" t="s">
        <v>2240</v>
      </c>
      <c r="AT608" s="1759" t="s">
        <v>327</v>
      </c>
      <c r="AU608" s="1763"/>
      <c r="AV608" s="1763"/>
    </row>
    <row r="609" spans="1:48" ht="25" hidden="1">
      <c r="A609" s="1785" t="str">
        <f t="shared" si="99"/>
        <v>גמל</v>
      </c>
      <c r="B609" s="1786">
        <f t="shared" si="100"/>
        <v>1104</v>
      </c>
      <c r="C609" s="1787">
        <v>28946</v>
      </c>
      <c r="D609" s="1786" t="str">
        <f t="shared" si="101"/>
        <v>קואטרו תגמולים כללי 1</v>
      </c>
      <c r="E609" s="1786" t="s">
        <v>3929</v>
      </c>
      <c r="F609" s="1786" t="s">
        <v>2958</v>
      </c>
      <c r="G609" s="1786" t="s">
        <v>2959</v>
      </c>
      <c r="H609" s="1786" t="str">
        <f t="shared" si="102"/>
        <v>לא פעיל</v>
      </c>
      <c r="I609" s="1788">
        <f t="shared" si="103"/>
        <v>38411</v>
      </c>
      <c r="J609" s="1788">
        <f t="shared" si="104"/>
        <v>39965</v>
      </c>
      <c r="K609" s="1786">
        <v>0</v>
      </c>
      <c r="L609" s="1786" t="s">
        <v>1594</v>
      </c>
      <c r="M609" s="1786" t="s">
        <v>1653</v>
      </c>
      <c r="N609" s="1786" t="s">
        <v>1653</v>
      </c>
      <c r="O609" s="1786">
        <v>0</v>
      </c>
      <c r="P609" s="1786"/>
      <c r="Q609" s="1786">
        <v>0</v>
      </c>
      <c r="R609" s="1788"/>
      <c r="S609" s="1786">
        <f t="shared" si="105"/>
        <v>1104</v>
      </c>
      <c r="T609" s="1786" t="str">
        <f t="shared" si="106"/>
        <v>בנק הפועלים בע"מ</v>
      </c>
      <c r="U609" s="1786" t="str">
        <f t="shared" si="107"/>
        <v>קואטרו תגמולים כללי 1</v>
      </c>
      <c r="V609" s="1786">
        <f t="shared" si="108"/>
        <v>0</v>
      </c>
      <c r="W609" s="1789" t="str">
        <f t="shared" si="109"/>
        <v>קואטרו גמל בע"מ</v>
      </c>
      <c r="AC609" s="1761" t="s">
        <v>1586</v>
      </c>
      <c r="AD609" s="1762">
        <v>39965</v>
      </c>
      <c r="AE609" s="1762">
        <v>38411</v>
      </c>
      <c r="AF609" s="1761" t="s">
        <v>1583</v>
      </c>
      <c r="AG609" s="1761" t="s">
        <v>1583</v>
      </c>
      <c r="AH609" s="1761" t="s">
        <v>1583</v>
      </c>
      <c r="AI609" s="1761" t="s">
        <v>3526</v>
      </c>
      <c r="AJ609" s="1761" t="s">
        <v>2270</v>
      </c>
      <c r="AK609" s="1761">
        <v>1104</v>
      </c>
      <c r="AL609" s="1761" t="s">
        <v>2270</v>
      </c>
      <c r="AM609" s="1761">
        <v>1104</v>
      </c>
      <c r="AN609" s="1761" t="s">
        <v>1695</v>
      </c>
      <c r="AO609" s="1764"/>
      <c r="AP609" s="1761"/>
      <c r="AQ609" s="1761"/>
      <c r="AR609" s="1761" t="s">
        <v>2241</v>
      </c>
      <c r="AS609" s="1761" t="s">
        <v>2240</v>
      </c>
      <c r="AT609" s="1761" t="s">
        <v>327</v>
      </c>
      <c r="AU609" s="1763"/>
      <c r="AV609" s="1763"/>
    </row>
    <row r="610" spans="1:48" ht="25" hidden="1">
      <c r="A610" s="1785" t="str">
        <f t="shared" si="99"/>
        <v>גמל</v>
      </c>
      <c r="B610" s="1786">
        <f t="shared" si="100"/>
        <v>778</v>
      </c>
      <c r="C610" s="1787">
        <v>28946</v>
      </c>
      <c r="D610" s="1786" t="str">
        <f t="shared" si="101"/>
        <v>מיטב דינאמית להשתלמות מסלול מניות</v>
      </c>
      <c r="E610" s="1786" t="s">
        <v>3929</v>
      </c>
      <c r="F610" s="1786" t="s">
        <v>2958</v>
      </c>
      <c r="G610" s="1786" t="s">
        <v>2959</v>
      </c>
      <c r="H610" s="1786" t="str">
        <f t="shared" si="102"/>
        <v>לא פעיל</v>
      </c>
      <c r="I610" s="1788">
        <f t="shared" si="103"/>
        <v>38426</v>
      </c>
      <c r="J610" s="1788">
        <f t="shared" si="104"/>
        <v>41001.4682060185</v>
      </c>
      <c r="K610" s="1786">
        <v>0</v>
      </c>
      <c r="L610" s="1786" t="s">
        <v>1594</v>
      </c>
      <c r="M610" s="1786" t="s">
        <v>1653</v>
      </c>
      <c r="N610" s="1786" t="s">
        <v>1653</v>
      </c>
      <c r="O610" s="1786">
        <v>0</v>
      </c>
      <c r="P610" s="1786"/>
      <c r="Q610" s="1786">
        <v>0</v>
      </c>
      <c r="R610" s="1788"/>
      <c r="S610" s="1786">
        <f t="shared" si="105"/>
        <v>1098</v>
      </c>
      <c r="T610" s="1786" t="str">
        <f t="shared" si="106"/>
        <v>בנק הפועלים בע"מ</v>
      </c>
      <c r="U610" s="1786" t="str">
        <f t="shared" si="107"/>
        <v>מיטב דינאמית להשתלמות מסלול אג"ח</v>
      </c>
      <c r="V610" s="1786">
        <f t="shared" si="108"/>
        <v>0</v>
      </c>
      <c r="W610" s="1789" t="str">
        <f t="shared" si="109"/>
        <v>מיטב גמל ופנסיה בע"מ</v>
      </c>
      <c r="AC610" s="1759" t="s">
        <v>1586</v>
      </c>
      <c r="AD610" s="1760">
        <v>41001.4682060185</v>
      </c>
      <c r="AE610" s="1760">
        <v>38426</v>
      </c>
      <c r="AF610" s="1759" t="s">
        <v>1595</v>
      </c>
      <c r="AG610" s="1759" t="s">
        <v>75</v>
      </c>
      <c r="AH610" s="1759" t="s">
        <v>1594</v>
      </c>
      <c r="AI610" s="1759" t="s">
        <v>3304</v>
      </c>
      <c r="AJ610" s="1759" t="s">
        <v>2035</v>
      </c>
      <c r="AK610" s="1759">
        <v>778</v>
      </c>
      <c r="AL610" s="1759" t="s">
        <v>658</v>
      </c>
      <c r="AM610" s="1759">
        <v>1098</v>
      </c>
      <c r="AN610" s="1759" t="s">
        <v>1695</v>
      </c>
      <c r="AO610" s="1764"/>
      <c r="AP610" s="1759"/>
      <c r="AQ610" s="1759"/>
      <c r="AR610" s="1759" t="s">
        <v>365</v>
      </c>
      <c r="AS610" s="1759" t="s">
        <v>366</v>
      </c>
      <c r="AT610" s="1759" t="s">
        <v>327</v>
      </c>
      <c r="AU610" s="1763"/>
      <c r="AV610" s="1763"/>
    </row>
    <row r="611" spans="1:48" ht="25" hidden="1">
      <c r="A611" s="1785" t="str">
        <f t="shared" si="99"/>
        <v>גמל</v>
      </c>
      <c r="B611" s="1786">
        <f t="shared" si="100"/>
        <v>1139</v>
      </c>
      <c r="C611" s="1787">
        <v>28946</v>
      </c>
      <c r="D611" s="1786" t="str">
        <f t="shared" si="101"/>
        <v>מיטב דינאמית להשתלמות מסלול כללי</v>
      </c>
      <c r="E611" s="1786" t="s">
        <v>3929</v>
      </c>
      <c r="F611" s="1786" t="s">
        <v>2958</v>
      </c>
      <c r="G611" s="1786" t="s">
        <v>2959</v>
      </c>
      <c r="H611" s="1786" t="str">
        <f t="shared" si="102"/>
        <v>לא פעיל</v>
      </c>
      <c r="I611" s="1788">
        <f t="shared" si="103"/>
        <v>38426</v>
      </c>
      <c r="J611" s="1788">
        <f t="shared" si="104"/>
        <v>41001.465729166703</v>
      </c>
      <c r="K611" s="1786">
        <v>0</v>
      </c>
      <c r="L611" s="1786" t="s">
        <v>1594</v>
      </c>
      <c r="M611" s="1786" t="s">
        <v>1653</v>
      </c>
      <c r="N611" s="1786" t="s">
        <v>1653</v>
      </c>
      <c r="O611" s="1786">
        <v>0</v>
      </c>
      <c r="P611" s="1786"/>
      <c r="Q611" s="1786">
        <v>0</v>
      </c>
      <c r="R611" s="1788"/>
      <c r="S611" s="1786">
        <f t="shared" si="105"/>
        <v>1098</v>
      </c>
      <c r="T611" s="1786" t="str">
        <f t="shared" si="106"/>
        <v>בנק הפועלים בע"מ</v>
      </c>
      <c r="U611" s="1786" t="str">
        <f t="shared" si="107"/>
        <v>מיטב דינאמית להשתלמות מסלול אג"ח</v>
      </c>
      <c r="V611" s="1786">
        <f t="shared" si="108"/>
        <v>0</v>
      </c>
      <c r="W611" s="1789" t="str">
        <f t="shared" si="109"/>
        <v>מיטב גמל ופנסיה בע"מ</v>
      </c>
      <c r="AC611" s="1761" t="s">
        <v>1586</v>
      </c>
      <c r="AD611" s="1762">
        <v>41001.465729166703</v>
      </c>
      <c r="AE611" s="1762">
        <v>38426</v>
      </c>
      <c r="AF611" s="1761" t="s">
        <v>1583</v>
      </c>
      <c r="AG611" s="1761" t="s">
        <v>1583</v>
      </c>
      <c r="AH611" s="1761" t="s">
        <v>1583</v>
      </c>
      <c r="AI611" s="1761" t="s">
        <v>2297</v>
      </c>
      <c r="AJ611" s="1761" t="s">
        <v>2297</v>
      </c>
      <c r="AK611" s="1761">
        <v>1139</v>
      </c>
      <c r="AL611" s="1761" t="s">
        <v>658</v>
      </c>
      <c r="AM611" s="1761">
        <v>1098</v>
      </c>
      <c r="AN611" s="1761" t="s">
        <v>1695</v>
      </c>
      <c r="AO611" s="1764"/>
      <c r="AP611" s="1761"/>
      <c r="AQ611" s="1761"/>
      <c r="AR611" s="1761" t="s">
        <v>365</v>
      </c>
      <c r="AS611" s="1761" t="s">
        <v>366</v>
      </c>
      <c r="AT611" s="1761" t="s">
        <v>327</v>
      </c>
      <c r="AU611" s="1763"/>
      <c r="AV611" s="1763"/>
    </row>
    <row r="612" spans="1:48" ht="25" hidden="1">
      <c r="A612" s="1785" t="str">
        <f t="shared" si="99"/>
        <v>גמל</v>
      </c>
      <c r="B612" s="1786">
        <f t="shared" si="100"/>
        <v>781</v>
      </c>
      <c r="C612" s="1787">
        <v>28946</v>
      </c>
      <c r="D612" s="1786" t="str">
        <f t="shared" si="101"/>
        <v>מיטב דינאמית להשתלמות מסלול שקלי</v>
      </c>
      <c r="E612" s="1786" t="s">
        <v>3929</v>
      </c>
      <c r="F612" s="1786" t="s">
        <v>2958</v>
      </c>
      <c r="G612" s="1786" t="s">
        <v>2959</v>
      </c>
      <c r="H612" s="1786" t="str">
        <f t="shared" si="102"/>
        <v>לא פעיל</v>
      </c>
      <c r="I612" s="1788">
        <f t="shared" si="103"/>
        <v>38426</v>
      </c>
      <c r="J612" s="1788">
        <f t="shared" si="104"/>
        <v>41001.468668981499</v>
      </c>
      <c r="K612" s="1786">
        <v>0</v>
      </c>
      <c r="L612" s="1786" t="s">
        <v>1594</v>
      </c>
      <c r="M612" s="1786" t="s">
        <v>1653</v>
      </c>
      <c r="N612" s="1786" t="s">
        <v>1653</v>
      </c>
      <c r="O612" s="1786">
        <v>0</v>
      </c>
      <c r="P612" s="1786"/>
      <c r="Q612" s="1786">
        <v>0</v>
      </c>
      <c r="R612" s="1788"/>
      <c r="S612" s="1786">
        <f t="shared" si="105"/>
        <v>1098</v>
      </c>
      <c r="T612" s="1786" t="str">
        <f t="shared" si="106"/>
        <v>בנק הפועלים בע"מ</v>
      </c>
      <c r="U612" s="1786" t="str">
        <f t="shared" si="107"/>
        <v>מיטב דינאמית להשתלמות מסלול אג"ח</v>
      </c>
      <c r="V612" s="1786">
        <f t="shared" si="108"/>
        <v>0</v>
      </c>
      <c r="W612" s="1789" t="str">
        <f t="shared" si="109"/>
        <v>מיטב גמל ופנסיה בע"מ</v>
      </c>
      <c r="AC612" s="1759" t="s">
        <v>1586</v>
      </c>
      <c r="AD612" s="1760">
        <v>41001.468668981499</v>
      </c>
      <c r="AE612" s="1760">
        <v>38426</v>
      </c>
      <c r="AF612" s="1759" t="s">
        <v>1076</v>
      </c>
      <c r="AG612" s="1759" t="s">
        <v>1614</v>
      </c>
      <c r="AH612" s="1759" t="s">
        <v>1594</v>
      </c>
      <c r="AI612" s="1759" t="s">
        <v>3307</v>
      </c>
      <c r="AJ612" s="1759" t="s">
        <v>2038</v>
      </c>
      <c r="AK612" s="1759">
        <v>781</v>
      </c>
      <c r="AL612" s="1759" t="s">
        <v>658</v>
      </c>
      <c r="AM612" s="1759">
        <v>1098</v>
      </c>
      <c r="AN612" s="1759" t="s">
        <v>1695</v>
      </c>
      <c r="AO612" s="1764"/>
      <c r="AP612" s="1759"/>
      <c r="AQ612" s="1759"/>
      <c r="AR612" s="1759" t="s">
        <v>365</v>
      </c>
      <c r="AS612" s="1759" t="s">
        <v>366</v>
      </c>
      <c r="AT612" s="1759" t="s">
        <v>327</v>
      </c>
      <c r="AU612" s="1763"/>
      <c r="AV612" s="1763"/>
    </row>
    <row r="613" spans="1:48" ht="25" hidden="1">
      <c r="A613" s="1785" t="str">
        <f t="shared" si="99"/>
        <v>גמל</v>
      </c>
      <c r="B613" s="1786">
        <f t="shared" si="100"/>
        <v>780</v>
      </c>
      <c r="C613" s="1787">
        <v>28946</v>
      </c>
      <c r="D613" s="1786" t="str">
        <f t="shared" si="101"/>
        <v>מיטב דינאמית להשתלמות מסלול צמוד מדד</v>
      </c>
      <c r="E613" s="1786" t="s">
        <v>3929</v>
      </c>
      <c r="F613" s="1786" t="s">
        <v>2958</v>
      </c>
      <c r="G613" s="1786" t="s">
        <v>2959</v>
      </c>
      <c r="H613" s="1786" t="str">
        <f t="shared" si="102"/>
        <v>לא פעיל</v>
      </c>
      <c r="I613" s="1788">
        <f t="shared" si="103"/>
        <v>38426</v>
      </c>
      <c r="J613" s="1788">
        <f t="shared" si="104"/>
        <v>41001.467326388898</v>
      </c>
      <c r="K613" s="1786">
        <v>0</v>
      </c>
      <c r="L613" s="1786" t="s">
        <v>1594</v>
      </c>
      <c r="M613" s="1786" t="s">
        <v>1653</v>
      </c>
      <c r="N613" s="1786" t="s">
        <v>1653</v>
      </c>
      <c r="O613" s="1786">
        <v>0</v>
      </c>
      <c r="P613" s="1786"/>
      <c r="Q613" s="1786">
        <v>0</v>
      </c>
      <c r="R613" s="1788"/>
      <c r="S613" s="1786">
        <f t="shared" si="105"/>
        <v>1098</v>
      </c>
      <c r="T613" s="1786" t="str">
        <f t="shared" si="106"/>
        <v>בנק הפועלים בע"מ</v>
      </c>
      <c r="U613" s="1786" t="str">
        <f t="shared" si="107"/>
        <v>מיטב דינאמית להשתלמות מסלול אג"ח</v>
      </c>
      <c r="V613" s="1786">
        <f t="shared" si="108"/>
        <v>0</v>
      </c>
      <c r="W613" s="1789" t="str">
        <f t="shared" si="109"/>
        <v>מיטב גמל ופנסיה בע"מ</v>
      </c>
      <c r="AC613" s="1761" t="s">
        <v>1586</v>
      </c>
      <c r="AD613" s="1762">
        <v>41001.467326388898</v>
      </c>
      <c r="AE613" s="1762">
        <v>38426</v>
      </c>
      <c r="AF613" s="1761" t="s">
        <v>1094</v>
      </c>
      <c r="AG613" s="1761" t="s">
        <v>1094</v>
      </c>
      <c r="AH613" s="1761" t="s">
        <v>1594</v>
      </c>
      <c r="AI613" s="1761" t="s">
        <v>3306</v>
      </c>
      <c r="AJ613" s="1761" t="s">
        <v>2037</v>
      </c>
      <c r="AK613" s="1761">
        <v>780</v>
      </c>
      <c r="AL613" s="1761" t="s">
        <v>658</v>
      </c>
      <c r="AM613" s="1761">
        <v>1098</v>
      </c>
      <c r="AN613" s="1761" t="s">
        <v>1695</v>
      </c>
      <c r="AO613" s="1764"/>
      <c r="AP613" s="1761"/>
      <c r="AQ613" s="1761"/>
      <c r="AR613" s="1761" t="s">
        <v>365</v>
      </c>
      <c r="AS613" s="1761" t="s">
        <v>366</v>
      </c>
      <c r="AT613" s="1761" t="s">
        <v>327</v>
      </c>
      <c r="AU613" s="1763"/>
      <c r="AV613" s="1763"/>
    </row>
    <row r="614" spans="1:48" ht="37.5">
      <c r="A614" s="1785" t="str">
        <f t="shared" si="99"/>
        <v>פנסיה</v>
      </c>
      <c r="B614" s="1786">
        <f t="shared" si="100"/>
        <v>8264</v>
      </c>
      <c r="C614" s="1787">
        <v>28946</v>
      </c>
      <c r="D614" s="1786" t="str">
        <f t="shared" si="101"/>
        <v>קופת הגמל המרכזית לקצבה של עובדי חברת החשמל לישראל בע"מ כללי כללי זכאים מקבלי קצבה</v>
      </c>
      <c r="E614" s="1786" t="s">
        <v>3929</v>
      </c>
      <c r="F614" s="1786" t="s">
        <v>2958</v>
      </c>
      <c r="G614" s="1786" t="s">
        <v>2959</v>
      </c>
      <c r="H614" s="1786" t="str">
        <f t="shared" si="102"/>
        <v>לא פעיל</v>
      </c>
      <c r="I614" s="1788">
        <f t="shared" si="103"/>
        <v>38349</v>
      </c>
      <c r="J614" s="1788">
        <f t="shared" si="104"/>
        <v>42698.483449074098</v>
      </c>
      <c r="K614" s="1786">
        <v>0</v>
      </c>
      <c r="L614" s="1786" t="s">
        <v>1594</v>
      </c>
      <c r="M614" s="1786" t="s">
        <v>1653</v>
      </c>
      <c r="N614" s="1786" t="s">
        <v>1653</v>
      </c>
      <c r="O614" s="1786">
        <v>0</v>
      </c>
      <c r="P614" s="1786"/>
      <c r="Q614" s="1786">
        <v>0</v>
      </c>
      <c r="R614" s="1788"/>
      <c r="S614" s="1786">
        <f t="shared" si="105"/>
        <v>1097</v>
      </c>
      <c r="T614" s="1786">
        <f t="shared" si="106"/>
        <v>0</v>
      </c>
      <c r="U614" s="1786" t="str">
        <f t="shared" si="107"/>
        <v>קופת הגמל המרכזית לקצבה של עובדי חברת החשמל לישראל בע"מ</v>
      </c>
      <c r="V614" s="1786" t="str">
        <f t="shared" si="108"/>
        <v>513163105</v>
      </c>
      <c r="W614" s="1789" t="str">
        <f t="shared" si="109"/>
        <v>הלמן-אלדובי חח"י גמל בע"מ</v>
      </c>
      <c r="AC614" s="1759" t="s">
        <v>1586</v>
      </c>
      <c r="AD614" s="1760">
        <v>42698.483449074098</v>
      </c>
      <c r="AE614" s="1760">
        <v>38349</v>
      </c>
      <c r="AF614" s="1759" t="s">
        <v>1583</v>
      </c>
      <c r="AG614" s="1759" t="s">
        <v>1583</v>
      </c>
      <c r="AH614" s="1759" t="s">
        <v>1583</v>
      </c>
      <c r="AI614" s="1759" t="s">
        <v>3729</v>
      </c>
      <c r="AJ614" s="1759" t="s">
        <v>3728</v>
      </c>
      <c r="AK614" s="1759">
        <v>8264</v>
      </c>
      <c r="AL614" s="1759" t="s">
        <v>2589</v>
      </c>
      <c r="AM614" s="1759">
        <v>1097</v>
      </c>
      <c r="AN614" s="1759"/>
      <c r="AO614" s="1764"/>
      <c r="AP614" s="1759" t="s">
        <v>5371</v>
      </c>
      <c r="AQ614" s="1759" t="s">
        <v>5372</v>
      </c>
      <c r="AR614" s="1759" t="s">
        <v>4749</v>
      </c>
      <c r="AS614" s="1759" t="s">
        <v>4748</v>
      </c>
      <c r="AT614" s="1759" t="s">
        <v>328</v>
      </c>
      <c r="AU614" s="1763"/>
      <c r="AV614" s="1763"/>
    </row>
    <row r="615" spans="1:48" ht="37.5">
      <c r="A615" s="1785" t="str">
        <f t="shared" si="99"/>
        <v>פנסיה</v>
      </c>
      <c r="B615" s="1786">
        <f t="shared" si="100"/>
        <v>8263</v>
      </c>
      <c r="C615" s="1787">
        <v>28946</v>
      </c>
      <c r="D615" s="1786" t="str">
        <f t="shared" si="101"/>
        <v>קופת הגמל המרכזית לקצבה של עובדי חברת החשמל לישראל בע"מ כללי כללי זכאים פעילים</v>
      </c>
      <c r="E615" s="1786" t="s">
        <v>3929</v>
      </c>
      <c r="F615" s="1786" t="s">
        <v>2958</v>
      </c>
      <c r="G615" s="1786" t="s">
        <v>2959</v>
      </c>
      <c r="H615" s="1786" t="str">
        <f t="shared" si="102"/>
        <v>לא פעיל</v>
      </c>
      <c r="I615" s="1788">
        <f t="shared" si="103"/>
        <v>38349</v>
      </c>
      <c r="J615" s="1788">
        <f t="shared" si="104"/>
        <v>42698.483449074098</v>
      </c>
      <c r="K615" s="1786">
        <v>0</v>
      </c>
      <c r="L615" s="1786" t="s">
        <v>1594</v>
      </c>
      <c r="M615" s="1786" t="s">
        <v>1653</v>
      </c>
      <c r="N615" s="1786" t="s">
        <v>1653</v>
      </c>
      <c r="O615" s="1786">
        <v>0</v>
      </c>
      <c r="P615" s="1786"/>
      <c r="Q615" s="1786">
        <v>0</v>
      </c>
      <c r="R615" s="1788"/>
      <c r="S615" s="1786">
        <f t="shared" si="105"/>
        <v>1097</v>
      </c>
      <c r="T615" s="1786">
        <f t="shared" si="106"/>
        <v>0</v>
      </c>
      <c r="U615" s="1786" t="str">
        <f t="shared" si="107"/>
        <v>קופת הגמל המרכזית לקצבה של עובדי חברת החשמל לישראל בע"מ</v>
      </c>
      <c r="V615" s="1786" t="str">
        <f t="shared" si="108"/>
        <v>513163105</v>
      </c>
      <c r="W615" s="1789" t="str">
        <f t="shared" si="109"/>
        <v>הלמן-אלדובי חח"י גמל בע"מ</v>
      </c>
      <c r="AC615" s="1761" t="s">
        <v>1586</v>
      </c>
      <c r="AD615" s="1762">
        <v>42698.483449074098</v>
      </c>
      <c r="AE615" s="1762">
        <v>38349</v>
      </c>
      <c r="AF615" s="1761" t="s">
        <v>1583</v>
      </c>
      <c r="AG615" s="1761" t="s">
        <v>1583</v>
      </c>
      <c r="AH615" s="1761" t="s">
        <v>1583</v>
      </c>
      <c r="AI615" s="1761" t="s">
        <v>3727</v>
      </c>
      <c r="AJ615" s="1761" t="s">
        <v>3726</v>
      </c>
      <c r="AK615" s="1761">
        <v>8263</v>
      </c>
      <c r="AL615" s="1761" t="s">
        <v>2589</v>
      </c>
      <c r="AM615" s="1761">
        <v>1097</v>
      </c>
      <c r="AN615" s="1761"/>
      <c r="AO615" s="1764"/>
      <c r="AP615" s="1761" t="s">
        <v>5371</v>
      </c>
      <c r="AQ615" s="1761" t="s">
        <v>5372</v>
      </c>
      <c r="AR615" s="1761" t="s">
        <v>4749</v>
      </c>
      <c r="AS615" s="1761" t="s">
        <v>4748</v>
      </c>
      <c r="AT615" s="1761" t="s">
        <v>328</v>
      </c>
      <c r="AU615" s="1763"/>
      <c r="AV615" s="1763"/>
    </row>
    <row r="616" spans="1:48" ht="25" hidden="1">
      <c r="A616" s="1785" t="str">
        <f t="shared" si="99"/>
        <v>גמל</v>
      </c>
      <c r="B616" s="1786">
        <f t="shared" si="100"/>
        <v>1096</v>
      </c>
      <c r="C616" s="1787">
        <v>28946</v>
      </c>
      <c r="D616" s="1786" t="str">
        <f t="shared" si="101"/>
        <v>הפניקס תהיה בריא</v>
      </c>
      <c r="E616" s="1786" t="s">
        <v>3929</v>
      </c>
      <c r="F616" s="1786" t="s">
        <v>2958</v>
      </c>
      <c r="G616" s="1786" t="s">
        <v>2959</v>
      </c>
      <c r="H616" s="1786" t="str">
        <f t="shared" si="102"/>
        <v>לא פעיל</v>
      </c>
      <c r="I616" s="1788">
        <f t="shared" si="103"/>
        <v>38344</v>
      </c>
      <c r="J616" s="1788">
        <f t="shared" si="104"/>
        <v>39082.501898148097</v>
      </c>
      <c r="K616" s="1786">
        <v>0</v>
      </c>
      <c r="L616" s="1786" t="s">
        <v>1594</v>
      </c>
      <c r="M616" s="1786" t="s">
        <v>1653</v>
      </c>
      <c r="N616" s="1786" t="s">
        <v>1653</v>
      </c>
      <c r="O616" s="1786">
        <v>0</v>
      </c>
      <c r="P616" s="1786"/>
      <c r="Q616" s="1786">
        <v>0</v>
      </c>
      <c r="R616" s="1788"/>
      <c r="S616" s="1786">
        <f t="shared" si="105"/>
        <v>1096</v>
      </c>
      <c r="T616" s="1786" t="str">
        <f t="shared" si="106"/>
        <v>בנק מזרחי טפחות בע"מ</v>
      </c>
      <c r="U616" s="1786" t="str">
        <f t="shared" si="107"/>
        <v>הפניקס תהיה בריא</v>
      </c>
      <c r="V616" s="1786">
        <f t="shared" si="108"/>
        <v>0</v>
      </c>
      <c r="W616" s="1789" t="str">
        <f t="shared" si="109"/>
        <v>הפניקס קרנות פנסיה מאוזנות וותיקות בע"מ</v>
      </c>
      <c r="AC616" s="1759" t="s">
        <v>1586</v>
      </c>
      <c r="AD616" s="1760">
        <v>39082.501898148097</v>
      </c>
      <c r="AE616" s="1760">
        <v>38344</v>
      </c>
      <c r="AF616" s="1759" t="s">
        <v>1583</v>
      </c>
      <c r="AG616" s="1759" t="s">
        <v>1583</v>
      </c>
      <c r="AH616" s="1759" t="s">
        <v>1583</v>
      </c>
      <c r="AI616" s="1759" t="s">
        <v>2265</v>
      </c>
      <c r="AJ616" s="1759" t="s">
        <v>2265</v>
      </c>
      <c r="AK616" s="1759">
        <v>1096</v>
      </c>
      <c r="AL616" s="1759" t="s">
        <v>2265</v>
      </c>
      <c r="AM616" s="1759">
        <v>1096</v>
      </c>
      <c r="AN616" s="1759" t="s">
        <v>5370</v>
      </c>
      <c r="AO616" s="1764"/>
      <c r="AP616" s="1759"/>
      <c r="AQ616" s="1759"/>
      <c r="AR616" s="1759" t="s">
        <v>495</v>
      </c>
      <c r="AS616" s="1759" t="s">
        <v>496</v>
      </c>
      <c r="AT616" s="1759" t="s">
        <v>327</v>
      </c>
      <c r="AU616" s="1763"/>
      <c r="AV616" s="1763"/>
    </row>
    <row r="617" spans="1:48" ht="37.5" hidden="1">
      <c r="A617" s="1785" t="str">
        <f t="shared" si="99"/>
        <v>גמל</v>
      </c>
      <c r="B617" s="1786">
        <f t="shared" si="100"/>
        <v>1211</v>
      </c>
      <c r="C617" s="1787">
        <v>28946</v>
      </c>
      <c r="D617" s="1786" t="str">
        <f t="shared" si="101"/>
        <v>אינפיניטי פיצויים סל מניות</v>
      </c>
      <c r="E617" s="1786" t="s">
        <v>3929</v>
      </c>
      <c r="F617" s="1786" t="s">
        <v>2958</v>
      </c>
      <c r="G617" s="1786" t="s">
        <v>2959</v>
      </c>
      <c r="H617" s="1786" t="str">
        <f t="shared" si="102"/>
        <v>פעיל</v>
      </c>
      <c r="I617" s="1788">
        <f t="shared" si="103"/>
        <v>38344</v>
      </c>
      <c r="J617" s="1788" t="str">
        <f t="shared" si="104"/>
        <v/>
      </c>
      <c r="K617" s="1786">
        <v>0</v>
      </c>
      <c r="L617" s="1786" t="s">
        <v>1594</v>
      </c>
      <c r="M617" s="1786" t="s">
        <v>1653</v>
      </c>
      <c r="N617" s="1786" t="s">
        <v>1653</v>
      </c>
      <c r="O617" s="1786">
        <v>0</v>
      </c>
      <c r="P617" s="1786"/>
      <c r="Q617" s="1786">
        <v>0</v>
      </c>
      <c r="R617" s="1788"/>
      <c r="S617" s="1786">
        <f t="shared" si="105"/>
        <v>1095</v>
      </c>
      <c r="T617" s="1786" t="str">
        <f t="shared" si="106"/>
        <v>לאומי</v>
      </c>
      <c r="U617" s="1786" t="str">
        <f t="shared" si="107"/>
        <v>אינפיניטי פיצויים סל אג"ח</v>
      </c>
      <c r="V617" s="1786" t="str">
        <f t="shared" si="108"/>
        <v>512475104</v>
      </c>
      <c r="W617" s="1789" t="str">
        <f t="shared" si="109"/>
        <v>אינפיניטי ניהול השתלמות וגמל בע"מ</v>
      </c>
      <c r="AC617" s="1761" t="s">
        <v>346</v>
      </c>
      <c r="AD617" s="1761"/>
      <c r="AE617" s="1762">
        <v>38344</v>
      </c>
      <c r="AF617" s="1761" t="s">
        <v>1595</v>
      </c>
      <c r="AG617" s="1761" t="s">
        <v>75</v>
      </c>
      <c r="AH617" s="1761" t="s">
        <v>1594</v>
      </c>
      <c r="AI617" s="1761" t="s">
        <v>2337</v>
      </c>
      <c r="AJ617" s="1761" t="s">
        <v>2337</v>
      </c>
      <c r="AK617" s="1761">
        <v>1211</v>
      </c>
      <c r="AL617" s="1761" t="s">
        <v>655</v>
      </c>
      <c r="AM617" s="1761">
        <v>1095</v>
      </c>
      <c r="AN617" s="1761" t="s">
        <v>5305</v>
      </c>
      <c r="AO617" s="1764"/>
      <c r="AP617" s="1761" t="s">
        <v>5368</v>
      </c>
      <c r="AQ617" s="1761" t="s">
        <v>5369</v>
      </c>
      <c r="AR617" s="1761" t="s">
        <v>650</v>
      </c>
      <c r="AS617" s="1761" t="s">
        <v>651</v>
      </c>
      <c r="AT617" s="1761" t="s">
        <v>327</v>
      </c>
      <c r="AU617" s="1763"/>
      <c r="AV617" s="1763"/>
    </row>
    <row r="618" spans="1:48" ht="37.5" hidden="1">
      <c r="A618" s="1785" t="str">
        <f t="shared" si="99"/>
        <v>גמל</v>
      </c>
      <c r="B618" s="1786">
        <f t="shared" si="100"/>
        <v>1539</v>
      </c>
      <c r="C618" s="1787">
        <v>28946</v>
      </c>
      <c r="D618" s="1786" t="str">
        <f t="shared" si="101"/>
        <v>אינפיניטי פיצויים רבת מסלולים</v>
      </c>
      <c r="E618" s="1786" t="s">
        <v>3929</v>
      </c>
      <c r="F618" s="1786" t="s">
        <v>2958</v>
      </c>
      <c r="G618" s="1786" t="s">
        <v>2959</v>
      </c>
      <c r="H618" s="1786" t="str">
        <f t="shared" si="102"/>
        <v>פעיל</v>
      </c>
      <c r="I618" s="1788">
        <f t="shared" si="103"/>
        <v>38344</v>
      </c>
      <c r="J618" s="1788" t="str">
        <f t="shared" si="104"/>
        <v/>
      </c>
      <c r="K618" s="1786">
        <v>0</v>
      </c>
      <c r="L618" s="1786" t="s">
        <v>1594</v>
      </c>
      <c r="M618" s="1786" t="s">
        <v>1653</v>
      </c>
      <c r="N618" s="1786" t="s">
        <v>1653</v>
      </c>
      <c r="O618" s="1786">
        <v>0</v>
      </c>
      <c r="P618" s="1786"/>
      <c r="Q618" s="1786">
        <v>0</v>
      </c>
      <c r="R618" s="1788"/>
      <c r="S618" s="1786">
        <f t="shared" si="105"/>
        <v>1095</v>
      </c>
      <c r="T618" s="1786" t="str">
        <f t="shared" si="106"/>
        <v>לאומי</v>
      </c>
      <c r="U618" s="1786" t="str">
        <f t="shared" si="107"/>
        <v>אינפיניטי פיצויים סל אג"ח</v>
      </c>
      <c r="V618" s="1786" t="str">
        <f t="shared" si="108"/>
        <v>512475104</v>
      </c>
      <c r="W618" s="1789" t="str">
        <f t="shared" si="109"/>
        <v>אינפיניטי ניהול השתלמות וגמל בע"מ</v>
      </c>
      <c r="AC618" s="1759" t="s">
        <v>346</v>
      </c>
      <c r="AD618" s="1759"/>
      <c r="AE618" s="1760">
        <v>38344</v>
      </c>
      <c r="AF618" s="1759"/>
      <c r="AG618" s="1759"/>
      <c r="AH618" s="1759" t="s">
        <v>1812</v>
      </c>
      <c r="AI618" s="1759" t="s">
        <v>2501</v>
      </c>
      <c r="AJ618" s="1759" t="s">
        <v>2501</v>
      </c>
      <c r="AK618" s="1759">
        <v>1539</v>
      </c>
      <c r="AL618" s="1759" t="s">
        <v>655</v>
      </c>
      <c r="AM618" s="1759">
        <v>1095</v>
      </c>
      <c r="AN618" s="1759" t="s">
        <v>5305</v>
      </c>
      <c r="AO618" s="1764"/>
      <c r="AP618" s="1759" t="s">
        <v>5368</v>
      </c>
      <c r="AQ618" s="1759" t="s">
        <v>5369</v>
      </c>
      <c r="AR618" s="1759" t="s">
        <v>650</v>
      </c>
      <c r="AS618" s="1759" t="s">
        <v>651</v>
      </c>
      <c r="AT618" s="1759" t="s">
        <v>327</v>
      </c>
      <c r="AU618" s="1763"/>
      <c r="AV618" s="1763"/>
    </row>
    <row r="619" spans="1:48" ht="37.5" hidden="1">
      <c r="A619" s="1785" t="str">
        <f t="shared" si="99"/>
        <v>גמל</v>
      </c>
      <c r="B619" s="1786">
        <f t="shared" si="100"/>
        <v>1095</v>
      </c>
      <c r="C619" s="1787">
        <v>28946</v>
      </c>
      <c r="D619" s="1786" t="str">
        <f t="shared" si="101"/>
        <v>אינפיניטי פיצויים סל אג"ח</v>
      </c>
      <c r="E619" s="1786" t="s">
        <v>3929</v>
      </c>
      <c r="F619" s="1786" t="s">
        <v>2958</v>
      </c>
      <c r="G619" s="1786" t="s">
        <v>2959</v>
      </c>
      <c r="H619" s="1786" t="str">
        <f t="shared" si="102"/>
        <v>פעיל</v>
      </c>
      <c r="I619" s="1788">
        <f t="shared" si="103"/>
        <v>38344</v>
      </c>
      <c r="J619" s="1788" t="str">
        <f t="shared" si="104"/>
        <v/>
      </c>
      <c r="K619" s="1786">
        <v>0</v>
      </c>
      <c r="L619" s="1786" t="s">
        <v>1594</v>
      </c>
      <c r="M619" s="1786" t="s">
        <v>1653</v>
      </c>
      <c r="N619" s="1786" t="s">
        <v>1653</v>
      </c>
      <c r="O619" s="1786">
        <v>0</v>
      </c>
      <c r="P619" s="1786"/>
      <c r="Q619" s="1786">
        <v>0</v>
      </c>
      <c r="R619" s="1788"/>
      <c r="S619" s="1786">
        <f t="shared" si="105"/>
        <v>1095</v>
      </c>
      <c r="T619" s="1786" t="str">
        <f t="shared" si="106"/>
        <v>לאומי</v>
      </c>
      <c r="U619" s="1786" t="str">
        <f t="shared" si="107"/>
        <v>אינפיניטי פיצויים סל אג"ח</v>
      </c>
      <c r="V619" s="1786" t="str">
        <f t="shared" si="108"/>
        <v>512475104</v>
      </c>
      <c r="W619" s="1789" t="str">
        <f t="shared" si="109"/>
        <v>אינפיניטי ניהול השתלמות וגמל בע"מ</v>
      </c>
      <c r="AC619" s="1761" t="s">
        <v>346</v>
      </c>
      <c r="AD619" s="1761"/>
      <c r="AE619" s="1762">
        <v>38344</v>
      </c>
      <c r="AF619" s="1761" t="s">
        <v>1653</v>
      </c>
      <c r="AG619" s="1761" t="s">
        <v>1653</v>
      </c>
      <c r="AH619" s="1761" t="s">
        <v>1594</v>
      </c>
      <c r="AI619" s="1761" t="s">
        <v>655</v>
      </c>
      <c r="AJ619" s="1761" t="s">
        <v>655</v>
      </c>
      <c r="AK619" s="1761">
        <v>1095</v>
      </c>
      <c r="AL619" s="1761" t="s">
        <v>655</v>
      </c>
      <c r="AM619" s="1761">
        <v>1095</v>
      </c>
      <c r="AN619" s="1761" t="s">
        <v>5305</v>
      </c>
      <c r="AO619" s="1764"/>
      <c r="AP619" s="1761" t="s">
        <v>5368</v>
      </c>
      <c r="AQ619" s="1761" t="s">
        <v>5369</v>
      </c>
      <c r="AR619" s="1761" t="s">
        <v>650</v>
      </c>
      <c r="AS619" s="1761" t="s">
        <v>651</v>
      </c>
      <c r="AT619" s="1761" t="s">
        <v>327</v>
      </c>
      <c r="AU619" s="1763"/>
      <c r="AV619" s="1763"/>
    </row>
    <row r="620" spans="1:48" ht="25" hidden="1">
      <c r="A620" s="1785" t="str">
        <f t="shared" si="99"/>
        <v>גמל</v>
      </c>
      <c r="B620" s="1786">
        <f t="shared" si="100"/>
        <v>588</v>
      </c>
      <c r="C620" s="1787">
        <v>28946</v>
      </c>
      <c r="D620" s="1786" t="str">
        <f t="shared" si="101"/>
        <v>אלטשולר שחם פיצויים אג"ח עד 15% במניות</v>
      </c>
      <c r="E620" s="1786" t="s">
        <v>3929</v>
      </c>
      <c r="F620" s="1786" t="s">
        <v>2958</v>
      </c>
      <c r="G620" s="1786" t="s">
        <v>2959</v>
      </c>
      <c r="H620" s="1786" t="str">
        <f t="shared" si="102"/>
        <v>פעיל</v>
      </c>
      <c r="I620" s="1788">
        <f t="shared" si="103"/>
        <v>38343</v>
      </c>
      <c r="J620" s="1788" t="str">
        <f t="shared" si="104"/>
        <v/>
      </c>
      <c r="K620" s="1786">
        <v>0</v>
      </c>
      <c r="L620" s="1786" t="s">
        <v>1594</v>
      </c>
      <c r="M620" s="1786" t="s">
        <v>1653</v>
      </c>
      <c r="N620" s="1786" t="s">
        <v>1653</v>
      </c>
      <c r="O620" s="1786">
        <v>0</v>
      </c>
      <c r="P620" s="1786"/>
      <c r="Q620" s="1786">
        <v>0</v>
      </c>
      <c r="R620" s="1788"/>
      <c r="S620" s="1786">
        <f t="shared" si="105"/>
        <v>1094</v>
      </c>
      <c r="T620" s="1786" t="str">
        <f t="shared" si="106"/>
        <v>בנק לאומי בע"מ</v>
      </c>
      <c r="U620" s="1786" t="str">
        <f t="shared" si="107"/>
        <v xml:space="preserve">אלטשולר שחם פיצויים </v>
      </c>
      <c r="V620" s="1786" t="str">
        <f t="shared" si="108"/>
        <v>511446551</v>
      </c>
      <c r="W620" s="1789" t="str">
        <f t="shared" si="109"/>
        <v>אלטשולר שחם גמל ופנסיה בע"מ</v>
      </c>
      <c r="AC620" s="1759" t="s">
        <v>346</v>
      </c>
      <c r="AD620" s="1759"/>
      <c r="AE620" s="1760">
        <v>38343</v>
      </c>
      <c r="AF620" s="1759" t="s">
        <v>3934</v>
      </c>
      <c r="AG620" s="1759" t="s">
        <v>1653</v>
      </c>
      <c r="AH620" s="1759" t="s">
        <v>1594</v>
      </c>
      <c r="AI620" s="1759" t="s">
        <v>4600</v>
      </c>
      <c r="AJ620" s="1759" t="s">
        <v>4600</v>
      </c>
      <c r="AK620" s="1759">
        <v>588</v>
      </c>
      <c r="AL620" s="1759" t="s">
        <v>654</v>
      </c>
      <c r="AM620" s="1759">
        <v>1094</v>
      </c>
      <c r="AN620" s="1759" t="s">
        <v>5470</v>
      </c>
      <c r="AO620" s="1764"/>
      <c r="AP620" s="1759" t="s">
        <v>5375</v>
      </c>
      <c r="AQ620" s="1759" t="s">
        <v>5376</v>
      </c>
      <c r="AR620" s="1759" t="s">
        <v>2963</v>
      </c>
      <c r="AS620" s="1759" t="s">
        <v>523</v>
      </c>
      <c r="AT620" s="1759" t="s">
        <v>327</v>
      </c>
      <c r="AU620" s="1763"/>
      <c r="AV620" s="1763"/>
    </row>
    <row r="621" spans="1:48" ht="25" hidden="1">
      <c r="A621" s="1785" t="str">
        <f t="shared" si="99"/>
        <v>גמל</v>
      </c>
      <c r="B621" s="1786">
        <f t="shared" si="100"/>
        <v>1417</v>
      </c>
      <c r="C621" s="1787">
        <v>28946</v>
      </c>
      <c r="D621" s="1786" t="str">
        <f t="shared" si="101"/>
        <v>אלטשולר שחם פיצויים אג"ח ללא מניות</v>
      </c>
      <c r="E621" s="1786" t="s">
        <v>3929</v>
      </c>
      <c r="F621" s="1786" t="s">
        <v>2958</v>
      </c>
      <c r="G621" s="1786" t="s">
        <v>2959</v>
      </c>
      <c r="H621" s="1786" t="str">
        <f t="shared" si="102"/>
        <v>פעיל</v>
      </c>
      <c r="I621" s="1788">
        <f t="shared" si="103"/>
        <v>38343</v>
      </c>
      <c r="J621" s="1788" t="str">
        <f t="shared" si="104"/>
        <v/>
      </c>
      <c r="K621" s="1786">
        <v>0</v>
      </c>
      <c r="L621" s="1786" t="s">
        <v>1594</v>
      </c>
      <c r="M621" s="1786" t="s">
        <v>1653</v>
      </c>
      <c r="N621" s="1786" t="s">
        <v>1653</v>
      </c>
      <c r="O621" s="1786">
        <v>0</v>
      </c>
      <c r="P621" s="1786"/>
      <c r="Q621" s="1786">
        <v>0</v>
      </c>
      <c r="R621" s="1788"/>
      <c r="S621" s="1786">
        <f t="shared" si="105"/>
        <v>1094</v>
      </c>
      <c r="T621" s="1786" t="str">
        <f t="shared" si="106"/>
        <v>בנק לאומי בע"מ</v>
      </c>
      <c r="U621" s="1786" t="str">
        <f t="shared" si="107"/>
        <v xml:space="preserve">אלטשולר שחם פיצויים </v>
      </c>
      <c r="V621" s="1786" t="str">
        <f t="shared" si="108"/>
        <v>511446551</v>
      </c>
      <c r="W621" s="1789" t="str">
        <f t="shared" si="109"/>
        <v>אלטשולר שחם גמל ופנסיה בע"מ</v>
      </c>
      <c r="AC621" s="1761" t="s">
        <v>346</v>
      </c>
      <c r="AD621" s="1761"/>
      <c r="AE621" s="1762">
        <v>38343</v>
      </c>
      <c r="AF621" s="1761" t="s">
        <v>1681</v>
      </c>
      <c r="AG621" s="1761" t="s">
        <v>1653</v>
      </c>
      <c r="AH621" s="1761" t="s">
        <v>1594</v>
      </c>
      <c r="AI621" s="1761" t="s">
        <v>4614</v>
      </c>
      <c r="AJ621" s="1761" t="s">
        <v>4614</v>
      </c>
      <c r="AK621" s="1761">
        <v>1417</v>
      </c>
      <c r="AL621" s="1761" t="s">
        <v>654</v>
      </c>
      <c r="AM621" s="1761">
        <v>1094</v>
      </c>
      <c r="AN621" s="1761" t="s">
        <v>5470</v>
      </c>
      <c r="AO621" s="1764"/>
      <c r="AP621" s="1761" t="s">
        <v>5375</v>
      </c>
      <c r="AQ621" s="1761" t="s">
        <v>5376</v>
      </c>
      <c r="AR621" s="1761" t="s">
        <v>2963</v>
      </c>
      <c r="AS621" s="1761" t="s">
        <v>523</v>
      </c>
      <c r="AT621" s="1761" t="s">
        <v>327</v>
      </c>
      <c r="AU621" s="1763"/>
      <c r="AV621" s="1763"/>
    </row>
    <row r="622" spans="1:48" ht="25" hidden="1">
      <c r="A622" s="1785" t="str">
        <f t="shared" si="99"/>
        <v>גמל</v>
      </c>
      <c r="B622" s="1786">
        <f t="shared" si="100"/>
        <v>2008</v>
      </c>
      <c r="C622" s="1787">
        <v>28946</v>
      </c>
      <c r="D622" s="1786" t="str">
        <f t="shared" si="101"/>
        <v>אלטשולר שחם פיצויים כספי</v>
      </c>
      <c r="E622" s="1786" t="s">
        <v>3929</v>
      </c>
      <c r="F622" s="1786" t="s">
        <v>2958</v>
      </c>
      <c r="G622" s="1786" t="s">
        <v>2959</v>
      </c>
      <c r="H622" s="1786" t="str">
        <f t="shared" si="102"/>
        <v>פעיל</v>
      </c>
      <c r="I622" s="1788">
        <f t="shared" si="103"/>
        <v>38343</v>
      </c>
      <c r="J622" s="1788" t="str">
        <f t="shared" si="104"/>
        <v/>
      </c>
      <c r="K622" s="1786">
        <v>0</v>
      </c>
      <c r="L622" s="1786" t="s">
        <v>1594</v>
      </c>
      <c r="M622" s="1786" t="s">
        <v>1653</v>
      </c>
      <c r="N622" s="1786" t="s">
        <v>1653</v>
      </c>
      <c r="O622" s="1786">
        <v>0</v>
      </c>
      <c r="P622" s="1786"/>
      <c r="Q622" s="1786">
        <v>0</v>
      </c>
      <c r="R622" s="1788"/>
      <c r="S622" s="1786">
        <f t="shared" si="105"/>
        <v>1094</v>
      </c>
      <c r="T622" s="1786" t="str">
        <f t="shared" si="106"/>
        <v>בנק לאומי בע"מ</v>
      </c>
      <c r="U622" s="1786" t="str">
        <f t="shared" si="107"/>
        <v xml:space="preserve">אלטשולר שחם פיצויים </v>
      </c>
      <c r="V622" s="1786" t="str">
        <f t="shared" si="108"/>
        <v>511446551</v>
      </c>
      <c r="W622" s="1789" t="str">
        <f t="shared" si="109"/>
        <v>אלטשולר שחם גמל ופנסיה בע"מ</v>
      </c>
      <c r="AC622" s="1759" t="s">
        <v>346</v>
      </c>
      <c r="AD622" s="1759"/>
      <c r="AE622" s="1760">
        <v>38343</v>
      </c>
      <c r="AF622" s="1759" t="s">
        <v>2409</v>
      </c>
      <c r="AG622" s="1759" t="s">
        <v>1614</v>
      </c>
      <c r="AH622" s="1759" t="s">
        <v>1594</v>
      </c>
      <c r="AI622" s="1759" t="s">
        <v>4630</v>
      </c>
      <c r="AJ622" s="1759" t="s">
        <v>4630</v>
      </c>
      <c r="AK622" s="1759">
        <v>2008</v>
      </c>
      <c r="AL622" s="1759" t="s">
        <v>654</v>
      </c>
      <c r="AM622" s="1759">
        <v>1094</v>
      </c>
      <c r="AN622" s="1759" t="s">
        <v>5470</v>
      </c>
      <c r="AO622" s="1764"/>
      <c r="AP622" s="1759" t="s">
        <v>5375</v>
      </c>
      <c r="AQ622" s="1759" t="s">
        <v>5376</v>
      </c>
      <c r="AR622" s="1759" t="s">
        <v>2963</v>
      </c>
      <c r="AS622" s="1759" t="s">
        <v>523</v>
      </c>
      <c r="AT622" s="1759" t="s">
        <v>327</v>
      </c>
      <c r="AU622" s="1763"/>
      <c r="AV622" s="1763"/>
    </row>
    <row r="623" spans="1:48" ht="25" hidden="1">
      <c r="A623" s="1785" t="str">
        <f t="shared" si="99"/>
        <v>גמל</v>
      </c>
      <c r="B623" s="1786">
        <f t="shared" si="100"/>
        <v>1094</v>
      </c>
      <c r="C623" s="1787">
        <v>28946</v>
      </c>
      <c r="D623" s="1786" t="str">
        <f t="shared" si="101"/>
        <v>אלטשולר שחם פיצויים כללי</v>
      </c>
      <c r="E623" s="1786" t="s">
        <v>3929</v>
      </c>
      <c r="F623" s="1786" t="s">
        <v>2958</v>
      </c>
      <c r="G623" s="1786" t="s">
        <v>2959</v>
      </c>
      <c r="H623" s="1786" t="str">
        <f t="shared" si="102"/>
        <v>פעיל</v>
      </c>
      <c r="I623" s="1788">
        <f t="shared" si="103"/>
        <v>38343</v>
      </c>
      <c r="J623" s="1788" t="str">
        <f t="shared" si="104"/>
        <v/>
      </c>
      <c r="K623" s="1786">
        <v>0</v>
      </c>
      <c r="L623" s="1786" t="s">
        <v>1594</v>
      </c>
      <c r="M623" s="1786" t="s">
        <v>1653</v>
      </c>
      <c r="N623" s="1786" t="s">
        <v>1653</v>
      </c>
      <c r="O623" s="1786">
        <v>0</v>
      </c>
      <c r="P623" s="1786"/>
      <c r="Q623" s="1786">
        <v>0</v>
      </c>
      <c r="R623" s="1788"/>
      <c r="S623" s="1786">
        <f t="shared" si="105"/>
        <v>1094</v>
      </c>
      <c r="T623" s="1786" t="str">
        <f t="shared" si="106"/>
        <v>בנק לאומי בע"מ</v>
      </c>
      <c r="U623" s="1786" t="str">
        <f t="shared" si="107"/>
        <v xml:space="preserve">אלטשולר שחם פיצויים </v>
      </c>
      <c r="V623" s="1786" t="str">
        <f t="shared" si="108"/>
        <v>511446551</v>
      </c>
      <c r="W623" s="1789" t="str">
        <f t="shared" si="109"/>
        <v>אלטשולר שחם גמל ופנסיה בע"מ</v>
      </c>
      <c r="AC623" s="1761" t="s">
        <v>346</v>
      </c>
      <c r="AD623" s="1761"/>
      <c r="AE623" s="1762">
        <v>38343</v>
      </c>
      <c r="AF623" s="1761" t="s">
        <v>1583</v>
      </c>
      <c r="AG623" s="1761" t="s">
        <v>1583</v>
      </c>
      <c r="AH623" s="1761" t="s">
        <v>1583</v>
      </c>
      <c r="AI623" s="1761" t="s">
        <v>4608</v>
      </c>
      <c r="AJ623" s="1761" t="s">
        <v>4608</v>
      </c>
      <c r="AK623" s="1761">
        <v>1094</v>
      </c>
      <c r="AL623" s="1761" t="s">
        <v>654</v>
      </c>
      <c r="AM623" s="1761">
        <v>1094</v>
      </c>
      <c r="AN623" s="1761" t="s">
        <v>5470</v>
      </c>
      <c r="AO623" s="1764"/>
      <c r="AP623" s="1761" t="s">
        <v>5375</v>
      </c>
      <c r="AQ623" s="1761" t="s">
        <v>5376</v>
      </c>
      <c r="AR623" s="1761" t="s">
        <v>2963</v>
      </c>
      <c r="AS623" s="1761" t="s">
        <v>523</v>
      </c>
      <c r="AT623" s="1761" t="s">
        <v>327</v>
      </c>
      <c r="AU623" s="1763"/>
      <c r="AV623" s="1763"/>
    </row>
    <row r="624" spans="1:48" ht="25" hidden="1">
      <c r="A624" s="1785" t="str">
        <f t="shared" si="99"/>
        <v>גמל</v>
      </c>
      <c r="B624" s="1786">
        <f t="shared" si="100"/>
        <v>558</v>
      </c>
      <c r="C624" s="1787">
        <v>28946</v>
      </c>
      <c r="D624" s="1786" t="str">
        <f t="shared" si="101"/>
        <v>אלטשולר שחם השתלמות אג"ח עד 15% במניות</v>
      </c>
      <c r="E624" s="1786" t="s">
        <v>3929</v>
      </c>
      <c r="F624" s="1786" t="s">
        <v>2958</v>
      </c>
      <c r="G624" s="1786" t="s">
        <v>2959</v>
      </c>
      <c r="H624" s="1786" t="str">
        <f t="shared" si="102"/>
        <v>פעיל</v>
      </c>
      <c r="I624" s="1788">
        <f t="shared" si="103"/>
        <v>38343</v>
      </c>
      <c r="J624" s="1788" t="str">
        <f t="shared" si="104"/>
        <v/>
      </c>
      <c r="K624" s="1786">
        <v>0</v>
      </c>
      <c r="L624" s="1786" t="s">
        <v>1594</v>
      </c>
      <c r="M624" s="1786" t="s">
        <v>1653</v>
      </c>
      <c r="N624" s="1786" t="s">
        <v>1653</v>
      </c>
      <c r="O624" s="1786">
        <v>0</v>
      </c>
      <c r="P624" s="1786"/>
      <c r="Q624" s="1786">
        <v>0</v>
      </c>
      <c r="R624" s="1788"/>
      <c r="S624" s="1786">
        <f t="shared" si="105"/>
        <v>1093</v>
      </c>
      <c r="T624" s="1786" t="str">
        <f t="shared" si="106"/>
        <v>בנק לאומי בע"מ</v>
      </c>
      <c r="U624" s="1786" t="str">
        <f t="shared" si="107"/>
        <v>אלטשולר שחם השתלמות</v>
      </c>
      <c r="V624" s="1786" t="str">
        <f t="shared" si="108"/>
        <v>511446551</v>
      </c>
      <c r="W624" s="1789" t="str">
        <f t="shared" si="109"/>
        <v>אלטשולר שחם גמל ופנסיה בע"מ</v>
      </c>
      <c r="AC624" s="1759" t="s">
        <v>346</v>
      </c>
      <c r="AD624" s="1759"/>
      <c r="AE624" s="1760">
        <v>38343</v>
      </c>
      <c r="AF624" s="1759" t="s">
        <v>3934</v>
      </c>
      <c r="AG624" s="1759" t="s">
        <v>1653</v>
      </c>
      <c r="AH624" s="1759" t="s">
        <v>1594</v>
      </c>
      <c r="AI624" s="1759" t="s">
        <v>3965</v>
      </c>
      <c r="AJ624" s="1759" t="s">
        <v>3965</v>
      </c>
      <c r="AK624" s="1759">
        <v>558</v>
      </c>
      <c r="AL624" s="1759" t="s">
        <v>2300</v>
      </c>
      <c r="AM624" s="1759">
        <v>1093</v>
      </c>
      <c r="AN624" s="1759" t="s">
        <v>5470</v>
      </c>
      <c r="AO624" s="1764"/>
      <c r="AP624" s="1759" t="s">
        <v>5375</v>
      </c>
      <c r="AQ624" s="1759" t="s">
        <v>5376</v>
      </c>
      <c r="AR624" s="1759" t="s">
        <v>2963</v>
      </c>
      <c r="AS624" s="1759" t="s">
        <v>523</v>
      </c>
      <c r="AT624" s="1759" t="s">
        <v>327</v>
      </c>
      <c r="AU624" s="1763"/>
      <c r="AV624" s="1763"/>
    </row>
    <row r="625" spans="1:48" ht="25" hidden="1">
      <c r="A625" s="1785" t="str">
        <f t="shared" si="99"/>
        <v>גמל</v>
      </c>
      <c r="B625" s="1786">
        <f t="shared" si="100"/>
        <v>1289</v>
      </c>
      <c r="C625" s="1787">
        <v>28946</v>
      </c>
      <c r="D625" s="1786" t="str">
        <f t="shared" si="101"/>
        <v>אלטשולר שחם השתלמות מסלול קלאסי</v>
      </c>
      <c r="E625" s="1786" t="s">
        <v>3929</v>
      </c>
      <c r="F625" s="1786" t="s">
        <v>2958</v>
      </c>
      <c r="G625" s="1786" t="s">
        <v>2959</v>
      </c>
      <c r="H625" s="1786" t="str">
        <f t="shared" si="102"/>
        <v>לא פעיל</v>
      </c>
      <c r="I625" s="1788">
        <f t="shared" si="103"/>
        <v>38343</v>
      </c>
      <c r="J625" s="1788">
        <f t="shared" si="104"/>
        <v>41560.508506944403</v>
      </c>
      <c r="K625" s="1786">
        <v>0</v>
      </c>
      <c r="L625" s="1786" t="s">
        <v>1594</v>
      </c>
      <c r="M625" s="1786" t="s">
        <v>1653</v>
      </c>
      <c r="N625" s="1786" t="s">
        <v>1653</v>
      </c>
      <c r="O625" s="1786">
        <v>0</v>
      </c>
      <c r="P625" s="1786"/>
      <c r="Q625" s="1786">
        <v>0</v>
      </c>
      <c r="R625" s="1788"/>
      <c r="S625" s="1786">
        <f t="shared" si="105"/>
        <v>1093</v>
      </c>
      <c r="T625" s="1786" t="str">
        <f t="shared" si="106"/>
        <v>בנק לאומי בע"מ</v>
      </c>
      <c r="U625" s="1786" t="str">
        <f t="shared" si="107"/>
        <v>אלטשולר שחם השתלמות מסלול כללי</v>
      </c>
      <c r="V625" s="1786" t="str">
        <f t="shared" si="108"/>
        <v>511446551</v>
      </c>
      <c r="W625" s="1789" t="str">
        <f t="shared" si="109"/>
        <v>אלטשולר שחם גמל ופנסיה בע"מ</v>
      </c>
      <c r="AC625" s="1761" t="s">
        <v>1586</v>
      </c>
      <c r="AD625" s="1762">
        <v>41560.508506944403</v>
      </c>
      <c r="AE625" s="1762">
        <v>38343</v>
      </c>
      <c r="AF625" s="1761" t="s">
        <v>1583</v>
      </c>
      <c r="AG625" s="1761" t="s">
        <v>1583</v>
      </c>
      <c r="AH625" s="1761" t="s">
        <v>1583</v>
      </c>
      <c r="AI625" s="1761" t="s">
        <v>2385</v>
      </c>
      <c r="AJ625" s="1761" t="s">
        <v>2385</v>
      </c>
      <c r="AK625" s="1761">
        <v>1289</v>
      </c>
      <c r="AL625" s="1761" t="s">
        <v>653</v>
      </c>
      <c r="AM625" s="1761">
        <v>1093</v>
      </c>
      <c r="AN625" s="1761" t="s">
        <v>5470</v>
      </c>
      <c r="AO625" s="1764"/>
      <c r="AP625" s="1761" t="s">
        <v>5375</v>
      </c>
      <c r="AQ625" s="1761" t="s">
        <v>5376</v>
      </c>
      <c r="AR625" s="1761" t="s">
        <v>2963</v>
      </c>
      <c r="AS625" s="1761" t="s">
        <v>523</v>
      </c>
      <c r="AT625" s="1761" t="s">
        <v>327</v>
      </c>
      <c r="AU625" s="1763"/>
      <c r="AV625" s="1763"/>
    </row>
    <row r="626" spans="1:48" ht="25" hidden="1">
      <c r="A626" s="1785" t="str">
        <f t="shared" si="99"/>
        <v>גמל</v>
      </c>
      <c r="B626" s="1786">
        <f t="shared" si="100"/>
        <v>1290</v>
      </c>
      <c r="C626" s="1787">
        <v>28946</v>
      </c>
      <c r="D626" s="1786" t="str">
        <f t="shared" si="101"/>
        <v>אלטשולר שחם השתלמות כללי ב'</v>
      </c>
      <c r="E626" s="1786" t="s">
        <v>3929</v>
      </c>
      <c r="F626" s="1786" t="s">
        <v>2958</v>
      </c>
      <c r="G626" s="1786" t="s">
        <v>2959</v>
      </c>
      <c r="H626" s="1786" t="str">
        <f t="shared" si="102"/>
        <v>פעיל</v>
      </c>
      <c r="I626" s="1788">
        <f t="shared" si="103"/>
        <v>38343</v>
      </c>
      <c r="J626" s="1788" t="str">
        <f t="shared" si="104"/>
        <v/>
      </c>
      <c r="K626" s="1786">
        <v>0</v>
      </c>
      <c r="L626" s="1786" t="s">
        <v>1594</v>
      </c>
      <c r="M626" s="1786" t="s">
        <v>1653</v>
      </c>
      <c r="N626" s="1786" t="s">
        <v>1653</v>
      </c>
      <c r="O626" s="1786">
        <v>0</v>
      </c>
      <c r="P626" s="1786"/>
      <c r="Q626" s="1786">
        <v>0</v>
      </c>
      <c r="R626" s="1788"/>
      <c r="S626" s="1786">
        <f t="shared" si="105"/>
        <v>1093</v>
      </c>
      <c r="T626" s="1786" t="str">
        <f t="shared" si="106"/>
        <v>בנק לאומי בע"מ</v>
      </c>
      <c r="U626" s="1786" t="str">
        <f t="shared" si="107"/>
        <v>אלטשולר שחם השתלמות</v>
      </c>
      <c r="V626" s="1786" t="str">
        <f t="shared" si="108"/>
        <v>511446551</v>
      </c>
      <c r="W626" s="1789" t="str">
        <f t="shared" si="109"/>
        <v>אלטשולר שחם גמל ופנסיה בע"מ</v>
      </c>
      <c r="AC626" s="1759" t="s">
        <v>346</v>
      </c>
      <c r="AD626" s="1759"/>
      <c r="AE626" s="1760">
        <v>38343</v>
      </c>
      <c r="AF626" s="1759" t="s">
        <v>1583</v>
      </c>
      <c r="AG626" s="1759" t="s">
        <v>1583</v>
      </c>
      <c r="AH626" s="1759" t="s">
        <v>1583</v>
      </c>
      <c r="AI626" s="1759" t="s">
        <v>4053</v>
      </c>
      <c r="AJ626" s="1759" t="s">
        <v>4053</v>
      </c>
      <c r="AK626" s="1759">
        <v>1290</v>
      </c>
      <c r="AL626" s="1759" t="s">
        <v>2300</v>
      </c>
      <c r="AM626" s="1759">
        <v>1093</v>
      </c>
      <c r="AN626" s="1759" t="s">
        <v>5470</v>
      </c>
      <c r="AO626" s="1764"/>
      <c r="AP626" s="1759" t="s">
        <v>5375</v>
      </c>
      <c r="AQ626" s="1759" t="s">
        <v>5376</v>
      </c>
      <c r="AR626" s="1759" t="s">
        <v>2963</v>
      </c>
      <c r="AS626" s="1759" t="s">
        <v>523</v>
      </c>
      <c r="AT626" s="1759" t="s">
        <v>327</v>
      </c>
      <c r="AU626" s="1763"/>
      <c r="AV626" s="1763"/>
    </row>
    <row r="627" spans="1:48" ht="25" hidden="1">
      <c r="A627" s="1785" t="str">
        <f t="shared" si="99"/>
        <v>גמל</v>
      </c>
      <c r="B627" s="1786">
        <f t="shared" si="100"/>
        <v>1093</v>
      </c>
      <c r="C627" s="1787">
        <v>28946</v>
      </c>
      <c r="D627" s="1786" t="str">
        <f t="shared" si="101"/>
        <v>אלטשולר שחם השתלמות כללי</v>
      </c>
      <c r="E627" s="1786" t="s">
        <v>3929</v>
      </c>
      <c r="F627" s="1786" t="s">
        <v>2958</v>
      </c>
      <c r="G627" s="1786" t="s">
        <v>2959</v>
      </c>
      <c r="H627" s="1786" t="str">
        <f t="shared" si="102"/>
        <v>פעיל</v>
      </c>
      <c r="I627" s="1788">
        <f t="shared" si="103"/>
        <v>38343</v>
      </c>
      <c r="J627" s="1788" t="str">
        <f t="shared" si="104"/>
        <v/>
      </c>
      <c r="K627" s="1786">
        <v>0</v>
      </c>
      <c r="L627" s="1786" t="s">
        <v>1594</v>
      </c>
      <c r="M627" s="1786" t="s">
        <v>1653</v>
      </c>
      <c r="N627" s="1786" t="s">
        <v>1653</v>
      </c>
      <c r="O627" s="1786">
        <v>0</v>
      </c>
      <c r="P627" s="1786"/>
      <c r="Q627" s="1786">
        <v>0</v>
      </c>
      <c r="R627" s="1788"/>
      <c r="S627" s="1786">
        <f t="shared" si="105"/>
        <v>1093</v>
      </c>
      <c r="T627" s="1786" t="str">
        <f t="shared" si="106"/>
        <v>בנק לאומי בע"מ</v>
      </c>
      <c r="U627" s="1786" t="str">
        <f t="shared" si="107"/>
        <v>אלטשולר שחם השתלמות</v>
      </c>
      <c r="V627" s="1786" t="str">
        <f t="shared" si="108"/>
        <v>511446551</v>
      </c>
      <c r="W627" s="1789" t="str">
        <f t="shared" si="109"/>
        <v>אלטשולר שחם גמל ופנסיה בע"מ</v>
      </c>
      <c r="AC627" s="1761" t="s">
        <v>346</v>
      </c>
      <c r="AD627" s="1759"/>
      <c r="AE627" s="1762">
        <v>38343</v>
      </c>
      <c r="AF627" s="1761" t="s">
        <v>1583</v>
      </c>
      <c r="AG627" s="1761" t="s">
        <v>1583</v>
      </c>
      <c r="AH627" s="1761" t="s">
        <v>1583</v>
      </c>
      <c r="AI627" s="1761" t="s">
        <v>4032</v>
      </c>
      <c r="AJ627" s="1761" t="s">
        <v>4032</v>
      </c>
      <c r="AK627" s="1761">
        <v>1093</v>
      </c>
      <c r="AL627" s="1761" t="s">
        <v>2300</v>
      </c>
      <c r="AM627" s="1761">
        <v>1093</v>
      </c>
      <c r="AN627" s="1761" t="s">
        <v>5470</v>
      </c>
      <c r="AO627" s="1764"/>
      <c r="AP627" s="1761" t="s">
        <v>5375</v>
      </c>
      <c r="AQ627" s="1761" t="s">
        <v>5376</v>
      </c>
      <c r="AR627" s="1761" t="s">
        <v>2963</v>
      </c>
      <c r="AS627" s="1761" t="s">
        <v>523</v>
      </c>
      <c r="AT627" s="1761" t="s">
        <v>327</v>
      </c>
      <c r="AU627" s="1763"/>
      <c r="AV627" s="1763"/>
    </row>
    <row r="628" spans="1:48" ht="25" hidden="1">
      <c r="A628" s="1785" t="str">
        <f t="shared" si="99"/>
        <v>גמל</v>
      </c>
      <c r="B628" s="1786">
        <f t="shared" si="100"/>
        <v>12256</v>
      </c>
      <c r="C628" s="1787">
        <v>28946</v>
      </c>
      <c r="D628" s="1786" t="str">
        <f t="shared" si="101"/>
        <v>אלטשולר שחם השתלמות הלכה</v>
      </c>
      <c r="E628" s="1786" t="s">
        <v>3929</v>
      </c>
      <c r="F628" s="1786" t="s">
        <v>2958</v>
      </c>
      <c r="G628" s="1786" t="s">
        <v>2959</v>
      </c>
      <c r="H628" s="1786" t="str">
        <f t="shared" si="102"/>
        <v>פעיל</v>
      </c>
      <c r="I628" s="1788">
        <f t="shared" si="103"/>
        <v>38343</v>
      </c>
      <c r="J628" s="1788" t="str">
        <f t="shared" si="104"/>
        <v/>
      </c>
      <c r="K628" s="1786">
        <v>0</v>
      </c>
      <c r="L628" s="1786" t="s">
        <v>1594</v>
      </c>
      <c r="M628" s="1786" t="s">
        <v>1653</v>
      </c>
      <c r="N628" s="1786" t="s">
        <v>1653</v>
      </c>
      <c r="O628" s="1786">
        <v>0</v>
      </c>
      <c r="P628" s="1786"/>
      <c r="Q628" s="1786">
        <v>0</v>
      </c>
      <c r="R628" s="1788"/>
      <c r="S628" s="1786">
        <f t="shared" si="105"/>
        <v>1093</v>
      </c>
      <c r="T628" s="1786" t="str">
        <f t="shared" si="106"/>
        <v>בנק לאומי בע"מ</v>
      </c>
      <c r="U628" s="1786" t="str">
        <f t="shared" si="107"/>
        <v>אלטשולר שחם השתלמות</v>
      </c>
      <c r="V628" s="1786" t="str">
        <f t="shared" si="108"/>
        <v>511446551</v>
      </c>
      <c r="W628" s="1789" t="str">
        <f t="shared" si="109"/>
        <v>אלטשולר שחם גמל ופנסיה בע"מ</v>
      </c>
      <c r="AC628" s="1759" t="s">
        <v>346</v>
      </c>
      <c r="AD628" s="1759"/>
      <c r="AE628" s="1760">
        <v>38343</v>
      </c>
      <c r="AF628" s="1759" t="s">
        <v>4603</v>
      </c>
      <c r="AG628" s="1759" t="s">
        <v>2029</v>
      </c>
      <c r="AH628" s="1759" t="s">
        <v>2028</v>
      </c>
      <c r="AI628" s="1759" t="s">
        <v>5532</v>
      </c>
      <c r="AJ628" s="1759" t="s">
        <v>5532</v>
      </c>
      <c r="AK628" s="1759">
        <v>12256</v>
      </c>
      <c r="AL628" s="1759" t="s">
        <v>2300</v>
      </c>
      <c r="AM628" s="1759">
        <v>1093</v>
      </c>
      <c r="AN628" s="1759" t="s">
        <v>5470</v>
      </c>
      <c r="AO628" s="1764"/>
      <c r="AP628" s="1759" t="s">
        <v>5375</v>
      </c>
      <c r="AQ628" s="1759" t="s">
        <v>5376</v>
      </c>
      <c r="AR628" s="1759" t="s">
        <v>2963</v>
      </c>
      <c r="AS628" s="1759" t="s">
        <v>523</v>
      </c>
      <c r="AT628" s="1759" t="s">
        <v>327</v>
      </c>
      <c r="AU628" s="1763"/>
      <c r="AV628" s="1763"/>
    </row>
    <row r="629" spans="1:48" ht="25" hidden="1">
      <c r="A629" s="1785" t="str">
        <f t="shared" si="99"/>
        <v>גמל</v>
      </c>
      <c r="B629" s="1786">
        <f t="shared" si="100"/>
        <v>1378</v>
      </c>
      <c r="C629" s="1787">
        <v>28946</v>
      </c>
      <c r="D629" s="1786" t="str">
        <f t="shared" si="101"/>
        <v>אלטשולר שחם השתלמות אג"ח ללא מניות</v>
      </c>
      <c r="E629" s="1786" t="s">
        <v>3929</v>
      </c>
      <c r="F629" s="1786" t="s">
        <v>2958</v>
      </c>
      <c r="G629" s="1786" t="s">
        <v>2959</v>
      </c>
      <c r="H629" s="1786" t="str">
        <f t="shared" si="102"/>
        <v>פעיל</v>
      </c>
      <c r="I629" s="1788">
        <f t="shared" si="103"/>
        <v>38343</v>
      </c>
      <c r="J629" s="1788" t="str">
        <f t="shared" si="104"/>
        <v/>
      </c>
      <c r="K629" s="1786">
        <v>0</v>
      </c>
      <c r="L629" s="1786" t="s">
        <v>1594</v>
      </c>
      <c r="M629" s="1786" t="s">
        <v>1653</v>
      </c>
      <c r="N629" s="1786" t="s">
        <v>1653</v>
      </c>
      <c r="O629" s="1786">
        <v>0</v>
      </c>
      <c r="P629" s="1786"/>
      <c r="Q629" s="1786">
        <v>0</v>
      </c>
      <c r="R629" s="1788"/>
      <c r="S629" s="1786">
        <f t="shared" si="105"/>
        <v>1093</v>
      </c>
      <c r="T629" s="1786" t="str">
        <f t="shared" si="106"/>
        <v>בנק לאומי בע"מ</v>
      </c>
      <c r="U629" s="1786" t="str">
        <f t="shared" si="107"/>
        <v>אלטשולר שחם השתלמות</v>
      </c>
      <c r="V629" s="1786" t="str">
        <f t="shared" si="108"/>
        <v>511446551</v>
      </c>
      <c r="W629" s="1789" t="str">
        <f t="shared" si="109"/>
        <v>אלטשולר שחם גמל ופנסיה בע"מ</v>
      </c>
      <c r="AC629" s="1761" t="s">
        <v>346</v>
      </c>
      <c r="AD629" s="1761"/>
      <c r="AE629" s="1762">
        <v>38343</v>
      </c>
      <c r="AF629" s="1761" t="s">
        <v>1681</v>
      </c>
      <c r="AG629" s="1761" t="s">
        <v>1653</v>
      </c>
      <c r="AH629" s="1761" t="s">
        <v>1594</v>
      </c>
      <c r="AI629" s="1761" t="s">
        <v>4077</v>
      </c>
      <c r="AJ629" s="1761" t="s">
        <v>4077</v>
      </c>
      <c r="AK629" s="1761">
        <v>1378</v>
      </c>
      <c r="AL629" s="1761" t="s">
        <v>2300</v>
      </c>
      <c r="AM629" s="1761">
        <v>1093</v>
      </c>
      <c r="AN629" s="1761" t="s">
        <v>5470</v>
      </c>
      <c r="AO629" s="1764"/>
      <c r="AP629" s="1761" t="s">
        <v>5375</v>
      </c>
      <c r="AQ629" s="1761" t="s">
        <v>5376</v>
      </c>
      <c r="AR629" s="1761" t="s">
        <v>2963</v>
      </c>
      <c r="AS629" s="1761" t="s">
        <v>523</v>
      </c>
      <c r="AT629" s="1761" t="s">
        <v>327</v>
      </c>
      <c r="AU629" s="1763"/>
      <c r="AV629" s="1763"/>
    </row>
    <row r="630" spans="1:48" ht="25" hidden="1">
      <c r="A630" s="1785" t="str">
        <f t="shared" si="99"/>
        <v>גמל</v>
      </c>
      <c r="B630" s="1786">
        <f t="shared" si="100"/>
        <v>2007</v>
      </c>
      <c r="C630" s="1787">
        <v>28946</v>
      </c>
      <c r="D630" s="1786" t="str">
        <f t="shared" si="101"/>
        <v>אלטשולר שחם השתלמות מסלול אג"ח צמוד מדד</v>
      </c>
      <c r="E630" s="1786" t="s">
        <v>3929</v>
      </c>
      <c r="F630" s="1786" t="s">
        <v>2958</v>
      </c>
      <c r="G630" s="1786" t="s">
        <v>2959</v>
      </c>
      <c r="H630" s="1786" t="str">
        <f t="shared" si="102"/>
        <v>לא פעיל</v>
      </c>
      <c r="I630" s="1788">
        <f t="shared" si="103"/>
        <v>38343</v>
      </c>
      <c r="J630" s="1788">
        <f t="shared" si="104"/>
        <v>41560.507060185198</v>
      </c>
      <c r="K630" s="1786">
        <v>0</v>
      </c>
      <c r="L630" s="1786" t="s">
        <v>1594</v>
      </c>
      <c r="M630" s="1786" t="s">
        <v>1653</v>
      </c>
      <c r="N630" s="1786" t="s">
        <v>1653</v>
      </c>
      <c r="O630" s="1786">
        <v>0</v>
      </c>
      <c r="P630" s="1786"/>
      <c r="Q630" s="1786">
        <v>0</v>
      </c>
      <c r="R630" s="1788"/>
      <c r="S630" s="1786">
        <f t="shared" si="105"/>
        <v>1093</v>
      </c>
      <c r="T630" s="1786" t="str">
        <f t="shared" si="106"/>
        <v>בנק לאומי בע"מ</v>
      </c>
      <c r="U630" s="1786" t="str">
        <f t="shared" si="107"/>
        <v>אלטשולר שחם השתלמות מסלול כללי</v>
      </c>
      <c r="V630" s="1786" t="str">
        <f t="shared" si="108"/>
        <v>511446551</v>
      </c>
      <c r="W630" s="1789" t="str">
        <f t="shared" si="109"/>
        <v>אלטשולר שחם גמל ופנסיה בע"מ</v>
      </c>
      <c r="AC630" s="1759" t="s">
        <v>1586</v>
      </c>
      <c r="AD630" s="1760">
        <v>41560.507060185198</v>
      </c>
      <c r="AE630" s="1760">
        <v>38343</v>
      </c>
      <c r="AF630" s="1759" t="s">
        <v>71</v>
      </c>
      <c r="AG630" s="1759" t="s">
        <v>1653</v>
      </c>
      <c r="AH630" s="1759" t="s">
        <v>1594</v>
      </c>
      <c r="AI630" s="1759" t="s">
        <v>2508</v>
      </c>
      <c r="AJ630" s="1759" t="s">
        <v>2508</v>
      </c>
      <c r="AK630" s="1759">
        <v>2007</v>
      </c>
      <c r="AL630" s="1759" t="s">
        <v>653</v>
      </c>
      <c r="AM630" s="1759">
        <v>1093</v>
      </c>
      <c r="AN630" s="1759" t="s">
        <v>5470</v>
      </c>
      <c r="AO630" s="1764"/>
      <c r="AP630" s="1759" t="s">
        <v>5375</v>
      </c>
      <c r="AQ630" s="1759" t="s">
        <v>5376</v>
      </c>
      <c r="AR630" s="1759" t="s">
        <v>2963</v>
      </c>
      <c r="AS630" s="1759" t="s">
        <v>523</v>
      </c>
      <c r="AT630" s="1759" t="s">
        <v>327</v>
      </c>
      <c r="AU630" s="1763"/>
      <c r="AV630" s="1763"/>
    </row>
    <row r="631" spans="1:48" ht="25" hidden="1">
      <c r="A631" s="1785" t="str">
        <f t="shared" si="99"/>
        <v>גמל</v>
      </c>
      <c r="B631" s="1786">
        <f t="shared" si="100"/>
        <v>1398</v>
      </c>
      <c r="C631" s="1787">
        <v>28946</v>
      </c>
      <c r="D631" s="1786" t="str">
        <f t="shared" si="101"/>
        <v>אלטשולר שחם השתלמות כספי</v>
      </c>
      <c r="E631" s="1786" t="s">
        <v>3929</v>
      </c>
      <c r="F631" s="1786" t="s">
        <v>2958</v>
      </c>
      <c r="G631" s="1786" t="s">
        <v>2959</v>
      </c>
      <c r="H631" s="1786" t="str">
        <f t="shared" si="102"/>
        <v>פעיל</v>
      </c>
      <c r="I631" s="1788">
        <f t="shared" si="103"/>
        <v>38343</v>
      </c>
      <c r="J631" s="1788" t="str">
        <f t="shared" si="104"/>
        <v/>
      </c>
      <c r="K631" s="1786">
        <v>0</v>
      </c>
      <c r="L631" s="1786" t="s">
        <v>1594</v>
      </c>
      <c r="M631" s="1786" t="s">
        <v>1653</v>
      </c>
      <c r="N631" s="1786" t="s">
        <v>1653</v>
      </c>
      <c r="O631" s="1786">
        <v>0</v>
      </c>
      <c r="P631" s="1786"/>
      <c r="Q631" s="1786">
        <v>0</v>
      </c>
      <c r="R631" s="1788"/>
      <c r="S631" s="1786">
        <f t="shared" si="105"/>
        <v>1093</v>
      </c>
      <c r="T631" s="1786" t="str">
        <f t="shared" si="106"/>
        <v>בנק לאומי בע"מ</v>
      </c>
      <c r="U631" s="1786" t="str">
        <f t="shared" si="107"/>
        <v>אלטשולר שחם השתלמות</v>
      </c>
      <c r="V631" s="1786" t="str">
        <f t="shared" si="108"/>
        <v>511446551</v>
      </c>
      <c r="W631" s="1789" t="str">
        <f t="shared" si="109"/>
        <v>אלטשולר שחם גמל ופנסיה בע"מ</v>
      </c>
      <c r="AC631" s="1761" t="s">
        <v>346</v>
      </c>
      <c r="AD631" s="1761"/>
      <c r="AE631" s="1762">
        <v>38343</v>
      </c>
      <c r="AF631" s="1761" t="s">
        <v>2409</v>
      </c>
      <c r="AG631" s="1761" t="s">
        <v>1614</v>
      </c>
      <c r="AH631" s="1761" t="s">
        <v>1594</v>
      </c>
      <c r="AI631" s="1761" t="s">
        <v>4085</v>
      </c>
      <c r="AJ631" s="1761" t="s">
        <v>4085</v>
      </c>
      <c r="AK631" s="1761">
        <v>1398</v>
      </c>
      <c r="AL631" s="1761" t="s">
        <v>2300</v>
      </c>
      <c r="AM631" s="1761">
        <v>1093</v>
      </c>
      <c r="AN631" s="1761" t="s">
        <v>5470</v>
      </c>
      <c r="AO631" s="1764"/>
      <c r="AP631" s="1761" t="s">
        <v>5375</v>
      </c>
      <c r="AQ631" s="1761" t="s">
        <v>5376</v>
      </c>
      <c r="AR631" s="1761" t="s">
        <v>2963</v>
      </c>
      <c r="AS631" s="1761" t="s">
        <v>523</v>
      </c>
      <c r="AT631" s="1761" t="s">
        <v>327</v>
      </c>
      <c r="AU631" s="1763"/>
      <c r="AV631" s="1763"/>
    </row>
    <row r="632" spans="1:48" ht="25" hidden="1">
      <c r="A632" s="1785" t="str">
        <f t="shared" si="99"/>
        <v>גמל</v>
      </c>
      <c r="B632" s="1786">
        <f t="shared" si="100"/>
        <v>1399</v>
      </c>
      <c r="C632" s="1787">
        <v>28946</v>
      </c>
      <c r="D632" s="1786" t="str">
        <f t="shared" si="101"/>
        <v>אלטשולר שחם השתלמות אג"ח ממשלות</v>
      </c>
      <c r="E632" s="1786" t="s">
        <v>3929</v>
      </c>
      <c r="F632" s="1786" t="s">
        <v>2958</v>
      </c>
      <c r="G632" s="1786" t="s">
        <v>2959</v>
      </c>
      <c r="H632" s="1786" t="str">
        <f t="shared" si="102"/>
        <v>פעיל</v>
      </c>
      <c r="I632" s="1788">
        <f t="shared" si="103"/>
        <v>38343</v>
      </c>
      <c r="J632" s="1788" t="str">
        <f t="shared" si="104"/>
        <v/>
      </c>
      <c r="K632" s="1786">
        <v>0</v>
      </c>
      <c r="L632" s="1786" t="s">
        <v>1594</v>
      </c>
      <c r="M632" s="1786" t="s">
        <v>1653</v>
      </c>
      <c r="N632" s="1786" t="s">
        <v>1653</v>
      </c>
      <c r="O632" s="1786">
        <v>0</v>
      </c>
      <c r="P632" s="1786"/>
      <c r="Q632" s="1786">
        <v>0</v>
      </c>
      <c r="R632" s="1788"/>
      <c r="S632" s="1786">
        <f t="shared" si="105"/>
        <v>1093</v>
      </c>
      <c r="T632" s="1786" t="str">
        <f t="shared" si="106"/>
        <v>בנק לאומי בע"מ</v>
      </c>
      <c r="U632" s="1786" t="str">
        <f t="shared" si="107"/>
        <v>אלטשולר שחם השתלמות</v>
      </c>
      <c r="V632" s="1786" t="str">
        <f t="shared" si="108"/>
        <v>511446551</v>
      </c>
      <c r="W632" s="1789" t="str">
        <f t="shared" si="109"/>
        <v>אלטשולר שחם גמל ופנסיה בע"מ</v>
      </c>
      <c r="AC632" s="1759" t="s">
        <v>346</v>
      </c>
      <c r="AD632" s="1759"/>
      <c r="AE632" s="1760">
        <v>38343</v>
      </c>
      <c r="AF632" s="1759" t="s">
        <v>2009</v>
      </c>
      <c r="AG632" s="1759" t="s">
        <v>1653</v>
      </c>
      <c r="AH632" s="1759" t="s">
        <v>1594</v>
      </c>
      <c r="AI632" s="1759" t="s">
        <v>4087</v>
      </c>
      <c r="AJ632" s="1759" t="s">
        <v>4086</v>
      </c>
      <c r="AK632" s="1759">
        <v>1399</v>
      </c>
      <c r="AL632" s="1759" t="s">
        <v>2300</v>
      </c>
      <c r="AM632" s="1759">
        <v>1093</v>
      </c>
      <c r="AN632" s="1759" t="s">
        <v>5470</v>
      </c>
      <c r="AO632" s="1764"/>
      <c r="AP632" s="1759" t="s">
        <v>5375</v>
      </c>
      <c r="AQ632" s="1759" t="s">
        <v>5376</v>
      </c>
      <c r="AR632" s="1759" t="s">
        <v>2963</v>
      </c>
      <c r="AS632" s="1759" t="s">
        <v>523</v>
      </c>
      <c r="AT632" s="1759" t="s">
        <v>327</v>
      </c>
      <c r="AU632" s="1763"/>
      <c r="AV632" s="1763"/>
    </row>
    <row r="633" spans="1:48" ht="25" hidden="1">
      <c r="A633" s="1785" t="str">
        <f t="shared" si="99"/>
        <v>גמל</v>
      </c>
      <c r="B633" s="1786">
        <f t="shared" si="100"/>
        <v>1377</v>
      </c>
      <c r="C633" s="1787">
        <v>28946</v>
      </c>
      <c r="D633" s="1786" t="str">
        <f t="shared" si="101"/>
        <v>אלטשולר שחם השתלמות מניות</v>
      </c>
      <c r="E633" s="1786" t="s">
        <v>3929</v>
      </c>
      <c r="F633" s="1786" t="s">
        <v>2958</v>
      </c>
      <c r="G633" s="1786" t="s">
        <v>2959</v>
      </c>
      <c r="H633" s="1786" t="str">
        <f t="shared" si="102"/>
        <v>פעיל</v>
      </c>
      <c r="I633" s="1788">
        <f t="shared" si="103"/>
        <v>38343</v>
      </c>
      <c r="J633" s="1788" t="str">
        <f t="shared" si="104"/>
        <v/>
      </c>
      <c r="K633" s="1786">
        <v>0</v>
      </c>
      <c r="L633" s="1786" t="s">
        <v>1594</v>
      </c>
      <c r="M633" s="1786" t="s">
        <v>1653</v>
      </c>
      <c r="N633" s="1786" t="s">
        <v>1653</v>
      </c>
      <c r="O633" s="1786">
        <v>0</v>
      </c>
      <c r="P633" s="1786"/>
      <c r="Q633" s="1786">
        <v>0</v>
      </c>
      <c r="R633" s="1788"/>
      <c r="S633" s="1786">
        <f t="shared" si="105"/>
        <v>1093</v>
      </c>
      <c r="T633" s="1786" t="str">
        <f t="shared" si="106"/>
        <v>בנק לאומי בע"מ</v>
      </c>
      <c r="U633" s="1786" t="str">
        <f t="shared" si="107"/>
        <v>אלטשולר שחם השתלמות</v>
      </c>
      <c r="V633" s="1786" t="str">
        <f t="shared" si="108"/>
        <v>511446551</v>
      </c>
      <c r="W633" s="1789" t="str">
        <f t="shared" si="109"/>
        <v>אלטשולר שחם גמל ופנסיה בע"מ</v>
      </c>
      <c r="AC633" s="1761" t="s">
        <v>346</v>
      </c>
      <c r="AD633" s="1761"/>
      <c r="AE633" s="1762">
        <v>38343</v>
      </c>
      <c r="AF633" s="1761" t="s">
        <v>1595</v>
      </c>
      <c r="AG633" s="1761" t="s">
        <v>75</v>
      </c>
      <c r="AH633" s="1761" t="s">
        <v>1594</v>
      </c>
      <c r="AI633" s="1761" t="s">
        <v>4076</v>
      </c>
      <c r="AJ633" s="1761" t="s">
        <v>4076</v>
      </c>
      <c r="AK633" s="1761">
        <v>1377</v>
      </c>
      <c r="AL633" s="1761" t="s">
        <v>2300</v>
      </c>
      <c r="AM633" s="1761">
        <v>1093</v>
      </c>
      <c r="AN633" s="1761" t="s">
        <v>5470</v>
      </c>
      <c r="AO633" s="1764"/>
      <c r="AP633" s="1761" t="s">
        <v>5375</v>
      </c>
      <c r="AQ633" s="1761" t="s">
        <v>5376</v>
      </c>
      <c r="AR633" s="1761" t="s">
        <v>2963</v>
      </c>
      <c r="AS633" s="1761" t="s">
        <v>523</v>
      </c>
      <c r="AT633" s="1761" t="s">
        <v>327</v>
      </c>
      <c r="AU633" s="1763"/>
      <c r="AV633" s="1763"/>
    </row>
    <row r="634" spans="1:48" ht="25" hidden="1">
      <c r="A634" s="1785" t="str">
        <f t="shared" si="99"/>
        <v>גמל</v>
      </c>
      <c r="B634" s="1786">
        <f t="shared" si="100"/>
        <v>2001</v>
      </c>
      <c r="C634" s="1787">
        <v>28946</v>
      </c>
      <c r="D634" s="1786" t="str">
        <f t="shared" si="101"/>
        <v>אלטשולר שחם השתלמות טופז מסלול כללי</v>
      </c>
      <c r="E634" s="1786" t="s">
        <v>3929</v>
      </c>
      <c r="F634" s="1786" t="s">
        <v>2958</v>
      </c>
      <c r="G634" s="1786" t="s">
        <v>2959</v>
      </c>
      <c r="H634" s="1786" t="str">
        <f t="shared" si="102"/>
        <v>לא פעיל</v>
      </c>
      <c r="I634" s="1788">
        <f t="shared" si="103"/>
        <v>38343</v>
      </c>
      <c r="J634" s="1788">
        <f t="shared" si="104"/>
        <v>40818.515416666698</v>
      </c>
      <c r="K634" s="1786">
        <v>0</v>
      </c>
      <c r="L634" s="1786" t="s">
        <v>1594</v>
      </c>
      <c r="M634" s="1786" t="s">
        <v>1653</v>
      </c>
      <c r="N634" s="1786" t="s">
        <v>1653</v>
      </c>
      <c r="O634" s="1786">
        <v>0</v>
      </c>
      <c r="P634" s="1786"/>
      <c r="Q634" s="1786">
        <v>0</v>
      </c>
      <c r="R634" s="1788"/>
      <c r="S634" s="1786">
        <f t="shared" si="105"/>
        <v>1093</v>
      </c>
      <c r="T634" s="1786" t="str">
        <f t="shared" si="106"/>
        <v>בנק לאומי בע"מ</v>
      </c>
      <c r="U634" s="1786" t="str">
        <f t="shared" si="107"/>
        <v>אלטשולר שחם השתלמות טופז מסלול כללי</v>
      </c>
      <c r="V634" s="1786" t="str">
        <f t="shared" si="108"/>
        <v>511446551</v>
      </c>
      <c r="W634" s="1789" t="str">
        <f t="shared" si="109"/>
        <v>אלטשולר שחם גמל ופנסיה בע"מ</v>
      </c>
      <c r="AC634" s="1759" t="s">
        <v>1586</v>
      </c>
      <c r="AD634" s="1760">
        <v>40818.515416666698</v>
      </c>
      <c r="AE634" s="1760">
        <v>38343</v>
      </c>
      <c r="AF634" s="1759" t="s">
        <v>3008</v>
      </c>
      <c r="AG634" s="1759" t="s">
        <v>1653</v>
      </c>
      <c r="AH634" s="1759" t="s">
        <v>1594</v>
      </c>
      <c r="AI634" s="1759" t="s">
        <v>2503</v>
      </c>
      <c r="AJ634" s="1759" t="s">
        <v>2503</v>
      </c>
      <c r="AK634" s="1759">
        <v>2001</v>
      </c>
      <c r="AL634" s="1759" t="s">
        <v>2503</v>
      </c>
      <c r="AM634" s="1759">
        <v>1093</v>
      </c>
      <c r="AN634" s="1759" t="s">
        <v>5470</v>
      </c>
      <c r="AO634" s="1764"/>
      <c r="AP634" s="1759" t="s">
        <v>5375</v>
      </c>
      <c r="AQ634" s="1759" t="s">
        <v>5376</v>
      </c>
      <c r="AR634" s="1759" t="s">
        <v>2963</v>
      </c>
      <c r="AS634" s="1759" t="s">
        <v>523</v>
      </c>
      <c r="AT634" s="1759" t="s">
        <v>327</v>
      </c>
      <c r="AU634" s="1763"/>
      <c r="AV634" s="1763"/>
    </row>
    <row r="635" spans="1:48" ht="25" hidden="1">
      <c r="A635" s="1785" t="str">
        <f t="shared" si="99"/>
        <v>גמל</v>
      </c>
      <c r="B635" s="1786">
        <f t="shared" si="100"/>
        <v>546</v>
      </c>
      <c r="C635" s="1787">
        <v>28946</v>
      </c>
      <c r="D635" s="1786" t="str">
        <f t="shared" si="101"/>
        <v>אלטשולר שחם גמל להיט קלאסי</v>
      </c>
      <c r="E635" s="1786" t="s">
        <v>3929</v>
      </c>
      <c r="F635" s="1786" t="s">
        <v>2958</v>
      </c>
      <c r="G635" s="1786" t="s">
        <v>2959</v>
      </c>
      <c r="H635" s="1786" t="str">
        <f t="shared" si="102"/>
        <v>לא פעיל</v>
      </c>
      <c r="I635" s="1788">
        <f t="shared" si="103"/>
        <v>38343</v>
      </c>
      <c r="J635" s="1788">
        <f t="shared" si="104"/>
        <v>42370.776747685202</v>
      </c>
      <c r="K635" s="1786">
        <v>0</v>
      </c>
      <c r="L635" s="1786" t="s">
        <v>1594</v>
      </c>
      <c r="M635" s="1786" t="s">
        <v>1653</v>
      </c>
      <c r="N635" s="1786" t="s">
        <v>1653</v>
      </c>
      <c r="O635" s="1786">
        <v>0</v>
      </c>
      <c r="P635" s="1786"/>
      <c r="Q635" s="1786">
        <v>0</v>
      </c>
      <c r="R635" s="1788"/>
      <c r="S635" s="1786">
        <f t="shared" si="105"/>
        <v>1092</v>
      </c>
      <c r="T635" s="1786" t="str">
        <f t="shared" si="106"/>
        <v>בנק לאומי בע"מ</v>
      </c>
      <c r="U635" s="1786" t="str">
        <f t="shared" si="107"/>
        <v>אלטשולר שחם גמל</v>
      </c>
      <c r="V635" s="1786" t="str">
        <f t="shared" si="108"/>
        <v>511446551</v>
      </c>
      <c r="W635" s="1789" t="str">
        <f t="shared" si="109"/>
        <v>אלטשולר שחם גמל ופנסיה בע"מ</v>
      </c>
      <c r="AC635" s="1761" t="s">
        <v>1586</v>
      </c>
      <c r="AD635" s="1762">
        <v>42370.776747685202</v>
      </c>
      <c r="AE635" s="1762">
        <v>38343</v>
      </c>
      <c r="AF635" s="1761" t="s">
        <v>1653</v>
      </c>
      <c r="AG635" s="1761" t="s">
        <v>1653</v>
      </c>
      <c r="AH635" s="1761" t="s">
        <v>1594</v>
      </c>
      <c r="AI635" s="1761" t="s">
        <v>3180</v>
      </c>
      <c r="AJ635" s="1761" t="s">
        <v>3180</v>
      </c>
      <c r="AK635" s="1761">
        <v>546</v>
      </c>
      <c r="AL635" s="1761" t="s">
        <v>652</v>
      </c>
      <c r="AM635" s="1761">
        <v>1092</v>
      </c>
      <c r="AN635" s="1761" t="s">
        <v>5470</v>
      </c>
      <c r="AO635" s="1764"/>
      <c r="AP635" s="1761" t="s">
        <v>5375</v>
      </c>
      <c r="AQ635" s="1761" t="s">
        <v>5376</v>
      </c>
      <c r="AR635" s="1761" t="s">
        <v>2963</v>
      </c>
      <c r="AS635" s="1761" t="s">
        <v>523</v>
      </c>
      <c r="AT635" s="1761" t="s">
        <v>327</v>
      </c>
      <c r="AU635" s="1763"/>
      <c r="AV635" s="1763"/>
    </row>
    <row r="636" spans="1:48" ht="25" hidden="1">
      <c r="A636" s="1785" t="str">
        <f t="shared" si="99"/>
        <v>גמל</v>
      </c>
      <c r="B636" s="1786">
        <f t="shared" si="100"/>
        <v>1288</v>
      </c>
      <c r="C636" s="1787">
        <v>28946</v>
      </c>
      <c r="D636" s="1786" t="str">
        <f t="shared" si="101"/>
        <v>אלטשולר שחם גמל מסלול גולד</v>
      </c>
      <c r="E636" s="1786" t="s">
        <v>3929</v>
      </c>
      <c r="F636" s="1786" t="s">
        <v>2958</v>
      </c>
      <c r="G636" s="1786" t="s">
        <v>2959</v>
      </c>
      <c r="H636" s="1786" t="str">
        <f t="shared" si="102"/>
        <v>לא פעיל</v>
      </c>
      <c r="I636" s="1788">
        <f t="shared" si="103"/>
        <v>38343</v>
      </c>
      <c r="J636" s="1788">
        <f t="shared" si="104"/>
        <v>42370.776747685202</v>
      </c>
      <c r="K636" s="1786">
        <v>0</v>
      </c>
      <c r="L636" s="1786" t="s">
        <v>1594</v>
      </c>
      <c r="M636" s="1786" t="s">
        <v>1653</v>
      </c>
      <c r="N636" s="1786" t="s">
        <v>1653</v>
      </c>
      <c r="O636" s="1786">
        <v>0</v>
      </c>
      <c r="P636" s="1786"/>
      <c r="Q636" s="1786">
        <v>0</v>
      </c>
      <c r="R636" s="1788"/>
      <c r="S636" s="1786">
        <f t="shared" si="105"/>
        <v>1092</v>
      </c>
      <c r="T636" s="1786" t="str">
        <f t="shared" si="106"/>
        <v>בנק לאומי בע"מ</v>
      </c>
      <c r="U636" s="1786" t="str">
        <f t="shared" si="107"/>
        <v>אלטשולר שחם גמל</v>
      </c>
      <c r="V636" s="1786" t="str">
        <f t="shared" si="108"/>
        <v>511446551</v>
      </c>
      <c r="W636" s="1789" t="str">
        <f t="shared" si="109"/>
        <v>אלטשולר שחם גמל ופנסיה בע"מ</v>
      </c>
      <c r="AC636" s="1759" t="s">
        <v>1586</v>
      </c>
      <c r="AD636" s="1760">
        <v>42370.776747685202</v>
      </c>
      <c r="AE636" s="1760">
        <v>38343</v>
      </c>
      <c r="AF636" s="1759" t="s">
        <v>1583</v>
      </c>
      <c r="AG636" s="1759" t="s">
        <v>1583</v>
      </c>
      <c r="AH636" s="1759" t="s">
        <v>1583</v>
      </c>
      <c r="AI636" s="1759" t="s">
        <v>3591</v>
      </c>
      <c r="AJ636" s="1759" t="s">
        <v>2384</v>
      </c>
      <c r="AK636" s="1759">
        <v>1288</v>
      </c>
      <c r="AL636" s="1759" t="s">
        <v>652</v>
      </c>
      <c r="AM636" s="1759">
        <v>1092</v>
      </c>
      <c r="AN636" s="1759" t="s">
        <v>5470</v>
      </c>
      <c r="AO636" s="1764"/>
      <c r="AP636" s="1759" t="s">
        <v>5375</v>
      </c>
      <c r="AQ636" s="1759" t="s">
        <v>5376</v>
      </c>
      <c r="AR636" s="1759" t="s">
        <v>2963</v>
      </c>
      <c r="AS636" s="1759" t="s">
        <v>523</v>
      </c>
      <c r="AT636" s="1759" t="s">
        <v>327</v>
      </c>
      <c r="AU636" s="1763"/>
      <c r="AV636" s="1763"/>
    </row>
    <row r="637" spans="1:48" ht="25" hidden="1">
      <c r="A637" s="1785" t="str">
        <f t="shared" si="99"/>
        <v>גמל</v>
      </c>
      <c r="B637" s="1786">
        <f t="shared" si="100"/>
        <v>1092</v>
      </c>
      <c r="C637" s="1787">
        <v>28946</v>
      </c>
      <c r="D637" s="1786" t="str">
        <f t="shared" si="101"/>
        <v>אלטשולר שחם גמל מסלול כללי</v>
      </c>
      <c r="E637" s="1786" t="s">
        <v>3929</v>
      </c>
      <c r="F637" s="1786" t="s">
        <v>2958</v>
      </c>
      <c r="G637" s="1786" t="s">
        <v>2959</v>
      </c>
      <c r="H637" s="1786" t="str">
        <f t="shared" si="102"/>
        <v>לא פעיל</v>
      </c>
      <c r="I637" s="1788">
        <f t="shared" si="103"/>
        <v>38343</v>
      </c>
      <c r="J637" s="1788">
        <f t="shared" si="104"/>
        <v>42370.776747685202</v>
      </c>
      <c r="K637" s="1786">
        <v>0</v>
      </c>
      <c r="L637" s="1786" t="s">
        <v>1594</v>
      </c>
      <c r="M637" s="1786" t="s">
        <v>1653</v>
      </c>
      <c r="N637" s="1786" t="s">
        <v>1653</v>
      </c>
      <c r="O637" s="1786">
        <v>0</v>
      </c>
      <c r="P637" s="1786"/>
      <c r="Q637" s="1786">
        <v>0</v>
      </c>
      <c r="R637" s="1788"/>
      <c r="S637" s="1786">
        <f t="shared" si="105"/>
        <v>1092</v>
      </c>
      <c r="T637" s="1786" t="str">
        <f t="shared" si="106"/>
        <v>בנק לאומי בע"מ</v>
      </c>
      <c r="U637" s="1786" t="str">
        <f t="shared" si="107"/>
        <v>אלטשולר שחם גמל</v>
      </c>
      <c r="V637" s="1786" t="str">
        <f t="shared" si="108"/>
        <v>511446551</v>
      </c>
      <c r="W637" s="1789" t="str">
        <f t="shared" si="109"/>
        <v>אלטשולר שחם גמל ופנסיה בע"מ</v>
      </c>
      <c r="AC637" s="1761" t="s">
        <v>1586</v>
      </c>
      <c r="AD637" s="1762">
        <v>42370.776747685202</v>
      </c>
      <c r="AE637" s="1762">
        <v>38343</v>
      </c>
      <c r="AF637" s="1761" t="s">
        <v>1583</v>
      </c>
      <c r="AG637" s="1761" t="s">
        <v>1583</v>
      </c>
      <c r="AH637" s="1761" t="s">
        <v>1583</v>
      </c>
      <c r="AI637" s="1761" t="s">
        <v>3518</v>
      </c>
      <c r="AJ637" s="1761" t="s">
        <v>2264</v>
      </c>
      <c r="AK637" s="1761">
        <v>1092</v>
      </c>
      <c r="AL637" s="1761" t="s">
        <v>652</v>
      </c>
      <c r="AM637" s="1761">
        <v>1092</v>
      </c>
      <c r="AN637" s="1761" t="s">
        <v>5470</v>
      </c>
      <c r="AO637" s="1764"/>
      <c r="AP637" s="1761" t="s">
        <v>5375</v>
      </c>
      <c r="AQ637" s="1761" t="s">
        <v>5376</v>
      </c>
      <c r="AR637" s="1761" t="s">
        <v>2963</v>
      </c>
      <c r="AS637" s="1761" t="s">
        <v>523</v>
      </c>
      <c r="AT637" s="1761" t="s">
        <v>327</v>
      </c>
      <c r="AU637" s="1763"/>
      <c r="AV637" s="1763"/>
    </row>
    <row r="638" spans="1:48" ht="25" hidden="1">
      <c r="A638" s="1785" t="str">
        <f t="shared" si="99"/>
        <v>גמל</v>
      </c>
      <c r="B638" s="1786">
        <f t="shared" si="100"/>
        <v>9950</v>
      </c>
      <c r="C638" s="1787">
        <v>28946</v>
      </c>
      <c r="D638" s="1786" t="str">
        <f t="shared" si="101"/>
        <v>אלטשולר שחם גמל לבני 50 ומטה</v>
      </c>
      <c r="E638" s="1786" t="s">
        <v>3929</v>
      </c>
      <c r="F638" s="1786" t="s">
        <v>2958</v>
      </c>
      <c r="G638" s="1786" t="s">
        <v>2959</v>
      </c>
      <c r="H638" s="1786" t="str">
        <f t="shared" si="102"/>
        <v>פעיל</v>
      </c>
      <c r="I638" s="1788">
        <f t="shared" si="103"/>
        <v>38343</v>
      </c>
      <c r="J638" s="1788" t="str">
        <f t="shared" si="104"/>
        <v/>
      </c>
      <c r="K638" s="1786">
        <v>0</v>
      </c>
      <c r="L638" s="1786" t="s">
        <v>1594</v>
      </c>
      <c r="M638" s="1786" t="s">
        <v>1653</v>
      </c>
      <c r="N638" s="1786" t="s">
        <v>1653</v>
      </c>
      <c r="O638" s="1786">
        <v>0</v>
      </c>
      <c r="P638" s="1786"/>
      <c r="Q638" s="1786">
        <v>0</v>
      </c>
      <c r="R638" s="1788"/>
      <c r="S638" s="1786">
        <f t="shared" si="105"/>
        <v>1092</v>
      </c>
      <c r="T638" s="1786" t="str">
        <f t="shared" si="106"/>
        <v>בנק לאומי בע"מ</v>
      </c>
      <c r="U638" s="1786" t="str">
        <f t="shared" si="107"/>
        <v>אלטשולר שחם גמל</v>
      </c>
      <c r="V638" s="1786" t="str">
        <f t="shared" si="108"/>
        <v>511446551</v>
      </c>
      <c r="W638" s="1789" t="str">
        <f t="shared" si="109"/>
        <v>אלטשולר שחם גמל ופנסיה בע"מ</v>
      </c>
      <c r="AC638" s="1759" t="s">
        <v>346</v>
      </c>
      <c r="AD638" s="1759"/>
      <c r="AE638" s="1760">
        <v>38343</v>
      </c>
      <c r="AF638" s="1759" t="s">
        <v>4151</v>
      </c>
      <c r="AG638" s="1759" t="s">
        <v>3931</v>
      </c>
      <c r="AH638" s="1759" t="s">
        <v>3658</v>
      </c>
      <c r="AI638" s="1759" t="s">
        <v>4479</v>
      </c>
      <c r="AJ638" s="1759" t="s">
        <v>4479</v>
      </c>
      <c r="AK638" s="1759">
        <v>9950</v>
      </c>
      <c r="AL638" s="1759" t="s">
        <v>652</v>
      </c>
      <c r="AM638" s="1759">
        <v>1092</v>
      </c>
      <c r="AN638" s="1759" t="s">
        <v>5470</v>
      </c>
      <c r="AO638" s="1764"/>
      <c r="AP638" s="1759" t="s">
        <v>5375</v>
      </c>
      <c r="AQ638" s="1759" t="s">
        <v>5376</v>
      </c>
      <c r="AR638" s="1759" t="s">
        <v>2963</v>
      </c>
      <c r="AS638" s="1759" t="s">
        <v>523</v>
      </c>
      <c r="AT638" s="1759" t="s">
        <v>327</v>
      </c>
      <c r="AU638" s="1763"/>
      <c r="AV638" s="1763"/>
    </row>
    <row r="639" spans="1:48" ht="25" hidden="1">
      <c r="A639" s="1785" t="str">
        <f t="shared" si="99"/>
        <v>גמל</v>
      </c>
      <c r="B639" s="1786">
        <f t="shared" si="100"/>
        <v>9951</v>
      </c>
      <c r="C639" s="1787">
        <v>28946</v>
      </c>
      <c r="D639" s="1786" t="str">
        <f t="shared" si="101"/>
        <v>אלטשולר שחם גמל לבני 50 עד 60</v>
      </c>
      <c r="E639" s="1786" t="s">
        <v>3929</v>
      </c>
      <c r="F639" s="1786" t="s">
        <v>2958</v>
      </c>
      <c r="G639" s="1786" t="s">
        <v>2959</v>
      </c>
      <c r="H639" s="1786" t="str">
        <f t="shared" si="102"/>
        <v>פעיל</v>
      </c>
      <c r="I639" s="1788">
        <f t="shared" si="103"/>
        <v>38343</v>
      </c>
      <c r="J639" s="1788" t="str">
        <f t="shared" si="104"/>
        <v/>
      </c>
      <c r="K639" s="1786">
        <v>0</v>
      </c>
      <c r="L639" s="1786" t="s">
        <v>1594</v>
      </c>
      <c r="M639" s="1786" t="s">
        <v>1653</v>
      </c>
      <c r="N639" s="1786" t="s">
        <v>1653</v>
      </c>
      <c r="O639" s="1786">
        <v>0</v>
      </c>
      <c r="P639" s="1786"/>
      <c r="Q639" s="1786">
        <v>0</v>
      </c>
      <c r="R639" s="1788"/>
      <c r="S639" s="1786">
        <f t="shared" si="105"/>
        <v>1092</v>
      </c>
      <c r="T639" s="1786" t="str">
        <f t="shared" si="106"/>
        <v>בנק לאומי בע"מ</v>
      </c>
      <c r="U639" s="1786" t="str">
        <f t="shared" si="107"/>
        <v>אלטשולר שחם גמל</v>
      </c>
      <c r="V639" s="1786" t="str">
        <f t="shared" si="108"/>
        <v>511446551</v>
      </c>
      <c r="W639" s="1789" t="str">
        <f t="shared" si="109"/>
        <v>אלטשולר שחם גמל ופנסיה בע"מ</v>
      </c>
      <c r="AC639" s="1761" t="s">
        <v>346</v>
      </c>
      <c r="AD639" s="1759"/>
      <c r="AE639" s="1762">
        <v>38343</v>
      </c>
      <c r="AF639" s="1761" t="s">
        <v>3932</v>
      </c>
      <c r="AG639" s="1761" t="s">
        <v>3931</v>
      </c>
      <c r="AH639" s="1761" t="s">
        <v>3658</v>
      </c>
      <c r="AI639" s="1761" t="s">
        <v>4481</v>
      </c>
      <c r="AJ639" s="1761" t="s">
        <v>4480</v>
      </c>
      <c r="AK639" s="1761">
        <v>9951</v>
      </c>
      <c r="AL639" s="1761" t="s">
        <v>652</v>
      </c>
      <c r="AM639" s="1761">
        <v>1092</v>
      </c>
      <c r="AN639" s="1761" t="s">
        <v>5470</v>
      </c>
      <c r="AO639" s="1764"/>
      <c r="AP639" s="1761" t="s">
        <v>5375</v>
      </c>
      <c r="AQ639" s="1761" t="s">
        <v>5376</v>
      </c>
      <c r="AR639" s="1761" t="s">
        <v>2963</v>
      </c>
      <c r="AS639" s="1761" t="s">
        <v>523</v>
      </c>
      <c r="AT639" s="1761" t="s">
        <v>327</v>
      </c>
      <c r="AU639" s="1763"/>
      <c r="AV639" s="1763"/>
    </row>
    <row r="640" spans="1:48" ht="25" hidden="1">
      <c r="A640" s="1785" t="str">
        <f t="shared" si="99"/>
        <v>גמל</v>
      </c>
      <c r="B640" s="1786">
        <f t="shared" si="100"/>
        <v>9952</v>
      </c>
      <c r="C640" s="1787">
        <v>28946</v>
      </c>
      <c r="D640" s="1786" t="str">
        <f t="shared" si="101"/>
        <v>אלטשולר שחם גמל לבני 60 ומעלה</v>
      </c>
      <c r="E640" s="1786" t="s">
        <v>3929</v>
      </c>
      <c r="F640" s="1786" t="s">
        <v>2958</v>
      </c>
      <c r="G640" s="1786" t="s">
        <v>2959</v>
      </c>
      <c r="H640" s="1786" t="str">
        <f t="shared" si="102"/>
        <v>פעיל</v>
      </c>
      <c r="I640" s="1788">
        <f t="shared" si="103"/>
        <v>38343</v>
      </c>
      <c r="J640" s="1788" t="str">
        <f t="shared" si="104"/>
        <v/>
      </c>
      <c r="K640" s="1786">
        <v>0</v>
      </c>
      <c r="L640" s="1786" t="s">
        <v>1594</v>
      </c>
      <c r="M640" s="1786" t="s">
        <v>1653</v>
      </c>
      <c r="N640" s="1786" t="s">
        <v>1653</v>
      </c>
      <c r="O640" s="1786">
        <v>0</v>
      </c>
      <c r="P640" s="1786"/>
      <c r="Q640" s="1786">
        <v>0</v>
      </c>
      <c r="R640" s="1788"/>
      <c r="S640" s="1786">
        <f t="shared" si="105"/>
        <v>1092</v>
      </c>
      <c r="T640" s="1786" t="str">
        <f t="shared" si="106"/>
        <v>בנק לאומי בע"מ</v>
      </c>
      <c r="U640" s="1786" t="str">
        <f t="shared" si="107"/>
        <v>אלטשולר שחם גמל</v>
      </c>
      <c r="V640" s="1786" t="str">
        <f t="shared" si="108"/>
        <v>511446551</v>
      </c>
      <c r="W640" s="1789" t="str">
        <f t="shared" si="109"/>
        <v>אלטשולר שחם גמל ופנסיה בע"מ</v>
      </c>
      <c r="AC640" s="1759" t="s">
        <v>346</v>
      </c>
      <c r="AD640" s="1759"/>
      <c r="AE640" s="1760">
        <v>38343</v>
      </c>
      <c r="AF640" s="1759" t="s">
        <v>3963</v>
      </c>
      <c r="AG640" s="1759" t="s">
        <v>3931</v>
      </c>
      <c r="AH640" s="1759" t="s">
        <v>3658</v>
      </c>
      <c r="AI640" s="1759" t="s">
        <v>4482</v>
      </c>
      <c r="AJ640" s="1759" t="s">
        <v>4482</v>
      </c>
      <c r="AK640" s="1759">
        <v>9952</v>
      </c>
      <c r="AL640" s="1759" t="s">
        <v>652</v>
      </c>
      <c r="AM640" s="1759">
        <v>1092</v>
      </c>
      <c r="AN640" s="1759" t="s">
        <v>5470</v>
      </c>
      <c r="AO640" s="1764"/>
      <c r="AP640" s="1759" t="s">
        <v>5375</v>
      </c>
      <c r="AQ640" s="1759" t="s">
        <v>5376</v>
      </c>
      <c r="AR640" s="1759" t="s">
        <v>2963</v>
      </c>
      <c r="AS640" s="1759" t="s">
        <v>523</v>
      </c>
      <c r="AT640" s="1759" t="s">
        <v>327</v>
      </c>
      <c r="AU640" s="1763"/>
      <c r="AV640" s="1763"/>
    </row>
    <row r="641" spans="1:48" ht="25" hidden="1">
      <c r="A641" s="1785" t="str">
        <f t="shared" si="99"/>
        <v>גמל</v>
      </c>
      <c r="B641" s="1786">
        <f t="shared" si="100"/>
        <v>1287</v>
      </c>
      <c r="C641" s="1787">
        <v>28946</v>
      </c>
      <c r="D641" s="1786" t="str">
        <f t="shared" si="101"/>
        <v>אלטשולר שחם גמל מסלול קלאסי</v>
      </c>
      <c r="E641" s="1786" t="s">
        <v>3929</v>
      </c>
      <c r="F641" s="1786" t="s">
        <v>2958</v>
      </c>
      <c r="G641" s="1786" t="s">
        <v>2959</v>
      </c>
      <c r="H641" s="1786" t="str">
        <f t="shared" si="102"/>
        <v>לא פעיל</v>
      </c>
      <c r="I641" s="1788">
        <f t="shared" si="103"/>
        <v>38343</v>
      </c>
      <c r="J641" s="1788">
        <f t="shared" si="104"/>
        <v>41560.504374999997</v>
      </c>
      <c r="K641" s="1786">
        <v>0</v>
      </c>
      <c r="L641" s="1786" t="s">
        <v>1594</v>
      </c>
      <c r="M641" s="1786" t="s">
        <v>1653</v>
      </c>
      <c r="N641" s="1786" t="s">
        <v>1653</v>
      </c>
      <c r="O641" s="1786">
        <v>0</v>
      </c>
      <c r="P641" s="1786"/>
      <c r="Q641" s="1786">
        <v>0</v>
      </c>
      <c r="R641" s="1788"/>
      <c r="S641" s="1786">
        <f t="shared" si="105"/>
        <v>1092</v>
      </c>
      <c r="T641" s="1786" t="str">
        <f t="shared" si="106"/>
        <v>בנק לאומי בע"מ</v>
      </c>
      <c r="U641" s="1786" t="str">
        <f t="shared" si="107"/>
        <v>אלטשולר שחם גמל</v>
      </c>
      <c r="V641" s="1786" t="str">
        <f t="shared" si="108"/>
        <v>511446551</v>
      </c>
      <c r="W641" s="1789" t="str">
        <f t="shared" si="109"/>
        <v>אלטשולר שחם גמל ופנסיה בע"מ</v>
      </c>
      <c r="AC641" s="1761" t="s">
        <v>1586</v>
      </c>
      <c r="AD641" s="1762">
        <v>41560.504374999997</v>
      </c>
      <c r="AE641" s="1762">
        <v>38343</v>
      </c>
      <c r="AF641" s="1761" t="s">
        <v>1583</v>
      </c>
      <c r="AG641" s="1761" t="s">
        <v>1583</v>
      </c>
      <c r="AH641" s="1761" t="s">
        <v>1583</v>
      </c>
      <c r="AI641" s="1761" t="s">
        <v>3590</v>
      </c>
      <c r="AJ641" s="1761" t="s">
        <v>2383</v>
      </c>
      <c r="AK641" s="1761">
        <v>1287</v>
      </c>
      <c r="AL641" s="1761" t="s">
        <v>652</v>
      </c>
      <c r="AM641" s="1761">
        <v>1092</v>
      </c>
      <c r="AN641" s="1761" t="s">
        <v>5470</v>
      </c>
      <c r="AO641" s="1764"/>
      <c r="AP641" s="1761" t="s">
        <v>5375</v>
      </c>
      <c r="AQ641" s="1761" t="s">
        <v>5376</v>
      </c>
      <c r="AR641" s="1761" t="s">
        <v>2963</v>
      </c>
      <c r="AS641" s="1761" t="s">
        <v>523</v>
      </c>
      <c r="AT641" s="1761" t="s">
        <v>327</v>
      </c>
      <c r="AU641" s="1763"/>
      <c r="AV641" s="1763"/>
    </row>
    <row r="642" spans="1:48" ht="25" hidden="1">
      <c r="A642" s="1785" t="str">
        <f t="shared" si="99"/>
        <v>גמל</v>
      </c>
      <c r="B642" s="1786">
        <f t="shared" si="100"/>
        <v>2000</v>
      </c>
      <c r="C642" s="1787">
        <v>28946</v>
      </c>
      <c r="D642" s="1786" t="str">
        <f t="shared" si="101"/>
        <v>אלטשולר שחם תגמולים לשם מסלול כללי</v>
      </c>
      <c r="E642" s="1786" t="s">
        <v>3929</v>
      </c>
      <c r="F642" s="1786" t="s">
        <v>2958</v>
      </c>
      <c r="G642" s="1786" t="s">
        <v>2959</v>
      </c>
      <c r="H642" s="1786" t="str">
        <f t="shared" si="102"/>
        <v>לא פעיל</v>
      </c>
      <c r="I642" s="1788">
        <f t="shared" si="103"/>
        <v>38343</v>
      </c>
      <c r="J642" s="1788">
        <f t="shared" si="104"/>
        <v>40818.512534722198</v>
      </c>
      <c r="K642" s="1786">
        <v>0</v>
      </c>
      <c r="L642" s="1786" t="s">
        <v>1594</v>
      </c>
      <c r="M642" s="1786" t="s">
        <v>1653</v>
      </c>
      <c r="N642" s="1786" t="s">
        <v>1653</v>
      </c>
      <c r="O642" s="1786">
        <v>0</v>
      </c>
      <c r="P642" s="1786"/>
      <c r="Q642" s="1786">
        <v>0</v>
      </c>
      <c r="R642" s="1788"/>
      <c r="S642" s="1786">
        <f t="shared" si="105"/>
        <v>1092</v>
      </c>
      <c r="T642" s="1786" t="str">
        <f t="shared" si="106"/>
        <v>בנק לאומי בע"מ</v>
      </c>
      <c r="U642" s="1786" t="str">
        <f t="shared" si="107"/>
        <v>אלטשולר שחם תגמולים לשם מסלול כללי</v>
      </c>
      <c r="V642" s="1786" t="str">
        <f t="shared" si="108"/>
        <v>511446551</v>
      </c>
      <c r="W642" s="1789" t="str">
        <f t="shared" si="109"/>
        <v>אלטשולר שחם גמל ופנסיה בע"מ</v>
      </c>
      <c r="AC642" s="1759" t="s">
        <v>1586</v>
      </c>
      <c r="AD642" s="1760">
        <v>40818.512534722198</v>
      </c>
      <c r="AE642" s="1760">
        <v>38343</v>
      </c>
      <c r="AF642" s="1759" t="s">
        <v>3008</v>
      </c>
      <c r="AG642" s="1759" t="s">
        <v>1653</v>
      </c>
      <c r="AH642" s="1759" t="s">
        <v>1594</v>
      </c>
      <c r="AI642" s="1759" t="s">
        <v>3681</v>
      </c>
      <c r="AJ642" s="1759" t="s">
        <v>2502</v>
      </c>
      <c r="AK642" s="1759">
        <v>2000</v>
      </c>
      <c r="AL642" s="1759" t="s">
        <v>2502</v>
      </c>
      <c r="AM642" s="1759">
        <v>1092</v>
      </c>
      <c r="AN642" s="1759" t="s">
        <v>5470</v>
      </c>
      <c r="AO642" s="1764"/>
      <c r="AP642" s="1759" t="s">
        <v>5375</v>
      </c>
      <c r="AQ642" s="1759" t="s">
        <v>5376</v>
      </c>
      <c r="AR642" s="1759" t="s">
        <v>2963</v>
      </c>
      <c r="AS642" s="1759" t="s">
        <v>523</v>
      </c>
      <c r="AT642" s="1759" t="s">
        <v>327</v>
      </c>
      <c r="AU642" s="1763"/>
      <c r="AV642" s="1763"/>
    </row>
    <row r="643" spans="1:48" ht="25" hidden="1">
      <c r="A643" s="1785" t="str">
        <f t="shared" si="99"/>
        <v>גמל</v>
      </c>
      <c r="B643" s="1786">
        <f t="shared" si="100"/>
        <v>2006</v>
      </c>
      <c r="C643" s="1787">
        <v>28946</v>
      </c>
      <c r="D643" s="1786" t="str">
        <f t="shared" si="101"/>
        <v>אלטשולר שחם גמל מסלול אג"ח צמוד מדד</v>
      </c>
      <c r="E643" s="1786" t="s">
        <v>3929</v>
      </c>
      <c r="F643" s="1786" t="s">
        <v>2958</v>
      </c>
      <c r="G643" s="1786" t="s">
        <v>2959</v>
      </c>
      <c r="H643" s="1786" t="str">
        <f t="shared" si="102"/>
        <v>לא פעיל</v>
      </c>
      <c r="I643" s="1788">
        <f t="shared" si="103"/>
        <v>38343</v>
      </c>
      <c r="J643" s="1788">
        <f t="shared" si="104"/>
        <v>41560.502453703702</v>
      </c>
      <c r="K643" s="1786">
        <v>0</v>
      </c>
      <c r="L643" s="1786" t="s">
        <v>1594</v>
      </c>
      <c r="M643" s="1786" t="s">
        <v>1653</v>
      </c>
      <c r="N643" s="1786" t="s">
        <v>1653</v>
      </c>
      <c r="O643" s="1786">
        <v>0</v>
      </c>
      <c r="P643" s="1786"/>
      <c r="Q643" s="1786">
        <v>0</v>
      </c>
      <c r="R643" s="1788"/>
      <c r="S643" s="1786">
        <f t="shared" si="105"/>
        <v>1092</v>
      </c>
      <c r="T643" s="1786" t="str">
        <f t="shared" si="106"/>
        <v>בנק לאומי בע"מ</v>
      </c>
      <c r="U643" s="1786" t="str">
        <f t="shared" si="107"/>
        <v>אלטשולר שחם גמל</v>
      </c>
      <c r="V643" s="1786" t="str">
        <f t="shared" si="108"/>
        <v>511446551</v>
      </c>
      <c r="W643" s="1789" t="str">
        <f t="shared" si="109"/>
        <v>אלטשולר שחם גמל ופנסיה בע"מ</v>
      </c>
      <c r="AC643" s="1761" t="s">
        <v>1586</v>
      </c>
      <c r="AD643" s="1762">
        <v>41560.502453703702</v>
      </c>
      <c r="AE643" s="1762">
        <v>38343</v>
      </c>
      <c r="AF643" s="1761" t="s">
        <v>71</v>
      </c>
      <c r="AG643" s="1761" t="s">
        <v>1653</v>
      </c>
      <c r="AH643" s="1761" t="s">
        <v>1594</v>
      </c>
      <c r="AI643" s="1761" t="s">
        <v>3685</v>
      </c>
      <c r="AJ643" s="1761" t="s">
        <v>2507</v>
      </c>
      <c r="AK643" s="1761">
        <v>2006</v>
      </c>
      <c r="AL643" s="1761" t="s">
        <v>652</v>
      </c>
      <c r="AM643" s="1761">
        <v>1092</v>
      </c>
      <c r="AN643" s="1761" t="s">
        <v>5470</v>
      </c>
      <c r="AO643" s="1764"/>
      <c r="AP643" s="1761" t="s">
        <v>5375</v>
      </c>
      <c r="AQ643" s="1761" t="s">
        <v>5376</v>
      </c>
      <c r="AR643" s="1761" t="s">
        <v>2963</v>
      </c>
      <c r="AS643" s="1761" t="s">
        <v>523</v>
      </c>
      <c r="AT643" s="1761" t="s">
        <v>327</v>
      </c>
      <c r="AU643" s="1763"/>
      <c r="AV643" s="1763"/>
    </row>
    <row r="644" spans="1:48" ht="25" hidden="1">
      <c r="A644" s="1785" t="str">
        <f t="shared" si="99"/>
        <v>גמל</v>
      </c>
      <c r="B644" s="1786">
        <f t="shared" si="100"/>
        <v>1394</v>
      </c>
      <c r="C644" s="1787">
        <v>28946</v>
      </c>
      <c r="D644" s="1786" t="str">
        <f t="shared" si="101"/>
        <v>אלטשולר שחם גמל כספי</v>
      </c>
      <c r="E644" s="1786" t="s">
        <v>3929</v>
      </c>
      <c r="F644" s="1786" t="s">
        <v>2958</v>
      </c>
      <c r="G644" s="1786" t="s">
        <v>2959</v>
      </c>
      <c r="H644" s="1786" t="str">
        <f t="shared" si="102"/>
        <v>פעיל</v>
      </c>
      <c r="I644" s="1788">
        <f t="shared" si="103"/>
        <v>38343</v>
      </c>
      <c r="J644" s="1788" t="str">
        <f t="shared" si="104"/>
        <v/>
      </c>
      <c r="K644" s="1786">
        <v>0</v>
      </c>
      <c r="L644" s="1786" t="s">
        <v>1594</v>
      </c>
      <c r="M644" s="1786" t="s">
        <v>1653</v>
      </c>
      <c r="N644" s="1786" t="s">
        <v>1653</v>
      </c>
      <c r="O644" s="1786">
        <v>0</v>
      </c>
      <c r="P644" s="1786"/>
      <c r="Q644" s="1786">
        <v>0</v>
      </c>
      <c r="R644" s="1788"/>
      <c r="S644" s="1786">
        <f t="shared" si="105"/>
        <v>1092</v>
      </c>
      <c r="T644" s="1786" t="str">
        <f t="shared" si="106"/>
        <v>בנק לאומי בע"מ</v>
      </c>
      <c r="U644" s="1786" t="str">
        <f t="shared" si="107"/>
        <v>אלטשולר שחם גמל</v>
      </c>
      <c r="V644" s="1786" t="str">
        <f t="shared" si="108"/>
        <v>511446551</v>
      </c>
      <c r="W644" s="1789" t="str">
        <f t="shared" si="109"/>
        <v>אלטשולר שחם גמל ופנסיה בע"מ</v>
      </c>
      <c r="AC644" s="1759" t="s">
        <v>346</v>
      </c>
      <c r="AD644" s="1759"/>
      <c r="AE644" s="1760">
        <v>38343</v>
      </c>
      <c r="AF644" s="1759" t="s">
        <v>2409</v>
      </c>
      <c r="AG644" s="1759" t="s">
        <v>1614</v>
      </c>
      <c r="AH644" s="1759" t="s">
        <v>1594</v>
      </c>
      <c r="AI644" s="1759" t="s">
        <v>4083</v>
      </c>
      <c r="AJ644" s="1759" t="s">
        <v>4083</v>
      </c>
      <c r="AK644" s="1759">
        <v>1394</v>
      </c>
      <c r="AL644" s="1759" t="s">
        <v>652</v>
      </c>
      <c r="AM644" s="1759">
        <v>1092</v>
      </c>
      <c r="AN644" s="1759" t="s">
        <v>5470</v>
      </c>
      <c r="AO644" s="1764"/>
      <c r="AP644" s="1759" t="s">
        <v>5375</v>
      </c>
      <c r="AQ644" s="1759" t="s">
        <v>5376</v>
      </c>
      <c r="AR644" s="1759" t="s">
        <v>2963</v>
      </c>
      <c r="AS644" s="1759" t="s">
        <v>523</v>
      </c>
      <c r="AT644" s="1759" t="s">
        <v>327</v>
      </c>
      <c r="AU644" s="1763"/>
      <c r="AV644" s="1763"/>
    </row>
    <row r="645" spans="1:48" ht="25" hidden="1">
      <c r="A645" s="1785" t="str">
        <f t="shared" si="99"/>
        <v>גמל</v>
      </c>
      <c r="B645" s="1786">
        <f t="shared" si="100"/>
        <v>1395</v>
      </c>
      <c r="C645" s="1787">
        <v>28946</v>
      </c>
      <c r="D645" s="1786" t="str">
        <f t="shared" si="101"/>
        <v>אלטשולר שחם גמל אג"ח ממשלות</v>
      </c>
      <c r="E645" s="1786" t="s">
        <v>3929</v>
      </c>
      <c r="F645" s="1786" t="s">
        <v>2958</v>
      </c>
      <c r="G645" s="1786" t="s">
        <v>2959</v>
      </c>
      <c r="H645" s="1786" t="str">
        <f t="shared" si="102"/>
        <v>פעיל</v>
      </c>
      <c r="I645" s="1788">
        <f t="shared" si="103"/>
        <v>38343</v>
      </c>
      <c r="J645" s="1788" t="str">
        <f t="shared" si="104"/>
        <v/>
      </c>
      <c r="K645" s="1786">
        <v>0</v>
      </c>
      <c r="L645" s="1786" t="s">
        <v>1594</v>
      </c>
      <c r="M645" s="1786" t="s">
        <v>1653</v>
      </c>
      <c r="N645" s="1786" t="s">
        <v>1653</v>
      </c>
      <c r="O645" s="1786">
        <v>0</v>
      </c>
      <c r="P645" s="1786"/>
      <c r="Q645" s="1786">
        <v>0</v>
      </c>
      <c r="R645" s="1788"/>
      <c r="S645" s="1786">
        <f t="shared" si="105"/>
        <v>1092</v>
      </c>
      <c r="T645" s="1786" t="str">
        <f t="shared" si="106"/>
        <v>בנק לאומי בע"מ</v>
      </c>
      <c r="U645" s="1786" t="str">
        <f t="shared" si="107"/>
        <v>אלטשולר שחם גמל</v>
      </c>
      <c r="V645" s="1786" t="str">
        <f t="shared" si="108"/>
        <v>511446551</v>
      </c>
      <c r="W645" s="1789" t="str">
        <f t="shared" si="109"/>
        <v>אלטשולר שחם גמל ופנסיה בע"מ</v>
      </c>
      <c r="AC645" s="1761" t="s">
        <v>346</v>
      </c>
      <c r="AD645" s="1759"/>
      <c r="AE645" s="1762">
        <v>38343</v>
      </c>
      <c r="AF645" s="1761" t="s">
        <v>2009</v>
      </c>
      <c r="AG645" s="1761" t="s">
        <v>1653</v>
      </c>
      <c r="AH645" s="1761" t="s">
        <v>1594</v>
      </c>
      <c r="AI645" s="1761" t="s">
        <v>4084</v>
      </c>
      <c r="AJ645" s="1761" t="s">
        <v>4084</v>
      </c>
      <c r="AK645" s="1761">
        <v>1395</v>
      </c>
      <c r="AL645" s="1761" t="s">
        <v>652</v>
      </c>
      <c r="AM645" s="1761">
        <v>1092</v>
      </c>
      <c r="AN645" s="1761" t="s">
        <v>5470</v>
      </c>
      <c r="AO645" s="1764"/>
      <c r="AP645" s="1761" t="s">
        <v>5375</v>
      </c>
      <c r="AQ645" s="1761" t="s">
        <v>5376</v>
      </c>
      <c r="AR645" s="1761" t="s">
        <v>2963</v>
      </c>
      <c r="AS645" s="1761" t="s">
        <v>523</v>
      </c>
      <c r="AT645" s="1761" t="s">
        <v>327</v>
      </c>
      <c r="AU645" s="1763"/>
      <c r="AV645" s="1763"/>
    </row>
    <row r="646" spans="1:48" ht="25" hidden="1">
      <c r="A646" s="1785" t="str">
        <f t="shared" si="99"/>
        <v>גמל</v>
      </c>
      <c r="B646" s="1786">
        <f t="shared" si="100"/>
        <v>1375</v>
      </c>
      <c r="C646" s="1787">
        <v>28946</v>
      </c>
      <c r="D646" s="1786" t="str">
        <f t="shared" si="101"/>
        <v>אלטשולר שחם גמל מניות</v>
      </c>
      <c r="E646" s="1786" t="s">
        <v>3929</v>
      </c>
      <c r="F646" s="1786" t="s">
        <v>2958</v>
      </c>
      <c r="G646" s="1786" t="s">
        <v>2959</v>
      </c>
      <c r="H646" s="1786" t="str">
        <f t="shared" si="102"/>
        <v>פעיל</v>
      </c>
      <c r="I646" s="1788">
        <f t="shared" si="103"/>
        <v>38343</v>
      </c>
      <c r="J646" s="1788" t="str">
        <f t="shared" si="104"/>
        <v/>
      </c>
      <c r="K646" s="1786">
        <v>0</v>
      </c>
      <c r="L646" s="1786" t="s">
        <v>1594</v>
      </c>
      <c r="M646" s="1786" t="s">
        <v>1653</v>
      </c>
      <c r="N646" s="1786" t="s">
        <v>1653</v>
      </c>
      <c r="O646" s="1786">
        <v>0</v>
      </c>
      <c r="P646" s="1786"/>
      <c r="Q646" s="1786">
        <v>0</v>
      </c>
      <c r="R646" s="1788"/>
      <c r="S646" s="1786">
        <f t="shared" si="105"/>
        <v>1092</v>
      </c>
      <c r="T646" s="1786" t="str">
        <f t="shared" si="106"/>
        <v>בנק לאומי בע"מ</v>
      </c>
      <c r="U646" s="1786" t="str">
        <f t="shared" si="107"/>
        <v>אלטשולר שחם גמל</v>
      </c>
      <c r="V646" s="1786" t="str">
        <f t="shared" si="108"/>
        <v>511446551</v>
      </c>
      <c r="W646" s="1789" t="str">
        <f t="shared" si="109"/>
        <v>אלטשולר שחם גמל ופנסיה בע"מ</v>
      </c>
      <c r="AC646" s="1759" t="s">
        <v>346</v>
      </c>
      <c r="AD646" s="1759"/>
      <c r="AE646" s="1760">
        <v>38343</v>
      </c>
      <c r="AF646" s="1759" t="s">
        <v>1595</v>
      </c>
      <c r="AG646" s="1759" t="s">
        <v>75</v>
      </c>
      <c r="AH646" s="1759" t="s">
        <v>1594</v>
      </c>
      <c r="AI646" s="1759" t="s">
        <v>4074</v>
      </c>
      <c r="AJ646" s="1759" t="s">
        <v>4074</v>
      </c>
      <c r="AK646" s="1759">
        <v>1375</v>
      </c>
      <c r="AL646" s="1759" t="s">
        <v>652</v>
      </c>
      <c r="AM646" s="1759">
        <v>1092</v>
      </c>
      <c r="AN646" s="1759" t="s">
        <v>5470</v>
      </c>
      <c r="AO646" s="1764"/>
      <c r="AP646" s="1759" t="s">
        <v>5375</v>
      </c>
      <c r="AQ646" s="1759" t="s">
        <v>5376</v>
      </c>
      <c r="AR646" s="1759" t="s">
        <v>2963</v>
      </c>
      <c r="AS646" s="1759" t="s">
        <v>523</v>
      </c>
      <c r="AT646" s="1759" t="s">
        <v>327</v>
      </c>
      <c r="AU646" s="1763"/>
      <c r="AV646" s="1763"/>
    </row>
    <row r="647" spans="1:48" ht="25" hidden="1">
      <c r="A647" s="1785" t="str">
        <f t="shared" si="99"/>
        <v>גמל</v>
      </c>
      <c r="B647" s="1786">
        <f t="shared" si="100"/>
        <v>1376</v>
      </c>
      <c r="C647" s="1787">
        <v>28946</v>
      </c>
      <c r="D647" s="1786" t="str">
        <f t="shared" si="101"/>
        <v>אלטשולר שחם גמל אג"ח ללא מניות</v>
      </c>
      <c r="E647" s="1786" t="s">
        <v>3929</v>
      </c>
      <c r="F647" s="1786" t="s">
        <v>2958</v>
      </c>
      <c r="G647" s="1786" t="s">
        <v>2959</v>
      </c>
      <c r="H647" s="1786" t="str">
        <f t="shared" si="102"/>
        <v>פעיל</v>
      </c>
      <c r="I647" s="1788">
        <f t="shared" si="103"/>
        <v>38343</v>
      </c>
      <c r="J647" s="1788" t="str">
        <f t="shared" si="104"/>
        <v/>
      </c>
      <c r="K647" s="1786">
        <v>0</v>
      </c>
      <c r="L647" s="1786" t="s">
        <v>1594</v>
      </c>
      <c r="M647" s="1786" t="s">
        <v>1653</v>
      </c>
      <c r="N647" s="1786" t="s">
        <v>1653</v>
      </c>
      <c r="O647" s="1786">
        <v>0</v>
      </c>
      <c r="P647" s="1786"/>
      <c r="Q647" s="1786">
        <v>0</v>
      </c>
      <c r="R647" s="1788"/>
      <c r="S647" s="1786">
        <f t="shared" si="105"/>
        <v>1092</v>
      </c>
      <c r="T647" s="1786" t="str">
        <f t="shared" si="106"/>
        <v>בנק לאומי בע"מ</v>
      </c>
      <c r="U647" s="1786" t="str">
        <f t="shared" si="107"/>
        <v>אלטשולר שחם גמל</v>
      </c>
      <c r="V647" s="1786" t="str">
        <f t="shared" si="108"/>
        <v>511446551</v>
      </c>
      <c r="W647" s="1789" t="str">
        <f t="shared" si="109"/>
        <v>אלטשולר שחם גמל ופנסיה בע"מ</v>
      </c>
      <c r="AC647" s="1761" t="s">
        <v>346</v>
      </c>
      <c r="AD647" s="1761"/>
      <c r="AE647" s="1762">
        <v>38343</v>
      </c>
      <c r="AF647" s="1761" t="s">
        <v>1681</v>
      </c>
      <c r="AG647" s="1761" t="s">
        <v>1653</v>
      </c>
      <c r="AH647" s="1761" t="s">
        <v>1594</v>
      </c>
      <c r="AI647" s="1761" t="s">
        <v>4075</v>
      </c>
      <c r="AJ647" s="1761" t="s">
        <v>4075</v>
      </c>
      <c r="AK647" s="1761">
        <v>1376</v>
      </c>
      <c r="AL647" s="1761" t="s">
        <v>652</v>
      </c>
      <c r="AM647" s="1761">
        <v>1092</v>
      </c>
      <c r="AN647" s="1761" t="s">
        <v>5470</v>
      </c>
      <c r="AO647" s="1764"/>
      <c r="AP647" s="1761" t="s">
        <v>5375</v>
      </c>
      <c r="AQ647" s="1761" t="s">
        <v>5376</v>
      </c>
      <c r="AR647" s="1761" t="s">
        <v>2963</v>
      </c>
      <c r="AS647" s="1761" t="s">
        <v>523</v>
      </c>
      <c r="AT647" s="1761" t="s">
        <v>327</v>
      </c>
      <c r="AU647" s="1763"/>
      <c r="AV647" s="1763"/>
    </row>
    <row r="648" spans="1:48" ht="25" hidden="1">
      <c r="A648" s="1785" t="str">
        <f t="shared" si="99"/>
        <v>גמל</v>
      </c>
      <c r="B648" s="1786">
        <f t="shared" si="100"/>
        <v>472</v>
      </c>
      <c r="C648" s="1787">
        <v>28946</v>
      </c>
      <c r="D648" s="1786" t="str">
        <f t="shared" si="101"/>
        <v>אלטשולר שחם גמל אג"ח עד 15% במניות</v>
      </c>
      <c r="E648" s="1786" t="s">
        <v>3929</v>
      </c>
      <c r="F648" s="1786" t="s">
        <v>2958</v>
      </c>
      <c r="G648" s="1786" t="s">
        <v>2959</v>
      </c>
      <c r="H648" s="1786" t="str">
        <f t="shared" si="102"/>
        <v>פעיל</v>
      </c>
      <c r="I648" s="1788">
        <f t="shared" si="103"/>
        <v>38343</v>
      </c>
      <c r="J648" s="1788" t="str">
        <f t="shared" si="104"/>
        <v/>
      </c>
      <c r="K648" s="1786">
        <v>0</v>
      </c>
      <c r="L648" s="1786" t="s">
        <v>1594</v>
      </c>
      <c r="M648" s="1786" t="s">
        <v>1653</v>
      </c>
      <c r="N648" s="1786" t="s">
        <v>1653</v>
      </c>
      <c r="O648" s="1786">
        <v>0</v>
      </c>
      <c r="P648" s="1786"/>
      <c r="Q648" s="1786">
        <v>0</v>
      </c>
      <c r="R648" s="1788"/>
      <c r="S648" s="1786">
        <f t="shared" si="105"/>
        <v>1092</v>
      </c>
      <c r="T648" s="1786" t="str">
        <f t="shared" si="106"/>
        <v>בנק לאומי בע"מ</v>
      </c>
      <c r="U648" s="1786" t="str">
        <f t="shared" si="107"/>
        <v>אלטשולר שחם גמל</v>
      </c>
      <c r="V648" s="1786" t="str">
        <f t="shared" si="108"/>
        <v>511446551</v>
      </c>
      <c r="W648" s="1789" t="str">
        <f t="shared" si="109"/>
        <v>אלטשולר שחם גמל ופנסיה בע"מ</v>
      </c>
      <c r="AC648" s="1759" t="s">
        <v>346</v>
      </c>
      <c r="AD648" s="1759"/>
      <c r="AE648" s="1760">
        <v>38343</v>
      </c>
      <c r="AF648" s="1759" t="s">
        <v>3934</v>
      </c>
      <c r="AG648" s="1759" t="s">
        <v>1653</v>
      </c>
      <c r="AH648" s="1759" t="s">
        <v>1594</v>
      </c>
      <c r="AI648" s="1759" t="s">
        <v>3957</v>
      </c>
      <c r="AJ648" s="1759" t="s">
        <v>3957</v>
      </c>
      <c r="AK648" s="1759">
        <v>472</v>
      </c>
      <c r="AL648" s="1759" t="s">
        <v>652</v>
      </c>
      <c r="AM648" s="1759">
        <v>1092</v>
      </c>
      <c r="AN648" s="1759" t="s">
        <v>5470</v>
      </c>
      <c r="AO648" s="1764"/>
      <c r="AP648" s="1759" t="s">
        <v>5375</v>
      </c>
      <c r="AQ648" s="1759" t="s">
        <v>5376</v>
      </c>
      <c r="AR648" s="1759" t="s">
        <v>2963</v>
      </c>
      <c r="AS648" s="1759" t="s">
        <v>523</v>
      </c>
      <c r="AT648" s="1759" t="s">
        <v>327</v>
      </c>
      <c r="AU648" s="1763"/>
      <c r="AV648" s="1763"/>
    </row>
    <row r="649" spans="1:48" ht="25" hidden="1">
      <c r="A649" s="1785" t="str">
        <f t="shared" si="99"/>
        <v>גמל</v>
      </c>
      <c r="B649" s="1786">
        <f t="shared" si="100"/>
        <v>1091</v>
      </c>
      <c r="C649" s="1787">
        <v>28946</v>
      </c>
      <c r="D649" s="1786" t="str">
        <f t="shared" si="101"/>
        <v>אלטשולר שחם תגמולים בזלת מסלול כללי</v>
      </c>
      <c r="E649" s="1786" t="s">
        <v>3929</v>
      </c>
      <c r="F649" s="1786" t="s">
        <v>2958</v>
      </c>
      <c r="G649" s="1786" t="s">
        <v>2959</v>
      </c>
      <c r="H649" s="1786" t="str">
        <f t="shared" si="102"/>
        <v>לא פעיל</v>
      </c>
      <c r="I649" s="1788">
        <f t="shared" si="103"/>
        <v>38343</v>
      </c>
      <c r="J649" s="1788">
        <f t="shared" si="104"/>
        <v>40178</v>
      </c>
      <c r="K649" s="1786">
        <v>0</v>
      </c>
      <c r="L649" s="1786" t="s">
        <v>1594</v>
      </c>
      <c r="M649" s="1786" t="s">
        <v>1653</v>
      </c>
      <c r="N649" s="1786" t="s">
        <v>1653</v>
      </c>
      <c r="O649" s="1786">
        <v>0</v>
      </c>
      <c r="P649" s="1786"/>
      <c r="Q649" s="1786">
        <v>0</v>
      </c>
      <c r="R649" s="1788"/>
      <c r="S649" s="1786">
        <f t="shared" si="105"/>
        <v>1091</v>
      </c>
      <c r="T649" s="1786" t="str">
        <f t="shared" si="106"/>
        <v>בנק הפועלים בע"מ</v>
      </c>
      <c r="U649" s="1786" t="str">
        <f t="shared" si="107"/>
        <v>אלטשולר שחם תגמולים בזלת מסלול כללי</v>
      </c>
      <c r="V649" s="1786" t="str">
        <f t="shared" si="108"/>
        <v>511446551</v>
      </c>
      <c r="W649" s="1789" t="str">
        <f t="shared" si="109"/>
        <v>אלטשולר שחם גמל ופנסיה בע"מ</v>
      </c>
      <c r="AC649" s="1761" t="s">
        <v>1586</v>
      </c>
      <c r="AD649" s="1762">
        <v>40178</v>
      </c>
      <c r="AE649" s="1762">
        <v>38343</v>
      </c>
      <c r="AF649" s="1761" t="s">
        <v>1583</v>
      </c>
      <c r="AG649" s="1761" t="s">
        <v>1583</v>
      </c>
      <c r="AH649" s="1761" t="s">
        <v>1583</v>
      </c>
      <c r="AI649" s="1761" t="s">
        <v>2263</v>
      </c>
      <c r="AJ649" s="1761" t="s">
        <v>2263</v>
      </c>
      <c r="AK649" s="1761">
        <v>1091</v>
      </c>
      <c r="AL649" s="1761" t="s">
        <v>2263</v>
      </c>
      <c r="AM649" s="1761">
        <v>1091</v>
      </c>
      <c r="AN649" s="1761" t="s">
        <v>1695</v>
      </c>
      <c r="AO649" s="1764"/>
      <c r="AP649" s="1761" t="s">
        <v>5375</v>
      </c>
      <c r="AQ649" s="1761" t="s">
        <v>5376</v>
      </c>
      <c r="AR649" s="1761" t="s">
        <v>2963</v>
      </c>
      <c r="AS649" s="1761" t="s">
        <v>523</v>
      </c>
      <c r="AT649" s="1761" t="s">
        <v>327</v>
      </c>
      <c r="AU649" s="1763"/>
      <c r="AV649" s="1763"/>
    </row>
    <row r="650" spans="1:48" ht="25" hidden="1">
      <c r="A650" s="1785" t="str">
        <f t="shared" si="99"/>
        <v>גמל</v>
      </c>
      <c r="B650" s="1786">
        <f t="shared" si="100"/>
        <v>1401</v>
      </c>
      <c r="C650" s="1787">
        <v>28946</v>
      </c>
      <c r="D650" s="1786" t="str">
        <f t="shared" si="101"/>
        <v>אלטשולר שחם תגמולים בזלת מסלול אג"ח ממשלתי</v>
      </c>
      <c r="E650" s="1786" t="s">
        <v>3929</v>
      </c>
      <c r="F650" s="1786" t="s">
        <v>2958</v>
      </c>
      <c r="G650" s="1786" t="s">
        <v>2959</v>
      </c>
      <c r="H650" s="1786" t="str">
        <f t="shared" si="102"/>
        <v>לא פעיל</v>
      </c>
      <c r="I650" s="1788">
        <f t="shared" si="103"/>
        <v>38343</v>
      </c>
      <c r="J650" s="1788">
        <f t="shared" si="104"/>
        <v>40178</v>
      </c>
      <c r="K650" s="1786">
        <v>0</v>
      </c>
      <c r="L650" s="1786" t="s">
        <v>1594</v>
      </c>
      <c r="M650" s="1786" t="s">
        <v>1653</v>
      </c>
      <c r="N650" s="1786" t="s">
        <v>1653</v>
      </c>
      <c r="O650" s="1786">
        <v>0</v>
      </c>
      <c r="P650" s="1786"/>
      <c r="Q650" s="1786">
        <v>0</v>
      </c>
      <c r="R650" s="1788"/>
      <c r="S650" s="1786">
        <f t="shared" si="105"/>
        <v>1091</v>
      </c>
      <c r="T650" s="1786" t="str">
        <f t="shared" si="106"/>
        <v>בנק הפועלים בע"מ</v>
      </c>
      <c r="U650" s="1786" t="str">
        <f t="shared" si="107"/>
        <v>אלטשולר שחם תגמולים בזלת מסלול כללי</v>
      </c>
      <c r="V650" s="1786" t="str">
        <f t="shared" si="108"/>
        <v>511446551</v>
      </c>
      <c r="W650" s="1789" t="str">
        <f t="shared" si="109"/>
        <v>אלטשולר שחם גמל ופנסיה בע"מ</v>
      </c>
      <c r="AC650" s="1759" t="s">
        <v>1586</v>
      </c>
      <c r="AD650" s="1760">
        <v>40178</v>
      </c>
      <c r="AE650" s="1760">
        <v>38343</v>
      </c>
      <c r="AF650" s="1759" t="s">
        <v>2009</v>
      </c>
      <c r="AG650" s="1759" t="s">
        <v>1653</v>
      </c>
      <c r="AH650" s="1759" t="s">
        <v>1594</v>
      </c>
      <c r="AI650" s="1759" t="s">
        <v>2444</v>
      </c>
      <c r="AJ650" s="1759" t="s">
        <v>2444</v>
      </c>
      <c r="AK650" s="1759">
        <v>1401</v>
      </c>
      <c r="AL650" s="1759" t="s">
        <v>2263</v>
      </c>
      <c r="AM650" s="1759">
        <v>1091</v>
      </c>
      <c r="AN650" s="1759" t="s">
        <v>1695</v>
      </c>
      <c r="AO650" s="1764"/>
      <c r="AP650" s="1759" t="s">
        <v>5375</v>
      </c>
      <c r="AQ650" s="1759" t="s">
        <v>5376</v>
      </c>
      <c r="AR650" s="1759" t="s">
        <v>2963</v>
      </c>
      <c r="AS650" s="1759" t="s">
        <v>523</v>
      </c>
      <c r="AT650" s="1759" t="s">
        <v>327</v>
      </c>
      <c r="AU650" s="1763"/>
      <c r="AV650" s="1763"/>
    </row>
    <row r="651" spans="1:48" ht="25" hidden="1">
      <c r="A651" s="1785" t="str">
        <f t="shared" si="99"/>
        <v>גמל</v>
      </c>
      <c r="B651" s="1786">
        <f t="shared" si="100"/>
        <v>1400</v>
      </c>
      <c r="C651" s="1787">
        <v>28946</v>
      </c>
      <c r="D651" s="1786" t="str">
        <f t="shared" si="101"/>
        <v>אלטשולר שחם תגמולים בזלת מסלול שקלי</v>
      </c>
      <c r="E651" s="1786" t="s">
        <v>3929</v>
      </c>
      <c r="F651" s="1786" t="s">
        <v>2958</v>
      </c>
      <c r="G651" s="1786" t="s">
        <v>2959</v>
      </c>
      <c r="H651" s="1786" t="str">
        <f t="shared" si="102"/>
        <v>לא פעיל</v>
      </c>
      <c r="I651" s="1788">
        <f t="shared" si="103"/>
        <v>38343</v>
      </c>
      <c r="J651" s="1788">
        <f t="shared" si="104"/>
        <v>40178</v>
      </c>
      <c r="K651" s="1786">
        <v>0</v>
      </c>
      <c r="L651" s="1786" t="s">
        <v>1594</v>
      </c>
      <c r="M651" s="1786" t="s">
        <v>1653</v>
      </c>
      <c r="N651" s="1786" t="s">
        <v>1653</v>
      </c>
      <c r="O651" s="1786">
        <v>0</v>
      </c>
      <c r="P651" s="1786"/>
      <c r="Q651" s="1786">
        <v>0</v>
      </c>
      <c r="R651" s="1788"/>
      <c r="S651" s="1786">
        <f t="shared" si="105"/>
        <v>1091</v>
      </c>
      <c r="T651" s="1786" t="str">
        <f t="shared" si="106"/>
        <v>בנק הפועלים בע"מ</v>
      </c>
      <c r="U651" s="1786" t="str">
        <f t="shared" si="107"/>
        <v>אלטשולר שחם תגמולים בזלת מסלול כללי</v>
      </c>
      <c r="V651" s="1786" t="str">
        <f t="shared" si="108"/>
        <v>511446551</v>
      </c>
      <c r="W651" s="1789" t="str">
        <f t="shared" si="109"/>
        <v>אלטשולר שחם גמל ופנסיה בע"מ</v>
      </c>
      <c r="AC651" s="1761" t="s">
        <v>1586</v>
      </c>
      <c r="AD651" s="1762">
        <v>40178</v>
      </c>
      <c r="AE651" s="1762">
        <v>38343</v>
      </c>
      <c r="AF651" s="1761" t="s">
        <v>1076</v>
      </c>
      <c r="AG651" s="1761" t="s">
        <v>1614</v>
      </c>
      <c r="AH651" s="1761" t="s">
        <v>1594</v>
      </c>
      <c r="AI651" s="1761" t="s">
        <v>2443</v>
      </c>
      <c r="AJ651" s="1761" t="s">
        <v>2443</v>
      </c>
      <c r="AK651" s="1761">
        <v>1400</v>
      </c>
      <c r="AL651" s="1761" t="s">
        <v>2263</v>
      </c>
      <c r="AM651" s="1761">
        <v>1091</v>
      </c>
      <c r="AN651" s="1761" t="s">
        <v>1695</v>
      </c>
      <c r="AO651" s="1764"/>
      <c r="AP651" s="1761" t="s">
        <v>5375</v>
      </c>
      <c r="AQ651" s="1761" t="s">
        <v>5376</v>
      </c>
      <c r="AR651" s="1761" t="s">
        <v>2963</v>
      </c>
      <c r="AS651" s="1761" t="s">
        <v>523</v>
      </c>
      <c r="AT651" s="1761" t="s">
        <v>327</v>
      </c>
      <c r="AU651" s="1763"/>
      <c r="AV651" s="1763"/>
    </row>
    <row r="652" spans="1:48" ht="37.5" hidden="1">
      <c r="A652" s="1785" t="str">
        <f t="shared" si="99"/>
        <v>גמל</v>
      </c>
      <c r="B652" s="1786">
        <f t="shared" si="100"/>
        <v>1090</v>
      </c>
      <c r="C652" s="1787">
        <v>28946</v>
      </c>
      <c r="D652" s="1786" t="str">
        <f t="shared" si="101"/>
        <v>אינפיניטי פיצויים (פ) מסלול צמוד מדד</v>
      </c>
      <c r="E652" s="1786" t="s">
        <v>3929</v>
      </c>
      <c r="F652" s="1786" t="s">
        <v>2958</v>
      </c>
      <c r="G652" s="1786" t="s">
        <v>2959</v>
      </c>
      <c r="H652" s="1786" t="str">
        <f t="shared" si="102"/>
        <v>לא פעיל</v>
      </c>
      <c r="I652" s="1788">
        <f t="shared" si="103"/>
        <v>38342</v>
      </c>
      <c r="J652" s="1788">
        <f t="shared" si="104"/>
        <v>39804</v>
      </c>
      <c r="K652" s="1786">
        <v>0</v>
      </c>
      <c r="L652" s="1786" t="s">
        <v>1594</v>
      </c>
      <c r="M652" s="1786" t="s">
        <v>1653</v>
      </c>
      <c r="N652" s="1786" t="s">
        <v>1653</v>
      </c>
      <c r="O652" s="1786">
        <v>0</v>
      </c>
      <c r="P652" s="1786"/>
      <c r="Q652" s="1786">
        <v>0</v>
      </c>
      <c r="R652" s="1788"/>
      <c r="S652" s="1786">
        <f t="shared" si="105"/>
        <v>1090</v>
      </c>
      <c r="T652" s="1786" t="str">
        <f t="shared" si="106"/>
        <v>בנק הפועלים בע"מ</v>
      </c>
      <c r="U652" s="1786" t="str">
        <f t="shared" si="107"/>
        <v>אינפיניטי פיצויים (פ) מסלול צמוד מדד</v>
      </c>
      <c r="V652" s="1786" t="str">
        <f t="shared" si="108"/>
        <v>512475104</v>
      </c>
      <c r="W652" s="1789" t="str">
        <f t="shared" si="109"/>
        <v>אינפיניטי ניהול השתלמות וגמל בע"מ</v>
      </c>
      <c r="AC652" s="1759" t="s">
        <v>1586</v>
      </c>
      <c r="AD652" s="1760">
        <v>39804</v>
      </c>
      <c r="AE652" s="1760">
        <v>38342</v>
      </c>
      <c r="AF652" s="1759" t="s">
        <v>1094</v>
      </c>
      <c r="AG652" s="1759" t="s">
        <v>1094</v>
      </c>
      <c r="AH652" s="1759" t="s">
        <v>1594</v>
      </c>
      <c r="AI652" s="1759" t="s">
        <v>3517</v>
      </c>
      <c r="AJ652" s="1759" t="s">
        <v>2262</v>
      </c>
      <c r="AK652" s="1759">
        <v>1090</v>
      </c>
      <c r="AL652" s="1759" t="s">
        <v>2262</v>
      </c>
      <c r="AM652" s="1759">
        <v>1090</v>
      </c>
      <c r="AN652" s="1759" t="s">
        <v>1695</v>
      </c>
      <c r="AO652" s="1764"/>
      <c r="AP652" s="1759" t="s">
        <v>5368</v>
      </c>
      <c r="AQ652" s="1759" t="s">
        <v>5369</v>
      </c>
      <c r="AR652" s="1759" t="s">
        <v>650</v>
      </c>
      <c r="AS652" s="1759" t="s">
        <v>651</v>
      </c>
      <c r="AT652" s="1759" t="s">
        <v>327</v>
      </c>
      <c r="AU652" s="1763"/>
      <c r="AV652" s="1763"/>
    </row>
    <row r="653" spans="1:48" ht="37.5" hidden="1">
      <c r="A653" s="1785" t="str">
        <f t="shared" si="99"/>
        <v>גמל</v>
      </c>
      <c r="B653" s="1786">
        <f t="shared" si="100"/>
        <v>1089</v>
      </c>
      <c r="C653" s="1787">
        <v>28946</v>
      </c>
      <c r="D653" s="1786" t="str">
        <f t="shared" si="101"/>
        <v>אינפיניטי פיצויים (ל) מסלול סל אג"ח</v>
      </c>
      <c r="E653" s="1786" t="s">
        <v>3929</v>
      </c>
      <c r="F653" s="1786" t="s">
        <v>2958</v>
      </c>
      <c r="G653" s="1786" t="s">
        <v>2959</v>
      </c>
      <c r="H653" s="1786" t="str">
        <f t="shared" si="102"/>
        <v>לא פעיל</v>
      </c>
      <c r="I653" s="1788">
        <f t="shared" si="103"/>
        <v>38322</v>
      </c>
      <c r="J653" s="1788">
        <f t="shared" si="104"/>
        <v>40546.4298263889</v>
      </c>
      <c r="K653" s="1786">
        <v>0</v>
      </c>
      <c r="L653" s="1786" t="s">
        <v>1594</v>
      </c>
      <c r="M653" s="1786" t="s">
        <v>1653</v>
      </c>
      <c r="N653" s="1786" t="s">
        <v>1653</v>
      </c>
      <c r="O653" s="1786">
        <v>0</v>
      </c>
      <c r="P653" s="1786"/>
      <c r="Q653" s="1786">
        <v>0</v>
      </c>
      <c r="R653" s="1788"/>
      <c r="S653" s="1786">
        <f t="shared" si="105"/>
        <v>1089</v>
      </c>
      <c r="T653" s="1786" t="str">
        <f t="shared" si="106"/>
        <v>בנק לאומי בע"מ</v>
      </c>
      <c r="U653" s="1786" t="str">
        <f t="shared" si="107"/>
        <v>אינפיניטי פיצויים (ל) מסלול סל אג"ח</v>
      </c>
      <c r="V653" s="1786" t="str">
        <f t="shared" si="108"/>
        <v>512475104</v>
      </c>
      <c r="W653" s="1789" t="str">
        <f t="shared" si="109"/>
        <v>אינפיניטי ניהול השתלמות וגמל בע"מ</v>
      </c>
      <c r="AC653" s="1761" t="s">
        <v>1586</v>
      </c>
      <c r="AD653" s="1762">
        <v>40546.4298263889</v>
      </c>
      <c r="AE653" s="1762">
        <v>38322</v>
      </c>
      <c r="AF653" s="1761" t="s">
        <v>1653</v>
      </c>
      <c r="AG653" s="1761" t="s">
        <v>1653</v>
      </c>
      <c r="AH653" s="1761" t="s">
        <v>1594</v>
      </c>
      <c r="AI653" s="1761" t="s">
        <v>3516</v>
      </c>
      <c r="AJ653" s="1761" t="s">
        <v>2261</v>
      </c>
      <c r="AK653" s="1761">
        <v>1089</v>
      </c>
      <c r="AL653" s="1761" t="s">
        <v>2261</v>
      </c>
      <c r="AM653" s="1761">
        <v>1089</v>
      </c>
      <c r="AN653" s="1761" t="s">
        <v>5470</v>
      </c>
      <c r="AO653" s="1764"/>
      <c r="AP653" s="1761" t="s">
        <v>5368</v>
      </c>
      <c r="AQ653" s="1761" t="s">
        <v>5369</v>
      </c>
      <c r="AR653" s="1761" t="s">
        <v>650</v>
      </c>
      <c r="AS653" s="1761" t="s">
        <v>651</v>
      </c>
      <c r="AT653" s="1761" t="s">
        <v>327</v>
      </c>
      <c r="AU653" s="1763"/>
      <c r="AV653" s="1763"/>
    </row>
    <row r="654" spans="1:48" ht="37.5" hidden="1">
      <c r="A654" s="1785" t="str">
        <f t="shared" si="99"/>
        <v>גמל</v>
      </c>
      <c r="B654" s="1786">
        <f t="shared" si="100"/>
        <v>1088</v>
      </c>
      <c r="C654" s="1787">
        <v>28946</v>
      </c>
      <c r="D654" s="1786" t="str">
        <f t="shared" si="101"/>
        <v>אינפיניטי פיצויים (ל) מסלול צמוד מדד</v>
      </c>
      <c r="E654" s="1786" t="s">
        <v>3929</v>
      </c>
      <c r="F654" s="1786" t="s">
        <v>2958</v>
      </c>
      <c r="G654" s="1786" t="s">
        <v>2959</v>
      </c>
      <c r="H654" s="1786" t="str">
        <f t="shared" si="102"/>
        <v>לא פעיל</v>
      </c>
      <c r="I654" s="1788">
        <f t="shared" si="103"/>
        <v>38322</v>
      </c>
      <c r="J654" s="1788">
        <f t="shared" si="104"/>
        <v>39804.597291666701</v>
      </c>
      <c r="K654" s="1786">
        <v>0</v>
      </c>
      <c r="L654" s="1786" t="s">
        <v>1594</v>
      </c>
      <c r="M654" s="1786" t="s">
        <v>1653</v>
      </c>
      <c r="N654" s="1786" t="s">
        <v>1653</v>
      </c>
      <c r="O654" s="1786">
        <v>0</v>
      </c>
      <c r="P654" s="1786"/>
      <c r="Q654" s="1786">
        <v>0</v>
      </c>
      <c r="R654" s="1788"/>
      <c r="S654" s="1786">
        <f t="shared" si="105"/>
        <v>1088</v>
      </c>
      <c r="T654" s="1786" t="str">
        <f t="shared" si="106"/>
        <v>בנק לאומי בע"מ</v>
      </c>
      <c r="U654" s="1786" t="str">
        <f t="shared" si="107"/>
        <v>אינפיניטי פיצויים (ל) מסלול צמוד מדד</v>
      </c>
      <c r="V654" s="1786" t="str">
        <f t="shared" si="108"/>
        <v>512475104</v>
      </c>
      <c r="W654" s="1789" t="str">
        <f t="shared" si="109"/>
        <v>אינפיניטי ניהול השתלמות וגמל בע"מ</v>
      </c>
      <c r="AC654" s="1759" t="s">
        <v>1586</v>
      </c>
      <c r="AD654" s="1760">
        <v>39804.597291666701</v>
      </c>
      <c r="AE654" s="1760">
        <v>38322</v>
      </c>
      <c r="AF654" s="1759" t="s">
        <v>1094</v>
      </c>
      <c r="AG654" s="1759" t="s">
        <v>1094</v>
      </c>
      <c r="AH654" s="1759" t="s">
        <v>1594</v>
      </c>
      <c r="AI654" s="1759" t="s">
        <v>3515</v>
      </c>
      <c r="AJ654" s="1759" t="s">
        <v>2260</v>
      </c>
      <c r="AK654" s="1759">
        <v>1088</v>
      </c>
      <c r="AL654" s="1759" t="s">
        <v>2260</v>
      </c>
      <c r="AM654" s="1759">
        <v>1088</v>
      </c>
      <c r="AN654" s="1759" t="s">
        <v>5470</v>
      </c>
      <c r="AO654" s="1764"/>
      <c r="AP654" s="1759" t="s">
        <v>5368</v>
      </c>
      <c r="AQ654" s="1759" t="s">
        <v>5369</v>
      </c>
      <c r="AR654" s="1759" t="s">
        <v>650</v>
      </c>
      <c r="AS654" s="1759" t="s">
        <v>651</v>
      </c>
      <c r="AT654" s="1759" t="s">
        <v>327</v>
      </c>
      <c r="AU654" s="1763"/>
      <c r="AV654" s="1763"/>
    </row>
    <row r="655" spans="1:48" ht="37.5" hidden="1">
      <c r="A655" s="1785" t="str">
        <f t="shared" si="99"/>
        <v>גמל</v>
      </c>
      <c r="B655" s="1786">
        <f t="shared" si="100"/>
        <v>1087</v>
      </c>
      <c r="C655" s="1787">
        <v>28946</v>
      </c>
      <c r="D655" s="1786" t="str">
        <f t="shared" si="101"/>
        <v>אינפיניטי פיצויים (ב) מסלול סל אג"ח</v>
      </c>
      <c r="E655" s="1786" t="s">
        <v>3929</v>
      </c>
      <c r="F655" s="1786" t="s">
        <v>2958</v>
      </c>
      <c r="G655" s="1786" t="s">
        <v>2959</v>
      </c>
      <c r="H655" s="1786" t="str">
        <f t="shared" si="102"/>
        <v>לא פעיל</v>
      </c>
      <c r="I655" s="1788">
        <f t="shared" si="103"/>
        <v>38322</v>
      </c>
      <c r="J655" s="1788">
        <f t="shared" si="104"/>
        <v>40546.4295949074</v>
      </c>
      <c r="K655" s="1786">
        <v>0</v>
      </c>
      <c r="L655" s="1786" t="s">
        <v>1594</v>
      </c>
      <c r="M655" s="1786" t="s">
        <v>1653</v>
      </c>
      <c r="N655" s="1786" t="s">
        <v>1653</v>
      </c>
      <c r="O655" s="1786">
        <v>0</v>
      </c>
      <c r="P655" s="1786"/>
      <c r="Q655" s="1786">
        <v>0</v>
      </c>
      <c r="R655" s="1788"/>
      <c r="S655" s="1786">
        <f t="shared" si="105"/>
        <v>1087</v>
      </c>
      <c r="T655" s="1786" t="str">
        <f t="shared" si="106"/>
        <v>הבנק הבינלאומי הראשון</v>
      </c>
      <c r="U655" s="1786" t="str">
        <f t="shared" si="107"/>
        <v>אינפיניטי פיצויים (ב) מסלול סל אג"ח</v>
      </c>
      <c r="V655" s="1786" t="str">
        <f t="shared" si="108"/>
        <v>512475104</v>
      </c>
      <c r="W655" s="1789" t="str">
        <f t="shared" si="109"/>
        <v>אינפיניטי ניהול השתלמות וגמל בע"מ</v>
      </c>
      <c r="AC655" s="1761" t="s">
        <v>1586</v>
      </c>
      <c r="AD655" s="1762">
        <v>40546.4295949074</v>
      </c>
      <c r="AE655" s="1762">
        <v>38322</v>
      </c>
      <c r="AF655" s="1761" t="s">
        <v>1653</v>
      </c>
      <c r="AG655" s="1761" t="s">
        <v>1653</v>
      </c>
      <c r="AH655" s="1761" t="s">
        <v>1594</v>
      </c>
      <c r="AI655" s="1761" t="s">
        <v>3514</v>
      </c>
      <c r="AJ655" s="1761" t="s">
        <v>2259</v>
      </c>
      <c r="AK655" s="1761">
        <v>1087</v>
      </c>
      <c r="AL655" s="1761" t="s">
        <v>2259</v>
      </c>
      <c r="AM655" s="1761">
        <v>1087</v>
      </c>
      <c r="AN655" s="1761" t="s">
        <v>5384</v>
      </c>
      <c r="AO655" s="1764"/>
      <c r="AP655" s="1761" t="s">
        <v>5368</v>
      </c>
      <c r="AQ655" s="1761" t="s">
        <v>5369</v>
      </c>
      <c r="AR655" s="1761" t="s">
        <v>650</v>
      </c>
      <c r="AS655" s="1761" t="s">
        <v>651</v>
      </c>
      <c r="AT655" s="1761" t="s">
        <v>327</v>
      </c>
      <c r="AU655" s="1763"/>
      <c r="AV655" s="1763"/>
    </row>
    <row r="656" spans="1:48" ht="37.5" hidden="1">
      <c r="A656" s="1785" t="str">
        <f t="shared" si="99"/>
        <v>גמל</v>
      </c>
      <c r="B656" s="1786">
        <f t="shared" si="100"/>
        <v>1086</v>
      </c>
      <c r="C656" s="1787">
        <v>28946</v>
      </c>
      <c r="D656" s="1786" t="str">
        <f t="shared" si="101"/>
        <v>אינפיניטי פיצויים (ב) מסלול צמוד מדד</v>
      </c>
      <c r="E656" s="1786" t="s">
        <v>3929</v>
      </c>
      <c r="F656" s="1786" t="s">
        <v>2958</v>
      </c>
      <c r="G656" s="1786" t="s">
        <v>2959</v>
      </c>
      <c r="H656" s="1786" t="str">
        <f t="shared" si="102"/>
        <v>לא פעיל</v>
      </c>
      <c r="I656" s="1788">
        <f t="shared" si="103"/>
        <v>38322</v>
      </c>
      <c r="J656" s="1788">
        <f t="shared" si="104"/>
        <v>39804.597581018497</v>
      </c>
      <c r="K656" s="1786">
        <v>0</v>
      </c>
      <c r="L656" s="1786" t="s">
        <v>1594</v>
      </c>
      <c r="M656" s="1786" t="s">
        <v>1653</v>
      </c>
      <c r="N656" s="1786" t="s">
        <v>1653</v>
      </c>
      <c r="O656" s="1786">
        <v>0</v>
      </c>
      <c r="P656" s="1786"/>
      <c r="Q656" s="1786">
        <v>0</v>
      </c>
      <c r="R656" s="1788"/>
      <c r="S656" s="1786">
        <f t="shared" si="105"/>
        <v>1086</v>
      </c>
      <c r="T656" s="1786" t="str">
        <f t="shared" si="106"/>
        <v>הבנק הבינלאומי הראשון</v>
      </c>
      <c r="U656" s="1786" t="str">
        <f t="shared" si="107"/>
        <v>אינפיניטי פיצויים (ב) מסלול צמוד מדד</v>
      </c>
      <c r="V656" s="1786" t="str">
        <f t="shared" si="108"/>
        <v>512475104</v>
      </c>
      <c r="W656" s="1789" t="str">
        <f t="shared" si="109"/>
        <v>אינפיניטי ניהול השתלמות וגמל בע"מ</v>
      </c>
      <c r="AC656" s="1759" t="s">
        <v>1586</v>
      </c>
      <c r="AD656" s="1760">
        <v>39804.597581018497</v>
      </c>
      <c r="AE656" s="1760">
        <v>38322</v>
      </c>
      <c r="AF656" s="1759" t="s">
        <v>1094</v>
      </c>
      <c r="AG656" s="1759" t="s">
        <v>1094</v>
      </c>
      <c r="AH656" s="1759" t="s">
        <v>1594</v>
      </c>
      <c r="AI656" s="1759" t="s">
        <v>3513</v>
      </c>
      <c r="AJ656" s="1759" t="s">
        <v>2258</v>
      </c>
      <c r="AK656" s="1759">
        <v>1086</v>
      </c>
      <c r="AL656" s="1759" t="s">
        <v>2258</v>
      </c>
      <c r="AM656" s="1759">
        <v>1086</v>
      </c>
      <c r="AN656" s="1759" t="s">
        <v>5384</v>
      </c>
      <c r="AO656" s="1764"/>
      <c r="AP656" s="1759" t="s">
        <v>5368</v>
      </c>
      <c r="AQ656" s="1759" t="s">
        <v>5369</v>
      </c>
      <c r="AR656" s="1759" t="s">
        <v>650</v>
      </c>
      <c r="AS656" s="1759" t="s">
        <v>651</v>
      </c>
      <c r="AT656" s="1759" t="s">
        <v>327</v>
      </c>
      <c r="AU656" s="1763"/>
      <c r="AV656" s="1763"/>
    </row>
    <row r="657" spans="1:48" ht="37.5" hidden="1">
      <c r="A657" s="1785" t="str">
        <f t="shared" si="99"/>
        <v>גמל</v>
      </c>
      <c r="B657" s="1786">
        <f t="shared" si="100"/>
        <v>1210</v>
      </c>
      <c r="C657" s="1787">
        <v>28946</v>
      </c>
      <c r="D657" s="1786" t="str">
        <f t="shared" si="101"/>
        <v>אינפיניטי השתלמותאג"ח ממשלת ישראל</v>
      </c>
      <c r="E657" s="1786" t="s">
        <v>3929</v>
      </c>
      <c r="F657" s="1786" t="s">
        <v>2958</v>
      </c>
      <c r="G657" s="1786" t="s">
        <v>2959</v>
      </c>
      <c r="H657" s="1786" t="str">
        <f t="shared" si="102"/>
        <v>פעיל</v>
      </c>
      <c r="I657" s="1788">
        <f t="shared" si="103"/>
        <v>38342</v>
      </c>
      <c r="J657" s="1788" t="str">
        <f t="shared" si="104"/>
        <v/>
      </c>
      <c r="K657" s="1786">
        <v>0</v>
      </c>
      <c r="L657" s="1786" t="s">
        <v>1594</v>
      </c>
      <c r="M657" s="1786" t="s">
        <v>1653</v>
      </c>
      <c r="N657" s="1786" t="s">
        <v>1653</v>
      </c>
      <c r="O657" s="1786">
        <v>0</v>
      </c>
      <c r="P657" s="1786"/>
      <c r="Q657" s="1786">
        <v>0</v>
      </c>
      <c r="R657" s="1788"/>
      <c r="S657" s="1786">
        <f t="shared" si="105"/>
        <v>1084</v>
      </c>
      <c r="T657" s="1786" t="str">
        <f t="shared" si="106"/>
        <v>בנק מזרחי טפחות בע"מ</v>
      </c>
      <c r="U657" s="1786" t="str">
        <f t="shared" si="107"/>
        <v xml:space="preserve">אינפיניטי השתלמות </v>
      </c>
      <c r="V657" s="1786" t="str">
        <f t="shared" si="108"/>
        <v>512475104</v>
      </c>
      <c r="W657" s="1789" t="str">
        <f t="shared" si="109"/>
        <v>אינפיניטי ניהול השתלמות וגמל בע"מ</v>
      </c>
      <c r="AC657" s="1761" t="s">
        <v>346</v>
      </c>
      <c r="AD657" s="1761"/>
      <c r="AE657" s="1762">
        <v>38342</v>
      </c>
      <c r="AF657" s="1761" t="s">
        <v>2009</v>
      </c>
      <c r="AG657" s="1761" t="s">
        <v>1653</v>
      </c>
      <c r="AH657" s="1761" t="s">
        <v>1594</v>
      </c>
      <c r="AI657" s="1761" t="s">
        <v>4045</v>
      </c>
      <c r="AJ657" s="1761" t="s">
        <v>4045</v>
      </c>
      <c r="AK657" s="1761">
        <v>1210</v>
      </c>
      <c r="AL657" s="1761" t="s">
        <v>4550</v>
      </c>
      <c r="AM657" s="1761">
        <v>1084</v>
      </c>
      <c r="AN657" s="1761" t="s">
        <v>5370</v>
      </c>
      <c r="AO657" s="1764"/>
      <c r="AP657" s="1761" t="s">
        <v>5368</v>
      </c>
      <c r="AQ657" s="1761" t="s">
        <v>5369</v>
      </c>
      <c r="AR657" s="1761" t="s">
        <v>650</v>
      </c>
      <c r="AS657" s="1761" t="s">
        <v>651</v>
      </c>
      <c r="AT657" s="1761" t="s">
        <v>327</v>
      </c>
      <c r="AU657" s="1763"/>
      <c r="AV657" s="1763"/>
    </row>
    <row r="658" spans="1:48" ht="37.5" hidden="1">
      <c r="A658" s="1785" t="str">
        <f t="shared" si="99"/>
        <v>גמל</v>
      </c>
      <c r="B658" s="1786">
        <f t="shared" si="100"/>
        <v>1083</v>
      </c>
      <c r="C658" s="1787">
        <v>28946</v>
      </c>
      <c r="D658" s="1786" t="str">
        <f t="shared" si="101"/>
        <v>אינפיניטי השתלמות כללי</v>
      </c>
      <c r="E658" s="1786" t="s">
        <v>3929</v>
      </c>
      <c r="F658" s="1786" t="s">
        <v>2958</v>
      </c>
      <c r="G658" s="1786" t="s">
        <v>2959</v>
      </c>
      <c r="H658" s="1786" t="str">
        <f t="shared" si="102"/>
        <v>לא פעיל</v>
      </c>
      <c r="I658" s="1788">
        <f t="shared" si="103"/>
        <v>38342</v>
      </c>
      <c r="J658" s="1788">
        <f t="shared" si="104"/>
        <v>43558.564780092602</v>
      </c>
      <c r="K658" s="1786">
        <v>0</v>
      </c>
      <c r="L658" s="1786" t="s">
        <v>1594</v>
      </c>
      <c r="M658" s="1786" t="s">
        <v>1653</v>
      </c>
      <c r="N658" s="1786" t="s">
        <v>1653</v>
      </c>
      <c r="O658" s="1786">
        <v>0</v>
      </c>
      <c r="P658" s="1786"/>
      <c r="Q658" s="1786">
        <v>0</v>
      </c>
      <c r="R658" s="1788"/>
      <c r="S658" s="1786">
        <f t="shared" si="105"/>
        <v>1084</v>
      </c>
      <c r="T658" s="1786" t="str">
        <f t="shared" si="106"/>
        <v>בנק מזרחי טפחות בע"מ</v>
      </c>
      <c r="U658" s="1786" t="str">
        <f t="shared" si="107"/>
        <v xml:space="preserve">אינפיניטי השתלמות </v>
      </c>
      <c r="V658" s="1786" t="str">
        <f t="shared" si="108"/>
        <v>512475104</v>
      </c>
      <c r="W658" s="1789" t="str">
        <f t="shared" si="109"/>
        <v>אינפיניטי ניהול השתלמות וגמל בע"מ</v>
      </c>
      <c r="AC658" s="1759" t="s">
        <v>1586</v>
      </c>
      <c r="AD658" s="1760">
        <v>43558.564780092602</v>
      </c>
      <c r="AE658" s="1760">
        <v>38342</v>
      </c>
      <c r="AF658" s="1759" t="s">
        <v>1583</v>
      </c>
      <c r="AG658" s="1759" t="s">
        <v>1583</v>
      </c>
      <c r="AH658" s="1759" t="s">
        <v>1583</v>
      </c>
      <c r="AI658" s="1759" t="s">
        <v>4029</v>
      </c>
      <c r="AJ658" s="1759" t="s">
        <v>4029</v>
      </c>
      <c r="AK658" s="1759">
        <v>1083</v>
      </c>
      <c r="AL658" s="1759" t="s">
        <v>4550</v>
      </c>
      <c r="AM658" s="1759">
        <v>1084</v>
      </c>
      <c r="AN658" s="1759" t="s">
        <v>5370</v>
      </c>
      <c r="AO658" s="1764"/>
      <c r="AP658" s="1759" t="s">
        <v>5368</v>
      </c>
      <c r="AQ658" s="1759" t="s">
        <v>5369</v>
      </c>
      <c r="AR658" s="1759" t="s">
        <v>650</v>
      </c>
      <c r="AS658" s="1759" t="s">
        <v>651</v>
      </c>
      <c r="AT658" s="1759" t="s">
        <v>327</v>
      </c>
      <c r="AU658" s="1763"/>
      <c r="AV658" s="1763"/>
    </row>
    <row r="659" spans="1:48" ht="37.5" hidden="1">
      <c r="A659" s="1785" t="str">
        <f t="shared" si="99"/>
        <v>גמל</v>
      </c>
      <c r="B659" s="1786">
        <f t="shared" si="100"/>
        <v>1084</v>
      </c>
      <c r="C659" s="1787">
        <v>28946</v>
      </c>
      <c r="D659" s="1786" t="str">
        <f t="shared" si="101"/>
        <v>אינפיניטי השתלמות אג"ח</v>
      </c>
      <c r="E659" s="1786" t="s">
        <v>3929</v>
      </c>
      <c r="F659" s="1786" t="s">
        <v>2958</v>
      </c>
      <c r="G659" s="1786" t="s">
        <v>2959</v>
      </c>
      <c r="H659" s="1786" t="str">
        <f t="shared" si="102"/>
        <v>פעיל</v>
      </c>
      <c r="I659" s="1788">
        <f t="shared" si="103"/>
        <v>38342</v>
      </c>
      <c r="J659" s="1788" t="str">
        <f t="shared" si="104"/>
        <v/>
      </c>
      <c r="K659" s="1786">
        <v>0</v>
      </c>
      <c r="L659" s="1786" t="s">
        <v>1594</v>
      </c>
      <c r="M659" s="1786" t="s">
        <v>1653</v>
      </c>
      <c r="N659" s="1786" t="s">
        <v>1653</v>
      </c>
      <c r="O659" s="1786">
        <v>0</v>
      </c>
      <c r="P659" s="1786"/>
      <c r="Q659" s="1786">
        <v>0</v>
      </c>
      <c r="R659" s="1788"/>
      <c r="S659" s="1786">
        <f t="shared" si="105"/>
        <v>1084</v>
      </c>
      <c r="T659" s="1786" t="str">
        <f t="shared" si="106"/>
        <v>בנק מזרחי טפחות בע"מ</v>
      </c>
      <c r="U659" s="1786" t="str">
        <f t="shared" si="107"/>
        <v xml:space="preserve">אינפיניטי השתלמות </v>
      </c>
      <c r="V659" s="1786" t="str">
        <f t="shared" si="108"/>
        <v>512475104</v>
      </c>
      <c r="W659" s="1789" t="str">
        <f t="shared" si="109"/>
        <v>אינפיניטי ניהול השתלמות וגמל בע"מ</v>
      </c>
      <c r="AC659" s="1761" t="s">
        <v>346</v>
      </c>
      <c r="AD659" s="1761"/>
      <c r="AE659" s="1762">
        <v>38342</v>
      </c>
      <c r="AF659" s="1761" t="s">
        <v>1653</v>
      </c>
      <c r="AG659" s="1761" t="s">
        <v>1653</v>
      </c>
      <c r="AH659" s="1761" t="s">
        <v>1594</v>
      </c>
      <c r="AI659" s="1761" t="s">
        <v>4030</v>
      </c>
      <c r="AJ659" s="1761" t="s">
        <v>4030</v>
      </c>
      <c r="AK659" s="1761">
        <v>1084</v>
      </c>
      <c r="AL659" s="1761" t="s">
        <v>4550</v>
      </c>
      <c r="AM659" s="1761">
        <v>1084</v>
      </c>
      <c r="AN659" s="1761" t="s">
        <v>5370</v>
      </c>
      <c r="AO659" s="1764"/>
      <c r="AP659" s="1761" t="s">
        <v>5368</v>
      </c>
      <c r="AQ659" s="1761" t="s">
        <v>5369</v>
      </c>
      <c r="AR659" s="1761" t="s">
        <v>650</v>
      </c>
      <c r="AS659" s="1761" t="s">
        <v>651</v>
      </c>
      <c r="AT659" s="1761" t="s">
        <v>327</v>
      </c>
      <c r="AU659" s="1763"/>
      <c r="AV659" s="1763"/>
    </row>
    <row r="660" spans="1:48" ht="37.5" hidden="1">
      <c r="A660" s="1785" t="str">
        <f t="shared" si="99"/>
        <v>גמל</v>
      </c>
      <c r="B660" s="1786">
        <f t="shared" si="100"/>
        <v>1085</v>
      </c>
      <c r="C660" s="1787">
        <v>28946</v>
      </c>
      <c r="D660" s="1786" t="str">
        <f t="shared" si="101"/>
        <v>אינפיניטי השתלמות מניות בישראל</v>
      </c>
      <c r="E660" s="1786" t="s">
        <v>3929</v>
      </c>
      <c r="F660" s="1786" t="s">
        <v>2958</v>
      </c>
      <c r="G660" s="1786" t="s">
        <v>2959</v>
      </c>
      <c r="H660" s="1786" t="str">
        <f t="shared" si="102"/>
        <v>פעיל</v>
      </c>
      <c r="I660" s="1788">
        <f t="shared" si="103"/>
        <v>38342</v>
      </c>
      <c r="J660" s="1788" t="str">
        <f t="shared" si="104"/>
        <v/>
      </c>
      <c r="K660" s="1786">
        <v>0</v>
      </c>
      <c r="L660" s="1786" t="s">
        <v>1594</v>
      </c>
      <c r="M660" s="1786" t="s">
        <v>1653</v>
      </c>
      <c r="N660" s="1786" t="s">
        <v>1653</v>
      </c>
      <c r="O660" s="1786">
        <v>0</v>
      </c>
      <c r="P660" s="1786"/>
      <c r="Q660" s="1786">
        <v>0</v>
      </c>
      <c r="R660" s="1788"/>
      <c r="S660" s="1786">
        <f t="shared" si="105"/>
        <v>1084</v>
      </c>
      <c r="T660" s="1786" t="str">
        <f t="shared" si="106"/>
        <v>בנק מזרחי טפחות בע"מ</v>
      </c>
      <c r="U660" s="1786" t="str">
        <f t="shared" si="107"/>
        <v xml:space="preserve">אינפיניטי השתלמות </v>
      </c>
      <c r="V660" s="1786" t="str">
        <f t="shared" si="108"/>
        <v>512475104</v>
      </c>
      <c r="W660" s="1789" t="str">
        <f t="shared" si="109"/>
        <v>אינפיניטי ניהול השתלמות וגמל בע"מ</v>
      </c>
      <c r="AC660" s="1759" t="s">
        <v>346</v>
      </c>
      <c r="AD660" s="1759"/>
      <c r="AE660" s="1760">
        <v>38342</v>
      </c>
      <c r="AF660" s="1759" t="s">
        <v>3672</v>
      </c>
      <c r="AG660" s="1759" t="s">
        <v>75</v>
      </c>
      <c r="AH660" s="1759" t="s">
        <v>1594</v>
      </c>
      <c r="AI660" s="1759" t="s">
        <v>4031</v>
      </c>
      <c r="AJ660" s="1759" t="s">
        <v>4031</v>
      </c>
      <c r="AK660" s="1759">
        <v>1085</v>
      </c>
      <c r="AL660" s="1759" t="s">
        <v>4550</v>
      </c>
      <c r="AM660" s="1759">
        <v>1084</v>
      </c>
      <c r="AN660" s="1759" t="s">
        <v>5370</v>
      </c>
      <c r="AO660" s="1764"/>
      <c r="AP660" s="1759" t="s">
        <v>5368</v>
      </c>
      <c r="AQ660" s="1759" t="s">
        <v>5369</v>
      </c>
      <c r="AR660" s="1759" t="s">
        <v>650</v>
      </c>
      <c r="AS660" s="1759" t="s">
        <v>651</v>
      </c>
      <c r="AT660" s="1759" t="s">
        <v>327</v>
      </c>
      <c r="AU660" s="1763"/>
      <c r="AV660" s="1763"/>
    </row>
    <row r="661" spans="1:48" ht="37.5" hidden="1">
      <c r="A661" s="1785" t="str">
        <f t="shared" si="99"/>
        <v>גמל</v>
      </c>
      <c r="B661" s="1786">
        <f t="shared" si="100"/>
        <v>1537</v>
      </c>
      <c r="C661" s="1787">
        <v>28946</v>
      </c>
      <c r="D661" s="1786" t="str">
        <f t="shared" si="101"/>
        <v>אינפיניטי השתלמות מניות בחו"ל</v>
      </c>
      <c r="E661" s="1786" t="s">
        <v>3929</v>
      </c>
      <c r="F661" s="1786" t="s">
        <v>2958</v>
      </c>
      <c r="G661" s="1786" t="s">
        <v>2959</v>
      </c>
      <c r="H661" s="1786" t="str">
        <f t="shared" si="102"/>
        <v>פעיל</v>
      </c>
      <c r="I661" s="1788">
        <f t="shared" si="103"/>
        <v>38342</v>
      </c>
      <c r="J661" s="1788" t="str">
        <f t="shared" si="104"/>
        <v/>
      </c>
      <c r="K661" s="1786">
        <v>0</v>
      </c>
      <c r="L661" s="1786" t="s">
        <v>1594</v>
      </c>
      <c r="M661" s="1786" t="s">
        <v>1653</v>
      </c>
      <c r="N661" s="1786" t="s">
        <v>1653</v>
      </c>
      <c r="O661" s="1786">
        <v>0</v>
      </c>
      <c r="P661" s="1786"/>
      <c r="Q661" s="1786">
        <v>0</v>
      </c>
      <c r="R661" s="1788"/>
      <c r="S661" s="1786">
        <f t="shared" si="105"/>
        <v>1084</v>
      </c>
      <c r="T661" s="1786" t="str">
        <f t="shared" si="106"/>
        <v>בנק מזרחי טפחות בע"מ</v>
      </c>
      <c r="U661" s="1786" t="str">
        <f t="shared" si="107"/>
        <v xml:space="preserve">אינפיניטי השתלמות </v>
      </c>
      <c r="V661" s="1786" t="str">
        <f t="shared" si="108"/>
        <v>512475104</v>
      </c>
      <c r="W661" s="1789" t="str">
        <f t="shared" si="109"/>
        <v>אינפיניטי ניהול השתלמות וגמל בע"מ</v>
      </c>
      <c r="AC661" s="1761" t="s">
        <v>346</v>
      </c>
      <c r="AD661" s="1761"/>
      <c r="AE661" s="1762">
        <v>38342</v>
      </c>
      <c r="AF661" s="1761" t="s">
        <v>1948</v>
      </c>
      <c r="AG661" s="1761" t="s">
        <v>75</v>
      </c>
      <c r="AH661" s="1761" t="s">
        <v>1594</v>
      </c>
      <c r="AI661" s="1761" t="s">
        <v>4126</v>
      </c>
      <c r="AJ661" s="1761" t="s">
        <v>4126</v>
      </c>
      <c r="AK661" s="1761">
        <v>1537</v>
      </c>
      <c r="AL661" s="1761" t="s">
        <v>4550</v>
      </c>
      <c r="AM661" s="1761">
        <v>1084</v>
      </c>
      <c r="AN661" s="1761" t="s">
        <v>5370</v>
      </c>
      <c r="AO661" s="1764"/>
      <c r="AP661" s="1761" t="s">
        <v>5368</v>
      </c>
      <c r="AQ661" s="1761" t="s">
        <v>5369</v>
      </c>
      <c r="AR661" s="1761" t="s">
        <v>650</v>
      </c>
      <c r="AS661" s="1761" t="s">
        <v>651</v>
      </c>
      <c r="AT661" s="1761" t="s">
        <v>327</v>
      </c>
      <c r="AU661" s="1763"/>
      <c r="AV661" s="1763"/>
    </row>
    <row r="662" spans="1:48" ht="37.5" hidden="1">
      <c r="A662" s="1785" t="str">
        <f t="shared" si="99"/>
        <v>גמל</v>
      </c>
      <c r="B662" s="1786">
        <f t="shared" si="100"/>
        <v>11957</v>
      </c>
      <c r="C662" s="1787">
        <v>28946</v>
      </c>
      <c r="D662" s="1786" t="str">
        <f t="shared" si="101"/>
        <v xml:space="preserve">אינפיניטי השתלמות אג"ח עד 25% מניות </v>
      </c>
      <c r="E662" s="1786" t="s">
        <v>3929</v>
      </c>
      <c r="F662" s="1786" t="s">
        <v>2958</v>
      </c>
      <c r="G662" s="1786" t="s">
        <v>2959</v>
      </c>
      <c r="H662" s="1786" t="str">
        <f t="shared" si="102"/>
        <v>פעיל</v>
      </c>
      <c r="I662" s="1788">
        <f t="shared" si="103"/>
        <v>38342</v>
      </c>
      <c r="J662" s="1788" t="str">
        <f t="shared" si="104"/>
        <v/>
      </c>
      <c r="K662" s="1786">
        <v>0</v>
      </c>
      <c r="L662" s="1786" t="s">
        <v>1594</v>
      </c>
      <c r="M662" s="1786" t="s">
        <v>1653</v>
      </c>
      <c r="N662" s="1786" t="s">
        <v>1653</v>
      </c>
      <c r="O662" s="1786">
        <v>0</v>
      </c>
      <c r="P662" s="1786"/>
      <c r="Q662" s="1786">
        <v>0</v>
      </c>
      <c r="R662" s="1788"/>
      <c r="S662" s="1786">
        <f t="shared" si="105"/>
        <v>1084</v>
      </c>
      <c r="T662" s="1786" t="str">
        <f t="shared" si="106"/>
        <v>בנק מזרחי טפחות בע"מ</v>
      </c>
      <c r="U662" s="1786" t="str">
        <f t="shared" si="107"/>
        <v xml:space="preserve">אינפיניטי השתלמות </v>
      </c>
      <c r="V662" s="1786" t="str">
        <f t="shared" si="108"/>
        <v>512475104</v>
      </c>
      <c r="W662" s="1789" t="str">
        <f t="shared" si="109"/>
        <v>אינפיניטי ניהול השתלמות וגמל בע"מ</v>
      </c>
      <c r="AC662" s="1759" t="s">
        <v>346</v>
      </c>
      <c r="AD662" s="1759"/>
      <c r="AE662" s="1760">
        <v>38342</v>
      </c>
      <c r="AF662" s="1759" t="s">
        <v>3934</v>
      </c>
      <c r="AG662" s="1759" t="s">
        <v>1653</v>
      </c>
      <c r="AH662" s="1759" t="s">
        <v>1594</v>
      </c>
      <c r="AI662" s="1759" t="s">
        <v>5533</v>
      </c>
      <c r="AJ662" s="1759" t="s">
        <v>5534</v>
      </c>
      <c r="AK662" s="1759">
        <v>11957</v>
      </c>
      <c r="AL662" s="1759" t="s">
        <v>4550</v>
      </c>
      <c r="AM662" s="1759">
        <v>1084</v>
      </c>
      <c r="AN662" s="1759" t="s">
        <v>5370</v>
      </c>
      <c r="AO662" s="1764"/>
      <c r="AP662" s="1759" t="s">
        <v>5368</v>
      </c>
      <c r="AQ662" s="1759" t="s">
        <v>5369</v>
      </c>
      <c r="AR662" s="1759" t="s">
        <v>650</v>
      </c>
      <c r="AS662" s="1759" t="s">
        <v>651</v>
      </c>
      <c r="AT662" s="1759" t="s">
        <v>327</v>
      </c>
      <c r="AU662" s="1763"/>
      <c r="AV662" s="1763"/>
    </row>
    <row r="663" spans="1:48" ht="37.5" hidden="1">
      <c r="A663" s="1785" t="str">
        <f t="shared" ref="A663:A726" si="110">AT663</f>
        <v>גמל</v>
      </c>
      <c r="B663" s="1786">
        <f t="shared" ref="B663:B726" si="111">AK663</f>
        <v>2252</v>
      </c>
      <c r="C663" s="1787">
        <v>28946</v>
      </c>
      <c r="D663" s="1786" t="str">
        <f t="shared" ref="D663:D726" si="112">AJ663</f>
        <v>אינפיניטי השתלמות אג"ח עד 15% מניות</v>
      </c>
      <c r="E663" s="1786" t="s">
        <v>3929</v>
      </c>
      <c r="F663" s="1786" t="s">
        <v>2958</v>
      </c>
      <c r="G663" s="1786" t="s">
        <v>2959</v>
      </c>
      <c r="H663" s="1786" t="str">
        <f t="shared" ref="H663:H726" si="113">AC663</f>
        <v>פעיל</v>
      </c>
      <c r="I663" s="1788">
        <f t="shared" ref="I663:I726" si="114">IF(AE663="","",AE663)</f>
        <v>38342</v>
      </c>
      <c r="J663" s="1788" t="str">
        <f t="shared" ref="J663:J726" si="115">IF(AD663="","",AD663)</f>
        <v/>
      </c>
      <c r="K663" s="1786">
        <v>0</v>
      </c>
      <c r="L663" s="1786" t="s">
        <v>1594</v>
      </c>
      <c r="M663" s="1786" t="s">
        <v>1653</v>
      </c>
      <c r="N663" s="1786" t="s">
        <v>1653</v>
      </c>
      <c r="O663" s="1786">
        <v>0</v>
      </c>
      <c r="P663" s="1786"/>
      <c r="Q663" s="1786">
        <v>0</v>
      </c>
      <c r="R663" s="1788"/>
      <c r="S663" s="1786">
        <f t="shared" ref="S663:S726" si="116">AM663</f>
        <v>1084</v>
      </c>
      <c r="T663" s="1786" t="str">
        <f t="shared" ref="T663:T726" si="117">AN663</f>
        <v>בנק מזרחי טפחות בע"מ</v>
      </c>
      <c r="U663" s="1786" t="str">
        <f t="shared" ref="U663:U726" si="118">AL663</f>
        <v xml:space="preserve">אינפיניטי השתלמות </v>
      </c>
      <c r="V663" s="1786" t="str">
        <f t="shared" ref="V663:V726" si="119">AQ663</f>
        <v>512475104</v>
      </c>
      <c r="W663" s="1789" t="str">
        <f t="shared" ref="W663:W726" si="120">AR663</f>
        <v>אינפיניטי ניהול השתלמות וגמל בע"מ</v>
      </c>
      <c r="AC663" s="1761" t="s">
        <v>346</v>
      </c>
      <c r="AD663" s="1761"/>
      <c r="AE663" s="1762">
        <v>38342</v>
      </c>
      <c r="AF663" s="1761" t="s">
        <v>3934</v>
      </c>
      <c r="AG663" s="1761" t="s">
        <v>1653</v>
      </c>
      <c r="AH663" s="1761" t="s">
        <v>1594</v>
      </c>
      <c r="AI663" s="1761" t="s">
        <v>4178</v>
      </c>
      <c r="AJ663" s="1761" t="s">
        <v>4178</v>
      </c>
      <c r="AK663" s="1761">
        <v>2252</v>
      </c>
      <c r="AL663" s="1761" t="s">
        <v>4550</v>
      </c>
      <c r="AM663" s="1761">
        <v>1084</v>
      </c>
      <c r="AN663" s="1761" t="s">
        <v>5370</v>
      </c>
      <c r="AO663" s="1764"/>
      <c r="AP663" s="1761" t="s">
        <v>5368</v>
      </c>
      <c r="AQ663" s="1761" t="s">
        <v>5369</v>
      </c>
      <c r="AR663" s="1761" t="s">
        <v>650</v>
      </c>
      <c r="AS663" s="1761" t="s">
        <v>651</v>
      </c>
      <c r="AT663" s="1761" t="s">
        <v>327</v>
      </c>
      <c r="AU663" s="1763"/>
      <c r="AV663" s="1763"/>
    </row>
    <row r="664" spans="1:48" ht="37.5" hidden="1">
      <c r="A664" s="1785" t="str">
        <f t="shared" si="110"/>
        <v>גמל</v>
      </c>
      <c r="B664" s="1786">
        <f t="shared" si="111"/>
        <v>2254</v>
      </c>
      <c r="C664" s="1787">
        <v>28946</v>
      </c>
      <c r="D664" s="1786" t="str">
        <f t="shared" si="112"/>
        <v>אינפיניטי השתלמות לחוסכים מוטי סיכון</v>
      </c>
      <c r="E664" s="1786" t="s">
        <v>3929</v>
      </c>
      <c r="F664" s="1786" t="s">
        <v>2958</v>
      </c>
      <c r="G664" s="1786" t="s">
        <v>2959</v>
      </c>
      <c r="H664" s="1786" t="str">
        <f t="shared" si="113"/>
        <v>פעיל</v>
      </c>
      <c r="I664" s="1788">
        <f t="shared" si="114"/>
        <v>38342</v>
      </c>
      <c r="J664" s="1788" t="str">
        <f t="shared" si="115"/>
        <v/>
      </c>
      <c r="K664" s="1786">
        <v>0</v>
      </c>
      <c r="L664" s="1786" t="s">
        <v>1594</v>
      </c>
      <c r="M664" s="1786" t="s">
        <v>1653</v>
      </c>
      <c r="N664" s="1786" t="s">
        <v>1653</v>
      </c>
      <c r="O664" s="1786">
        <v>0</v>
      </c>
      <c r="P664" s="1786"/>
      <c r="Q664" s="1786">
        <v>0</v>
      </c>
      <c r="R664" s="1788"/>
      <c r="S664" s="1786">
        <f t="shared" si="116"/>
        <v>1084</v>
      </c>
      <c r="T664" s="1786" t="str">
        <f t="shared" si="117"/>
        <v>בנק מזרחי טפחות בע"מ</v>
      </c>
      <c r="U664" s="1786" t="str">
        <f t="shared" si="118"/>
        <v xml:space="preserve">אינפיניטי השתלמות </v>
      </c>
      <c r="V664" s="1786" t="str">
        <f t="shared" si="119"/>
        <v>512475104</v>
      </c>
      <c r="W664" s="1789" t="str">
        <f t="shared" si="120"/>
        <v>אינפיניטי ניהול השתלמות וגמל בע"מ</v>
      </c>
      <c r="AC664" s="1759" t="s">
        <v>346</v>
      </c>
      <c r="AD664" s="1759"/>
      <c r="AE664" s="1760">
        <v>38342</v>
      </c>
      <c r="AF664" s="1759" t="s">
        <v>3956</v>
      </c>
      <c r="AG664" s="1759" t="s">
        <v>70</v>
      </c>
      <c r="AH664" s="1759" t="s">
        <v>1594</v>
      </c>
      <c r="AI664" s="1759" t="s">
        <v>4179</v>
      </c>
      <c r="AJ664" s="1759" t="s">
        <v>4179</v>
      </c>
      <c r="AK664" s="1759">
        <v>2254</v>
      </c>
      <c r="AL664" s="1759" t="s">
        <v>4550</v>
      </c>
      <c r="AM664" s="1759">
        <v>1084</v>
      </c>
      <c r="AN664" s="1759" t="s">
        <v>5370</v>
      </c>
      <c r="AO664" s="1764"/>
      <c r="AP664" s="1759" t="s">
        <v>5368</v>
      </c>
      <c r="AQ664" s="1759" t="s">
        <v>5369</v>
      </c>
      <c r="AR664" s="1759" t="s">
        <v>650</v>
      </c>
      <c r="AS664" s="1759" t="s">
        <v>651</v>
      </c>
      <c r="AT664" s="1759" t="s">
        <v>327</v>
      </c>
      <c r="AU664" s="1763"/>
      <c r="AV664" s="1763"/>
    </row>
    <row r="665" spans="1:48" ht="37.5" hidden="1">
      <c r="A665" s="1785" t="str">
        <f t="shared" si="110"/>
        <v>גמל</v>
      </c>
      <c r="B665" s="1786">
        <f t="shared" si="111"/>
        <v>1491</v>
      </c>
      <c r="C665" s="1787">
        <v>28946</v>
      </c>
      <c r="D665" s="1786" t="str">
        <f t="shared" si="112"/>
        <v>אינפיניטי השתלמות  אג"ח קונצרני</v>
      </c>
      <c r="E665" s="1786" t="s">
        <v>3929</v>
      </c>
      <c r="F665" s="1786" t="s">
        <v>2958</v>
      </c>
      <c r="G665" s="1786" t="s">
        <v>2959</v>
      </c>
      <c r="H665" s="1786" t="str">
        <f t="shared" si="113"/>
        <v>פעיל</v>
      </c>
      <c r="I665" s="1788">
        <f t="shared" si="114"/>
        <v>38342</v>
      </c>
      <c r="J665" s="1788" t="str">
        <f t="shared" si="115"/>
        <v/>
      </c>
      <c r="K665" s="1786">
        <v>0</v>
      </c>
      <c r="L665" s="1786" t="s">
        <v>1594</v>
      </c>
      <c r="M665" s="1786" t="s">
        <v>1653</v>
      </c>
      <c r="N665" s="1786" t="s">
        <v>1653</v>
      </c>
      <c r="O665" s="1786">
        <v>0</v>
      </c>
      <c r="P665" s="1786"/>
      <c r="Q665" s="1786">
        <v>0</v>
      </c>
      <c r="R665" s="1788"/>
      <c r="S665" s="1786">
        <f t="shared" si="116"/>
        <v>1084</v>
      </c>
      <c r="T665" s="1786" t="str">
        <f t="shared" si="117"/>
        <v>בנק מזרחי טפחות בע"מ</v>
      </c>
      <c r="U665" s="1786" t="str">
        <f t="shared" si="118"/>
        <v xml:space="preserve">אינפיניטי השתלמות </v>
      </c>
      <c r="V665" s="1786" t="str">
        <f t="shared" si="119"/>
        <v>512475104</v>
      </c>
      <c r="W665" s="1789" t="str">
        <f t="shared" si="120"/>
        <v>אינפיניטי ניהול השתלמות וגמל בע"מ</v>
      </c>
      <c r="AC665" s="1761" t="s">
        <v>346</v>
      </c>
      <c r="AD665" s="1761"/>
      <c r="AE665" s="1762">
        <v>38342</v>
      </c>
      <c r="AF665" s="1761" t="s">
        <v>3010</v>
      </c>
      <c r="AG665" s="1761" t="s">
        <v>1653</v>
      </c>
      <c r="AH665" s="1761" t="s">
        <v>1594</v>
      </c>
      <c r="AI665" s="1761" t="s">
        <v>4116</v>
      </c>
      <c r="AJ665" s="1761" t="s">
        <v>4116</v>
      </c>
      <c r="AK665" s="1761">
        <v>1491</v>
      </c>
      <c r="AL665" s="1761" t="s">
        <v>4550</v>
      </c>
      <c r="AM665" s="1761">
        <v>1084</v>
      </c>
      <c r="AN665" s="1761" t="s">
        <v>5370</v>
      </c>
      <c r="AO665" s="1764"/>
      <c r="AP665" s="1761" t="s">
        <v>5368</v>
      </c>
      <c r="AQ665" s="1761" t="s">
        <v>5369</v>
      </c>
      <c r="AR665" s="1761" t="s">
        <v>650</v>
      </c>
      <c r="AS665" s="1761" t="s">
        <v>651</v>
      </c>
      <c r="AT665" s="1761" t="s">
        <v>327</v>
      </c>
      <c r="AU665" s="1763"/>
      <c r="AV665" s="1763"/>
    </row>
    <row r="666" spans="1:48" ht="37.5" hidden="1">
      <c r="A666" s="1785" t="str">
        <f t="shared" si="110"/>
        <v>גמל</v>
      </c>
      <c r="B666" s="1786">
        <f t="shared" si="111"/>
        <v>13229</v>
      </c>
      <c r="C666" s="1787">
        <v>28946</v>
      </c>
      <c r="D666" s="1786" t="str">
        <f t="shared" si="112"/>
        <v>אינפיניטי השתלמות  כללי</v>
      </c>
      <c r="E666" s="1786" t="s">
        <v>3929</v>
      </c>
      <c r="F666" s="1786" t="s">
        <v>2958</v>
      </c>
      <c r="G666" s="1786" t="s">
        <v>2959</v>
      </c>
      <c r="H666" s="1786" t="str">
        <f t="shared" si="113"/>
        <v>פעיל</v>
      </c>
      <c r="I666" s="1788">
        <f t="shared" si="114"/>
        <v>38342</v>
      </c>
      <c r="J666" s="1788" t="str">
        <f t="shared" si="115"/>
        <v/>
      </c>
      <c r="K666" s="1786">
        <v>0</v>
      </c>
      <c r="L666" s="1786" t="s">
        <v>1594</v>
      </c>
      <c r="M666" s="1786" t="s">
        <v>1653</v>
      </c>
      <c r="N666" s="1786" t="s">
        <v>1653</v>
      </c>
      <c r="O666" s="1786">
        <v>0</v>
      </c>
      <c r="P666" s="1786"/>
      <c r="Q666" s="1786">
        <v>0</v>
      </c>
      <c r="R666" s="1788"/>
      <c r="S666" s="1786">
        <f t="shared" si="116"/>
        <v>1084</v>
      </c>
      <c r="T666" s="1786" t="str">
        <f t="shared" si="117"/>
        <v>בנק מזרחי טפחות בע"מ</v>
      </c>
      <c r="U666" s="1786" t="str">
        <f t="shared" si="118"/>
        <v xml:space="preserve">אינפיניטי השתלמות </v>
      </c>
      <c r="V666" s="1786" t="str">
        <f t="shared" si="119"/>
        <v>512475104</v>
      </c>
      <c r="W666" s="1789" t="str">
        <f t="shared" si="120"/>
        <v>אינפיניטי ניהול השתלמות וגמל בע"מ</v>
      </c>
      <c r="AC666" s="1759" t="s">
        <v>346</v>
      </c>
      <c r="AD666" s="1759"/>
      <c r="AE666" s="1760">
        <v>38342</v>
      </c>
      <c r="AF666" s="1759" t="s">
        <v>1583</v>
      </c>
      <c r="AG666" s="1759" t="s">
        <v>1583</v>
      </c>
      <c r="AH666" s="1759" t="s">
        <v>1583</v>
      </c>
      <c r="AI666" s="1759" t="s">
        <v>4549</v>
      </c>
      <c r="AJ666" s="1759" t="s">
        <v>4549</v>
      </c>
      <c r="AK666" s="1759">
        <v>13229</v>
      </c>
      <c r="AL666" s="1759" t="s">
        <v>4550</v>
      </c>
      <c r="AM666" s="1759">
        <v>1084</v>
      </c>
      <c r="AN666" s="1759" t="s">
        <v>5370</v>
      </c>
      <c r="AO666" s="1764"/>
      <c r="AP666" s="1759" t="s">
        <v>5368</v>
      </c>
      <c r="AQ666" s="1759" t="s">
        <v>5369</v>
      </c>
      <c r="AR666" s="1759" t="s">
        <v>650</v>
      </c>
      <c r="AS666" s="1759" t="s">
        <v>651</v>
      </c>
      <c r="AT666" s="1759" t="s">
        <v>327</v>
      </c>
      <c r="AU666" s="1763"/>
      <c r="AV666" s="1763"/>
    </row>
    <row r="667" spans="1:48" ht="37.5" hidden="1">
      <c r="A667" s="1785" t="str">
        <f t="shared" si="110"/>
        <v>גמל</v>
      </c>
      <c r="B667" s="1786">
        <f t="shared" si="111"/>
        <v>1082</v>
      </c>
      <c r="C667" s="1787">
        <v>28946</v>
      </c>
      <c r="D667" s="1786" t="str">
        <f t="shared" si="112"/>
        <v>אינפיניטי השתלמות (ל) מסלול סל אג"ח</v>
      </c>
      <c r="E667" s="1786" t="s">
        <v>3929</v>
      </c>
      <c r="F667" s="1786" t="s">
        <v>2958</v>
      </c>
      <c r="G667" s="1786" t="s">
        <v>2959</v>
      </c>
      <c r="H667" s="1786" t="str">
        <f t="shared" si="113"/>
        <v>לא פעיל</v>
      </c>
      <c r="I667" s="1788">
        <f t="shared" si="114"/>
        <v>38322</v>
      </c>
      <c r="J667" s="1788">
        <f t="shared" si="115"/>
        <v>40546.434201388904</v>
      </c>
      <c r="K667" s="1786">
        <v>0</v>
      </c>
      <c r="L667" s="1786" t="s">
        <v>1594</v>
      </c>
      <c r="M667" s="1786" t="s">
        <v>1653</v>
      </c>
      <c r="N667" s="1786" t="s">
        <v>1653</v>
      </c>
      <c r="O667" s="1786">
        <v>0</v>
      </c>
      <c r="P667" s="1786"/>
      <c r="Q667" s="1786">
        <v>0</v>
      </c>
      <c r="R667" s="1788"/>
      <c r="S667" s="1786">
        <f t="shared" si="116"/>
        <v>1082</v>
      </c>
      <c r="T667" s="1786" t="str">
        <f t="shared" si="117"/>
        <v>בנק לאומי בע"מ</v>
      </c>
      <c r="U667" s="1786" t="str">
        <f t="shared" si="118"/>
        <v>אינפיניטי השתלמות (ל) מסלול סל אג"ח</v>
      </c>
      <c r="V667" s="1786" t="str">
        <f t="shared" si="119"/>
        <v>512475104</v>
      </c>
      <c r="W667" s="1789" t="str">
        <f t="shared" si="120"/>
        <v>אינפיניטי ניהול השתלמות וגמל בע"מ</v>
      </c>
      <c r="AC667" s="1761" t="s">
        <v>1586</v>
      </c>
      <c r="AD667" s="1762">
        <v>40546.434201388904</v>
      </c>
      <c r="AE667" s="1762">
        <v>38322</v>
      </c>
      <c r="AF667" s="1761" t="s">
        <v>1653</v>
      </c>
      <c r="AG667" s="1761" t="s">
        <v>1653</v>
      </c>
      <c r="AH667" s="1761" t="s">
        <v>1594</v>
      </c>
      <c r="AI667" s="1761" t="s">
        <v>3512</v>
      </c>
      <c r="AJ667" s="1761" t="s">
        <v>2257</v>
      </c>
      <c r="AK667" s="1761">
        <v>1082</v>
      </c>
      <c r="AL667" s="1761" t="s">
        <v>2257</v>
      </c>
      <c r="AM667" s="1761">
        <v>1082</v>
      </c>
      <c r="AN667" s="1761" t="s">
        <v>5470</v>
      </c>
      <c r="AO667" s="1764"/>
      <c r="AP667" s="1761" t="s">
        <v>5368</v>
      </c>
      <c r="AQ667" s="1761" t="s">
        <v>5369</v>
      </c>
      <c r="AR667" s="1761" t="s">
        <v>650</v>
      </c>
      <c r="AS667" s="1761" t="s">
        <v>651</v>
      </c>
      <c r="AT667" s="1761" t="s">
        <v>327</v>
      </c>
      <c r="AU667" s="1763"/>
      <c r="AV667" s="1763"/>
    </row>
    <row r="668" spans="1:48" ht="37.5" hidden="1">
      <c r="A668" s="1785" t="str">
        <f t="shared" si="110"/>
        <v>גמל</v>
      </c>
      <c r="B668" s="1786">
        <f t="shared" si="111"/>
        <v>1081</v>
      </c>
      <c r="C668" s="1787">
        <v>28946</v>
      </c>
      <c r="D668" s="1786" t="str">
        <f t="shared" si="112"/>
        <v>אינפיניטי השתלמות (ב) מסלול סל מנייתי</v>
      </c>
      <c r="E668" s="1786" t="s">
        <v>3929</v>
      </c>
      <c r="F668" s="1786" t="s">
        <v>2958</v>
      </c>
      <c r="G668" s="1786" t="s">
        <v>2959</v>
      </c>
      <c r="H668" s="1786" t="str">
        <f t="shared" si="113"/>
        <v>לא פעיל</v>
      </c>
      <c r="I668" s="1788">
        <f t="shared" si="114"/>
        <v>38322</v>
      </c>
      <c r="J668" s="1788">
        <f t="shared" si="115"/>
        <v>40546.434942129599</v>
      </c>
      <c r="K668" s="1786">
        <v>0</v>
      </c>
      <c r="L668" s="1786" t="s">
        <v>1594</v>
      </c>
      <c r="M668" s="1786" t="s">
        <v>1653</v>
      </c>
      <c r="N668" s="1786" t="s">
        <v>1653</v>
      </c>
      <c r="O668" s="1786">
        <v>0</v>
      </c>
      <c r="P668" s="1786"/>
      <c r="Q668" s="1786">
        <v>0</v>
      </c>
      <c r="R668" s="1788"/>
      <c r="S668" s="1786">
        <f t="shared" si="116"/>
        <v>1081</v>
      </c>
      <c r="T668" s="1786" t="str">
        <f t="shared" si="117"/>
        <v>הבנק הבינלאומי הראשון</v>
      </c>
      <c r="U668" s="1786" t="str">
        <f t="shared" si="118"/>
        <v>אינפיניטי השתלמות (ב) מסלול סל מנייתי</v>
      </c>
      <c r="V668" s="1786" t="str">
        <f t="shared" si="119"/>
        <v>512475104</v>
      </c>
      <c r="W668" s="1789" t="str">
        <f t="shared" si="120"/>
        <v>אינפיניטי ניהול השתלמות וגמל בע"מ</v>
      </c>
      <c r="AC668" s="1759" t="s">
        <v>1586</v>
      </c>
      <c r="AD668" s="1760">
        <v>40546.434942129599</v>
      </c>
      <c r="AE668" s="1760">
        <v>38322</v>
      </c>
      <c r="AF668" s="1759" t="s">
        <v>1595</v>
      </c>
      <c r="AG668" s="1759" t="s">
        <v>75</v>
      </c>
      <c r="AH668" s="1759" t="s">
        <v>1594</v>
      </c>
      <c r="AI668" s="1759" t="s">
        <v>3511</v>
      </c>
      <c r="AJ668" s="1759" t="s">
        <v>2256</v>
      </c>
      <c r="AK668" s="1759">
        <v>1081</v>
      </c>
      <c r="AL668" s="1759" t="s">
        <v>2256</v>
      </c>
      <c r="AM668" s="1759">
        <v>1081</v>
      </c>
      <c r="AN668" s="1759" t="s">
        <v>5384</v>
      </c>
      <c r="AO668" s="1764"/>
      <c r="AP668" s="1759" t="s">
        <v>5368</v>
      </c>
      <c r="AQ668" s="1759" t="s">
        <v>5369</v>
      </c>
      <c r="AR668" s="1759" t="s">
        <v>650</v>
      </c>
      <c r="AS668" s="1759" t="s">
        <v>651</v>
      </c>
      <c r="AT668" s="1759" t="s">
        <v>327</v>
      </c>
      <c r="AU668" s="1763"/>
      <c r="AV668" s="1763"/>
    </row>
    <row r="669" spans="1:48" ht="37.5" hidden="1">
      <c r="A669" s="1785" t="str">
        <f t="shared" si="110"/>
        <v>גמל</v>
      </c>
      <c r="B669" s="1786">
        <f t="shared" si="111"/>
        <v>1080</v>
      </c>
      <c r="C669" s="1787">
        <v>28946</v>
      </c>
      <c r="D669" s="1786" t="str">
        <f t="shared" si="112"/>
        <v>אינפיניטי השתלמות (ב) מסלול סל אג"ח</v>
      </c>
      <c r="E669" s="1786" t="s">
        <v>3929</v>
      </c>
      <c r="F669" s="1786" t="s">
        <v>2958</v>
      </c>
      <c r="G669" s="1786" t="s">
        <v>2959</v>
      </c>
      <c r="H669" s="1786" t="str">
        <f t="shared" si="113"/>
        <v>לא פעיל</v>
      </c>
      <c r="I669" s="1788">
        <f t="shared" si="114"/>
        <v>38322</v>
      </c>
      <c r="J669" s="1788">
        <f t="shared" si="115"/>
        <v>40546.433831018498</v>
      </c>
      <c r="K669" s="1786">
        <v>0</v>
      </c>
      <c r="L669" s="1786" t="s">
        <v>1594</v>
      </c>
      <c r="M669" s="1786" t="s">
        <v>1653</v>
      </c>
      <c r="N669" s="1786" t="s">
        <v>1653</v>
      </c>
      <c r="O669" s="1786">
        <v>0</v>
      </c>
      <c r="P669" s="1786"/>
      <c r="Q669" s="1786">
        <v>0</v>
      </c>
      <c r="R669" s="1788"/>
      <c r="S669" s="1786">
        <f t="shared" si="116"/>
        <v>1080</v>
      </c>
      <c r="T669" s="1786" t="str">
        <f t="shared" si="117"/>
        <v>הבנק הבינלאומי הראשון</v>
      </c>
      <c r="U669" s="1786" t="str">
        <f t="shared" si="118"/>
        <v>אינפיניטי השתלמות (ב) מסלול סל אג"ח</v>
      </c>
      <c r="V669" s="1786" t="str">
        <f t="shared" si="119"/>
        <v>512475104</v>
      </c>
      <c r="W669" s="1789" t="str">
        <f t="shared" si="120"/>
        <v>אינפיניטי ניהול השתלמות וגמל בע"מ</v>
      </c>
      <c r="AC669" s="1761" t="s">
        <v>1586</v>
      </c>
      <c r="AD669" s="1762">
        <v>40546.433831018498</v>
      </c>
      <c r="AE669" s="1762">
        <v>38322</v>
      </c>
      <c r="AF669" s="1761" t="s">
        <v>1653</v>
      </c>
      <c r="AG669" s="1761" t="s">
        <v>1653</v>
      </c>
      <c r="AH669" s="1761" t="s">
        <v>1594</v>
      </c>
      <c r="AI669" s="1761" t="s">
        <v>3510</v>
      </c>
      <c r="AJ669" s="1761" t="s">
        <v>2255</v>
      </c>
      <c r="AK669" s="1761">
        <v>1080</v>
      </c>
      <c r="AL669" s="1761" t="s">
        <v>2255</v>
      </c>
      <c r="AM669" s="1761">
        <v>1080</v>
      </c>
      <c r="AN669" s="1761" t="s">
        <v>5384</v>
      </c>
      <c r="AO669" s="1764"/>
      <c r="AP669" s="1761" t="s">
        <v>5368</v>
      </c>
      <c r="AQ669" s="1761" t="s">
        <v>5369</v>
      </c>
      <c r="AR669" s="1761" t="s">
        <v>650</v>
      </c>
      <c r="AS669" s="1761" t="s">
        <v>651</v>
      </c>
      <c r="AT669" s="1761" t="s">
        <v>327</v>
      </c>
      <c r="AU669" s="1763"/>
      <c r="AV669" s="1763"/>
    </row>
    <row r="670" spans="1:48" ht="37.5" hidden="1">
      <c r="A670" s="1785" t="str">
        <f t="shared" si="110"/>
        <v>גמל</v>
      </c>
      <c r="B670" s="1786">
        <f t="shared" si="111"/>
        <v>275</v>
      </c>
      <c r="C670" s="1787">
        <v>28946</v>
      </c>
      <c r="D670" s="1786" t="str">
        <f t="shared" si="112"/>
        <v>איניפיניטי גמל דינמי</v>
      </c>
      <c r="E670" s="1786" t="s">
        <v>3929</v>
      </c>
      <c r="F670" s="1786" t="s">
        <v>2958</v>
      </c>
      <c r="G670" s="1786" t="s">
        <v>2959</v>
      </c>
      <c r="H670" s="1786" t="str">
        <f t="shared" si="113"/>
        <v>לא פעיל</v>
      </c>
      <c r="I670" s="1788">
        <f t="shared" si="114"/>
        <v>38342</v>
      </c>
      <c r="J670" s="1788">
        <f t="shared" si="115"/>
        <v>42370.760821759301</v>
      </c>
      <c r="K670" s="1786">
        <v>0</v>
      </c>
      <c r="L670" s="1786" t="s">
        <v>1594</v>
      </c>
      <c r="M670" s="1786" t="s">
        <v>1653</v>
      </c>
      <c r="N670" s="1786" t="s">
        <v>1653</v>
      </c>
      <c r="O670" s="1786">
        <v>0</v>
      </c>
      <c r="P670" s="1786"/>
      <c r="Q670" s="1786">
        <v>0</v>
      </c>
      <c r="R670" s="1788"/>
      <c r="S670" s="1786">
        <f t="shared" si="116"/>
        <v>1078</v>
      </c>
      <c r="T670" s="1786" t="str">
        <f t="shared" si="117"/>
        <v>לאומי</v>
      </c>
      <c r="U670" s="1786" t="str">
        <f t="shared" si="118"/>
        <v>אינפיניטי גמל אג"ח</v>
      </c>
      <c r="V670" s="1786" t="str">
        <f t="shared" si="119"/>
        <v>512475104</v>
      </c>
      <c r="W670" s="1789" t="str">
        <f t="shared" si="120"/>
        <v>אינפיניטי ניהול השתלמות וגמל בע"מ</v>
      </c>
      <c r="AC670" s="1759" t="s">
        <v>1586</v>
      </c>
      <c r="AD670" s="1760">
        <v>42370.760821759301</v>
      </c>
      <c r="AE670" s="1760">
        <v>38342</v>
      </c>
      <c r="AF670" s="1759" t="s">
        <v>1583</v>
      </c>
      <c r="AG670" s="1759" t="s">
        <v>1583</v>
      </c>
      <c r="AH670" s="1759" t="s">
        <v>1583</v>
      </c>
      <c r="AI670" s="1759" t="s">
        <v>3043</v>
      </c>
      <c r="AJ670" s="1759" t="s">
        <v>1713</v>
      </c>
      <c r="AK670" s="1759">
        <v>275</v>
      </c>
      <c r="AL670" s="1759" t="s">
        <v>4027</v>
      </c>
      <c r="AM670" s="1759">
        <v>1078</v>
      </c>
      <c r="AN670" s="1759" t="s">
        <v>5305</v>
      </c>
      <c r="AO670" s="1764"/>
      <c r="AP670" s="1759" t="s">
        <v>5368</v>
      </c>
      <c r="AQ670" s="1759" t="s">
        <v>5369</v>
      </c>
      <c r="AR670" s="1759" t="s">
        <v>650</v>
      </c>
      <c r="AS670" s="1759" t="s">
        <v>651</v>
      </c>
      <c r="AT670" s="1759" t="s">
        <v>327</v>
      </c>
      <c r="AU670" s="1763"/>
      <c r="AV670" s="1763"/>
    </row>
    <row r="671" spans="1:48" ht="37.5" hidden="1">
      <c r="A671" s="1785" t="str">
        <f t="shared" si="110"/>
        <v>גמל</v>
      </c>
      <c r="B671" s="1786">
        <f t="shared" si="111"/>
        <v>1209</v>
      </c>
      <c r="C671" s="1787">
        <v>28946</v>
      </c>
      <c r="D671" s="1786" t="str">
        <f t="shared" si="112"/>
        <v>אינפיניטי גמל אג"ח ממשלת ישראל</v>
      </c>
      <c r="E671" s="1786" t="s">
        <v>3929</v>
      </c>
      <c r="F671" s="1786" t="s">
        <v>2958</v>
      </c>
      <c r="G671" s="1786" t="s">
        <v>2959</v>
      </c>
      <c r="H671" s="1786" t="str">
        <f t="shared" si="113"/>
        <v>פעיל</v>
      </c>
      <c r="I671" s="1788">
        <f t="shared" si="114"/>
        <v>38342</v>
      </c>
      <c r="J671" s="1788" t="str">
        <f t="shared" si="115"/>
        <v/>
      </c>
      <c r="K671" s="1786">
        <v>0</v>
      </c>
      <c r="L671" s="1786" t="s">
        <v>1594</v>
      </c>
      <c r="M671" s="1786" t="s">
        <v>1653</v>
      </c>
      <c r="N671" s="1786" t="s">
        <v>1653</v>
      </c>
      <c r="O671" s="1786">
        <v>0</v>
      </c>
      <c r="P671" s="1786"/>
      <c r="Q671" s="1786">
        <v>0</v>
      </c>
      <c r="R671" s="1788"/>
      <c r="S671" s="1786">
        <f t="shared" si="116"/>
        <v>1078</v>
      </c>
      <c r="T671" s="1786" t="str">
        <f t="shared" si="117"/>
        <v>לאומי</v>
      </c>
      <c r="U671" s="1786" t="str">
        <f t="shared" si="118"/>
        <v>אינפיניטי גמל אג"ח</v>
      </c>
      <c r="V671" s="1786" t="str">
        <f t="shared" si="119"/>
        <v>512475104</v>
      </c>
      <c r="W671" s="1789" t="str">
        <f t="shared" si="120"/>
        <v>אינפיניטי ניהול השתלמות וגמל בע"מ</v>
      </c>
      <c r="AC671" s="1761" t="s">
        <v>346</v>
      </c>
      <c r="AD671" s="1761"/>
      <c r="AE671" s="1762">
        <v>38342</v>
      </c>
      <c r="AF671" s="1761" t="s">
        <v>2009</v>
      </c>
      <c r="AG671" s="1761" t="s">
        <v>1653</v>
      </c>
      <c r="AH671" s="1761" t="s">
        <v>1594</v>
      </c>
      <c r="AI671" s="1761" t="s">
        <v>4044</v>
      </c>
      <c r="AJ671" s="1761" t="s">
        <v>4044</v>
      </c>
      <c r="AK671" s="1761">
        <v>1209</v>
      </c>
      <c r="AL671" s="1761" t="s">
        <v>4027</v>
      </c>
      <c r="AM671" s="1761">
        <v>1078</v>
      </c>
      <c r="AN671" s="1761" t="s">
        <v>5305</v>
      </c>
      <c r="AO671" s="1764"/>
      <c r="AP671" s="1761" t="s">
        <v>5368</v>
      </c>
      <c r="AQ671" s="1761" t="s">
        <v>5369</v>
      </c>
      <c r="AR671" s="1761" t="s">
        <v>650</v>
      </c>
      <c r="AS671" s="1761" t="s">
        <v>651</v>
      </c>
      <c r="AT671" s="1761" t="s">
        <v>327</v>
      </c>
      <c r="AU671" s="1763"/>
      <c r="AV671" s="1763"/>
    </row>
    <row r="672" spans="1:48" ht="37.5" hidden="1">
      <c r="A672" s="1785" t="str">
        <f t="shared" si="110"/>
        <v>גמל</v>
      </c>
      <c r="B672" s="1786">
        <f t="shared" si="111"/>
        <v>1078</v>
      </c>
      <c r="C672" s="1787">
        <v>28946</v>
      </c>
      <c r="D672" s="1786" t="str">
        <f t="shared" si="112"/>
        <v>אינפיניטי גמל אג"ח</v>
      </c>
      <c r="E672" s="1786" t="s">
        <v>3929</v>
      </c>
      <c r="F672" s="1786" t="s">
        <v>2958</v>
      </c>
      <c r="G672" s="1786" t="s">
        <v>2959</v>
      </c>
      <c r="H672" s="1786" t="str">
        <f t="shared" si="113"/>
        <v>פעיל</v>
      </c>
      <c r="I672" s="1788">
        <f t="shared" si="114"/>
        <v>38342</v>
      </c>
      <c r="J672" s="1788" t="str">
        <f t="shared" si="115"/>
        <v/>
      </c>
      <c r="K672" s="1786">
        <v>0</v>
      </c>
      <c r="L672" s="1786" t="s">
        <v>1594</v>
      </c>
      <c r="M672" s="1786" t="s">
        <v>1653</v>
      </c>
      <c r="N672" s="1786" t="s">
        <v>1653</v>
      </c>
      <c r="O672" s="1786">
        <v>0</v>
      </c>
      <c r="P672" s="1786"/>
      <c r="Q672" s="1786">
        <v>0</v>
      </c>
      <c r="R672" s="1788"/>
      <c r="S672" s="1786">
        <f t="shared" si="116"/>
        <v>1078</v>
      </c>
      <c r="T672" s="1786" t="str">
        <f t="shared" si="117"/>
        <v>לאומי</v>
      </c>
      <c r="U672" s="1786" t="str">
        <f t="shared" si="118"/>
        <v>אינפיניטי גמל אג"ח</v>
      </c>
      <c r="V672" s="1786" t="str">
        <f t="shared" si="119"/>
        <v>512475104</v>
      </c>
      <c r="W672" s="1789" t="str">
        <f t="shared" si="120"/>
        <v>אינפיניטי ניהול השתלמות וגמל בע"מ</v>
      </c>
      <c r="AC672" s="1759" t="s">
        <v>346</v>
      </c>
      <c r="AD672" s="1759"/>
      <c r="AE672" s="1760">
        <v>38342</v>
      </c>
      <c r="AF672" s="1759" t="s">
        <v>1653</v>
      </c>
      <c r="AG672" s="1759" t="s">
        <v>1653</v>
      </c>
      <c r="AH672" s="1759" t="s">
        <v>1594</v>
      </c>
      <c r="AI672" s="1759" t="s">
        <v>4027</v>
      </c>
      <c r="AJ672" s="1759" t="s">
        <v>4027</v>
      </c>
      <c r="AK672" s="1759">
        <v>1078</v>
      </c>
      <c r="AL672" s="1759" t="s">
        <v>4027</v>
      </c>
      <c r="AM672" s="1759">
        <v>1078</v>
      </c>
      <c r="AN672" s="1759" t="s">
        <v>5305</v>
      </c>
      <c r="AO672" s="1764"/>
      <c r="AP672" s="1759" t="s">
        <v>5368</v>
      </c>
      <c r="AQ672" s="1759" t="s">
        <v>5369</v>
      </c>
      <c r="AR672" s="1759" t="s">
        <v>650</v>
      </c>
      <c r="AS672" s="1759" t="s">
        <v>651</v>
      </c>
      <c r="AT672" s="1759" t="s">
        <v>327</v>
      </c>
      <c r="AU672" s="1763"/>
      <c r="AV672" s="1763"/>
    </row>
    <row r="673" spans="1:48" ht="37.5" hidden="1">
      <c r="A673" s="1785" t="str">
        <f t="shared" si="110"/>
        <v>גמל</v>
      </c>
      <c r="B673" s="1786">
        <f t="shared" si="111"/>
        <v>1079</v>
      </c>
      <c r="C673" s="1787">
        <v>28946</v>
      </c>
      <c r="D673" s="1786" t="str">
        <f t="shared" si="112"/>
        <v>אינפיניטי גמל מניות בישראל</v>
      </c>
      <c r="E673" s="1786" t="s">
        <v>3929</v>
      </c>
      <c r="F673" s="1786" t="s">
        <v>2958</v>
      </c>
      <c r="G673" s="1786" t="s">
        <v>2959</v>
      </c>
      <c r="H673" s="1786" t="str">
        <f t="shared" si="113"/>
        <v>פעיל</v>
      </c>
      <c r="I673" s="1788">
        <f t="shared" si="114"/>
        <v>38342</v>
      </c>
      <c r="J673" s="1788" t="str">
        <f t="shared" si="115"/>
        <v/>
      </c>
      <c r="K673" s="1786">
        <v>0</v>
      </c>
      <c r="L673" s="1786" t="s">
        <v>1594</v>
      </c>
      <c r="M673" s="1786" t="s">
        <v>1653</v>
      </c>
      <c r="N673" s="1786" t="s">
        <v>1653</v>
      </c>
      <c r="O673" s="1786">
        <v>0</v>
      </c>
      <c r="P673" s="1786"/>
      <c r="Q673" s="1786">
        <v>0</v>
      </c>
      <c r="R673" s="1788"/>
      <c r="S673" s="1786">
        <f t="shared" si="116"/>
        <v>1078</v>
      </c>
      <c r="T673" s="1786" t="str">
        <f t="shared" si="117"/>
        <v>לאומי</v>
      </c>
      <c r="U673" s="1786" t="str">
        <f t="shared" si="118"/>
        <v>אינפיניטי גמל אג"ח</v>
      </c>
      <c r="V673" s="1786" t="str">
        <f t="shared" si="119"/>
        <v>512475104</v>
      </c>
      <c r="W673" s="1789" t="str">
        <f t="shared" si="120"/>
        <v>אינפיניטי ניהול השתלמות וגמל בע"מ</v>
      </c>
      <c r="AC673" s="1761" t="s">
        <v>346</v>
      </c>
      <c r="AD673" s="1761"/>
      <c r="AE673" s="1762">
        <v>38342</v>
      </c>
      <c r="AF673" s="1761" t="s">
        <v>3672</v>
      </c>
      <c r="AG673" s="1761" t="s">
        <v>75</v>
      </c>
      <c r="AH673" s="1761" t="s">
        <v>1594</v>
      </c>
      <c r="AI673" s="1761" t="s">
        <v>4028</v>
      </c>
      <c r="AJ673" s="1761" t="s">
        <v>4028</v>
      </c>
      <c r="AK673" s="1761">
        <v>1079</v>
      </c>
      <c r="AL673" s="1761" t="s">
        <v>4027</v>
      </c>
      <c r="AM673" s="1761">
        <v>1078</v>
      </c>
      <c r="AN673" s="1761" t="s">
        <v>5305</v>
      </c>
      <c r="AO673" s="1764"/>
      <c r="AP673" s="1761" t="s">
        <v>5368</v>
      </c>
      <c r="AQ673" s="1761" t="s">
        <v>5369</v>
      </c>
      <c r="AR673" s="1761" t="s">
        <v>650</v>
      </c>
      <c r="AS673" s="1761" t="s">
        <v>651</v>
      </c>
      <c r="AT673" s="1761" t="s">
        <v>327</v>
      </c>
      <c r="AU673" s="1763"/>
      <c r="AV673" s="1763"/>
    </row>
    <row r="674" spans="1:48" ht="37.5" hidden="1">
      <c r="A674" s="1785" t="str">
        <f t="shared" si="110"/>
        <v>גמל</v>
      </c>
      <c r="B674" s="1786">
        <f t="shared" si="111"/>
        <v>7231</v>
      </c>
      <c r="C674" s="1787">
        <v>28946</v>
      </c>
      <c r="D674" s="1786" t="str">
        <f t="shared" si="112"/>
        <v>אינפיניטי גמל מסלול לבני 50 ומטה</v>
      </c>
      <c r="E674" s="1786" t="s">
        <v>3929</v>
      </c>
      <c r="F674" s="1786" t="s">
        <v>2958</v>
      </c>
      <c r="G674" s="1786" t="s">
        <v>2959</v>
      </c>
      <c r="H674" s="1786" t="str">
        <f t="shared" si="113"/>
        <v>פעיל</v>
      </c>
      <c r="I674" s="1788">
        <f t="shared" si="114"/>
        <v>38342</v>
      </c>
      <c r="J674" s="1788" t="str">
        <f t="shared" si="115"/>
        <v/>
      </c>
      <c r="K674" s="1786">
        <v>0</v>
      </c>
      <c r="L674" s="1786" t="s">
        <v>1594</v>
      </c>
      <c r="M674" s="1786" t="s">
        <v>1653</v>
      </c>
      <c r="N674" s="1786" t="s">
        <v>1653</v>
      </c>
      <c r="O674" s="1786">
        <v>0</v>
      </c>
      <c r="P674" s="1786"/>
      <c r="Q674" s="1786">
        <v>0</v>
      </c>
      <c r="R674" s="1788"/>
      <c r="S674" s="1786">
        <f t="shared" si="116"/>
        <v>1078</v>
      </c>
      <c r="T674" s="1786" t="str">
        <f t="shared" si="117"/>
        <v>לאומי</v>
      </c>
      <c r="U674" s="1786" t="str">
        <f t="shared" si="118"/>
        <v>אינפיניטי גמל אג"ח</v>
      </c>
      <c r="V674" s="1786" t="str">
        <f t="shared" si="119"/>
        <v>512475104</v>
      </c>
      <c r="W674" s="1789" t="str">
        <f t="shared" si="120"/>
        <v>אינפיניטי ניהול השתלמות וגמל בע"מ</v>
      </c>
      <c r="AC674" s="1759" t="s">
        <v>346</v>
      </c>
      <c r="AD674" s="1759"/>
      <c r="AE674" s="1760">
        <v>38342</v>
      </c>
      <c r="AF674" s="1759" t="s">
        <v>4151</v>
      </c>
      <c r="AG674" s="1759" t="s">
        <v>3931</v>
      </c>
      <c r="AH674" s="1759" t="s">
        <v>3658</v>
      </c>
      <c r="AI674" s="1759" t="s">
        <v>4210</v>
      </c>
      <c r="AJ674" s="1759" t="s">
        <v>4210</v>
      </c>
      <c r="AK674" s="1759">
        <v>7231</v>
      </c>
      <c r="AL674" s="1759" t="s">
        <v>4027</v>
      </c>
      <c r="AM674" s="1759">
        <v>1078</v>
      </c>
      <c r="AN674" s="1759" t="s">
        <v>5305</v>
      </c>
      <c r="AO674" s="1764"/>
      <c r="AP674" s="1759" t="s">
        <v>5368</v>
      </c>
      <c r="AQ674" s="1759" t="s">
        <v>5369</v>
      </c>
      <c r="AR674" s="1759" t="s">
        <v>650</v>
      </c>
      <c r="AS674" s="1759" t="s">
        <v>651</v>
      </c>
      <c r="AT674" s="1759" t="s">
        <v>327</v>
      </c>
      <c r="AU674" s="1763"/>
      <c r="AV674" s="1763"/>
    </row>
    <row r="675" spans="1:48" ht="37.5" hidden="1">
      <c r="A675" s="1785" t="str">
        <f t="shared" si="110"/>
        <v>גמל</v>
      </c>
      <c r="B675" s="1786">
        <f t="shared" si="111"/>
        <v>1536</v>
      </c>
      <c r="C675" s="1787">
        <v>28946</v>
      </c>
      <c r="D675" s="1786" t="str">
        <f t="shared" si="112"/>
        <v>אינפיניטי גמל  מניות בחו"ל</v>
      </c>
      <c r="E675" s="1786" t="s">
        <v>3929</v>
      </c>
      <c r="F675" s="1786" t="s">
        <v>2958</v>
      </c>
      <c r="G675" s="1786" t="s">
        <v>2959</v>
      </c>
      <c r="H675" s="1786" t="str">
        <f t="shared" si="113"/>
        <v>פעיל</v>
      </c>
      <c r="I675" s="1788">
        <f t="shared" si="114"/>
        <v>38342</v>
      </c>
      <c r="J675" s="1788" t="str">
        <f t="shared" si="115"/>
        <v/>
      </c>
      <c r="K675" s="1786">
        <v>0</v>
      </c>
      <c r="L675" s="1786" t="s">
        <v>1594</v>
      </c>
      <c r="M675" s="1786" t="s">
        <v>1653</v>
      </c>
      <c r="N675" s="1786" t="s">
        <v>1653</v>
      </c>
      <c r="O675" s="1786">
        <v>0</v>
      </c>
      <c r="P675" s="1786"/>
      <c r="Q675" s="1786">
        <v>0</v>
      </c>
      <c r="R675" s="1788"/>
      <c r="S675" s="1786">
        <f t="shared" si="116"/>
        <v>1078</v>
      </c>
      <c r="T675" s="1786" t="str">
        <f t="shared" si="117"/>
        <v>לאומי</v>
      </c>
      <c r="U675" s="1786" t="str">
        <f t="shared" si="118"/>
        <v>אינפיניטי גמל אג"ח</v>
      </c>
      <c r="V675" s="1786" t="str">
        <f t="shared" si="119"/>
        <v>512475104</v>
      </c>
      <c r="W675" s="1789" t="str">
        <f t="shared" si="120"/>
        <v>אינפיניטי ניהול השתלמות וגמל בע"מ</v>
      </c>
      <c r="AC675" s="1761" t="s">
        <v>346</v>
      </c>
      <c r="AD675" s="1761"/>
      <c r="AE675" s="1762">
        <v>38342</v>
      </c>
      <c r="AF675" s="1761" t="s">
        <v>1948</v>
      </c>
      <c r="AG675" s="1761" t="s">
        <v>75</v>
      </c>
      <c r="AH675" s="1761" t="s">
        <v>1594</v>
      </c>
      <c r="AI675" s="1761" t="s">
        <v>4125</v>
      </c>
      <c r="AJ675" s="1761" t="s">
        <v>4125</v>
      </c>
      <c r="AK675" s="1761">
        <v>1536</v>
      </c>
      <c r="AL675" s="1761" t="s">
        <v>4027</v>
      </c>
      <c r="AM675" s="1761">
        <v>1078</v>
      </c>
      <c r="AN675" s="1761" t="s">
        <v>5305</v>
      </c>
      <c r="AO675" s="1764"/>
      <c r="AP675" s="1761" t="s">
        <v>5368</v>
      </c>
      <c r="AQ675" s="1761" t="s">
        <v>5369</v>
      </c>
      <c r="AR675" s="1761" t="s">
        <v>650</v>
      </c>
      <c r="AS675" s="1761" t="s">
        <v>651</v>
      </c>
      <c r="AT675" s="1761" t="s">
        <v>327</v>
      </c>
      <c r="AU675" s="1763"/>
      <c r="AV675" s="1763"/>
    </row>
    <row r="676" spans="1:48" ht="37.5" hidden="1">
      <c r="A676" s="1785" t="str">
        <f t="shared" si="110"/>
        <v>גמל</v>
      </c>
      <c r="B676" s="1786">
        <f t="shared" si="111"/>
        <v>7233</v>
      </c>
      <c r="C676" s="1787">
        <v>28946</v>
      </c>
      <c r="D676" s="1786" t="str">
        <f t="shared" si="112"/>
        <v>אינפיניטי גמל מסלול לבני 60 ומעלה</v>
      </c>
      <c r="E676" s="1786" t="s">
        <v>3929</v>
      </c>
      <c r="F676" s="1786" t="s">
        <v>2958</v>
      </c>
      <c r="G676" s="1786" t="s">
        <v>2959</v>
      </c>
      <c r="H676" s="1786" t="str">
        <f t="shared" si="113"/>
        <v>פעיל</v>
      </c>
      <c r="I676" s="1788">
        <f t="shared" si="114"/>
        <v>38342</v>
      </c>
      <c r="J676" s="1788" t="str">
        <f t="shared" si="115"/>
        <v/>
      </c>
      <c r="K676" s="1786">
        <v>0</v>
      </c>
      <c r="L676" s="1786" t="s">
        <v>1594</v>
      </c>
      <c r="M676" s="1786" t="s">
        <v>1653</v>
      </c>
      <c r="N676" s="1786" t="s">
        <v>1653</v>
      </c>
      <c r="O676" s="1786">
        <v>0</v>
      </c>
      <c r="P676" s="1786"/>
      <c r="Q676" s="1786">
        <v>0</v>
      </c>
      <c r="R676" s="1788"/>
      <c r="S676" s="1786">
        <f t="shared" si="116"/>
        <v>1078</v>
      </c>
      <c r="T676" s="1786" t="str">
        <f t="shared" si="117"/>
        <v>לאומי</v>
      </c>
      <c r="U676" s="1786" t="str">
        <f t="shared" si="118"/>
        <v>אינפיניטי גמל אג"ח</v>
      </c>
      <c r="V676" s="1786" t="str">
        <f t="shared" si="119"/>
        <v>512475104</v>
      </c>
      <c r="W676" s="1789" t="str">
        <f t="shared" si="120"/>
        <v>אינפיניטי ניהול השתלמות וגמל בע"מ</v>
      </c>
      <c r="AC676" s="1759" t="s">
        <v>346</v>
      </c>
      <c r="AD676" s="1759"/>
      <c r="AE676" s="1760">
        <v>38342</v>
      </c>
      <c r="AF676" s="1759" t="s">
        <v>3963</v>
      </c>
      <c r="AG676" s="1759" t="s">
        <v>3931</v>
      </c>
      <c r="AH676" s="1759" t="s">
        <v>3658</v>
      </c>
      <c r="AI676" s="1759" t="s">
        <v>4212</v>
      </c>
      <c r="AJ676" s="1759" t="s">
        <v>4212</v>
      </c>
      <c r="AK676" s="1759">
        <v>7233</v>
      </c>
      <c r="AL676" s="1759" t="s">
        <v>4027</v>
      </c>
      <c r="AM676" s="1759">
        <v>1078</v>
      </c>
      <c r="AN676" s="1759" t="s">
        <v>5305</v>
      </c>
      <c r="AO676" s="1764"/>
      <c r="AP676" s="1759" t="s">
        <v>5368</v>
      </c>
      <c r="AQ676" s="1759" t="s">
        <v>5369</v>
      </c>
      <c r="AR676" s="1759" t="s">
        <v>650</v>
      </c>
      <c r="AS676" s="1759" t="s">
        <v>651</v>
      </c>
      <c r="AT676" s="1759" t="s">
        <v>327</v>
      </c>
      <c r="AU676" s="1763"/>
      <c r="AV676" s="1763"/>
    </row>
    <row r="677" spans="1:48" ht="37.5" hidden="1">
      <c r="A677" s="1785" t="str">
        <f t="shared" si="110"/>
        <v>גמל</v>
      </c>
      <c r="B677" s="1786">
        <f t="shared" si="111"/>
        <v>8391</v>
      </c>
      <c r="C677" s="1787">
        <v>28946</v>
      </c>
      <c r="D677" s="1786" t="str">
        <f t="shared" si="112"/>
        <v>אינפיניטי גמל עד 15% מניות</v>
      </c>
      <c r="E677" s="1786" t="s">
        <v>3929</v>
      </c>
      <c r="F677" s="1786" t="s">
        <v>2958</v>
      </c>
      <c r="G677" s="1786" t="s">
        <v>2959</v>
      </c>
      <c r="H677" s="1786" t="str">
        <f t="shared" si="113"/>
        <v>לא פעיל</v>
      </c>
      <c r="I677" s="1788">
        <f t="shared" si="114"/>
        <v>38342</v>
      </c>
      <c r="J677" s="1788">
        <f t="shared" si="115"/>
        <v>42370.760821759301</v>
      </c>
      <c r="K677" s="1786">
        <v>0</v>
      </c>
      <c r="L677" s="1786" t="s">
        <v>1594</v>
      </c>
      <c r="M677" s="1786" t="s">
        <v>1653</v>
      </c>
      <c r="N677" s="1786" t="s">
        <v>1653</v>
      </c>
      <c r="O677" s="1786">
        <v>0</v>
      </c>
      <c r="P677" s="1786"/>
      <c r="Q677" s="1786">
        <v>0</v>
      </c>
      <c r="R677" s="1788"/>
      <c r="S677" s="1786">
        <f t="shared" si="116"/>
        <v>1078</v>
      </c>
      <c r="T677" s="1786" t="str">
        <f t="shared" si="117"/>
        <v>לאומי</v>
      </c>
      <c r="U677" s="1786" t="str">
        <f t="shared" si="118"/>
        <v>אינפיניטי גמל אג"ח</v>
      </c>
      <c r="V677" s="1786" t="str">
        <f t="shared" si="119"/>
        <v>512475104</v>
      </c>
      <c r="W677" s="1789" t="str">
        <f t="shared" si="120"/>
        <v>אינפיניטי ניהול השתלמות וגמל בע"מ</v>
      </c>
      <c r="AC677" s="1761" t="s">
        <v>1586</v>
      </c>
      <c r="AD677" s="1762">
        <v>42370.760821759301</v>
      </c>
      <c r="AE677" s="1762">
        <v>38342</v>
      </c>
      <c r="AF677" s="1761" t="s">
        <v>1583</v>
      </c>
      <c r="AG677" s="1761" t="s">
        <v>1583</v>
      </c>
      <c r="AH677" s="1761" t="s">
        <v>1583</v>
      </c>
      <c r="AI677" s="1761" t="s">
        <v>2932</v>
      </c>
      <c r="AJ677" s="1761" t="s">
        <v>2932</v>
      </c>
      <c r="AK677" s="1761">
        <v>8391</v>
      </c>
      <c r="AL677" s="1761" t="s">
        <v>4027</v>
      </c>
      <c r="AM677" s="1761">
        <v>1078</v>
      </c>
      <c r="AN677" s="1761" t="s">
        <v>5305</v>
      </c>
      <c r="AO677" s="1764"/>
      <c r="AP677" s="1761" t="s">
        <v>5368</v>
      </c>
      <c r="AQ677" s="1761" t="s">
        <v>5369</v>
      </c>
      <c r="AR677" s="1761" t="s">
        <v>650</v>
      </c>
      <c r="AS677" s="1761" t="s">
        <v>651</v>
      </c>
      <c r="AT677" s="1761" t="s">
        <v>327</v>
      </c>
      <c r="AU677" s="1763"/>
      <c r="AV677" s="1763"/>
    </row>
    <row r="678" spans="1:48" ht="37.5" hidden="1">
      <c r="A678" s="1785" t="str">
        <f t="shared" si="110"/>
        <v>גמל</v>
      </c>
      <c r="B678" s="1786">
        <f t="shared" si="111"/>
        <v>8392</v>
      </c>
      <c r="C678" s="1787">
        <v>28946</v>
      </c>
      <c r="D678" s="1786" t="str">
        <f t="shared" si="112"/>
        <v>אינפיניטי גמל לפחות 40% מניות</v>
      </c>
      <c r="E678" s="1786" t="s">
        <v>3929</v>
      </c>
      <c r="F678" s="1786" t="s">
        <v>2958</v>
      </c>
      <c r="G678" s="1786" t="s">
        <v>2959</v>
      </c>
      <c r="H678" s="1786" t="str">
        <f t="shared" si="113"/>
        <v>לא פעיל</v>
      </c>
      <c r="I678" s="1788">
        <f t="shared" si="114"/>
        <v>38342</v>
      </c>
      <c r="J678" s="1788">
        <f t="shared" si="115"/>
        <v>42370.760821759301</v>
      </c>
      <c r="K678" s="1786">
        <v>0</v>
      </c>
      <c r="L678" s="1786" t="s">
        <v>1594</v>
      </c>
      <c r="M678" s="1786" t="s">
        <v>1653</v>
      </c>
      <c r="N678" s="1786" t="s">
        <v>1653</v>
      </c>
      <c r="O678" s="1786">
        <v>0</v>
      </c>
      <c r="P678" s="1786"/>
      <c r="Q678" s="1786">
        <v>0</v>
      </c>
      <c r="R678" s="1788"/>
      <c r="S678" s="1786">
        <f t="shared" si="116"/>
        <v>1078</v>
      </c>
      <c r="T678" s="1786" t="str">
        <f t="shared" si="117"/>
        <v>לאומי</v>
      </c>
      <c r="U678" s="1786" t="str">
        <f t="shared" si="118"/>
        <v>אינפיניטי גמל אג"ח</v>
      </c>
      <c r="V678" s="1786" t="str">
        <f t="shared" si="119"/>
        <v>512475104</v>
      </c>
      <c r="W678" s="1789" t="str">
        <f t="shared" si="120"/>
        <v>אינפיניטי ניהול השתלמות וגמל בע"מ</v>
      </c>
      <c r="AC678" s="1759" t="s">
        <v>1586</v>
      </c>
      <c r="AD678" s="1760">
        <v>42370.760821759301</v>
      </c>
      <c r="AE678" s="1760">
        <v>38342</v>
      </c>
      <c r="AF678" s="1759" t="s">
        <v>1583</v>
      </c>
      <c r="AG678" s="1759" t="s">
        <v>1583</v>
      </c>
      <c r="AH678" s="1759" t="s">
        <v>1583</v>
      </c>
      <c r="AI678" s="1759" t="s">
        <v>2933</v>
      </c>
      <c r="AJ678" s="1759" t="s">
        <v>2933</v>
      </c>
      <c r="AK678" s="1759">
        <v>8392</v>
      </c>
      <c r="AL678" s="1759" t="s">
        <v>4027</v>
      </c>
      <c r="AM678" s="1759">
        <v>1078</v>
      </c>
      <c r="AN678" s="1759" t="s">
        <v>5305</v>
      </c>
      <c r="AO678" s="1764"/>
      <c r="AP678" s="1759" t="s">
        <v>5368</v>
      </c>
      <c r="AQ678" s="1759" t="s">
        <v>5369</v>
      </c>
      <c r="AR678" s="1759" t="s">
        <v>650</v>
      </c>
      <c r="AS678" s="1759" t="s">
        <v>651</v>
      </c>
      <c r="AT678" s="1759" t="s">
        <v>327</v>
      </c>
      <c r="AU678" s="1763"/>
      <c r="AV678" s="1763"/>
    </row>
    <row r="679" spans="1:48" ht="37.5" hidden="1">
      <c r="A679" s="1785" t="str">
        <f t="shared" si="110"/>
        <v>גמל</v>
      </c>
      <c r="B679" s="1786">
        <f t="shared" si="111"/>
        <v>1490</v>
      </c>
      <c r="C679" s="1787">
        <v>28946</v>
      </c>
      <c r="D679" s="1786" t="str">
        <f t="shared" si="112"/>
        <v>אינפיניטי גמל  אג"ח קונצרני</v>
      </c>
      <c r="E679" s="1786" t="s">
        <v>3929</v>
      </c>
      <c r="F679" s="1786" t="s">
        <v>2958</v>
      </c>
      <c r="G679" s="1786" t="s">
        <v>2959</v>
      </c>
      <c r="H679" s="1786" t="str">
        <f t="shared" si="113"/>
        <v>פעיל</v>
      </c>
      <c r="I679" s="1788">
        <f t="shared" si="114"/>
        <v>38342</v>
      </c>
      <c r="J679" s="1788" t="str">
        <f t="shared" si="115"/>
        <v/>
      </c>
      <c r="K679" s="1786">
        <v>0</v>
      </c>
      <c r="L679" s="1786" t="s">
        <v>1594</v>
      </c>
      <c r="M679" s="1786" t="s">
        <v>1653</v>
      </c>
      <c r="N679" s="1786" t="s">
        <v>1653</v>
      </c>
      <c r="O679" s="1786">
        <v>0</v>
      </c>
      <c r="P679" s="1786"/>
      <c r="Q679" s="1786">
        <v>0</v>
      </c>
      <c r="R679" s="1788"/>
      <c r="S679" s="1786">
        <f t="shared" si="116"/>
        <v>1078</v>
      </c>
      <c r="T679" s="1786" t="str">
        <f t="shared" si="117"/>
        <v>לאומי</v>
      </c>
      <c r="U679" s="1786" t="str">
        <f t="shared" si="118"/>
        <v>אינפיניטי גמל אג"ח</v>
      </c>
      <c r="V679" s="1786" t="str">
        <f t="shared" si="119"/>
        <v>512475104</v>
      </c>
      <c r="W679" s="1789" t="str">
        <f t="shared" si="120"/>
        <v>אינפיניטי ניהול השתלמות וגמל בע"מ</v>
      </c>
      <c r="AC679" s="1761" t="s">
        <v>346</v>
      </c>
      <c r="AD679" s="1761"/>
      <c r="AE679" s="1762">
        <v>38342</v>
      </c>
      <c r="AF679" s="1761" t="s">
        <v>3010</v>
      </c>
      <c r="AG679" s="1761" t="s">
        <v>1653</v>
      </c>
      <c r="AH679" s="1761" t="s">
        <v>1594</v>
      </c>
      <c r="AI679" s="1761" t="s">
        <v>4115</v>
      </c>
      <c r="AJ679" s="1761" t="s">
        <v>4115</v>
      </c>
      <c r="AK679" s="1761">
        <v>1490</v>
      </c>
      <c r="AL679" s="1761" t="s">
        <v>4027</v>
      </c>
      <c r="AM679" s="1761">
        <v>1078</v>
      </c>
      <c r="AN679" s="1761" t="s">
        <v>5305</v>
      </c>
      <c r="AO679" s="1764"/>
      <c r="AP679" s="1761" t="s">
        <v>5368</v>
      </c>
      <c r="AQ679" s="1761" t="s">
        <v>5369</v>
      </c>
      <c r="AR679" s="1761" t="s">
        <v>650</v>
      </c>
      <c r="AS679" s="1761" t="s">
        <v>651</v>
      </c>
      <c r="AT679" s="1761" t="s">
        <v>327</v>
      </c>
      <c r="AU679" s="1763"/>
      <c r="AV679" s="1763"/>
    </row>
    <row r="680" spans="1:48" ht="37.5" hidden="1">
      <c r="A680" s="1785" t="str">
        <f t="shared" si="110"/>
        <v>גמל</v>
      </c>
      <c r="B680" s="1786">
        <f t="shared" si="111"/>
        <v>7232</v>
      </c>
      <c r="C680" s="1787">
        <v>28946</v>
      </c>
      <c r="D680" s="1786" t="str">
        <f t="shared" si="112"/>
        <v>אינפיניטי גמל מסלול לבני 50 עד 60</v>
      </c>
      <c r="E680" s="1786" t="s">
        <v>3929</v>
      </c>
      <c r="F680" s="1786" t="s">
        <v>2958</v>
      </c>
      <c r="G680" s="1786" t="s">
        <v>2959</v>
      </c>
      <c r="H680" s="1786" t="str">
        <f t="shared" si="113"/>
        <v>פעיל</v>
      </c>
      <c r="I680" s="1788">
        <f t="shared" si="114"/>
        <v>38342</v>
      </c>
      <c r="J680" s="1788" t="str">
        <f t="shared" si="115"/>
        <v/>
      </c>
      <c r="K680" s="1786">
        <v>0</v>
      </c>
      <c r="L680" s="1786" t="s">
        <v>1594</v>
      </c>
      <c r="M680" s="1786" t="s">
        <v>1653</v>
      </c>
      <c r="N680" s="1786" t="s">
        <v>1653</v>
      </c>
      <c r="O680" s="1786">
        <v>0</v>
      </c>
      <c r="P680" s="1786"/>
      <c r="Q680" s="1786">
        <v>0</v>
      </c>
      <c r="R680" s="1788"/>
      <c r="S680" s="1786">
        <f t="shared" si="116"/>
        <v>1078</v>
      </c>
      <c r="T680" s="1786" t="str">
        <f t="shared" si="117"/>
        <v>לאומי</v>
      </c>
      <c r="U680" s="1786" t="str">
        <f t="shared" si="118"/>
        <v>אינפיניטי גמל אג"ח</v>
      </c>
      <c r="V680" s="1786" t="str">
        <f t="shared" si="119"/>
        <v>512475104</v>
      </c>
      <c r="W680" s="1789" t="str">
        <f t="shared" si="120"/>
        <v>אינפיניטי ניהול השתלמות וגמל בע"מ</v>
      </c>
      <c r="AC680" s="1759" t="s">
        <v>346</v>
      </c>
      <c r="AD680" s="1759"/>
      <c r="AE680" s="1760">
        <v>38342</v>
      </c>
      <c r="AF680" s="1759" t="s">
        <v>3932</v>
      </c>
      <c r="AG680" s="1759" t="s">
        <v>3931</v>
      </c>
      <c r="AH680" s="1759" t="s">
        <v>3658</v>
      </c>
      <c r="AI680" s="1759" t="s">
        <v>4211</v>
      </c>
      <c r="AJ680" s="1759" t="s">
        <v>4211</v>
      </c>
      <c r="AK680" s="1759">
        <v>7232</v>
      </c>
      <c r="AL680" s="1759" t="s">
        <v>4027</v>
      </c>
      <c r="AM680" s="1759">
        <v>1078</v>
      </c>
      <c r="AN680" s="1759" t="s">
        <v>5305</v>
      </c>
      <c r="AO680" s="1764"/>
      <c r="AP680" s="1759" t="s">
        <v>5368</v>
      </c>
      <c r="AQ680" s="1759" t="s">
        <v>5369</v>
      </c>
      <c r="AR680" s="1759" t="s">
        <v>650</v>
      </c>
      <c r="AS680" s="1759" t="s">
        <v>651</v>
      </c>
      <c r="AT680" s="1759" t="s">
        <v>327</v>
      </c>
      <c r="AU680" s="1763"/>
      <c r="AV680" s="1763"/>
    </row>
    <row r="681" spans="1:48" ht="37.5" hidden="1">
      <c r="A681" s="1785" t="str">
        <f t="shared" si="110"/>
        <v>גמל</v>
      </c>
      <c r="B681" s="1786">
        <f t="shared" si="111"/>
        <v>1077</v>
      </c>
      <c r="C681" s="1787">
        <v>28946</v>
      </c>
      <c r="D681" s="1786" t="str">
        <f t="shared" si="112"/>
        <v>אינפיניטי תגמולים ופיצויים (ל) מסלול כללי</v>
      </c>
      <c r="E681" s="1786" t="s">
        <v>3929</v>
      </c>
      <c r="F681" s="1786" t="s">
        <v>2958</v>
      </c>
      <c r="G681" s="1786" t="s">
        <v>2959</v>
      </c>
      <c r="H681" s="1786" t="str">
        <f t="shared" si="113"/>
        <v>לא פעיל</v>
      </c>
      <c r="I681" s="1788">
        <f t="shared" si="114"/>
        <v>38322</v>
      </c>
      <c r="J681" s="1788">
        <f t="shared" si="115"/>
        <v>40546.427905092598</v>
      </c>
      <c r="K681" s="1786">
        <v>0</v>
      </c>
      <c r="L681" s="1786" t="s">
        <v>1594</v>
      </c>
      <c r="M681" s="1786" t="s">
        <v>1653</v>
      </c>
      <c r="N681" s="1786" t="s">
        <v>1653</v>
      </c>
      <c r="O681" s="1786">
        <v>0</v>
      </c>
      <c r="P681" s="1786"/>
      <c r="Q681" s="1786">
        <v>0</v>
      </c>
      <c r="R681" s="1788"/>
      <c r="S681" s="1786">
        <f t="shared" si="116"/>
        <v>1077</v>
      </c>
      <c r="T681" s="1786" t="str">
        <f t="shared" si="117"/>
        <v>בנק לאומי בע"מ</v>
      </c>
      <c r="U681" s="1786" t="str">
        <f t="shared" si="118"/>
        <v>אינפיניטי תגמולים ופיצויים (ל) מסלול כללי</v>
      </c>
      <c r="V681" s="1786" t="str">
        <f t="shared" si="119"/>
        <v>512475104</v>
      </c>
      <c r="W681" s="1789" t="str">
        <f t="shared" si="120"/>
        <v>אינפיניטי ניהול השתלמות וגמל בע"מ</v>
      </c>
      <c r="AC681" s="1761" t="s">
        <v>1586</v>
      </c>
      <c r="AD681" s="1762">
        <v>40546.427905092598</v>
      </c>
      <c r="AE681" s="1762">
        <v>38322</v>
      </c>
      <c r="AF681" s="1761" t="s">
        <v>1583</v>
      </c>
      <c r="AG681" s="1761" t="s">
        <v>1583</v>
      </c>
      <c r="AH681" s="1761" t="s">
        <v>1583</v>
      </c>
      <c r="AI681" s="1761" t="s">
        <v>3509</v>
      </c>
      <c r="AJ681" s="1761" t="s">
        <v>2254</v>
      </c>
      <c r="AK681" s="1761">
        <v>1077</v>
      </c>
      <c r="AL681" s="1761" t="s">
        <v>2254</v>
      </c>
      <c r="AM681" s="1761">
        <v>1077</v>
      </c>
      <c r="AN681" s="1761" t="s">
        <v>5470</v>
      </c>
      <c r="AO681" s="1764"/>
      <c r="AP681" s="1761" t="s">
        <v>5368</v>
      </c>
      <c r="AQ681" s="1761" t="s">
        <v>5369</v>
      </c>
      <c r="AR681" s="1761" t="s">
        <v>650</v>
      </c>
      <c r="AS681" s="1761" t="s">
        <v>651</v>
      </c>
      <c r="AT681" s="1761" t="s">
        <v>327</v>
      </c>
      <c r="AU681" s="1763"/>
      <c r="AV681" s="1763"/>
    </row>
    <row r="682" spans="1:48" ht="37.5" hidden="1">
      <c r="A682" s="1785" t="str">
        <f t="shared" si="110"/>
        <v>גמל</v>
      </c>
      <c r="B682" s="1786">
        <f t="shared" si="111"/>
        <v>1076</v>
      </c>
      <c r="C682" s="1787">
        <v>28946</v>
      </c>
      <c r="D682" s="1786" t="str">
        <f t="shared" si="112"/>
        <v>אינפיניטי תגמולים ופיצויים (ל) מסלול סל אג"ח</v>
      </c>
      <c r="E682" s="1786" t="s">
        <v>3929</v>
      </c>
      <c r="F682" s="1786" t="s">
        <v>2958</v>
      </c>
      <c r="G682" s="1786" t="s">
        <v>2959</v>
      </c>
      <c r="H682" s="1786" t="str">
        <f t="shared" si="113"/>
        <v>לא פעיל</v>
      </c>
      <c r="I682" s="1788">
        <f t="shared" si="114"/>
        <v>38322</v>
      </c>
      <c r="J682" s="1788">
        <f t="shared" si="115"/>
        <v>40546.433101851901</v>
      </c>
      <c r="K682" s="1786">
        <v>0</v>
      </c>
      <c r="L682" s="1786" t="s">
        <v>1594</v>
      </c>
      <c r="M682" s="1786" t="s">
        <v>1653</v>
      </c>
      <c r="N682" s="1786" t="s">
        <v>1653</v>
      </c>
      <c r="O682" s="1786">
        <v>0</v>
      </c>
      <c r="P682" s="1786"/>
      <c r="Q682" s="1786">
        <v>0</v>
      </c>
      <c r="R682" s="1788"/>
      <c r="S682" s="1786">
        <f t="shared" si="116"/>
        <v>1076</v>
      </c>
      <c r="T682" s="1786" t="str">
        <f t="shared" si="117"/>
        <v>בנק לאומי בע"מ</v>
      </c>
      <c r="U682" s="1786" t="str">
        <f t="shared" si="118"/>
        <v>אינפיניטי תגמולים ופיצויים (ל) מסלול סל אג"ח</v>
      </c>
      <c r="V682" s="1786" t="str">
        <f t="shared" si="119"/>
        <v>512475104</v>
      </c>
      <c r="W682" s="1789" t="str">
        <f t="shared" si="120"/>
        <v>אינפיניטי ניהול השתלמות וגמל בע"מ</v>
      </c>
      <c r="AC682" s="1759" t="s">
        <v>1586</v>
      </c>
      <c r="AD682" s="1760">
        <v>40546.433101851901</v>
      </c>
      <c r="AE682" s="1760">
        <v>38322</v>
      </c>
      <c r="AF682" s="1759" t="s">
        <v>1653</v>
      </c>
      <c r="AG682" s="1759" t="s">
        <v>1653</v>
      </c>
      <c r="AH682" s="1759" t="s">
        <v>1594</v>
      </c>
      <c r="AI682" s="1759" t="s">
        <v>3508</v>
      </c>
      <c r="AJ682" s="1759" t="s">
        <v>2253</v>
      </c>
      <c r="AK682" s="1759">
        <v>1076</v>
      </c>
      <c r="AL682" s="1759" t="s">
        <v>2253</v>
      </c>
      <c r="AM682" s="1759">
        <v>1076</v>
      </c>
      <c r="AN682" s="1759" t="s">
        <v>5470</v>
      </c>
      <c r="AO682" s="1764"/>
      <c r="AP682" s="1759" t="s">
        <v>5368</v>
      </c>
      <c r="AQ682" s="1759" t="s">
        <v>5369</v>
      </c>
      <c r="AR682" s="1759" t="s">
        <v>650</v>
      </c>
      <c r="AS682" s="1759" t="s">
        <v>651</v>
      </c>
      <c r="AT682" s="1759" t="s">
        <v>327</v>
      </c>
      <c r="AU682" s="1763"/>
      <c r="AV682" s="1763"/>
    </row>
    <row r="683" spans="1:48" ht="37.5" hidden="1">
      <c r="A683" s="1785" t="str">
        <f t="shared" si="110"/>
        <v>גמל</v>
      </c>
      <c r="B683" s="1786">
        <f t="shared" si="111"/>
        <v>1075</v>
      </c>
      <c r="C683" s="1787">
        <v>28946</v>
      </c>
      <c r="D683" s="1786" t="str">
        <f t="shared" si="112"/>
        <v>אינפיניטי תגמולים ופיצויים (ב) מסלול סל מנייתי</v>
      </c>
      <c r="E683" s="1786" t="s">
        <v>3929</v>
      </c>
      <c r="F683" s="1786" t="s">
        <v>2958</v>
      </c>
      <c r="G683" s="1786" t="s">
        <v>2959</v>
      </c>
      <c r="H683" s="1786" t="str">
        <f t="shared" si="113"/>
        <v>לא פעיל</v>
      </c>
      <c r="I683" s="1788">
        <f t="shared" si="114"/>
        <v>38322</v>
      </c>
      <c r="J683" s="1788">
        <f t="shared" si="115"/>
        <v>40546.425787036998</v>
      </c>
      <c r="K683" s="1786">
        <v>0</v>
      </c>
      <c r="L683" s="1786" t="s">
        <v>1594</v>
      </c>
      <c r="M683" s="1786" t="s">
        <v>1653</v>
      </c>
      <c r="N683" s="1786" t="s">
        <v>1653</v>
      </c>
      <c r="O683" s="1786">
        <v>0</v>
      </c>
      <c r="P683" s="1786"/>
      <c r="Q683" s="1786">
        <v>0</v>
      </c>
      <c r="R683" s="1788"/>
      <c r="S683" s="1786">
        <f t="shared" si="116"/>
        <v>1074</v>
      </c>
      <c r="T683" s="1786" t="str">
        <f t="shared" si="117"/>
        <v>הבנק הבינלאומי הראשון</v>
      </c>
      <c r="U683" s="1786" t="str">
        <f t="shared" si="118"/>
        <v>אינפיניטי תגמולים ופיצויים (ב)מסלול סל אג"ח</v>
      </c>
      <c r="V683" s="1786" t="str">
        <f t="shared" si="119"/>
        <v>512475104</v>
      </c>
      <c r="W683" s="1789" t="str">
        <f t="shared" si="120"/>
        <v>אינפיניטי ניהול השתלמות וגמל בע"מ</v>
      </c>
      <c r="AC683" s="1761" t="s">
        <v>1586</v>
      </c>
      <c r="AD683" s="1762">
        <v>40546.425787036998</v>
      </c>
      <c r="AE683" s="1762">
        <v>38322</v>
      </c>
      <c r="AF683" s="1761" t="s">
        <v>1595</v>
      </c>
      <c r="AG683" s="1761" t="s">
        <v>75</v>
      </c>
      <c r="AH683" s="1761" t="s">
        <v>1594</v>
      </c>
      <c r="AI683" s="1761" t="s">
        <v>3507</v>
      </c>
      <c r="AJ683" s="1761" t="s">
        <v>2252</v>
      </c>
      <c r="AK683" s="1761">
        <v>1075</v>
      </c>
      <c r="AL683" s="1761" t="s">
        <v>2251</v>
      </c>
      <c r="AM683" s="1761">
        <v>1074</v>
      </c>
      <c r="AN683" s="1761" t="s">
        <v>5384</v>
      </c>
      <c r="AO683" s="1764"/>
      <c r="AP683" s="1761" t="s">
        <v>5368</v>
      </c>
      <c r="AQ683" s="1761" t="s">
        <v>5369</v>
      </c>
      <c r="AR683" s="1761" t="s">
        <v>650</v>
      </c>
      <c r="AS683" s="1761" t="s">
        <v>651</v>
      </c>
      <c r="AT683" s="1761" t="s">
        <v>327</v>
      </c>
      <c r="AU683" s="1763"/>
      <c r="AV683" s="1763"/>
    </row>
    <row r="684" spans="1:48" ht="37.5" hidden="1">
      <c r="A684" s="1785" t="str">
        <f t="shared" si="110"/>
        <v>גמל</v>
      </c>
      <c r="B684" s="1786">
        <f t="shared" si="111"/>
        <v>1074</v>
      </c>
      <c r="C684" s="1787">
        <v>28946</v>
      </c>
      <c r="D684" s="1786" t="str">
        <f t="shared" si="112"/>
        <v>אינפיניטי תגמולים ופיצויים (ב)מסלול סל אג"ח</v>
      </c>
      <c r="E684" s="1786" t="s">
        <v>3929</v>
      </c>
      <c r="F684" s="1786" t="s">
        <v>2958</v>
      </c>
      <c r="G684" s="1786" t="s">
        <v>2959</v>
      </c>
      <c r="H684" s="1786" t="str">
        <f t="shared" si="113"/>
        <v>לא פעיל</v>
      </c>
      <c r="I684" s="1788">
        <f t="shared" si="114"/>
        <v>38322</v>
      </c>
      <c r="J684" s="1788">
        <f t="shared" si="115"/>
        <v>40546.4211574074</v>
      </c>
      <c r="K684" s="1786">
        <v>0</v>
      </c>
      <c r="L684" s="1786" t="s">
        <v>1594</v>
      </c>
      <c r="M684" s="1786" t="s">
        <v>1653</v>
      </c>
      <c r="N684" s="1786" t="s">
        <v>1653</v>
      </c>
      <c r="O684" s="1786">
        <v>0</v>
      </c>
      <c r="P684" s="1786"/>
      <c r="Q684" s="1786">
        <v>0</v>
      </c>
      <c r="R684" s="1788"/>
      <c r="S684" s="1786">
        <f t="shared" si="116"/>
        <v>1074</v>
      </c>
      <c r="T684" s="1786" t="str">
        <f t="shared" si="117"/>
        <v>הבנק הבינלאומי הראשון</v>
      </c>
      <c r="U684" s="1786" t="str">
        <f t="shared" si="118"/>
        <v>אינפיניטי תגמולים ופיצויים (ב)מסלול סל אג"ח</v>
      </c>
      <c r="V684" s="1786" t="str">
        <f t="shared" si="119"/>
        <v>512475104</v>
      </c>
      <c r="W684" s="1789" t="str">
        <f t="shared" si="120"/>
        <v>אינפיניטי ניהול השתלמות וגמל בע"מ</v>
      </c>
      <c r="AC684" s="1759" t="s">
        <v>1586</v>
      </c>
      <c r="AD684" s="1760">
        <v>40546.4211574074</v>
      </c>
      <c r="AE684" s="1760">
        <v>38322</v>
      </c>
      <c r="AF684" s="1759" t="s">
        <v>1653</v>
      </c>
      <c r="AG684" s="1759" t="s">
        <v>1653</v>
      </c>
      <c r="AH684" s="1759" t="s">
        <v>1594</v>
      </c>
      <c r="AI684" s="1759" t="s">
        <v>3506</v>
      </c>
      <c r="AJ684" s="1759" t="s">
        <v>2251</v>
      </c>
      <c r="AK684" s="1759">
        <v>1074</v>
      </c>
      <c r="AL684" s="1759" t="s">
        <v>2251</v>
      </c>
      <c r="AM684" s="1759">
        <v>1074</v>
      </c>
      <c r="AN684" s="1759" t="s">
        <v>5384</v>
      </c>
      <c r="AO684" s="1764"/>
      <c r="AP684" s="1759" t="s">
        <v>5368</v>
      </c>
      <c r="AQ684" s="1759" t="s">
        <v>5369</v>
      </c>
      <c r="AR684" s="1759" t="s">
        <v>650</v>
      </c>
      <c r="AS684" s="1759" t="s">
        <v>651</v>
      </c>
      <c r="AT684" s="1759" t="s">
        <v>327</v>
      </c>
      <c r="AU684" s="1763"/>
      <c r="AV684" s="1763"/>
    </row>
    <row r="685" spans="1:48" ht="25" hidden="1">
      <c r="A685" s="1785" t="str">
        <f t="shared" si="110"/>
        <v>גמל</v>
      </c>
      <c r="B685" s="1786">
        <f t="shared" si="111"/>
        <v>1073</v>
      </c>
      <c r="C685" s="1787">
        <v>28946</v>
      </c>
      <c r="D685" s="1786" t="str">
        <f t="shared" si="112"/>
        <v>מגדל לדמי מחלה</v>
      </c>
      <c r="E685" s="1786" t="s">
        <v>3929</v>
      </c>
      <c r="F685" s="1786" t="s">
        <v>2958</v>
      </c>
      <c r="G685" s="1786" t="s">
        <v>2959</v>
      </c>
      <c r="H685" s="1786" t="str">
        <f t="shared" si="113"/>
        <v>לא פעיל</v>
      </c>
      <c r="I685" s="1788">
        <f t="shared" si="114"/>
        <v>38341</v>
      </c>
      <c r="J685" s="1788">
        <f t="shared" si="115"/>
        <v>39082.501562500001</v>
      </c>
      <c r="K685" s="1786">
        <v>0</v>
      </c>
      <c r="L685" s="1786" t="s">
        <v>1594</v>
      </c>
      <c r="M685" s="1786" t="s">
        <v>1653</v>
      </c>
      <c r="N685" s="1786" t="s">
        <v>1653</v>
      </c>
      <c r="O685" s="1786">
        <v>0</v>
      </c>
      <c r="P685" s="1786"/>
      <c r="Q685" s="1786">
        <v>0</v>
      </c>
      <c r="R685" s="1788"/>
      <c r="S685" s="1786">
        <f t="shared" si="116"/>
        <v>1073</v>
      </c>
      <c r="T685" s="1786" t="str">
        <f t="shared" si="117"/>
        <v>מגדל ביטוח</v>
      </c>
      <c r="U685" s="1786" t="str">
        <f t="shared" si="118"/>
        <v>מגדל לדמי מחלה</v>
      </c>
      <c r="V685" s="1786">
        <f t="shared" si="119"/>
        <v>0</v>
      </c>
      <c r="W685" s="1789" t="str">
        <f t="shared" si="120"/>
        <v>מגדל ניהול קופות גמל בע"מ</v>
      </c>
      <c r="AC685" s="1761" t="s">
        <v>1586</v>
      </c>
      <c r="AD685" s="1762">
        <v>39082.501562500001</v>
      </c>
      <c r="AE685" s="1762">
        <v>38341</v>
      </c>
      <c r="AF685" s="1761" t="s">
        <v>1583</v>
      </c>
      <c r="AG685" s="1761" t="s">
        <v>1583</v>
      </c>
      <c r="AH685" s="1761" t="s">
        <v>1583</v>
      </c>
      <c r="AI685" s="1761" t="s">
        <v>2250</v>
      </c>
      <c r="AJ685" s="1761" t="s">
        <v>2250</v>
      </c>
      <c r="AK685" s="1761">
        <v>1073</v>
      </c>
      <c r="AL685" s="1761" t="s">
        <v>2250</v>
      </c>
      <c r="AM685" s="1761">
        <v>1073</v>
      </c>
      <c r="AN685" s="1761" t="s">
        <v>5399</v>
      </c>
      <c r="AO685" s="1764"/>
      <c r="AP685" s="1761"/>
      <c r="AQ685" s="1761"/>
      <c r="AR685" s="1761" t="s">
        <v>2211</v>
      </c>
      <c r="AS685" s="1761" t="s">
        <v>2210</v>
      </c>
      <c r="AT685" s="1761" t="s">
        <v>327</v>
      </c>
      <c r="AU685" s="1763"/>
      <c r="AV685" s="1763"/>
    </row>
    <row r="686" spans="1:48" ht="25" hidden="1">
      <c r="A686" s="1785" t="str">
        <f t="shared" si="110"/>
        <v>גמל</v>
      </c>
      <c r="B686" s="1786">
        <f t="shared" si="111"/>
        <v>1069</v>
      </c>
      <c r="C686" s="1787">
        <v>28946</v>
      </c>
      <c r="D686" s="1786" t="str">
        <f t="shared" si="112"/>
        <v>איילון לפיצויים מסלול מט"ח</v>
      </c>
      <c r="E686" s="1786" t="s">
        <v>3929</v>
      </c>
      <c r="F686" s="1786" t="s">
        <v>2958</v>
      </c>
      <c r="G686" s="1786" t="s">
        <v>2959</v>
      </c>
      <c r="H686" s="1786" t="str">
        <f t="shared" si="113"/>
        <v>לא פעיל</v>
      </c>
      <c r="I686" s="1788">
        <f t="shared" si="114"/>
        <v>38322</v>
      </c>
      <c r="J686" s="1788">
        <f t="shared" si="115"/>
        <v>41617.597800925898</v>
      </c>
      <c r="K686" s="1786">
        <v>0</v>
      </c>
      <c r="L686" s="1786" t="s">
        <v>1594</v>
      </c>
      <c r="M686" s="1786" t="s">
        <v>1653</v>
      </c>
      <c r="N686" s="1786" t="s">
        <v>1653</v>
      </c>
      <c r="O686" s="1786">
        <v>0</v>
      </c>
      <c r="P686" s="1786"/>
      <c r="Q686" s="1786">
        <v>0</v>
      </c>
      <c r="R686" s="1788"/>
      <c r="S686" s="1786">
        <f t="shared" si="116"/>
        <v>1069</v>
      </c>
      <c r="T686" s="1786" t="str">
        <f t="shared" si="117"/>
        <v>בנק לאומי בע"מ</v>
      </c>
      <c r="U686" s="1786" t="str">
        <f t="shared" si="118"/>
        <v>איילון לפיצויים מסלול מט"ח</v>
      </c>
      <c r="V686" s="1786" t="str">
        <f t="shared" si="119"/>
        <v>520030677</v>
      </c>
      <c r="W686" s="1789" t="str">
        <f t="shared" si="120"/>
        <v>איילון פנסיה וגמל בע"מ</v>
      </c>
      <c r="AC686" s="1759" t="s">
        <v>1586</v>
      </c>
      <c r="AD686" s="1760">
        <v>41617.597800925898</v>
      </c>
      <c r="AE686" s="1760">
        <v>38322</v>
      </c>
      <c r="AF686" s="1759" t="s">
        <v>1611</v>
      </c>
      <c r="AG686" s="1759" t="s">
        <v>1611</v>
      </c>
      <c r="AH686" s="1759" t="s">
        <v>1594</v>
      </c>
      <c r="AI686" s="1759" t="s">
        <v>3501</v>
      </c>
      <c r="AJ686" s="1759" t="s">
        <v>649</v>
      </c>
      <c r="AK686" s="1759">
        <v>1069</v>
      </c>
      <c r="AL686" s="1759" t="s">
        <v>649</v>
      </c>
      <c r="AM686" s="1759">
        <v>1069</v>
      </c>
      <c r="AN686" s="1759" t="s">
        <v>5470</v>
      </c>
      <c r="AO686" s="1764"/>
      <c r="AP686" s="1759" t="s">
        <v>5385</v>
      </c>
      <c r="AQ686" s="1759" t="s">
        <v>5386</v>
      </c>
      <c r="AR686" s="1759" t="s">
        <v>2780</v>
      </c>
      <c r="AS686" s="1759" t="s">
        <v>426</v>
      </c>
      <c r="AT686" s="1759" t="s">
        <v>327</v>
      </c>
      <c r="AU686" s="1763"/>
      <c r="AV686" s="1763"/>
    </row>
    <row r="687" spans="1:48" ht="25" hidden="1">
      <c r="A687" s="1785" t="str">
        <f t="shared" si="110"/>
        <v>גמל</v>
      </c>
      <c r="B687" s="1786">
        <f t="shared" si="111"/>
        <v>1072</v>
      </c>
      <c r="C687" s="1787">
        <v>28946</v>
      </c>
      <c r="D687" s="1786" t="str">
        <f t="shared" si="112"/>
        <v>איילון לפיצויים מסלול כללי</v>
      </c>
      <c r="E687" s="1786" t="s">
        <v>3929</v>
      </c>
      <c r="F687" s="1786" t="s">
        <v>2958</v>
      </c>
      <c r="G687" s="1786" t="s">
        <v>2959</v>
      </c>
      <c r="H687" s="1786" t="str">
        <f t="shared" si="113"/>
        <v>לא פעיל</v>
      </c>
      <c r="I687" s="1788">
        <f t="shared" si="114"/>
        <v>38322</v>
      </c>
      <c r="J687" s="1788">
        <f t="shared" si="115"/>
        <v>41561.442164351902</v>
      </c>
      <c r="K687" s="1786">
        <v>0</v>
      </c>
      <c r="L687" s="1786" t="s">
        <v>1594</v>
      </c>
      <c r="M687" s="1786" t="s">
        <v>1653</v>
      </c>
      <c r="N687" s="1786" t="s">
        <v>1653</v>
      </c>
      <c r="O687" s="1786">
        <v>0</v>
      </c>
      <c r="P687" s="1786"/>
      <c r="Q687" s="1786">
        <v>0</v>
      </c>
      <c r="R687" s="1788"/>
      <c r="S687" s="1786">
        <f t="shared" si="116"/>
        <v>1069</v>
      </c>
      <c r="T687" s="1786" t="str">
        <f t="shared" si="117"/>
        <v>בנק לאומי בע"מ</v>
      </c>
      <c r="U687" s="1786" t="str">
        <f t="shared" si="118"/>
        <v>איילון לפיצויים מסלול מט"ח</v>
      </c>
      <c r="V687" s="1786" t="str">
        <f t="shared" si="119"/>
        <v>520030677</v>
      </c>
      <c r="W687" s="1789" t="str">
        <f t="shared" si="120"/>
        <v>איילון פנסיה וגמל בע"מ</v>
      </c>
      <c r="AC687" s="1761" t="s">
        <v>1586</v>
      </c>
      <c r="AD687" s="1762">
        <v>41561.442164351902</v>
      </c>
      <c r="AE687" s="1762">
        <v>38322</v>
      </c>
      <c r="AF687" s="1761" t="s">
        <v>1583</v>
      </c>
      <c r="AG687" s="1761" t="s">
        <v>1583</v>
      </c>
      <c r="AH687" s="1761" t="s">
        <v>1583</v>
      </c>
      <c r="AI687" s="1761" t="s">
        <v>3505</v>
      </c>
      <c r="AJ687" s="1761" t="s">
        <v>2249</v>
      </c>
      <c r="AK687" s="1761">
        <v>1072</v>
      </c>
      <c r="AL687" s="1761" t="s">
        <v>649</v>
      </c>
      <c r="AM687" s="1761">
        <v>1069</v>
      </c>
      <c r="AN687" s="1761" t="s">
        <v>5470</v>
      </c>
      <c r="AO687" s="1764"/>
      <c r="AP687" s="1761" t="s">
        <v>5385</v>
      </c>
      <c r="AQ687" s="1761" t="s">
        <v>5386</v>
      </c>
      <c r="AR687" s="1761" t="s">
        <v>2780</v>
      </c>
      <c r="AS687" s="1761" t="s">
        <v>426</v>
      </c>
      <c r="AT687" s="1761" t="s">
        <v>327</v>
      </c>
      <c r="AU687" s="1763"/>
      <c r="AV687" s="1763"/>
    </row>
    <row r="688" spans="1:48" ht="25" hidden="1">
      <c r="A688" s="1785" t="str">
        <f t="shared" si="110"/>
        <v>גמל</v>
      </c>
      <c r="B688" s="1786">
        <f t="shared" si="111"/>
        <v>1071</v>
      </c>
      <c r="C688" s="1787">
        <v>28946</v>
      </c>
      <c r="D688" s="1786" t="str">
        <f t="shared" si="112"/>
        <v>איילון לפיצויים מסלול שקלי</v>
      </c>
      <c r="E688" s="1786" t="s">
        <v>3929</v>
      </c>
      <c r="F688" s="1786" t="s">
        <v>2958</v>
      </c>
      <c r="G688" s="1786" t="s">
        <v>2959</v>
      </c>
      <c r="H688" s="1786" t="str">
        <f t="shared" si="113"/>
        <v>לא פעיל</v>
      </c>
      <c r="I688" s="1788">
        <f t="shared" si="114"/>
        <v>38322</v>
      </c>
      <c r="J688" s="1788">
        <f t="shared" si="115"/>
        <v>41617.597800925898</v>
      </c>
      <c r="K688" s="1786">
        <v>0</v>
      </c>
      <c r="L688" s="1786" t="s">
        <v>1594</v>
      </c>
      <c r="M688" s="1786" t="s">
        <v>1653</v>
      </c>
      <c r="N688" s="1786" t="s">
        <v>1653</v>
      </c>
      <c r="O688" s="1786">
        <v>0</v>
      </c>
      <c r="P688" s="1786"/>
      <c r="Q688" s="1786">
        <v>0</v>
      </c>
      <c r="R688" s="1788"/>
      <c r="S688" s="1786">
        <f t="shared" si="116"/>
        <v>1069</v>
      </c>
      <c r="T688" s="1786" t="str">
        <f t="shared" si="117"/>
        <v>בנק לאומי בע"מ</v>
      </c>
      <c r="U688" s="1786" t="str">
        <f t="shared" si="118"/>
        <v>איילון לפיצויים מסלול מט"ח</v>
      </c>
      <c r="V688" s="1786" t="str">
        <f t="shared" si="119"/>
        <v>520030677</v>
      </c>
      <c r="W688" s="1789" t="str">
        <f t="shared" si="120"/>
        <v>איילון פנסיה וגמל בע"מ</v>
      </c>
      <c r="AC688" s="1759" t="s">
        <v>1586</v>
      </c>
      <c r="AD688" s="1760">
        <v>41617.597800925898</v>
      </c>
      <c r="AE688" s="1760">
        <v>38322</v>
      </c>
      <c r="AF688" s="1759" t="s">
        <v>1076</v>
      </c>
      <c r="AG688" s="1759" t="s">
        <v>1614</v>
      </c>
      <c r="AH688" s="1759" t="s">
        <v>1594</v>
      </c>
      <c r="AI688" s="1759" t="s">
        <v>3504</v>
      </c>
      <c r="AJ688" s="1759" t="s">
        <v>2248</v>
      </c>
      <c r="AK688" s="1759">
        <v>1071</v>
      </c>
      <c r="AL688" s="1759" t="s">
        <v>649</v>
      </c>
      <c r="AM688" s="1759">
        <v>1069</v>
      </c>
      <c r="AN688" s="1759" t="s">
        <v>5470</v>
      </c>
      <c r="AO688" s="1764"/>
      <c r="AP688" s="1759" t="s">
        <v>5385</v>
      </c>
      <c r="AQ688" s="1759" t="s">
        <v>5386</v>
      </c>
      <c r="AR688" s="1759" t="s">
        <v>2780</v>
      </c>
      <c r="AS688" s="1759" t="s">
        <v>426</v>
      </c>
      <c r="AT688" s="1759" t="s">
        <v>327</v>
      </c>
      <c r="AU688" s="1763"/>
      <c r="AV688" s="1763"/>
    </row>
    <row r="689" spans="1:48" ht="25" hidden="1">
      <c r="A689" s="1785" t="str">
        <f t="shared" si="110"/>
        <v>גמל</v>
      </c>
      <c r="B689" s="1786">
        <f t="shared" si="111"/>
        <v>953</v>
      </c>
      <c r="C689" s="1787">
        <v>28946</v>
      </c>
      <c r="D689" s="1786" t="str">
        <f t="shared" si="112"/>
        <v>איילון גמל מצוק מסלול כללי</v>
      </c>
      <c r="E689" s="1786" t="s">
        <v>3929</v>
      </c>
      <c r="F689" s="1786" t="s">
        <v>2958</v>
      </c>
      <c r="G689" s="1786" t="s">
        <v>2959</v>
      </c>
      <c r="H689" s="1786" t="str">
        <f t="shared" si="113"/>
        <v>לא פעיל</v>
      </c>
      <c r="I689" s="1788">
        <f t="shared" si="114"/>
        <v>38322</v>
      </c>
      <c r="J689" s="1788">
        <f t="shared" si="115"/>
        <v>41561.397557870398</v>
      </c>
      <c r="K689" s="1786">
        <v>0</v>
      </c>
      <c r="L689" s="1786" t="s">
        <v>1594</v>
      </c>
      <c r="M689" s="1786" t="s">
        <v>1653</v>
      </c>
      <c r="N689" s="1786" t="s">
        <v>1653</v>
      </c>
      <c r="O689" s="1786">
        <v>0</v>
      </c>
      <c r="P689" s="1786"/>
      <c r="Q689" s="1786">
        <v>0</v>
      </c>
      <c r="R689" s="1788"/>
      <c r="S689" s="1786">
        <f t="shared" si="116"/>
        <v>1062</v>
      </c>
      <c r="T689" s="1786" t="str">
        <f t="shared" si="117"/>
        <v>בנק לאומי בע"מ</v>
      </c>
      <c r="U689" s="1786" t="str">
        <f t="shared" si="118"/>
        <v>איילון גמל מסלול מניות</v>
      </c>
      <c r="V689" s="1786" t="str">
        <f t="shared" si="119"/>
        <v>520030677</v>
      </c>
      <c r="W689" s="1789" t="str">
        <f t="shared" si="120"/>
        <v>איילון פנסיה וגמל בע"מ</v>
      </c>
      <c r="AC689" s="1761" t="s">
        <v>1586</v>
      </c>
      <c r="AD689" s="1762">
        <v>41561.397557870398</v>
      </c>
      <c r="AE689" s="1762">
        <v>38322</v>
      </c>
      <c r="AF689" s="1761" t="s">
        <v>1583</v>
      </c>
      <c r="AG689" s="1761" t="s">
        <v>1583</v>
      </c>
      <c r="AH689" s="1761" t="s">
        <v>1583</v>
      </c>
      <c r="AI689" s="1761" t="s">
        <v>3433</v>
      </c>
      <c r="AJ689" s="1761" t="s">
        <v>2172</v>
      </c>
      <c r="AK689" s="1761">
        <v>953</v>
      </c>
      <c r="AL689" s="1761" t="s">
        <v>648</v>
      </c>
      <c r="AM689" s="1761">
        <v>1062</v>
      </c>
      <c r="AN689" s="1761" t="s">
        <v>5470</v>
      </c>
      <c r="AO689" s="1764"/>
      <c r="AP689" s="1761" t="s">
        <v>5385</v>
      </c>
      <c r="AQ689" s="1761" t="s">
        <v>5386</v>
      </c>
      <c r="AR689" s="1761" t="s">
        <v>2780</v>
      </c>
      <c r="AS689" s="1761" t="s">
        <v>426</v>
      </c>
      <c r="AT689" s="1761" t="s">
        <v>327</v>
      </c>
      <c r="AU689" s="1763"/>
      <c r="AV689" s="1763"/>
    </row>
    <row r="690" spans="1:48" ht="25" hidden="1">
      <c r="A690" s="1785" t="str">
        <f t="shared" si="110"/>
        <v>גמל</v>
      </c>
      <c r="B690" s="1786">
        <f t="shared" si="111"/>
        <v>1067</v>
      </c>
      <c r="C690" s="1787">
        <v>28946</v>
      </c>
      <c r="D690" s="1786" t="str">
        <f t="shared" si="112"/>
        <v>איילון גמל מסלול כללי ב'</v>
      </c>
      <c r="E690" s="1786" t="s">
        <v>3929</v>
      </c>
      <c r="F690" s="1786" t="s">
        <v>2958</v>
      </c>
      <c r="G690" s="1786" t="s">
        <v>2959</v>
      </c>
      <c r="H690" s="1786" t="str">
        <f t="shared" si="113"/>
        <v>לא פעיל</v>
      </c>
      <c r="I690" s="1788">
        <f t="shared" si="114"/>
        <v>38322</v>
      </c>
      <c r="J690" s="1788">
        <f t="shared" si="115"/>
        <v>41561.3992939815</v>
      </c>
      <c r="K690" s="1786">
        <v>0</v>
      </c>
      <c r="L690" s="1786" t="s">
        <v>1594</v>
      </c>
      <c r="M690" s="1786" t="s">
        <v>1653</v>
      </c>
      <c r="N690" s="1786" t="s">
        <v>1653</v>
      </c>
      <c r="O690" s="1786">
        <v>0</v>
      </c>
      <c r="P690" s="1786"/>
      <c r="Q690" s="1786">
        <v>0</v>
      </c>
      <c r="R690" s="1788"/>
      <c r="S690" s="1786">
        <f t="shared" si="116"/>
        <v>1062</v>
      </c>
      <c r="T690" s="1786" t="str">
        <f t="shared" si="117"/>
        <v>בנק לאומי בע"מ</v>
      </c>
      <c r="U690" s="1786" t="str">
        <f t="shared" si="118"/>
        <v>איילון גמל מסלול מניות</v>
      </c>
      <c r="V690" s="1786" t="str">
        <f t="shared" si="119"/>
        <v>520030677</v>
      </c>
      <c r="W690" s="1789" t="str">
        <f t="shared" si="120"/>
        <v>איילון פנסיה וגמל בע"מ</v>
      </c>
      <c r="AC690" s="1759" t="s">
        <v>1586</v>
      </c>
      <c r="AD690" s="1760">
        <v>41561.3992939815</v>
      </c>
      <c r="AE690" s="1760">
        <v>38322</v>
      </c>
      <c r="AF690" s="1759" t="s">
        <v>1583</v>
      </c>
      <c r="AG690" s="1759" t="s">
        <v>1583</v>
      </c>
      <c r="AH690" s="1759" t="s">
        <v>1583</v>
      </c>
      <c r="AI690" s="1759" t="s">
        <v>3500</v>
      </c>
      <c r="AJ690" s="1759" t="s">
        <v>2247</v>
      </c>
      <c r="AK690" s="1759">
        <v>1067</v>
      </c>
      <c r="AL690" s="1759" t="s">
        <v>648</v>
      </c>
      <c r="AM690" s="1759">
        <v>1062</v>
      </c>
      <c r="AN690" s="1759" t="s">
        <v>5470</v>
      </c>
      <c r="AO690" s="1764"/>
      <c r="AP690" s="1759" t="s">
        <v>5385</v>
      </c>
      <c r="AQ690" s="1759" t="s">
        <v>5386</v>
      </c>
      <c r="AR690" s="1759" t="s">
        <v>2780</v>
      </c>
      <c r="AS690" s="1759" t="s">
        <v>426</v>
      </c>
      <c r="AT690" s="1759" t="s">
        <v>327</v>
      </c>
      <c r="AU690" s="1763"/>
      <c r="AV690" s="1763"/>
    </row>
    <row r="691" spans="1:48" ht="25" hidden="1">
      <c r="A691" s="1785" t="str">
        <f t="shared" si="110"/>
        <v>גמל</v>
      </c>
      <c r="B691" s="1786">
        <f t="shared" si="111"/>
        <v>1066</v>
      </c>
      <c r="C691" s="1787">
        <v>28946</v>
      </c>
      <c r="D691" s="1786" t="str">
        <f t="shared" si="112"/>
        <v>איילון גמל מסלול כללי</v>
      </c>
      <c r="E691" s="1786" t="s">
        <v>3929</v>
      </c>
      <c r="F691" s="1786" t="s">
        <v>2958</v>
      </c>
      <c r="G691" s="1786" t="s">
        <v>2959</v>
      </c>
      <c r="H691" s="1786" t="str">
        <f t="shared" si="113"/>
        <v>לא פעיל</v>
      </c>
      <c r="I691" s="1788">
        <f t="shared" si="114"/>
        <v>38322</v>
      </c>
      <c r="J691" s="1788">
        <f t="shared" si="115"/>
        <v>39804.604513888902</v>
      </c>
      <c r="K691" s="1786">
        <v>0</v>
      </c>
      <c r="L691" s="1786" t="s">
        <v>1594</v>
      </c>
      <c r="M691" s="1786" t="s">
        <v>1653</v>
      </c>
      <c r="N691" s="1786" t="s">
        <v>1653</v>
      </c>
      <c r="O691" s="1786">
        <v>0</v>
      </c>
      <c r="P691" s="1786"/>
      <c r="Q691" s="1786">
        <v>0</v>
      </c>
      <c r="R691" s="1788"/>
      <c r="S691" s="1786">
        <f t="shared" si="116"/>
        <v>1062</v>
      </c>
      <c r="T691" s="1786" t="str">
        <f t="shared" si="117"/>
        <v>בנק לאומי בע"מ</v>
      </c>
      <c r="U691" s="1786" t="str">
        <f t="shared" si="118"/>
        <v>איילון גמל מסלול מניות</v>
      </c>
      <c r="V691" s="1786" t="str">
        <f t="shared" si="119"/>
        <v>520030677</v>
      </c>
      <c r="W691" s="1789" t="str">
        <f t="shared" si="120"/>
        <v>איילון פנסיה וגמל בע"מ</v>
      </c>
      <c r="AC691" s="1761" t="s">
        <v>1586</v>
      </c>
      <c r="AD691" s="1762">
        <v>39804.604513888902</v>
      </c>
      <c r="AE691" s="1762">
        <v>38322</v>
      </c>
      <c r="AF691" s="1761" t="s">
        <v>1583</v>
      </c>
      <c r="AG691" s="1761" t="s">
        <v>1583</v>
      </c>
      <c r="AH691" s="1761" t="s">
        <v>1583</v>
      </c>
      <c r="AI691" s="1761" t="s">
        <v>3499</v>
      </c>
      <c r="AJ691" s="1761" t="s">
        <v>2246</v>
      </c>
      <c r="AK691" s="1761">
        <v>1066</v>
      </c>
      <c r="AL691" s="1761" t="s">
        <v>648</v>
      </c>
      <c r="AM691" s="1761">
        <v>1062</v>
      </c>
      <c r="AN691" s="1761" t="s">
        <v>5470</v>
      </c>
      <c r="AO691" s="1764"/>
      <c r="AP691" s="1761" t="s">
        <v>5385</v>
      </c>
      <c r="AQ691" s="1761" t="s">
        <v>5386</v>
      </c>
      <c r="AR691" s="1761" t="s">
        <v>2780</v>
      </c>
      <c r="AS691" s="1761" t="s">
        <v>426</v>
      </c>
      <c r="AT691" s="1761" t="s">
        <v>327</v>
      </c>
      <c r="AU691" s="1763"/>
      <c r="AV691" s="1763"/>
    </row>
    <row r="692" spans="1:48" ht="25" hidden="1">
      <c r="A692" s="1785" t="str">
        <f t="shared" si="110"/>
        <v>גמל</v>
      </c>
      <c r="B692" s="1786">
        <f t="shared" si="111"/>
        <v>1065</v>
      </c>
      <c r="C692" s="1787">
        <v>28946</v>
      </c>
      <c r="D692" s="1786" t="str">
        <f t="shared" si="112"/>
        <v>איילון גמל מסלול שקלי</v>
      </c>
      <c r="E692" s="1786" t="s">
        <v>3929</v>
      </c>
      <c r="F692" s="1786" t="s">
        <v>2958</v>
      </c>
      <c r="G692" s="1786" t="s">
        <v>2959</v>
      </c>
      <c r="H692" s="1786" t="str">
        <f t="shared" si="113"/>
        <v>לא פעיל</v>
      </c>
      <c r="I692" s="1788">
        <f t="shared" si="114"/>
        <v>38322</v>
      </c>
      <c r="J692" s="1788">
        <f t="shared" si="115"/>
        <v>39804.604664351798</v>
      </c>
      <c r="K692" s="1786">
        <v>0</v>
      </c>
      <c r="L692" s="1786" t="s">
        <v>1594</v>
      </c>
      <c r="M692" s="1786" t="s">
        <v>1653</v>
      </c>
      <c r="N692" s="1786" t="s">
        <v>1653</v>
      </c>
      <c r="O692" s="1786">
        <v>0</v>
      </c>
      <c r="P692" s="1786"/>
      <c r="Q692" s="1786">
        <v>0</v>
      </c>
      <c r="R692" s="1788"/>
      <c r="S692" s="1786">
        <f t="shared" si="116"/>
        <v>1062</v>
      </c>
      <c r="T692" s="1786" t="str">
        <f t="shared" si="117"/>
        <v>בנק לאומי בע"מ</v>
      </c>
      <c r="U692" s="1786" t="str">
        <f t="shared" si="118"/>
        <v>איילון גמל מסלול מניות</v>
      </c>
      <c r="V692" s="1786" t="str">
        <f t="shared" si="119"/>
        <v>520030677</v>
      </c>
      <c r="W692" s="1789" t="str">
        <f t="shared" si="120"/>
        <v>איילון פנסיה וגמל בע"מ</v>
      </c>
      <c r="AC692" s="1759" t="s">
        <v>1586</v>
      </c>
      <c r="AD692" s="1760">
        <v>39804.604664351798</v>
      </c>
      <c r="AE692" s="1760">
        <v>38322</v>
      </c>
      <c r="AF692" s="1759" t="s">
        <v>1076</v>
      </c>
      <c r="AG692" s="1759" t="s">
        <v>1614</v>
      </c>
      <c r="AH692" s="1759" t="s">
        <v>1594</v>
      </c>
      <c r="AI692" s="1759" t="s">
        <v>3498</v>
      </c>
      <c r="AJ692" s="1759" t="s">
        <v>2245</v>
      </c>
      <c r="AK692" s="1759">
        <v>1065</v>
      </c>
      <c r="AL692" s="1759" t="s">
        <v>648</v>
      </c>
      <c r="AM692" s="1759">
        <v>1062</v>
      </c>
      <c r="AN692" s="1759" t="s">
        <v>5470</v>
      </c>
      <c r="AO692" s="1764"/>
      <c r="AP692" s="1759" t="s">
        <v>5385</v>
      </c>
      <c r="AQ692" s="1759" t="s">
        <v>5386</v>
      </c>
      <c r="AR692" s="1759" t="s">
        <v>2780</v>
      </c>
      <c r="AS692" s="1759" t="s">
        <v>426</v>
      </c>
      <c r="AT692" s="1759" t="s">
        <v>327</v>
      </c>
      <c r="AU692" s="1763"/>
      <c r="AV692" s="1763"/>
    </row>
    <row r="693" spans="1:48" ht="25" hidden="1">
      <c r="A693" s="1785" t="str">
        <f t="shared" si="110"/>
        <v>גמל</v>
      </c>
      <c r="B693" s="1786">
        <f t="shared" si="111"/>
        <v>1060</v>
      </c>
      <c r="C693" s="1787">
        <v>28946</v>
      </c>
      <c r="D693" s="1786" t="str">
        <f t="shared" si="112"/>
        <v>איילון השתלמות מסלול כללי ב'</v>
      </c>
      <c r="E693" s="1786" t="s">
        <v>3929</v>
      </c>
      <c r="F693" s="1786" t="s">
        <v>2958</v>
      </c>
      <c r="G693" s="1786" t="s">
        <v>2959</v>
      </c>
      <c r="H693" s="1786" t="str">
        <f t="shared" si="113"/>
        <v>לא פעיל</v>
      </c>
      <c r="I693" s="1788">
        <f t="shared" si="114"/>
        <v>38322</v>
      </c>
      <c r="J693" s="1788">
        <f t="shared" si="115"/>
        <v>41561.402060185203</v>
      </c>
      <c r="K693" s="1786">
        <v>0</v>
      </c>
      <c r="L693" s="1786" t="s">
        <v>1594</v>
      </c>
      <c r="M693" s="1786" t="s">
        <v>1653</v>
      </c>
      <c r="N693" s="1786" t="s">
        <v>1653</v>
      </c>
      <c r="O693" s="1786">
        <v>0</v>
      </c>
      <c r="P693" s="1786"/>
      <c r="Q693" s="1786">
        <v>0</v>
      </c>
      <c r="R693" s="1788"/>
      <c r="S693" s="1786">
        <f t="shared" si="116"/>
        <v>1055</v>
      </c>
      <c r="T693" s="1786" t="str">
        <f t="shared" si="117"/>
        <v>בנק לאומי בע"מ</v>
      </c>
      <c r="U693" s="1786" t="str">
        <f t="shared" si="118"/>
        <v>איילון השתלמות מסלול מניות</v>
      </c>
      <c r="V693" s="1786" t="str">
        <f t="shared" si="119"/>
        <v>520030677</v>
      </c>
      <c r="W693" s="1789" t="str">
        <f t="shared" si="120"/>
        <v>איילון פנסיה וגמל בע"מ</v>
      </c>
      <c r="AC693" s="1761" t="s">
        <v>1586</v>
      </c>
      <c r="AD693" s="1762">
        <v>41561.402060185203</v>
      </c>
      <c r="AE693" s="1762">
        <v>38322</v>
      </c>
      <c r="AF693" s="1761" t="s">
        <v>1583</v>
      </c>
      <c r="AG693" s="1761" t="s">
        <v>1583</v>
      </c>
      <c r="AH693" s="1761" t="s">
        <v>1583</v>
      </c>
      <c r="AI693" s="1761" t="s">
        <v>3491</v>
      </c>
      <c r="AJ693" s="1761" t="s">
        <v>2244</v>
      </c>
      <c r="AK693" s="1761">
        <v>1060</v>
      </c>
      <c r="AL693" s="1761" t="s">
        <v>647</v>
      </c>
      <c r="AM693" s="1761">
        <v>1055</v>
      </c>
      <c r="AN693" s="1761" t="s">
        <v>5470</v>
      </c>
      <c r="AO693" s="1764"/>
      <c r="AP693" s="1761" t="s">
        <v>5385</v>
      </c>
      <c r="AQ693" s="1761" t="s">
        <v>5386</v>
      </c>
      <c r="AR693" s="1761" t="s">
        <v>2780</v>
      </c>
      <c r="AS693" s="1761" t="s">
        <v>426</v>
      </c>
      <c r="AT693" s="1761" t="s">
        <v>327</v>
      </c>
      <c r="AU693" s="1763"/>
      <c r="AV693" s="1763"/>
    </row>
    <row r="694" spans="1:48" ht="25" hidden="1">
      <c r="A694" s="1785" t="str">
        <f t="shared" si="110"/>
        <v>גמל</v>
      </c>
      <c r="B694" s="1786">
        <f t="shared" si="111"/>
        <v>1058</v>
      </c>
      <c r="C694" s="1787">
        <v>28946</v>
      </c>
      <c r="D694" s="1786" t="str">
        <f t="shared" si="112"/>
        <v>איילון השתלמות מסלול שקלי</v>
      </c>
      <c r="E694" s="1786" t="s">
        <v>3929</v>
      </c>
      <c r="F694" s="1786" t="s">
        <v>2958</v>
      </c>
      <c r="G694" s="1786" t="s">
        <v>2959</v>
      </c>
      <c r="H694" s="1786" t="str">
        <f t="shared" si="113"/>
        <v>לא פעיל</v>
      </c>
      <c r="I694" s="1788">
        <f t="shared" si="114"/>
        <v>38322</v>
      </c>
      <c r="J694" s="1788">
        <f t="shared" si="115"/>
        <v>39804.605983796297</v>
      </c>
      <c r="K694" s="1786">
        <v>0</v>
      </c>
      <c r="L694" s="1786" t="s">
        <v>1594</v>
      </c>
      <c r="M694" s="1786" t="s">
        <v>1653</v>
      </c>
      <c r="N694" s="1786" t="s">
        <v>1653</v>
      </c>
      <c r="O694" s="1786">
        <v>0</v>
      </c>
      <c r="P694" s="1786"/>
      <c r="Q694" s="1786">
        <v>0</v>
      </c>
      <c r="R694" s="1788"/>
      <c r="S694" s="1786">
        <f t="shared" si="116"/>
        <v>1055</v>
      </c>
      <c r="T694" s="1786" t="str">
        <f t="shared" si="117"/>
        <v>בנק לאומי בע"מ</v>
      </c>
      <c r="U694" s="1786" t="str">
        <f t="shared" si="118"/>
        <v>איילון השתלמות מסלול מניות</v>
      </c>
      <c r="V694" s="1786" t="str">
        <f t="shared" si="119"/>
        <v>520030677</v>
      </c>
      <c r="W694" s="1789" t="str">
        <f t="shared" si="120"/>
        <v>איילון פנסיה וגמל בע"מ</v>
      </c>
      <c r="AC694" s="1759" t="s">
        <v>1586</v>
      </c>
      <c r="AD694" s="1760">
        <v>39804.605983796297</v>
      </c>
      <c r="AE694" s="1760">
        <v>38322</v>
      </c>
      <c r="AF694" s="1759" t="s">
        <v>1076</v>
      </c>
      <c r="AG694" s="1759" t="s">
        <v>1614</v>
      </c>
      <c r="AH694" s="1759" t="s">
        <v>1594</v>
      </c>
      <c r="AI694" s="1759" t="s">
        <v>3490</v>
      </c>
      <c r="AJ694" s="1759" t="s">
        <v>2243</v>
      </c>
      <c r="AK694" s="1759">
        <v>1058</v>
      </c>
      <c r="AL694" s="1759" t="s">
        <v>647</v>
      </c>
      <c r="AM694" s="1759">
        <v>1055</v>
      </c>
      <c r="AN694" s="1759" t="s">
        <v>5470</v>
      </c>
      <c r="AO694" s="1764"/>
      <c r="AP694" s="1759" t="s">
        <v>5385</v>
      </c>
      <c r="AQ694" s="1759" t="s">
        <v>5386</v>
      </c>
      <c r="AR694" s="1759" t="s">
        <v>2780</v>
      </c>
      <c r="AS694" s="1759" t="s">
        <v>426</v>
      </c>
      <c r="AT694" s="1759" t="s">
        <v>327</v>
      </c>
      <c r="AU694" s="1763"/>
      <c r="AV694" s="1763"/>
    </row>
    <row r="695" spans="1:48" ht="25" hidden="1">
      <c r="A695" s="1785" t="str">
        <f t="shared" si="110"/>
        <v>גמל</v>
      </c>
      <c r="B695" s="1786">
        <f t="shared" si="111"/>
        <v>1054</v>
      </c>
      <c r="C695" s="1787">
        <v>28946</v>
      </c>
      <c r="D695" s="1786" t="str">
        <f t="shared" si="112"/>
        <v>קואטרו מרכזית לפיצויים</v>
      </c>
      <c r="E695" s="1786" t="s">
        <v>3929</v>
      </c>
      <c r="F695" s="1786" t="s">
        <v>2958</v>
      </c>
      <c r="G695" s="1786" t="s">
        <v>2959</v>
      </c>
      <c r="H695" s="1786" t="str">
        <f t="shared" si="113"/>
        <v>לא פעיל</v>
      </c>
      <c r="I695" s="1788">
        <f t="shared" si="114"/>
        <v>38322</v>
      </c>
      <c r="J695" s="1788">
        <f t="shared" si="115"/>
        <v>40016.464849536998</v>
      </c>
      <c r="K695" s="1786">
        <v>0</v>
      </c>
      <c r="L695" s="1786" t="s">
        <v>1594</v>
      </c>
      <c r="M695" s="1786" t="s">
        <v>1653</v>
      </c>
      <c r="N695" s="1786" t="s">
        <v>1653</v>
      </c>
      <c r="O695" s="1786">
        <v>0</v>
      </c>
      <c r="P695" s="1786"/>
      <c r="Q695" s="1786">
        <v>0</v>
      </c>
      <c r="R695" s="1788"/>
      <c r="S695" s="1786">
        <f t="shared" si="116"/>
        <v>1054</v>
      </c>
      <c r="T695" s="1786" t="str">
        <f t="shared" si="117"/>
        <v>בנק מזרחי טפחות בע"מ</v>
      </c>
      <c r="U695" s="1786" t="str">
        <f t="shared" si="118"/>
        <v>קואטרו מרכזית לפיצויים</v>
      </c>
      <c r="V695" s="1786">
        <f t="shared" si="119"/>
        <v>0</v>
      </c>
      <c r="W695" s="1789" t="str">
        <f t="shared" si="120"/>
        <v>קואטרו גמל בע"מ</v>
      </c>
      <c r="AC695" s="1761" t="s">
        <v>1586</v>
      </c>
      <c r="AD695" s="1762">
        <v>40016.464849536998</v>
      </c>
      <c r="AE695" s="1762">
        <v>38322</v>
      </c>
      <c r="AF695" s="1761" t="s">
        <v>1583</v>
      </c>
      <c r="AG695" s="1761" t="s">
        <v>1583</v>
      </c>
      <c r="AH695" s="1761" t="s">
        <v>1583</v>
      </c>
      <c r="AI695" s="1761" t="s">
        <v>2239</v>
      </c>
      <c r="AJ695" s="1761" t="s">
        <v>2239</v>
      </c>
      <c r="AK695" s="1761">
        <v>1054</v>
      </c>
      <c r="AL695" s="1761" t="s">
        <v>2239</v>
      </c>
      <c r="AM695" s="1761">
        <v>1054</v>
      </c>
      <c r="AN695" s="1761" t="s">
        <v>5370</v>
      </c>
      <c r="AO695" s="1764"/>
      <c r="AP695" s="1761"/>
      <c r="AQ695" s="1761"/>
      <c r="AR695" s="1761" t="s">
        <v>2241</v>
      </c>
      <c r="AS695" s="1761" t="s">
        <v>2240</v>
      </c>
      <c r="AT695" s="1761" t="s">
        <v>327</v>
      </c>
      <c r="AU695" s="1763"/>
      <c r="AV695" s="1763"/>
    </row>
    <row r="696" spans="1:48" ht="25" hidden="1">
      <c r="A696" s="1785" t="str">
        <f t="shared" si="110"/>
        <v>גמל</v>
      </c>
      <c r="B696" s="1786">
        <f t="shared" si="111"/>
        <v>1053</v>
      </c>
      <c r="C696" s="1787">
        <v>28946</v>
      </c>
      <c r="D696" s="1786" t="str">
        <f t="shared" si="112"/>
        <v>פסגות סגנון - קופת תגמולים - מסלול שוקי חו"ל</v>
      </c>
      <c r="E696" s="1786" t="s">
        <v>3929</v>
      </c>
      <c r="F696" s="1786" t="s">
        <v>2958</v>
      </c>
      <c r="G696" s="1786" t="s">
        <v>2959</v>
      </c>
      <c r="H696" s="1786" t="str">
        <f t="shared" si="113"/>
        <v>לא פעיל</v>
      </c>
      <c r="I696" s="1788">
        <f t="shared" si="114"/>
        <v>38322</v>
      </c>
      <c r="J696" s="1788">
        <f t="shared" si="115"/>
        <v>40063</v>
      </c>
      <c r="K696" s="1786">
        <v>0</v>
      </c>
      <c r="L696" s="1786" t="s">
        <v>1594</v>
      </c>
      <c r="M696" s="1786" t="s">
        <v>1653</v>
      </c>
      <c r="N696" s="1786" t="s">
        <v>1653</v>
      </c>
      <c r="O696" s="1786">
        <v>0</v>
      </c>
      <c r="P696" s="1786"/>
      <c r="Q696" s="1786">
        <v>0</v>
      </c>
      <c r="R696" s="1788"/>
      <c r="S696" s="1786">
        <f t="shared" si="116"/>
        <v>1053</v>
      </c>
      <c r="T696" s="1786" t="str">
        <f t="shared" si="117"/>
        <v>בנק לאומי בע"מ</v>
      </c>
      <c r="U696" s="1786" t="str">
        <f t="shared" si="118"/>
        <v>פסגות סגנון - קופת תגמולים - מסלול שוקי חו"ל</v>
      </c>
      <c r="V696" s="1786" t="str">
        <f t="shared" si="119"/>
        <v>513767079</v>
      </c>
      <c r="W696" s="1789" t="str">
        <f t="shared" si="120"/>
        <v>פסגות קופות גמל ופנסיה בע"מ</v>
      </c>
      <c r="AC696" s="1759" t="s">
        <v>1586</v>
      </c>
      <c r="AD696" s="1760">
        <v>40063</v>
      </c>
      <c r="AE696" s="1760">
        <v>38322</v>
      </c>
      <c r="AF696" s="1759" t="s">
        <v>1948</v>
      </c>
      <c r="AG696" s="1759" t="s">
        <v>1947</v>
      </c>
      <c r="AH696" s="1759" t="s">
        <v>1594</v>
      </c>
      <c r="AI696" s="1759" t="s">
        <v>3485</v>
      </c>
      <c r="AJ696" s="1759" t="s">
        <v>2238</v>
      </c>
      <c r="AK696" s="1759">
        <v>1053</v>
      </c>
      <c r="AL696" s="1759" t="s">
        <v>2238</v>
      </c>
      <c r="AM696" s="1759">
        <v>1053</v>
      </c>
      <c r="AN696" s="1759" t="s">
        <v>5470</v>
      </c>
      <c r="AO696" s="1764"/>
      <c r="AP696" s="1759" t="s">
        <v>5365</v>
      </c>
      <c r="AQ696" s="1759" t="s">
        <v>5366</v>
      </c>
      <c r="AR696" s="1759" t="s">
        <v>351</v>
      </c>
      <c r="AS696" s="1759" t="s">
        <v>352</v>
      </c>
      <c r="AT696" s="1759" t="s">
        <v>327</v>
      </c>
      <c r="AU696" s="1763"/>
      <c r="AV696" s="1763"/>
    </row>
    <row r="697" spans="1:48" ht="25" hidden="1">
      <c r="A697" s="1785" t="str">
        <f t="shared" si="110"/>
        <v>גמל</v>
      </c>
      <c r="B697" s="1786">
        <f t="shared" si="111"/>
        <v>1052</v>
      </c>
      <c r="C697" s="1787">
        <v>28946</v>
      </c>
      <c r="D697" s="1786" t="str">
        <f t="shared" si="112"/>
        <v>ד"ש קרן השתלמות ב'</v>
      </c>
      <c r="E697" s="1786" t="s">
        <v>3929</v>
      </c>
      <c r="F697" s="1786" t="s">
        <v>2958</v>
      </c>
      <c r="G697" s="1786" t="s">
        <v>2959</v>
      </c>
      <c r="H697" s="1786" t="str">
        <f t="shared" si="113"/>
        <v>לא פעיל</v>
      </c>
      <c r="I697" s="1788">
        <f t="shared" si="114"/>
        <v>38337</v>
      </c>
      <c r="J697" s="1788">
        <f t="shared" si="115"/>
        <v>40917.786898148202</v>
      </c>
      <c r="K697" s="1786">
        <v>0</v>
      </c>
      <c r="L697" s="1786" t="s">
        <v>1594</v>
      </c>
      <c r="M697" s="1786" t="s">
        <v>1653</v>
      </c>
      <c r="N697" s="1786" t="s">
        <v>1653</v>
      </c>
      <c r="O697" s="1786">
        <v>0</v>
      </c>
      <c r="P697" s="1786"/>
      <c r="Q697" s="1786">
        <v>0</v>
      </c>
      <c r="R697" s="1788"/>
      <c r="S697" s="1786">
        <f t="shared" si="116"/>
        <v>1052</v>
      </c>
      <c r="T697" s="1786" t="str">
        <f t="shared" si="117"/>
        <v>בנק מזרחי טפחות בע"מ</v>
      </c>
      <c r="U697" s="1786" t="str">
        <f t="shared" si="118"/>
        <v>ד"ש קרן השתלמות ב'</v>
      </c>
      <c r="V697" s="1786" t="str">
        <f t="shared" si="119"/>
        <v>520043795</v>
      </c>
      <c r="W697" s="1789" t="str">
        <f t="shared" si="120"/>
        <v>מיטב דש גמל ופנסיה בע"מ</v>
      </c>
      <c r="AC697" s="1761" t="s">
        <v>1586</v>
      </c>
      <c r="AD697" s="1762">
        <v>40917.786898148202</v>
      </c>
      <c r="AE697" s="1762">
        <v>38337</v>
      </c>
      <c r="AF697" s="1761" t="s">
        <v>1583</v>
      </c>
      <c r="AG697" s="1761" t="s">
        <v>1583</v>
      </c>
      <c r="AH697" s="1761" t="s">
        <v>1583</v>
      </c>
      <c r="AI697" s="1761" t="s">
        <v>3484</v>
      </c>
      <c r="AJ697" s="1761" t="s">
        <v>2237</v>
      </c>
      <c r="AK697" s="1761">
        <v>1052</v>
      </c>
      <c r="AL697" s="1761" t="s">
        <v>2237</v>
      </c>
      <c r="AM697" s="1761">
        <v>1052</v>
      </c>
      <c r="AN697" s="1761" t="s">
        <v>5370</v>
      </c>
      <c r="AO697" s="1764"/>
      <c r="AP697" s="1761" t="s">
        <v>5373</v>
      </c>
      <c r="AQ697" s="1761" t="s">
        <v>5374</v>
      </c>
      <c r="AR697" s="1761" t="s">
        <v>2899</v>
      </c>
      <c r="AS697" s="1761" t="s">
        <v>349</v>
      </c>
      <c r="AT697" s="1761" t="s">
        <v>327</v>
      </c>
      <c r="AU697" s="1763"/>
      <c r="AV697" s="1763"/>
    </row>
    <row r="698" spans="1:48" ht="25" hidden="1">
      <c r="A698" s="1785" t="str">
        <f t="shared" si="110"/>
        <v>גמל</v>
      </c>
      <c r="B698" s="1786">
        <f t="shared" si="111"/>
        <v>1052</v>
      </c>
      <c r="C698" s="1787">
        <v>28946</v>
      </c>
      <c r="D698" s="1786" t="str">
        <f t="shared" si="112"/>
        <v>ד"ש קרן השתלמות ב'</v>
      </c>
      <c r="E698" s="1786" t="s">
        <v>3929</v>
      </c>
      <c r="F698" s="1786" t="s">
        <v>2958</v>
      </c>
      <c r="G698" s="1786" t="s">
        <v>2959</v>
      </c>
      <c r="H698" s="1786" t="str">
        <f t="shared" si="113"/>
        <v>לא פעיל</v>
      </c>
      <c r="I698" s="1788">
        <f t="shared" si="114"/>
        <v>38337</v>
      </c>
      <c r="J698" s="1788">
        <f t="shared" si="115"/>
        <v>40917.786898148202</v>
      </c>
      <c r="K698" s="1786">
        <v>0</v>
      </c>
      <c r="L698" s="1786" t="s">
        <v>1594</v>
      </c>
      <c r="M698" s="1786" t="s">
        <v>1653</v>
      </c>
      <c r="N698" s="1786" t="s">
        <v>1653</v>
      </c>
      <c r="O698" s="1786">
        <v>0</v>
      </c>
      <c r="P698" s="1786"/>
      <c r="Q698" s="1786">
        <v>0</v>
      </c>
      <c r="R698" s="1788"/>
      <c r="S698" s="1786">
        <f t="shared" si="116"/>
        <v>1052</v>
      </c>
      <c r="T698" s="1786" t="str">
        <f t="shared" si="117"/>
        <v>בנק מזרחי טפחות בע"מ</v>
      </c>
      <c r="U698" s="1786" t="str">
        <f t="shared" si="118"/>
        <v>ד"ש קרן השתלמות ב'</v>
      </c>
      <c r="V698" s="1786" t="str">
        <f t="shared" si="119"/>
        <v>520043795</v>
      </c>
      <c r="W698" s="1789" t="str">
        <f t="shared" si="120"/>
        <v>מיטב דש גמל ופנסיה בע"מ</v>
      </c>
      <c r="AC698" s="1759" t="s">
        <v>1586</v>
      </c>
      <c r="AD698" s="1760">
        <v>40917.786898148202</v>
      </c>
      <c r="AE698" s="1760">
        <v>38337</v>
      </c>
      <c r="AF698" s="1759" t="s">
        <v>1583</v>
      </c>
      <c r="AG698" s="1759" t="s">
        <v>1583</v>
      </c>
      <c r="AH698" s="1759" t="s">
        <v>1583</v>
      </c>
      <c r="AI698" s="1759" t="s">
        <v>3484</v>
      </c>
      <c r="AJ698" s="1759" t="s">
        <v>2237</v>
      </c>
      <c r="AK698" s="1759">
        <v>1052</v>
      </c>
      <c r="AL698" s="1759" t="s">
        <v>2237</v>
      </c>
      <c r="AM698" s="1759">
        <v>1052</v>
      </c>
      <c r="AN698" s="1759" t="s">
        <v>5370</v>
      </c>
      <c r="AO698" s="1764"/>
      <c r="AP698" s="1759" t="s">
        <v>5373</v>
      </c>
      <c r="AQ698" s="1759" t="s">
        <v>5374</v>
      </c>
      <c r="AR698" s="1759" t="s">
        <v>2899</v>
      </c>
      <c r="AS698" s="1759" t="s">
        <v>349</v>
      </c>
      <c r="AT698" s="1759" t="s">
        <v>327</v>
      </c>
      <c r="AU698" s="1763"/>
      <c r="AV698" s="1763"/>
    </row>
    <row r="699" spans="1:48" ht="25" hidden="1">
      <c r="A699" s="1785" t="str">
        <f t="shared" si="110"/>
        <v>גמל</v>
      </c>
      <c r="B699" s="1786">
        <f t="shared" si="111"/>
        <v>1051</v>
      </c>
      <c r="C699" s="1787">
        <v>28946</v>
      </c>
      <c r="D699" s="1786" t="str">
        <f t="shared" si="112"/>
        <v>ד"ש השתלמות טיטניום</v>
      </c>
      <c r="E699" s="1786" t="s">
        <v>3929</v>
      </c>
      <c r="F699" s="1786" t="s">
        <v>2958</v>
      </c>
      <c r="G699" s="1786" t="s">
        <v>2959</v>
      </c>
      <c r="H699" s="1786" t="str">
        <f t="shared" si="113"/>
        <v>לא פעיל</v>
      </c>
      <c r="I699" s="1788">
        <f t="shared" si="114"/>
        <v>38322</v>
      </c>
      <c r="J699" s="1788">
        <f t="shared" si="115"/>
        <v>40917.7877546296</v>
      </c>
      <c r="K699" s="1786">
        <v>0</v>
      </c>
      <c r="L699" s="1786" t="s">
        <v>1594</v>
      </c>
      <c r="M699" s="1786" t="s">
        <v>1653</v>
      </c>
      <c r="N699" s="1786" t="s">
        <v>1653</v>
      </c>
      <c r="O699" s="1786">
        <v>0</v>
      </c>
      <c r="P699" s="1786"/>
      <c r="Q699" s="1786">
        <v>0</v>
      </c>
      <c r="R699" s="1788"/>
      <c r="S699" s="1786">
        <f t="shared" si="116"/>
        <v>1051</v>
      </c>
      <c r="T699" s="1786" t="str">
        <f t="shared" si="117"/>
        <v>בנק מזרחי טפחות בע"מ</v>
      </c>
      <c r="U699" s="1786" t="str">
        <f t="shared" si="118"/>
        <v>ד"ש השתלמות טיטניום</v>
      </c>
      <c r="V699" s="1786" t="str">
        <f t="shared" si="119"/>
        <v>520043795</v>
      </c>
      <c r="W699" s="1789" t="str">
        <f t="shared" si="120"/>
        <v>מיטב דש גמל ופנסיה בע"מ</v>
      </c>
      <c r="AC699" s="1761" t="s">
        <v>1586</v>
      </c>
      <c r="AD699" s="1762">
        <v>40917.7877546296</v>
      </c>
      <c r="AE699" s="1762">
        <v>38322</v>
      </c>
      <c r="AF699" s="1761" t="s">
        <v>1094</v>
      </c>
      <c r="AG699" s="1761" t="s">
        <v>1094</v>
      </c>
      <c r="AH699" s="1761" t="s">
        <v>1594</v>
      </c>
      <c r="AI699" s="1761" t="s">
        <v>3483</v>
      </c>
      <c r="AJ699" s="1761" t="s">
        <v>2236</v>
      </c>
      <c r="AK699" s="1761">
        <v>1051</v>
      </c>
      <c r="AL699" s="1761" t="s">
        <v>2236</v>
      </c>
      <c r="AM699" s="1761">
        <v>1051</v>
      </c>
      <c r="AN699" s="1761" t="s">
        <v>5370</v>
      </c>
      <c r="AO699" s="1764"/>
      <c r="AP699" s="1761" t="s">
        <v>5373</v>
      </c>
      <c r="AQ699" s="1761" t="s">
        <v>5374</v>
      </c>
      <c r="AR699" s="1761" t="s">
        <v>2899</v>
      </c>
      <c r="AS699" s="1761" t="s">
        <v>349</v>
      </c>
      <c r="AT699" s="1761" t="s">
        <v>327</v>
      </c>
      <c r="AU699" s="1763"/>
      <c r="AV699" s="1763"/>
    </row>
    <row r="700" spans="1:48" ht="25" hidden="1">
      <c r="A700" s="1785" t="str">
        <f t="shared" si="110"/>
        <v>גמל</v>
      </c>
      <c r="B700" s="1786">
        <f t="shared" si="111"/>
        <v>1051</v>
      </c>
      <c r="C700" s="1787">
        <v>28946</v>
      </c>
      <c r="D700" s="1786" t="str">
        <f t="shared" si="112"/>
        <v>ד"ש השתלמות טיטניום</v>
      </c>
      <c r="E700" s="1786" t="s">
        <v>3929</v>
      </c>
      <c r="F700" s="1786" t="s">
        <v>2958</v>
      </c>
      <c r="G700" s="1786" t="s">
        <v>2959</v>
      </c>
      <c r="H700" s="1786" t="str">
        <f t="shared" si="113"/>
        <v>לא פעיל</v>
      </c>
      <c r="I700" s="1788">
        <f t="shared" si="114"/>
        <v>38322</v>
      </c>
      <c r="J700" s="1788">
        <f t="shared" si="115"/>
        <v>40917.7877546296</v>
      </c>
      <c r="K700" s="1786">
        <v>0</v>
      </c>
      <c r="L700" s="1786" t="s">
        <v>1594</v>
      </c>
      <c r="M700" s="1786" t="s">
        <v>1653</v>
      </c>
      <c r="N700" s="1786" t="s">
        <v>1653</v>
      </c>
      <c r="O700" s="1786">
        <v>0</v>
      </c>
      <c r="P700" s="1786"/>
      <c r="Q700" s="1786">
        <v>0</v>
      </c>
      <c r="R700" s="1788"/>
      <c r="S700" s="1786">
        <f t="shared" si="116"/>
        <v>1051</v>
      </c>
      <c r="T700" s="1786" t="str">
        <f t="shared" si="117"/>
        <v>בנק מזרחי טפחות בע"מ</v>
      </c>
      <c r="U700" s="1786" t="str">
        <f t="shared" si="118"/>
        <v>ד"ש השתלמות טיטניום</v>
      </c>
      <c r="V700" s="1786" t="str">
        <f t="shared" si="119"/>
        <v>520043795</v>
      </c>
      <c r="W700" s="1789" t="str">
        <f t="shared" si="120"/>
        <v>מיטב דש גמל ופנסיה בע"מ</v>
      </c>
      <c r="AC700" s="1759" t="s">
        <v>1586</v>
      </c>
      <c r="AD700" s="1760">
        <v>40917.7877546296</v>
      </c>
      <c r="AE700" s="1760">
        <v>38322</v>
      </c>
      <c r="AF700" s="1759" t="s">
        <v>1094</v>
      </c>
      <c r="AG700" s="1759" t="s">
        <v>1094</v>
      </c>
      <c r="AH700" s="1759" t="s">
        <v>1594</v>
      </c>
      <c r="AI700" s="1759" t="s">
        <v>3483</v>
      </c>
      <c r="AJ700" s="1759" t="s">
        <v>2236</v>
      </c>
      <c r="AK700" s="1759">
        <v>1051</v>
      </c>
      <c r="AL700" s="1759" t="s">
        <v>2236</v>
      </c>
      <c r="AM700" s="1759">
        <v>1051</v>
      </c>
      <c r="AN700" s="1759" t="s">
        <v>5370</v>
      </c>
      <c r="AO700" s="1764"/>
      <c r="AP700" s="1759" t="s">
        <v>5373</v>
      </c>
      <c r="AQ700" s="1759" t="s">
        <v>5374</v>
      </c>
      <c r="AR700" s="1759" t="s">
        <v>2899</v>
      </c>
      <c r="AS700" s="1759" t="s">
        <v>349</v>
      </c>
      <c r="AT700" s="1759" t="s">
        <v>327</v>
      </c>
      <c r="AU700" s="1763"/>
      <c r="AV700" s="1763"/>
    </row>
    <row r="701" spans="1:48" ht="25" hidden="1">
      <c r="A701" s="1785" t="str">
        <f t="shared" si="110"/>
        <v>גמל</v>
      </c>
      <c r="B701" s="1786">
        <f t="shared" si="111"/>
        <v>1050</v>
      </c>
      <c r="C701" s="1787">
        <v>28946</v>
      </c>
      <c r="D701" s="1786" t="str">
        <f t="shared" si="112"/>
        <v>ד"ש גמל טיטניום</v>
      </c>
      <c r="E701" s="1786" t="s">
        <v>3929</v>
      </c>
      <c r="F701" s="1786" t="s">
        <v>2958</v>
      </c>
      <c r="G701" s="1786" t="s">
        <v>2959</v>
      </c>
      <c r="H701" s="1786" t="str">
        <f t="shared" si="113"/>
        <v>לא פעיל</v>
      </c>
      <c r="I701" s="1788">
        <f t="shared" si="114"/>
        <v>38322</v>
      </c>
      <c r="J701" s="1788">
        <f t="shared" si="115"/>
        <v>40917.7706944444</v>
      </c>
      <c r="K701" s="1786">
        <v>0</v>
      </c>
      <c r="L701" s="1786" t="s">
        <v>1594</v>
      </c>
      <c r="M701" s="1786" t="s">
        <v>1653</v>
      </c>
      <c r="N701" s="1786" t="s">
        <v>1653</v>
      </c>
      <c r="O701" s="1786">
        <v>0</v>
      </c>
      <c r="P701" s="1786"/>
      <c r="Q701" s="1786">
        <v>0</v>
      </c>
      <c r="R701" s="1788"/>
      <c r="S701" s="1786">
        <f t="shared" si="116"/>
        <v>1050</v>
      </c>
      <c r="T701" s="1786" t="str">
        <f t="shared" si="117"/>
        <v>בנק מזרחי טפחות בע"מ</v>
      </c>
      <c r="U701" s="1786" t="str">
        <f t="shared" si="118"/>
        <v>ד"ש גמל טיטניום</v>
      </c>
      <c r="V701" s="1786" t="str">
        <f t="shared" si="119"/>
        <v>520043795</v>
      </c>
      <c r="W701" s="1789" t="str">
        <f t="shared" si="120"/>
        <v>מיטב דש גמל ופנסיה בע"מ</v>
      </c>
      <c r="AC701" s="1761" t="s">
        <v>1586</v>
      </c>
      <c r="AD701" s="1762">
        <v>40917.7706944444</v>
      </c>
      <c r="AE701" s="1762">
        <v>38322</v>
      </c>
      <c r="AF701" s="1761" t="s">
        <v>1583</v>
      </c>
      <c r="AG701" s="1761" t="s">
        <v>1583</v>
      </c>
      <c r="AH701" s="1761" t="s">
        <v>1583</v>
      </c>
      <c r="AI701" s="1761" t="s">
        <v>3482</v>
      </c>
      <c r="AJ701" s="1761" t="s">
        <v>2235</v>
      </c>
      <c r="AK701" s="1761">
        <v>1050</v>
      </c>
      <c r="AL701" s="1761" t="s">
        <v>2235</v>
      </c>
      <c r="AM701" s="1761">
        <v>1050</v>
      </c>
      <c r="AN701" s="1761" t="s">
        <v>5370</v>
      </c>
      <c r="AO701" s="1764"/>
      <c r="AP701" s="1761" t="s">
        <v>5373</v>
      </c>
      <c r="AQ701" s="1761" t="s">
        <v>5374</v>
      </c>
      <c r="AR701" s="1761" t="s">
        <v>2899</v>
      </c>
      <c r="AS701" s="1761" t="s">
        <v>349</v>
      </c>
      <c r="AT701" s="1761" t="s">
        <v>327</v>
      </c>
      <c r="AU701" s="1763"/>
      <c r="AV701" s="1763"/>
    </row>
    <row r="702" spans="1:48" ht="25" hidden="1">
      <c r="A702" s="1785" t="str">
        <f t="shared" si="110"/>
        <v>גמל</v>
      </c>
      <c r="B702" s="1786">
        <f t="shared" si="111"/>
        <v>1050</v>
      </c>
      <c r="C702" s="1787">
        <v>28946</v>
      </c>
      <c r="D702" s="1786" t="str">
        <f t="shared" si="112"/>
        <v>ד"ש גמל טיטניום</v>
      </c>
      <c r="E702" s="1786" t="s">
        <v>3929</v>
      </c>
      <c r="F702" s="1786" t="s">
        <v>2958</v>
      </c>
      <c r="G702" s="1786" t="s">
        <v>2959</v>
      </c>
      <c r="H702" s="1786" t="str">
        <f t="shared" si="113"/>
        <v>לא פעיל</v>
      </c>
      <c r="I702" s="1788">
        <f t="shared" si="114"/>
        <v>38322</v>
      </c>
      <c r="J702" s="1788">
        <f t="shared" si="115"/>
        <v>40917.7706944444</v>
      </c>
      <c r="K702" s="1786">
        <v>0</v>
      </c>
      <c r="L702" s="1786" t="s">
        <v>1594</v>
      </c>
      <c r="M702" s="1786" t="s">
        <v>1653</v>
      </c>
      <c r="N702" s="1786" t="s">
        <v>1653</v>
      </c>
      <c r="O702" s="1786">
        <v>0</v>
      </c>
      <c r="P702" s="1786"/>
      <c r="Q702" s="1786">
        <v>0</v>
      </c>
      <c r="R702" s="1788"/>
      <c r="S702" s="1786">
        <f t="shared" si="116"/>
        <v>1050</v>
      </c>
      <c r="T702" s="1786" t="str">
        <f t="shared" si="117"/>
        <v>בנק מזרחי טפחות בע"מ</v>
      </c>
      <c r="U702" s="1786" t="str">
        <f t="shared" si="118"/>
        <v>ד"ש גמל טיטניום</v>
      </c>
      <c r="V702" s="1786" t="str">
        <f t="shared" si="119"/>
        <v>520043795</v>
      </c>
      <c r="W702" s="1789" t="str">
        <f t="shared" si="120"/>
        <v>מיטב דש גמל ופנסיה בע"מ</v>
      </c>
      <c r="AC702" s="1759" t="s">
        <v>1586</v>
      </c>
      <c r="AD702" s="1760">
        <v>40917.7706944444</v>
      </c>
      <c r="AE702" s="1760">
        <v>38322</v>
      </c>
      <c r="AF702" s="1759" t="s">
        <v>1583</v>
      </c>
      <c r="AG702" s="1759" t="s">
        <v>1583</v>
      </c>
      <c r="AH702" s="1759" t="s">
        <v>1583</v>
      </c>
      <c r="AI702" s="1759" t="s">
        <v>3482</v>
      </c>
      <c r="AJ702" s="1759" t="s">
        <v>2235</v>
      </c>
      <c r="AK702" s="1759">
        <v>1050</v>
      </c>
      <c r="AL702" s="1759" t="s">
        <v>2235</v>
      </c>
      <c r="AM702" s="1759">
        <v>1050</v>
      </c>
      <c r="AN702" s="1759" t="s">
        <v>5370</v>
      </c>
      <c r="AO702" s="1764"/>
      <c r="AP702" s="1759" t="s">
        <v>5373</v>
      </c>
      <c r="AQ702" s="1759" t="s">
        <v>5374</v>
      </c>
      <c r="AR702" s="1759" t="s">
        <v>2899</v>
      </c>
      <c r="AS702" s="1759" t="s">
        <v>349</v>
      </c>
      <c r="AT702" s="1759" t="s">
        <v>327</v>
      </c>
      <c r="AU702" s="1763"/>
      <c r="AV702" s="1763"/>
    </row>
    <row r="703" spans="1:48" ht="25" hidden="1">
      <c r="A703" s="1785" t="str">
        <f t="shared" si="110"/>
        <v>גמל</v>
      </c>
      <c r="B703" s="1786">
        <f t="shared" si="111"/>
        <v>1049</v>
      </c>
      <c r="C703" s="1787">
        <v>28946</v>
      </c>
      <c r="D703" s="1786" t="str">
        <f t="shared" si="112"/>
        <v>אדמונד דה רוטשילד דיסקונט חו"ל</v>
      </c>
      <c r="E703" s="1786" t="s">
        <v>3929</v>
      </c>
      <c r="F703" s="1786" t="s">
        <v>2958</v>
      </c>
      <c r="G703" s="1786" t="s">
        <v>2959</v>
      </c>
      <c r="H703" s="1786" t="str">
        <f t="shared" si="113"/>
        <v>לא פעיל</v>
      </c>
      <c r="I703" s="1788">
        <f t="shared" si="114"/>
        <v>38322</v>
      </c>
      <c r="J703" s="1788">
        <f t="shared" si="115"/>
        <v>40917.8137615741</v>
      </c>
      <c r="K703" s="1786">
        <v>0</v>
      </c>
      <c r="L703" s="1786" t="s">
        <v>1594</v>
      </c>
      <c r="M703" s="1786" t="s">
        <v>1653</v>
      </c>
      <c r="N703" s="1786" t="s">
        <v>1653</v>
      </c>
      <c r="O703" s="1786">
        <v>0</v>
      </c>
      <c r="P703" s="1786"/>
      <c r="Q703" s="1786">
        <v>0</v>
      </c>
      <c r="R703" s="1788"/>
      <c r="S703" s="1786">
        <f t="shared" si="116"/>
        <v>1049</v>
      </c>
      <c r="T703" s="1786" t="str">
        <f t="shared" si="117"/>
        <v>בנק דיסקונט לישראל בע"מ</v>
      </c>
      <c r="U703" s="1786" t="str">
        <f t="shared" si="118"/>
        <v>אדמונד דה רוטשילד דיסקונט חו"ל</v>
      </c>
      <c r="V703" s="1786">
        <f t="shared" si="119"/>
        <v>0</v>
      </c>
      <c r="W703" s="1789" t="str">
        <f t="shared" si="120"/>
        <v>כלל פנסיה וגמל בע"מ</v>
      </c>
      <c r="AC703" s="1761" t="s">
        <v>1586</v>
      </c>
      <c r="AD703" s="1762">
        <v>40917.8137615741</v>
      </c>
      <c r="AE703" s="1762">
        <v>38322</v>
      </c>
      <c r="AF703" s="1761" t="s">
        <v>1948</v>
      </c>
      <c r="AG703" s="1761" t="s">
        <v>1947</v>
      </c>
      <c r="AH703" s="1761" t="s">
        <v>1594</v>
      </c>
      <c r="AI703" s="1761" t="s">
        <v>3481</v>
      </c>
      <c r="AJ703" s="1761" t="s">
        <v>2234</v>
      </c>
      <c r="AK703" s="1761">
        <v>1049</v>
      </c>
      <c r="AL703" s="1761" t="s">
        <v>2234</v>
      </c>
      <c r="AM703" s="1761">
        <v>1049</v>
      </c>
      <c r="AN703" s="1761" t="s">
        <v>5535</v>
      </c>
      <c r="AO703" s="1764"/>
      <c r="AP703" s="1761"/>
      <c r="AQ703" s="1761"/>
      <c r="AR703" s="1761" t="s">
        <v>378</v>
      </c>
      <c r="AS703" s="1761" t="s">
        <v>379</v>
      </c>
      <c r="AT703" s="1761" t="s">
        <v>327</v>
      </c>
      <c r="AU703" s="1763"/>
      <c r="AV703" s="1763"/>
    </row>
    <row r="704" spans="1:48" ht="25" hidden="1">
      <c r="A704" s="1785" t="str">
        <f t="shared" si="110"/>
        <v>גמל</v>
      </c>
      <c r="B704" s="1786">
        <f t="shared" si="111"/>
        <v>1048</v>
      </c>
      <c r="C704" s="1787">
        <v>28946</v>
      </c>
      <c r="D704" s="1786" t="str">
        <f t="shared" si="112"/>
        <v>אלטשולר שחם לדמי מחלה</v>
      </c>
      <c r="E704" s="1786" t="s">
        <v>3929</v>
      </c>
      <c r="F704" s="1786" t="s">
        <v>2958</v>
      </c>
      <c r="G704" s="1786" t="s">
        <v>2959</v>
      </c>
      <c r="H704" s="1786" t="str">
        <f t="shared" si="113"/>
        <v>לא פעיל</v>
      </c>
      <c r="I704" s="1788">
        <f t="shared" si="114"/>
        <v>38330</v>
      </c>
      <c r="J704" s="1788">
        <f t="shared" si="115"/>
        <v>39082.499525462998</v>
      </c>
      <c r="K704" s="1786">
        <v>0</v>
      </c>
      <c r="L704" s="1786" t="s">
        <v>1594</v>
      </c>
      <c r="M704" s="1786" t="s">
        <v>1653</v>
      </c>
      <c r="N704" s="1786" t="s">
        <v>1653</v>
      </c>
      <c r="O704" s="1786">
        <v>0</v>
      </c>
      <c r="P704" s="1786"/>
      <c r="Q704" s="1786">
        <v>0</v>
      </c>
      <c r="R704" s="1788"/>
      <c r="S704" s="1786">
        <f t="shared" si="116"/>
        <v>1048</v>
      </c>
      <c r="T704" s="1786" t="str">
        <f t="shared" si="117"/>
        <v>בנק לאומי בע"מ</v>
      </c>
      <c r="U704" s="1786" t="str">
        <f t="shared" si="118"/>
        <v>אלטשולר שחם לדמי מחלה</v>
      </c>
      <c r="V704" s="1786" t="str">
        <f t="shared" si="119"/>
        <v>511446551</v>
      </c>
      <c r="W704" s="1789" t="str">
        <f t="shared" si="120"/>
        <v>אלטשולר שחם גמל ופנסיה בע"מ</v>
      </c>
      <c r="AC704" s="1759" t="s">
        <v>1586</v>
      </c>
      <c r="AD704" s="1760">
        <v>39082.499525462998</v>
      </c>
      <c r="AE704" s="1760">
        <v>38330</v>
      </c>
      <c r="AF704" s="1759" t="s">
        <v>1583</v>
      </c>
      <c r="AG704" s="1759" t="s">
        <v>1583</v>
      </c>
      <c r="AH704" s="1759" t="s">
        <v>1583</v>
      </c>
      <c r="AI704" s="1759" t="s">
        <v>3480</v>
      </c>
      <c r="AJ704" s="1759" t="s">
        <v>2233</v>
      </c>
      <c r="AK704" s="1759">
        <v>1048</v>
      </c>
      <c r="AL704" s="1759" t="s">
        <v>2233</v>
      </c>
      <c r="AM704" s="1759">
        <v>1048</v>
      </c>
      <c r="AN704" s="1759" t="s">
        <v>5470</v>
      </c>
      <c r="AO704" s="1764"/>
      <c r="AP704" s="1759" t="s">
        <v>5375</v>
      </c>
      <c r="AQ704" s="1759" t="s">
        <v>5376</v>
      </c>
      <c r="AR704" s="1759" t="s">
        <v>2963</v>
      </c>
      <c r="AS704" s="1759" t="s">
        <v>523</v>
      </c>
      <c r="AT704" s="1759" t="s">
        <v>327</v>
      </c>
      <c r="AU704" s="1763"/>
      <c r="AV704" s="1763"/>
    </row>
    <row r="705" spans="1:48" ht="25" hidden="1">
      <c r="A705" s="1785" t="str">
        <f t="shared" si="110"/>
        <v>גמל</v>
      </c>
      <c r="B705" s="1786">
        <f t="shared" si="111"/>
        <v>1047</v>
      </c>
      <c r="C705" s="1787">
        <v>28946</v>
      </c>
      <c r="D705" s="1786" t="str">
        <f t="shared" si="112"/>
        <v>ערבה</v>
      </c>
      <c r="E705" s="1786" t="s">
        <v>3929</v>
      </c>
      <c r="F705" s="1786" t="s">
        <v>2958</v>
      </c>
      <c r="G705" s="1786" t="s">
        <v>2959</v>
      </c>
      <c r="H705" s="1786" t="str">
        <f t="shared" si="113"/>
        <v>לא פעיל</v>
      </c>
      <c r="I705" s="1788">
        <f t="shared" si="114"/>
        <v>38330</v>
      </c>
      <c r="J705" s="1788">
        <f t="shared" si="115"/>
        <v>39082.501736111102</v>
      </c>
      <c r="K705" s="1786">
        <v>0</v>
      </c>
      <c r="L705" s="1786" t="s">
        <v>1594</v>
      </c>
      <c r="M705" s="1786" t="s">
        <v>1653</v>
      </c>
      <c r="N705" s="1786" t="s">
        <v>1653</v>
      </c>
      <c r="O705" s="1786">
        <v>0</v>
      </c>
      <c r="P705" s="1786"/>
      <c r="Q705" s="1786">
        <v>0</v>
      </c>
      <c r="R705" s="1788"/>
      <c r="S705" s="1786">
        <f t="shared" si="116"/>
        <v>1047</v>
      </c>
      <c r="T705" s="1786" t="str">
        <f t="shared" si="117"/>
        <v>בנק לאומי בע"מ</v>
      </c>
      <c r="U705" s="1786" t="str">
        <f t="shared" si="118"/>
        <v>ערבה</v>
      </c>
      <c r="V705" s="1786">
        <f t="shared" si="119"/>
        <v>0</v>
      </c>
      <c r="W705" s="1789" t="str">
        <f t="shared" si="120"/>
        <v>קידמה חברה לניהול קופות גמל בע"מ</v>
      </c>
      <c r="AC705" s="1761" t="s">
        <v>1586</v>
      </c>
      <c r="AD705" s="1762">
        <v>39082.501736111102</v>
      </c>
      <c r="AE705" s="1762">
        <v>38330</v>
      </c>
      <c r="AF705" s="1761" t="s">
        <v>1583</v>
      </c>
      <c r="AG705" s="1761" t="s">
        <v>1583</v>
      </c>
      <c r="AH705" s="1761" t="s">
        <v>1583</v>
      </c>
      <c r="AI705" s="1761" t="s">
        <v>2232</v>
      </c>
      <c r="AJ705" s="1761" t="s">
        <v>2232</v>
      </c>
      <c r="AK705" s="1761">
        <v>1047</v>
      </c>
      <c r="AL705" s="1761" t="s">
        <v>2232</v>
      </c>
      <c r="AM705" s="1761">
        <v>1047</v>
      </c>
      <c r="AN705" s="1761" t="s">
        <v>5470</v>
      </c>
      <c r="AO705" s="1764"/>
      <c r="AP705" s="1761"/>
      <c r="AQ705" s="1761"/>
      <c r="AR705" s="1761" t="s">
        <v>680</v>
      </c>
      <c r="AS705" s="1761" t="s">
        <v>681</v>
      </c>
      <c r="AT705" s="1761" t="s">
        <v>327</v>
      </c>
      <c r="AU705" s="1763"/>
      <c r="AV705" s="1763"/>
    </row>
    <row r="706" spans="1:48" ht="25" hidden="1">
      <c r="A706" s="1785" t="str">
        <f t="shared" si="110"/>
        <v>גמל</v>
      </c>
      <c r="B706" s="1786">
        <f t="shared" si="111"/>
        <v>1041</v>
      </c>
      <c r="C706" s="1787">
        <v>28946</v>
      </c>
      <c r="D706" s="1786" t="str">
        <f t="shared" si="112"/>
        <v>אקסלנס שחקים מסלול צמוד מדד</v>
      </c>
      <c r="E706" s="1786" t="s">
        <v>3929</v>
      </c>
      <c r="F706" s="1786" t="s">
        <v>2958</v>
      </c>
      <c r="G706" s="1786" t="s">
        <v>2959</v>
      </c>
      <c r="H706" s="1786" t="str">
        <f t="shared" si="113"/>
        <v>לא פעיל</v>
      </c>
      <c r="I706" s="1788">
        <f t="shared" si="114"/>
        <v>38271</v>
      </c>
      <c r="J706" s="1788">
        <f t="shared" si="115"/>
        <v>39461.604166666701</v>
      </c>
      <c r="K706" s="1786">
        <v>0</v>
      </c>
      <c r="L706" s="1786" t="s">
        <v>1594</v>
      </c>
      <c r="M706" s="1786" t="s">
        <v>1653</v>
      </c>
      <c r="N706" s="1786" t="s">
        <v>1653</v>
      </c>
      <c r="O706" s="1786">
        <v>0</v>
      </c>
      <c r="P706" s="1786"/>
      <c r="Q706" s="1786">
        <v>0</v>
      </c>
      <c r="R706" s="1788"/>
      <c r="S706" s="1786">
        <f t="shared" si="116"/>
        <v>1040</v>
      </c>
      <c r="T706" s="1786" t="str">
        <f t="shared" si="117"/>
        <v>בנק לאומי בע"מ</v>
      </c>
      <c r="U706" s="1786" t="str">
        <f t="shared" si="118"/>
        <v>אקסלנס שחקים מסלול כללי</v>
      </c>
      <c r="V706" s="1786" t="str">
        <f t="shared" si="119"/>
        <v>520017450</v>
      </c>
      <c r="W706" s="1789" t="str">
        <f t="shared" si="120"/>
        <v xml:space="preserve">הפניקס אקסלנס פנסיה וגמל בע"מ </v>
      </c>
      <c r="AC706" s="1759" t="s">
        <v>1586</v>
      </c>
      <c r="AD706" s="1760">
        <v>39461.604166666701</v>
      </c>
      <c r="AE706" s="1760">
        <v>38271</v>
      </c>
      <c r="AF706" s="1759" t="s">
        <v>1094</v>
      </c>
      <c r="AG706" s="1759" t="s">
        <v>1094</v>
      </c>
      <c r="AH706" s="1759" t="s">
        <v>1594</v>
      </c>
      <c r="AI706" s="1759" t="s">
        <v>3477</v>
      </c>
      <c r="AJ706" s="1759" t="s">
        <v>2227</v>
      </c>
      <c r="AK706" s="1759">
        <v>1041</v>
      </c>
      <c r="AL706" s="1759" t="s">
        <v>2228</v>
      </c>
      <c r="AM706" s="1759">
        <v>1040</v>
      </c>
      <c r="AN706" s="1759" t="s">
        <v>5470</v>
      </c>
      <c r="AO706" s="1764"/>
      <c r="AP706" s="1759" t="s">
        <v>5379</v>
      </c>
      <c r="AQ706" s="1759" t="s">
        <v>5380</v>
      </c>
      <c r="AR706" s="1759" t="s">
        <v>5381</v>
      </c>
      <c r="AS706" s="1759" t="s">
        <v>347</v>
      </c>
      <c r="AT706" s="1759" t="s">
        <v>327</v>
      </c>
      <c r="AU706" s="1763"/>
      <c r="AV706" s="1763"/>
    </row>
    <row r="707" spans="1:48" ht="25" hidden="1">
      <c r="A707" s="1785" t="str">
        <f t="shared" si="110"/>
        <v>גמל</v>
      </c>
      <c r="B707" s="1786">
        <f t="shared" si="111"/>
        <v>1043</v>
      </c>
      <c r="C707" s="1787">
        <v>28946</v>
      </c>
      <c r="D707" s="1786" t="str">
        <f t="shared" si="112"/>
        <v>אקסלנס שחקים מסלול צמוד מדד</v>
      </c>
      <c r="E707" s="1786" t="s">
        <v>3929</v>
      </c>
      <c r="F707" s="1786" t="s">
        <v>2958</v>
      </c>
      <c r="G707" s="1786" t="s">
        <v>2959</v>
      </c>
      <c r="H707" s="1786" t="str">
        <f t="shared" si="113"/>
        <v>לא פעיל</v>
      </c>
      <c r="I707" s="1788">
        <f t="shared" si="114"/>
        <v>38271</v>
      </c>
      <c r="J707" s="1788">
        <f t="shared" si="115"/>
        <v>39461.604293981502</v>
      </c>
      <c r="K707" s="1786">
        <v>0</v>
      </c>
      <c r="L707" s="1786" t="s">
        <v>1594</v>
      </c>
      <c r="M707" s="1786" t="s">
        <v>1653</v>
      </c>
      <c r="N707" s="1786" t="s">
        <v>1653</v>
      </c>
      <c r="O707" s="1786">
        <v>0</v>
      </c>
      <c r="P707" s="1786"/>
      <c r="Q707" s="1786">
        <v>0</v>
      </c>
      <c r="R707" s="1788"/>
      <c r="S707" s="1786">
        <f t="shared" si="116"/>
        <v>1040</v>
      </c>
      <c r="T707" s="1786" t="str">
        <f t="shared" si="117"/>
        <v>בנק לאומי בע"מ</v>
      </c>
      <c r="U707" s="1786" t="str">
        <f t="shared" si="118"/>
        <v>אקסלנס שחקים מסלול כללי</v>
      </c>
      <c r="V707" s="1786" t="str">
        <f t="shared" si="119"/>
        <v>520017450</v>
      </c>
      <c r="W707" s="1789" t="str">
        <f t="shared" si="120"/>
        <v xml:space="preserve">הפניקס אקסלנס פנסיה וגמל בע"מ </v>
      </c>
      <c r="AC707" s="1761" t="s">
        <v>1586</v>
      </c>
      <c r="AD707" s="1762">
        <v>39461.604293981502</v>
      </c>
      <c r="AE707" s="1762">
        <v>38271</v>
      </c>
      <c r="AF707" s="1761" t="s">
        <v>1094</v>
      </c>
      <c r="AG707" s="1761" t="s">
        <v>1094</v>
      </c>
      <c r="AH707" s="1761" t="s">
        <v>1594</v>
      </c>
      <c r="AI707" s="1761" t="s">
        <v>3477</v>
      </c>
      <c r="AJ707" s="1761" t="s">
        <v>2227</v>
      </c>
      <c r="AK707" s="1761">
        <v>1043</v>
      </c>
      <c r="AL707" s="1761" t="s">
        <v>2228</v>
      </c>
      <c r="AM707" s="1761">
        <v>1040</v>
      </c>
      <c r="AN707" s="1761" t="s">
        <v>5470</v>
      </c>
      <c r="AO707" s="1764"/>
      <c r="AP707" s="1761" t="s">
        <v>5379</v>
      </c>
      <c r="AQ707" s="1761" t="s">
        <v>5380</v>
      </c>
      <c r="AR707" s="1761" t="s">
        <v>5381</v>
      </c>
      <c r="AS707" s="1761" t="s">
        <v>347</v>
      </c>
      <c r="AT707" s="1761" t="s">
        <v>327</v>
      </c>
      <c r="AU707" s="1763"/>
      <c r="AV707" s="1763"/>
    </row>
    <row r="708" spans="1:48" ht="25" hidden="1">
      <c r="A708" s="1785" t="str">
        <f t="shared" si="110"/>
        <v>גמל</v>
      </c>
      <c r="B708" s="1786">
        <f t="shared" si="111"/>
        <v>1295</v>
      </c>
      <c r="C708" s="1787">
        <v>28946</v>
      </c>
      <c r="D708" s="1786" t="str">
        <f t="shared" si="112"/>
        <v>אקסלנס שחקים מסלול כללי ב'</v>
      </c>
      <c r="E708" s="1786" t="s">
        <v>3929</v>
      </c>
      <c r="F708" s="1786" t="s">
        <v>2958</v>
      </c>
      <c r="G708" s="1786" t="s">
        <v>2959</v>
      </c>
      <c r="H708" s="1786" t="str">
        <f t="shared" si="113"/>
        <v>לא פעיל</v>
      </c>
      <c r="I708" s="1788">
        <f t="shared" si="114"/>
        <v>38271</v>
      </c>
      <c r="J708" s="1788">
        <f t="shared" si="115"/>
        <v>40917.7105324074</v>
      </c>
      <c r="K708" s="1786">
        <v>0</v>
      </c>
      <c r="L708" s="1786" t="s">
        <v>1594</v>
      </c>
      <c r="M708" s="1786" t="s">
        <v>1653</v>
      </c>
      <c r="N708" s="1786" t="s">
        <v>1653</v>
      </c>
      <c r="O708" s="1786">
        <v>0</v>
      </c>
      <c r="P708" s="1786"/>
      <c r="Q708" s="1786">
        <v>0</v>
      </c>
      <c r="R708" s="1788"/>
      <c r="S708" s="1786">
        <f t="shared" si="116"/>
        <v>1040</v>
      </c>
      <c r="T708" s="1786" t="str">
        <f t="shared" si="117"/>
        <v>בנק לאומי בע"מ</v>
      </c>
      <c r="U708" s="1786" t="str">
        <f t="shared" si="118"/>
        <v>אקסלנס שחקים מסלול כללי</v>
      </c>
      <c r="V708" s="1786" t="str">
        <f t="shared" si="119"/>
        <v>520017450</v>
      </c>
      <c r="W708" s="1789" t="str">
        <f t="shared" si="120"/>
        <v xml:space="preserve">הפניקס אקסלנס פנסיה וגמל בע"מ </v>
      </c>
      <c r="AC708" s="1759" t="s">
        <v>1586</v>
      </c>
      <c r="AD708" s="1760">
        <v>40917.7105324074</v>
      </c>
      <c r="AE708" s="1760">
        <v>38271</v>
      </c>
      <c r="AF708" s="1759" t="s">
        <v>1583</v>
      </c>
      <c r="AG708" s="1759" t="s">
        <v>1583</v>
      </c>
      <c r="AH708" s="1759" t="s">
        <v>1583</v>
      </c>
      <c r="AI708" s="1759" t="s">
        <v>3594</v>
      </c>
      <c r="AJ708" s="1759" t="s">
        <v>2388</v>
      </c>
      <c r="AK708" s="1759">
        <v>1295</v>
      </c>
      <c r="AL708" s="1759" t="s">
        <v>2228</v>
      </c>
      <c r="AM708" s="1759">
        <v>1040</v>
      </c>
      <c r="AN708" s="1759" t="s">
        <v>5470</v>
      </c>
      <c r="AO708" s="1764"/>
      <c r="AP708" s="1759" t="s">
        <v>5379</v>
      </c>
      <c r="AQ708" s="1759" t="s">
        <v>5380</v>
      </c>
      <c r="AR708" s="1759" t="s">
        <v>5381</v>
      </c>
      <c r="AS708" s="1759" t="s">
        <v>347</v>
      </c>
      <c r="AT708" s="1759" t="s">
        <v>327</v>
      </c>
      <c r="AU708" s="1763"/>
      <c r="AV708" s="1763"/>
    </row>
    <row r="709" spans="1:48" ht="25" hidden="1">
      <c r="A709" s="1785" t="str">
        <f t="shared" si="110"/>
        <v>גמל</v>
      </c>
      <c r="B709" s="1786">
        <f t="shared" si="111"/>
        <v>1045</v>
      </c>
      <c r="C709" s="1787">
        <v>28946</v>
      </c>
      <c r="D709" s="1786" t="str">
        <f t="shared" si="112"/>
        <v>אקסלנס שחקים מסלול צמוד מדד</v>
      </c>
      <c r="E709" s="1786" t="s">
        <v>3929</v>
      </c>
      <c r="F709" s="1786" t="s">
        <v>2958</v>
      </c>
      <c r="G709" s="1786" t="s">
        <v>2959</v>
      </c>
      <c r="H709" s="1786" t="str">
        <f t="shared" si="113"/>
        <v>לא פעיל</v>
      </c>
      <c r="I709" s="1788">
        <f t="shared" si="114"/>
        <v>38271</v>
      </c>
      <c r="J709" s="1788">
        <f t="shared" si="115"/>
        <v>39461.604398148098</v>
      </c>
      <c r="K709" s="1786">
        <v>0</v>
      </c>
      <c r="L709" s="1786" t="s">
        <v>1594</v>
      </c>
      <c r="M709" s="1786" t="s">
        <v>1653</v>
      </c>
      <c r="N709" s="1786" t="s">
        <v>1653</v>
      </c>
      <c r="O709" s="1786">
        <v>0</v>
      </c>
      <c r="P709" s="1786"/>
      <c r="Q709" s="1786">
        <v>0</v>
      </c>
      <c r="R709" s="1788"/>
      <c r="S709" s="1786">
        <f t="shared" si="116"/>
        <v>1040</v>
      </c>
      <c r="T709" s="1786" t="str">
        <f t="shared" si="117"/>
        <v>בנק לאומי בע"מ</v>
      </c>
      <c r="U709" s="1786" t="str">
        <f t="shared" si="118"/>
        <v>אקסלנס שחקים מסלול כללי</v>
      </c>
      <c r="V709" s="1786" t="str">
        <f t="shared" si="119"/>
        <v>520017450</v>
      </c>
      <c r="W709" s="1789" t="str">
        <f t="shared" si="120"/>
        <v xml:space="preserve">הפניקס אקסלנס פנסיה וגמל בע"מ </v>
      </c>
      <c r="AC709" s="1761" t="s">
        <v>1586</v>
      </c>
      <c r="AD709" s="1762">
        <v>39461.604398148098</v>
      </c>
      <c r="AE709" s="1762">
        <v>38271</v>
      </c>
      <c r="AF709" s="1761" t="s">
        <v>1094</v>
      </c>
      <c r="AG709" s="1761" t="s">
        <v>1094</v>
      </c>
      <c r="AH709" s="1761" t="s">
        <v>1594</v>
      </c>
      <c r="AI709" s="1761" t="s">
        <v>3477</v>
      </c>
      <c r="AJ709" s="1761" t="s">
        <v>2227</v>
      </c>
      <c r="AK709" s="1761">
        <v>1045</v>
      </c>
      <c r="AL709" s="1761" t="s">
        <v>2228</v>
      </c>
      <c r="AM709" s="1761">
        <v>1040</v>
      </c>
      <c r="AN709" s="1761" t="s">
        <v>5470</v>
      </c>
      <c r="AO709" s="1764"/>
      <c r="AP709" s="1761" t="s">
        <v>5379</v>
      </c>
      <c r="AQ709" s="1761" t="s">
        <v>5380</v>
      </c>
      <c r="AR709" s="1761" t="s">
        <v>5381</v>
      </c>
      <c r="AS709" s="1761" t="s">
        <v>347</v>
      </c>
      <c r="AT709" s="1761" t="s">
        <v>327</v>
      </c>
      <c r="AU709" s="1763"/>
      <c r="AV709" s="1763"/>
    </row>
    <row r="710" spans="1:48" ht="25" hidden="1">
      <c r="A710" s="1785" t="str">
        <f t="shared" si="110"/>
        <v>גמל</v>
      </c>
      <c r="B710" s="1786">
        <f t="shared" si="111"/>
        <v>1046</v>
      </c>
      <c r="C710" s="1787">
        <v>28946</v>
      </c>
      <c r="D710" s="1786" t="str">
        <f t="shared" si="112"/>
        <v>אקסלנס שחקים מסלול שקלי</v>
      </c>
      <c r="E710" s="1786" t="s">
        <v>3929</v>
      </c>
      <c r="F710" s="1786" t="s">
        <v>2958</v>
      </c>
      <c r="G710" s="1786" t="s">
        <v>2959</v>
      </c>
      <c r="H710" s="1786" t="str">
        <f t="shared" si="113"/>
        <v>לא פעיל</v>
      </c>
      <c r="I710" s="1788">
        <f t="shared" si="114"/>
        <v>38271</v>
      </c>
      <c r="J710" s="1788">
        <f t="shared" si="115"/>
        <v>39461.604490740698</v>
      </c>
      <c r="K710" s="1786">
        <v>0</v>
      </c>
      <c r="L710" s="1786" t="s">
        <v>1594</v>
      </c>
      <c r="M710" s="1786" t="s">
        <v>1653</v>
      </c>
      <c r="N710" s="1786" t="s">
        <v>1653</v>
      </c>
      <c r="O710" s="1786">
        <v>0</v>
      </c>
      <c r="P710" s="1786"/>
      <c r="Q710" s="1786">
        <v>0</v>
      </c>
      <c r="R710" s="1788"/>
      <c r="S710" s="1786">
        <f t="shared" si="116"/>
        <v>1040</v>
      </c>
      <c r="T710" s="1786" t="str">
        <f t="shared" si="117"/>
        <v>בנק לאומי בע"מ</v>
      </c>
      <c r="U710" s="1786" t="str">
        <f t="shared" si="118"/>
        <v>אקסלנס שחקים מסלול כללי</v>
      </c>
      <c r="V710" s="1786" t="str">
        <f t="shared" si="119"/>
        <v>520017450</v>
      </c>
      <c r="W710" s="1789" t="str">
        <f t="shared" si="120"/>
        <v xml:space="preserve">הפניקס אקסלנס פנסיה וגמל בע"מ </v>
      </c>
      <c r="AC710" s="1759" t="s">
        <v>1586</v>
      </c>
      <c r="AD710" s="1760">
        <v>39461.604490740698</v>
      </c>
      <c r="AE710" s="1760">
        <v>38271</v>
      </c>
      <c r="AF710" s="1759" t="s">
        <v>1076</v>
      </c>
      <c r="AG710" s="1759" t="s">
        <v>1614</v>
      </c>
      <c r="AH710" s="1759" t="s">
        <v>1594</v>
      </c>
      <c r="AI710" s="1759" t="s">
        <v>3479</v>
      </c>
      <c r="AJ710" s="1759" t="s">
        <v>2231</v>
      </c>
      <c r="AK710" s="1759">
        <v>1046</v>
      </c>
      <c r="AL710" s="1759" t="s">
        <v>2228</v>
      </c>
      <c r="AM710" s="1759">
        <v>1040</v>
      </c>
      <c r="AN710" s="1759" t="s">
        <v>5470</v>
      </c>
      <c r="AO710" s="1764"/>
      <c r="AP710" s="1759" t="s">
        <v>5379</v>
      </c>
      <c r="AQ710" s="1759" t="s">
        <v>5380</v>
      </c>
      <c r="AR710" s="1759" t="s">
        <v>5381</v>
      </c>
      <c r="AS710" s="1759" t="s">
        <v>347</v>
      </c>
      <c r="AT710" s="1759" t="s">
        <v>327</v>
      </c>
      <c r="AU710" s="1763"/>
      <c r="AV710" s="1763"/>
    </row>
    <row r="711" spans="1:48" ht="25" hidden="1">
      <c r="A711" s="1785" t="str">
        <f t="shared" si="110"/>
        <v>גמל</v>
      </c>
      <c r="B711" s="1786">
        <f t="shared" si="111"/>
        <v>1044</v>
      </c>
      <c r="C711" s="1787">
        <v>28946</v>
      </c>
      <c r="D711" s="1786" t="str">
        <f t="shared" si="112"/>
        <v>אקסלנס שחקים מסלול שקלי ב'</v>
      </c>
      <c r="E711" s="1786" t="s">
        <v>3929</v>
      </c>
      <c r="F711" s="1786" t="s">
        <v>2958</v>
      </c>
      <c r="G711" s="1786" t="s">
        <v>2959</v>
      </c>
      <c r="H711" s="1786" t="str">
        <f t="shared" si="113"/>
        <v>לא פעיל</v>
      </c>
      <c r="I711" s="1788">
        <f t="shared" si="114"/>
        <v>38271</v>
      </c>
      <c r="J711" s="1788">
        <f t="shared" si="115"/>
        <v>40917.711180555598</v>
      </c>
      <c r="K711" s="1786">
        <v>0</v>
      </c>
      <c r="L711" s="1786" t="s">
        <v>1594</v>
      </c>
      <c r="M711" s="1786" t="s">
        <v>1653</v>
      </c>
      <c r="N711" s="1786" t="s">
        <v>1653</v>
      </c>
      <c r="O711" s="1786">
        <v>0</v>
      </c>
      <c r="P711" s="1786"/>
      <c r="Q711" s="1786">
        <v>0</v>
      </c>
      <c r="R711" s="1788"/>
      <c r="S711" s="1786">
        <f t="shared" si="116"/>
        <v>1040</v>
      </c>
      <c r="T711" s="1786" t="str">
        <f t="shared" si="117"/>
        <v>בנק לאומי בע"מ</v>
      </c>
      <c r="U711" s="1786" t="str">
        <f t="shared" si="118"/>
        <v>אקסלנס שחקים מסלול כללי</v>
      </c>
      <c r="V711" s="1786" t="str">
        <f t="shared" si="119"/>
        <v>520017450</v>
      </c>
      <c r="W711" s="1789" t="str">
        <f t="shared" si="120"/>
        <v xml:space="preserve">הפניקס אקסלנס פנסיה וגמל בע"מ </v>
      </c>
      <c r="AC711" s="1761" t="s">
        <v>1586</v>
      </c>
      <c r="AD711" s="1762">
        <v>40917.711180555598</v>
      </c>
      <c r="AE711" s="1762">
        <v>38271</v>
      </c>
      <c r="AF711" s="1761" t="s">
        <v>1076</v>
      </c>
      <c r="AG711" s="1761" t="s">
        <v>1614</v>
      </c>
      <c r="AH711" s="1761" t="s">
        <v>1594</v>
      </c>
      <c r="AI711" s="1761" t="s">
        <v>3478</v>
      </c>
      <c r="AJ711" s="1761" t="s">
        <v>2230</v>
      </c>
      <c r="AK711" s="1761">
        <v>1044</v>
      </c>
      <c r="AL711" s="1761" t="s">
        <v>2228</v>
      </c>
      <c r="AM711" s="1761">
        <v>1040</v>
      </c>
      <c r="AN711" s="1761" t="s">
        <v>5470</v>
      </c>
      <c r="AO711" s="1764"/>
      <c r="AP711" s="1761" t="s">
        <v>5379</v>
      </c>
      <c r="AQ711" s="1761" t="s">
        <v>5380</v>
      </c>
      <c r="AR711" s="1761" t="s">
        <v>5381</v>
      </c>
      <c r="AS711" s="1761" t="s">
        <v>347</v>
      </c>
      <c r="AT711" s="1761" t="s">
        <v>327</v>
      </c>
      <c r="AU711" s="1763"/>
      <c r="AV711" s="1763"/>
    </row>
    <row r="712" spans="1:48" ht="25" hidden="1">
      <c r="A712" s="1785" t="str">
        <f t="shared" si="110"/>
        <v>גמל</v>
      </c>
      <c r="B712" s="1786">
        <f t="shared" si="111"/>
        <v>8056</v>
      </c>
      <c r="C712" s="1787">
        <v>28946</v>
      </c>
      <c r="D712" s="1786" t="str">
        <f t="shared" si="112"/>
        <v>ילין לפידות קופה מרכזית לפיצויים כללי ב'</v>
      </c>
      <c r="E712" s="1786" t="s">
        <v>3929</v>
      </c>
      <c r="F712" s="1786" t="s">
        <v>2958</v>
      </c>
      <c r="G712" s="1786" t="s">
        <v>2959</v>
      </c>
      <c r="H712" s="1786" t="str">
        <f t="shared" si="113"/>
        <v>פעיל</v>
      </c>
      <c r="I712" s="1788">
        <f t="shared" si="114"/>
        <v>38271</v>
      </c>
      <c r="J712" s="1788" t="str">
        <f t="shared" si="115"/>
        <v/>
      </c>
      <c r="K712" s="1786">
        <v>0</v>
      </c>
      <c r="L712" s="1786" t="s">
        <v>1594</v>
      </c>
      <c r="M712" s="1786" t="s">
        <v>1653</v>
      </c>
      <c r="N712" s="1786" t="s">
        <v>1653</v>
      </c>
      <c r="O712" s="1786">
        <v>0</v>
      </c>
      <c r="P712" s="1786"/>
      <c r="Q712" s="1786">
        <v>0</v>
      </c>
      <c r="R712" s="1788"/>
      <c r="S712" s="1786">
        <f t="shared" si="116"/>
        <v>1039</v>
      </c>
      <c r="T712" s="1786" t="str">
        <f t="shared" si="117"/>
        <v>בנק לאומי בע"מ</v>
      </c>
      <c r="U712" s="1786" t="str">
        <f t="shared" si="118"/>
        <v>ילין לפידות קופה מרכזית לפיצויים</v>
      </c>
      <c r="V712" s="1786" t="str">
        <f t="shared" si="119"/>
        <v>513167346</v>
      </c>
      <c r="W712" s="1789" t="str">
        <f t="shared" si="120"/>
        <v>ילין לפידות ניהול קופות גמל בע"מ</v>
      </c>
      <c r="AC712" s="1759" t="s">
        <v>346</v>
      </c>
      <c r="AD712" s="1759"/>
      <c r="AE712" s="1760">
        <v>38271</v>
      </c>
      <c r="AF712" s="1759" t="s">
        <v>1583</v>
      </c>
      <c r="AG712" s="1759" t="s">
        <v>1583</v>
      </c>
      <c r="AH712" s="1759" t="s">
        <v>1583</v>
      </c>
      <c r="AI712" s="1759" t="s">
        <v>3723</v>
      </c>
      <c r="AJ712" s="1759" t="s">
        <v>2807</v>
      </c>
      <c r="AK712" s="1759">
        <v>8056</v>
      </c>
      <c r="AL712" s="1759" t="s">
        <v>646</v>
      </c>
      <c r="AM712" s="1759">
        <v>1039</v>
      </c>
      <c r="AN712" s="1759" t="s">
        <v>5470</v>
      </c>
      <c r="AO712" s="1764"/>
      <c r="AP712" s="1759" t="s">
        <v>5363</v>
      </c>
      <c r="AQ712" s="1759" t="s">
        <v>5364</v>
      </c>
      <c r="AR712" s="1759" t="s">
        <v>642</v>
      </c>
      <c r="AS712" s="1759" t="s">
        <v>643</v>
      </c>
      <c r="AT712" s="1759" t="s">
        <v>327</v>
      </c>
      <c r="AU712" s="1763"/>
      <c r="AV712" s="1763"/>
    </row>
    <row r="713" spans="1:48" ht="25" hidden="1">
      <c r="A713" s="1785" t="str">
        <f t="shared" si="110"/>
        <v>גמל</v>
      </c>
      <c r="B713" s="1786">
        <f t="shared" si="111"/>
        <v>1039</v>
      </c>
      <c r="C713" s="1787">
        <v>28946</v>
      </c>
      <c r="D713" s="1786" t="str">
        <f t="shared" si="112"/>
        <v>ילין לפידות קופה מרכזית לפיצויים</v>
      </c>
      <c r="E713" s="1786" t="s">
        <v>3929</v>
      </c>
      <c r="F713" s="1786" t="s">
        <v>2958</v>
      </c>
      <c r="G713" s="1786" t="s">
        <v>2959</v>
      </c>
      <c r="H713" s="1786" t="str">
        <f t="shared" si="113"/>
        <v>פעיל</v>
      </c>
      <c r="I713" s="1788">
        <f t="shared" si="114"/>
        <v>38271</v>
      </c>
      <c r="J713" s="1788" t="str">
        <f t="shared" si="115"/>
        <v/>
      </c>
      <c r="K713" s="1786">
        <v>0</v>
      </c>
      <c r="L713" s="1786" t="s">
        <v>1594</v>
      </c>
      <c r="M713" s="1786" t="s">
        <v>1653</v>
      </c>
      <c r="N713" s="1786" t="s">
        <v>1653</v>
      </c>
      <c r="O713" s="1786">
        <v>0</v>
      </c>
      <c r="P713" s="1786"/>
      <c r="Q713" s="1786">
        <v>0</v>
      </c>
      <c r="R713" s="1788"/>
      <c r="S713" s="1786">
        <f t="shared" si="116"/>
        <v>1039</v>
      </c>
      <c r="T713" s="1786" t="str">
        <f t="shared" si="117"/>
        <v>בנק לאומי בע"מ</v>
      </c>
      <c r="U713" s="1786" t="str">
        <f t="shared" si="118"/>
        <v>ילין לפידות קופה מרכזית לפיצויים</v>
      </c>
      <c r="V713" s="1786" t="str">
        <f t="shared" si="119"/>
        <v>513167346</v>
      </c>
      <c r="W713" s="1789" t="str">
        <f t="shared" si="120"/>
        <v>ילין לפידות ניהול קופות גמל בע"מ</v>
      </c>
      <c r="AC713" s="1761" t="s">
        <v>346</v>
      </c>
      <c r="AD713" s="1759"/>
      <c r="AE713" s="1762">
        <v>38271</v>
      </c>
      <c r="AF713" s="1761" t="s">
        <v>1583</v>
      </c>
      <c r="AG713" s="1761" t="s">
        <v>1583</v>
      </c>
      <c r="AH713" s="1761" t="s">
        <v>1583</v>
      </c>
      <c r="AI713" s="1761" t="s">
        <v>2812</v>
      </c>
      <c r="AJ713" s="1761" t="s">
        <v>646</v>
      </c>
      <c r="AK713" s="1761">
        <v>1039</v>
      </c>
      <c r="AL713" s="1761" t="s">
        <v>646</v>
      </c>
      <c r="AM713" s="1761">
        <v>1039</v>
      </c>
      <c r="AN713" s="1761" t="s">
        <v>5470</v>
      </c>
      <c r="AO713" s="1764"/>
      <c r="AP713" s="1761" t="s">
        <v>5363</v>
      </c>
      <c r="AQ713" s="1761" t="s">
        <v>5364</v>
      </c>
      <c r="AR713" s="1761" t="s">
        <v>642</v>
      </c>
      <c r="AS713" s="1761" t="s">
        <v>643</v>
      </c>
      <c r="AT713" s="1761" t="s">
        <v>327</v>
      </c>
      <c r="AU713" s="1763"/>
      <c r="AV713" s="1763"/>
    </row>
    <row r="714" spans="1:48" ht="25" hidden="1">
      <c r="A714" s="1785" t="str">
        <f t="shared" si="110"/>
        <v>גמל</v>
      </c>
      <c r="B714" s="1786">
        <f t="shared" si="111"/>
        <v>1038</v>
      </c>
      <c r="C714" s="1787">
        <v>28946</v>
      </c>
      <c r="D714" s="1786" t="str">
        <f t="shared" si="112"/>
        <v>ילין לפידות קרן השתלמות מסלול אג"ח עד 25% מניות</v>
      </c>
      <c r="E714" s="1786" t="s">
        <v>3929</v>
      </c>
      <c r="F714" s="1786" t="s">
        <v>2958</v>
      </c>
      <c r="G714" s="1786" t="s">
        <v>2959</v>
      </c>
      <c r="H714" s="1786" t="str">
        <f t="shared" si="113"/>
        <v>פעיל</v>
      </c>
      <c r="I714" s="1788">
        <f t="shared" si="114"/>
        <v>38271</v>
      </c>
      <c r="J714" s="1788" t="str">
        <f t="shared" si="115"/>
        <v/>
      </c>
      <c r="K714" s="1786">
        <v>0</v>
      </c>
      <c r="L714" s="1786" t="s">
        <v>1594</v>
      </c>
      <c r="M714" s="1786" t="s">
        <v>1653</v>
      </c>
      <c r="N714" s="1786" t="s">
        <v>1653</v>
      </c>
      <c r="O714" s="1786">
        <v>0</v>
      </c>
      <c r="P714" s="1786"/>
      <c r="Q714" s="1786">
        <v>0</v>
      </c>
      <c r="R714" s="1788"/>
      <c r="S714" s="1786">
        <f t="shared" si="116"/>
        <v>1038</v>
      </c>
      <c r="T714" s="1786" t="str">
        <f t="shared" si="117"/>
        <v>בנק לאומי בע"מ</v>
      </c>
      <c r="U714" s="1786" t="str">
        <f t="shared" si="118"/>
        <v>ילין לפידות קרן השתלמות</v>
      </c>
      <c r="V714" s="1786" t="str">
        <f t="shared" si="119"/>
        <v>513167346</v>
      </c>
      <c r="W714" s="1789" t="str">
        <f t="shared" si="120"/>
        <v>ילין לפידות ניהול קופות גמל בע"מ</v>
      </c>
      <c r="AC714" s="1759" t="s">
        <v>346</v>
      </c>
      <c r="AD714" s="1759"/>
      <c r="AE714" s="1760">
        <v>38271</v>
      </c>
      <c r="AF714" s="1759" t="s">
        <v>3934</v>
      </c>
      <c r="AG714" s="1759" t="s">
        <v>1653</v>
      </c>
      <c r="AH714" s="1759" t="s">
        <v>1594</v>
      </c>
      <c r="AI714" s="1759" t="s">
        <v>4022</v>
      </c>
      <c r="AJ714" s="1759" t="s">
        <v>4022</v>
      </c>
      <c r="AK714" s="1759">
        <v>1038</v>
      </c>
      <c r="AL714" s="1759" t="s">
        <v>645</v>
      </c>
      <c r="AM714" s="1759">
        <v>1038</v>
      </c>
      <c r="AN714" s="1759" t="s">
        <v>5470</v>
      </c>
      <c r="AO714" s="1764"/>
      <c r="AP714" s="1759" t="s">
        <v>5363</v>
      </c>
      <c r="AQ714" s="1759" t="s">
        <v>5364</v>
      </c>
      <c r="AR714" s="1759" t="s">
        <v>642</v>
      </c>
      <c r="AS714" s="1759" t="s">
        <v>643</v>
      </c>
      <c r="AT714" s="1759" t="s">
        <v>327</v>
      </c>
      <c r="AU714" s="1763"/>
      <c r="AV714" s="1763"/>
    </row>
    <row r="715" spans="1:48" ht="25" hidden="1">
      <c r="A715" s="1785" t="str">
        <f t="shared" si="110"/>
        <v>גמל</v>
      </c>
      <c r="B715" s="1786">
        <f t="shared" si="111"/>
        <v>1162</v>
      </c>
      <c r="C715" s="1787">
        <v>28946</v>
      </c>
      <c r="D715" s="1786" t="str">
        <f t="shared" si="112"/>
        <v>ילין לפידות קרן השתלמות מסלול כללי</v>
      </c>
      <c r="E715" s="1786" t="s">
        <v>3929</v>
      </c>
      <c r="F715" s="1786" t="s">
        <v>2958</v>
      </c>
      <c r="G715" s="1786" t="s">
        <v>2959</v>
      </c>
      <c r="H715" s="1786" t="str">
        <f t="shared" si="113"/>
        <v>פעיל</v>
      </c>
      <c r="I715" s="1788">
        <f t="shared" si="114"/>
        <v>38271</v>
      </c>
      <c r="J715" s="1788" t="str">
        <f t="shared" si="115"/>
        <v/>
      </c>
      <c r="K715" s="1786">
        <v>0</v>
      </c>
      <c r="L715" s="1786" t="s">
        <v>1594</v>
      </c>
      <c r="M715" s="1786" t="s">
        <v>1653</v>
      </c>
      <c r="N715" s="1786" t="s">
        <v>1653</v>
      </c>
      <c r="O715" s="1786">
        <v>0</v>
      </c>
      <c r="P715" s="1786"/>
      <c r="Q715" s="1786">
        <v>0</v>
      </c>
      <c r="R715" s="1788"/>
      <c r="S715" s="1786">
        <f t="shared" si="116"/>
        <v>1038</v>
      </c>
      <c r="T715" s="1786" t="str">
        <f t="shared" si="117"/>
        <v>בנק לאומי בע"מ</v>
      </c>
      <c r="U715" s="1786" t="str">
        <f t="shared" si="118"/>
        <v>ילין לפידות קרן השתלמות</v>
      </c>
      <c r="V715" s="1786" t="str">
        <f t="shared" si="119"/>
        <v>513167346</v>
      </c>
      <c r="W715" s="1789" t="str">
        <f t="shared" si="120"/>
        <v>ילין לפידות ניהול קופות גמל בע"מ</v>
      </c>
      <c r="AC715" s="1761" t="s">
        <v>346</v>
      </c>
      <c r="AD715" s="1761"/>
      <c r="AE715" s="1762">
        <v>38271</v>
      </c>
      <c r="AF715" s="1761" t="s">
        <v>1583</v>
      </c>
      <c r="AG715" s="1761" t="s">
        <v>1583</v>
      </c>
      <c r="AH715" s="1761" t="s">
        <v>1583</v>
      </c>
      <c r="AI715" s="1761" t="s">
        <v>2226</v>
      </c>
      <c r="AJ715" s="1761" t="s">
        <v>2226</v>
      </c>
      <c r="AK715" s="1761">
        <v>1162</v>
      </c>
      <c r="AL715" s="1761" t="s">
        <v>645</v>
      </c>
      <c r="AM715" s="1761">
        <v>1038</v>
      </c>
      <c r="AN715" s="1761" t="s">
        <v>5470</v>
      </c>
      <c r="AO715" s="1764"/>
      <c r="AP715" s="1761" t="s">
        <v>5363</v>
      </c>
      <c r="AQ715" s="1761" t="s">
        <v>5364</v>
      </c>
      <c r="AR715" s="1761" t="s">
        <v>642</v>
      </c>
      <c r="AS715" s="1761" t="s">
        <v>643</v>
      </c>
      <c r="AT715" s="1761" t="s">
        <v>327</v>
      </c>
      <c r="AU715" s="1763"/>
      <c r="AV715" s="1763"/>
    </row>
    <row r="716" spans="1:48" ht="25" hidden="1">
      <c r="A716" s="1785" t="str">
        <f t="shared" si="110"/>
        <v>גמל</v>
      </c>
      <c r="B716" s="1786">
        <f t="shared" si="111"/>
        <v>1361</v>
      </c>
      <c r="C716" s="1787">
        <v>28946</v>
      </c>
      <c r="D716" s="1786" t="str">
        <f t="shared" si="112"/>
        <v>ילין לפידות קרן השתלמות מסלול אג"ח ממשלת ישראל</v>
      </c>
      <c r="E716" s="1786" t="s">
        <v>3929</v>
      </c>
      <c r="F716" s="1786" t="s">
        <v>2958</v>
      </c>
      <c r="G716" s="1786" t="s">
        <v>2959</v>
      </c>
      <c r="H716" s="1786" t="str">
        <f t="shared" si="113"/>
        <v>פעיל</v>
      </c>
      <c r="I716" s="1788">
        <f t="shared" si="114"/>
        <v>38271</v>
      </c>
      <c r="J716" s="1788" t="str">
        <f t="shared" si="115"/>
        <v/>
      </c>
      <c r="K716" s="1786">
        <v>0</v>
      </c>
      <c r="L716" s="1786" t="s">
        <v>1594</v>
      </c>
      <c r="M716" s="1786" t="s">
        <v>1653</v>
      </c>
      <c r="N716" s="1786" t="s">
        <v>1653</v>
      </c>
      <c r="O716" s="1786">
        <v>0</v>
      </c>
      <c r="P716" s="1786"/>
      <c r="Q716" s="1786">
        <v>0</v>
      </c>
      <c r="R716" s="1788"/>
      <c r="S716" s="1786">
        <f t="shared" si="116"/>
        <v>1038</v>
      </c>
      <c r="T716" s="1786" t="str">
        <f t="shared" si="117"/>
        <v>בנק לאומי בע"מ</v>
      </c>
      <c r="U716" s="1786" t="str">
        <f t="shared" si="118"/>
        <v>ילין לפידות קרן השתלמות</v>
      </c>
      <c r="V716" s="1786" t="str">
        <f t="shared" si="119"/>
        <v>513167346</v>
      </c>
      <c r="W716" s="1789" t="str">
        <f t="shared" si="120"/>
        <v>ילין לפידות ניהול קופות גמל בע"מ</v>
      </c>
      <c r="AC716" s="1759" t="s">
        <v>346</v>
      </c>
      <c r="AD716" s="1759"/>
      <c r="AE716" s="1760">
        <v>38271</v>
      </c>
      <c r="AF716" s="1759" t="s">
        <v>2009</v>
      </c>
      <c r="AG716" s="1759" t="s">
        <v>1653</v>
      </c>
      <c r="AH716" s="1759" t="s">
        <v>1594</v>
      </c>
      <c r="AI716" s="1759" t="s">
        <v>4069</v>
      </c>
      <c r="AJ716" s="1759" t="s">
        <v>4069</v>
      </c>
      <c r="AK716" s="1759">
        <v>1361</v>
      </c>
      <c r="AL716" s="1759" t="s">
        <v>645</v>
      </c>
      <c r="AM716" s="1759">
        <v>1038</v>
      </c>
      <c r="AN716" s="1759" t="s">
        <v>5470</v>
      </c>
      <c r="AO716" s="1764"/>
      <c r="AP716" s="1759" t="s">
        <v>5363</v>
      </c>
      <c r="AQ716" s="1759" t="s">
        <v>5364</v>
      </c>
      <c r="AR716" s="1759" t="s">
        <v>642</v>
      </c>
      <c r="AS716" s="1759" t="s">
        <v>643</v>
      </c>
      <c r="AT716" s="1759" t="s">
        <v>327</v>
      </c>
      <c r="AU716" s="1763"/>
      <c r="AV716" s="1763"/>
    </row>
    <row r="717" spans="1:48" ht="25" hidden="1">
      <c r="A717" s="1785" t="str">
        <f t="shared" si="110"/>
        <v>גמל</v>
      </c>
      <c r="B717" s="1786">
        <f t="shared" si="111"/>
        <v>8563</v>
      </c>
      <c r="C717" s="1787">
        <v>28946</v>
      </c>
      <c r="D717" s="1786" t="str">
        <f t="shared" si="112"/>
        <v>ילין לפידות קרן השתלמות מסלול מניות</v>
      </c>
      <c r="E717" s="1786" t="s">
        <v>3929</v>
      </c>
      <c r="F717" s="1786" t="s">
        <v>2958</v>
      </c>
      <c r="G717" s="1786" t="s">
        <v>2959</v>
      </c>
      <c r="H717" s="1786" t="str">
        <f t="shared" si="113"/>
        <v>פעיל</v>
      </c>
      <c r="I717" s="1788">
        <f t="shared" si="114"/>
        <v>38271</v>
      </c>
      <c r="J717" s="1788" t="str">
        <f t="shared" si="115"/>
        <v/>
      </c>
      <c r="K717" s="1786">
        <v>0</v>
      </c>
      <c r="L717" s="1786" t="s">
        <v>1594</v>
      </c>
      <c r="M717" s="1786" t="s">
        <v>1653</v>
      </c>
      <c r="N717" s="1786" t="s">
        <v>1653</v>
      </c>
      <c r="O717" s="1786">
        <v>0</v>
      </c>
      <c r="P717" s="1786"/>
      <c r="Q717" s="1786">
        <v>0</v>
      </c>
      <c r="R717" s="1788"/>
      <c r="S717" s="1786">
        <f t="shared" si="116"/>
        <v>1038</v>
      </c>
      <c r="T717" s="1786" t="str">
        <f t="shared" si="117"/>
        <v>בנק לאומי בע"מ</v>
      </c>
      <c r="U717" s="1786" t="str">
        <f t="shared" si="118"/>
        <v>ילין לפידות קרן השתלמות</v>
      </c>
      <c r="V717" s="1786" t="str">
        <f t="shared" si="119"/>
        <v>513167346</v>
      </c>
      <c r="W717" s="1789" t="str">
        <f t="shared" si="120"/>
        <v>ילין לפידות ניהול קופות גמל בע"מ</v>
      </c>
      <c r="AC717" s="1761" t="s">
        <v>346</v>
      </c>
      <c r="AD717" s="1761"/>
      <c r="AE717" s="1762">
        <v>38271</v>
      </c>
      <c r="AF717" s="1761" t="s">
        <v>1595</v>
      </c>
      <c r="AG717" s="1761" t="s">
        <v>75</v>
      </c>
      <c r="AH717" s="1761" t="s">
        <v>1594</v>
      </c>
      <c r="AI717" s="1761" t="s">
        <v>4247</v>
      </c>
      <c r="AJ717" s="1761" t="s">
        <v>4247</v>
      </c>
      <c r="AK717" s="1761">
        <v>8563</v>
      </c>
      <c r="AL717" s="1761" t="s">
        <v>645</v>
      </c>
      <c r="AM717" s="1761">
        <v>1038</v>
      </c>
      <c r="AN717" s="1761" t="s">
        <v>5470</v>
      </c>
      <c r="AO717" s="1764"/>
      <c r="AP717" s="1761" t="s">
        <v>5363</v>
      </c>
      <c r="AQ717" s="1761" t="s">
        <v>5364</v>
      </c>
      <c r="AR717" s="1761" t="s">
        <v>642</v>
      </c>
      <c r="AS717" s="1761" t="s">
        <v>643</v>
      </c>
      <c r="AT717" s="1761" t="s">
        <v>327</v>
      </c>
      <c r="AU717" s="1763"/>
      <c r="AV717" s="1763"/>
    </row>
    <row r="718" spans="1:48" ht="25" hidden="1">
      <c r="A718" s="1785" t="str">
        <f t="shared" si="110"/>
        <v>גמל</v>
      </c>
      <c r="B718" s="1786">
        <f t="shared" si="111"/>
        <v>1319</v>
      </c>
      <c r="C718" s="1787">
        <v>28946</v>
      </c>
      <c r="D718" s="1786" t="str">
        <f t="shared" si="112"/>
        <v>ילין לפידות קרן השתלמות מסלול אג"ח</v>
      </c>
      <c r="E718" s="1786" t="s">
        <v>3929</v>
      </c>
      <c r="F718" s="1786" t="s">
        <v>2958</v>
      </c>
      <c r="G718" s="1786" t="s">
        <v>2959</v>
      </c>
      <c r="H718" s="1786" t="str">
        <f t="shared" si="113"/>
        <v>פעיל</v>
      </c>
      <c r="I718" s="1788">
        <f t="shared" si="114"/>
        <v>38271</v>
      </c>
      <c r="J718" s="1788" t="str">
        <f t="shared" si="115"/>
        <v/>
      </c>
      <c r="K718" s="1786">
        <v>0</v>
      </c>
      <c r="L718" s="1786" t="s">
        <v>1594</v>
      </c>
      <c r="M718" s="1786" t="s">
        <v>1653</v>
      </c>
      <c r="N718" s="1786" t="s">
        <v>1653</v>
      </c>
      <c r="O718" s="1786">
        <v>0</v>
      </c>
      <c r="P718" s="1786"/>
      <c r="Q718" s="1786">
        <v>0</v>
      </c>
      <c r="R718" s="1788"/>
      <c r="S718" s="1786">
        <f t="shared" si="116"/>
        <v>1038</v>
      </c>
      <c r="T718" s="1786" t="str">
        <f t="shared" si="117"/>
        <v>בנק לאומי בע"מ</v>
      </c>
      <c r="U718" s="1786" t="str">
        <f t="shared" si="118"/>
        <v>ילין לפידות קרן השתלמות</v>
      </c>
      <c r="V718" s="1786" t="str">
        <f t="shared" si="119"/>
        <v>513167346</v>
      </c>
      <c r="W718" s="1789" t="str">
        <f t="shared" si="120"/>
        <v>ילין לפידות ניהול קופות גמל בע"מ</v>
      </c>
      <c r="AC718" s="1759" t="s">
        <v>346</v>
      </c>
      <c r="AD718" s="1759"/>
      <c r="AE718" s="1760">
        <v>38271</v>
      </c>
      <c r="AF718" s="1759" t="s">
        <v>1653</v>
      </c>
      <c r="AG718" s="1759" t="s">
        <v>1653</v>
      </c>
      <c r="AH718" s="1759" t="s">
        <v>1594</v>
      </c>
      <c r="AI718" s="1759" t="s">
        <v>2400</v>
      </c>
      <c r="AJ718" s="1759" t="s">
        <v>2400</v>
      </c>
      <c r="AK718" s="1759">
        <v>1319</v>
      </c>
      <c r="AL718" s="1759" t="s">
        <v>645</v>
      </c>
      <c r="AM718" s="1759">
        <v>1038</v>
      </c>
      <c r="AN718" s="1759" t="s">
        <v>5470</v>
      </c>
      <c r="AO718" s="1764"/>
      <c r="AP718" s="1759" t="s">
        <v>5363</v>
      </c>
      <c r="AQ718" s="1759" t="s">
        <v>5364</v>
      </c>
      <c r="AR718" s="1759" t="s">
        <v>642</v>
      </c>
      <c r="AS718" s="1759" t="s">
        <v>643</v>
      </c>
      <c r="AT718" s="1759" t="s">
        <v>327</v>
      </c>
      <c r="AU718" s="1763"/>
      <c r="AV718" s="1763"/>
    </row>
    <row r="719" spans="1:48" ht="25" hidden="1">
      <c r="A719" s="1785" t="str">
        <f t="shared" si="110"/>
        <v>גמל</v>
      </c>
      <c r="B719" s="1786">
        <f t="shared" si="111"/>
        <v>12530</v>
      </c>
      <c r="C719" s="1787">
        <v>28946</v>
      </c>
      <c r="D719" s="1786" t="str">
        <f t="shared" si="112"/>
        <v>ילין לפידות קרן השתלמות מסלול אג"ח עד 15% מניות</v>
      </c>
      <c r="E719" s="1786" t="s">
        <v>3929</v>
      </c>
      <c r="F719" s="1786" t="s">
        <v>2958</v>
      </c>
      <c r="G719" s="1786" t="s">
        <v>2959</v>
      </c>
      <c r="H719" s="1786" t="str">
        <f t="shared" si="113"/>
        <v>פעיל</v>
      </c>
      <c r="I719" s="1788">
        <f t="shared" si="114"/>
        <v>38271</v>
      </c>
      <c r="J719" s="1788" t="str">
        <f t="shared" si="115"/>
        <v/>
      </c>
      <c r="K719" s="1786">
        <v>0</v>
      </c>
      <c r="L719" s="1786" t="s">
        <v>1594</v>
      </c>
      <c r="M719" s="1786" t="s">
        <v>1653</v>
      </c>
      <c r="N719" s="1786" t="s">
        <v>1653</v>
      </c>
      <c r="O719" s="1786">
        <v>0</v>
      </c>
      <c r="P719" s="1786"/>
      <c r="Q719" s="1786">
        <v>0</v>
      </c>
      <c r="R719" s="1788"/>
      <c r="S719" s="1786">
        <f t="shared" si="116"/>
        <v>1038</v>
      </c>
      <c r="T719" s="1786" t="str">
        <f t="shared" si="117"/>
        <v>בנק לאומי בע"מ</v>
      </c>
      <c r="U719" s="1786" t="str">
        <f t="shared" si="118"/>
        <v>ילין לפידות קרן השתלמות</v>
      </c>
      <c r="V719" s="1786" t="str">
        <f t="shared" si="119"/>
        <v>513167346</v>
      </c>
      <c r="W719" s="1789" t="str">
        <f t="shared" si="120"/>
        <v>ילין לפידות ניהול קופות גמל בע"מ</v>
      </c>
      <c r="AC719" s="1761" t="s">
        <v>346</v>
      </c>
      <c r="AD719" s="1761"/>
      <c r="AE719" s="1762">
        <v>38271</v>
      </c>
      <c r="AF719" s="1761" t="s">
        <v>3934</v>
      </c>
      <c r="AG719" s="1761" t="s">
        <v>1653</v>
      </c>
      <c r="AH719" s="1761" t="s">
        <v>1594</v>
      </c>
      <c r="AI719" s="1761" t="s">
        <v>5536</v>
      </c>
      <c r="AJ719" s="1761" t="s">
        <v>5536</v>
      </c>
      <c r="AK719" s="1761">
        <v>12530</v>
      </c>
      <c r="AL719" s="1761" t="s">
        <v>645</v>
      </c>
      <c r="AM719" s="1761">
        <v>1038</v>
      </c>
      <c r="AN719" s="1761" t="s">
        <v>5470</v>
      </c>
      <c r="AO719" s="1764"/>
      <c r="AP719" s="1761" t="s">
        <v>5363</v>
      </c>
      <c r="AQ719" s="1761" t="s">
        <v>5364</v>
      </c>
      <c r="AR719" s="1761" t="s">
        <v>642</v>
      </c>
      <c r="AS719" s="1761" t="s">
        <v>643</v>
      </c>
      <c r="AT719" s="1761" t="s">
        <v>327</v>
      </c>
      <c r="AU719" s="1763"/>
      <c r="AV719" s="1763"/>
    </row>
    <row r="720" spans="1:48" ht="25" hidden="1">
      <c r="A720" s="1785" t="str">
        <f t="shared" si="110"/>
        <v>גמל</v>
      </c>
      <c r="B720" s="1786">
        <f t="shared" si="111"/>
        <v>1035</v>
      </c>
      <c r="C720" s="1787">
        <v>28946</v>
      </c>
      <c r="D720" s="1786" t="str">
        <f t="shared" si="112"/>
        <v>ילין לפידות קופת גמל מסלול אג"ח עד 25% מניות</v>
      </c>
      <c r="E720" s="1786" t="s">
        <v>3929</v>
      </c>
      <c r="F720" s="1786" t="s">
        <v>2958</v>
      </c>
      <c r="G720" s="1786" t="s">
        <v>2959</v>
      </c>
      <c r="H720" s="1786" t="str">
        <f t="shared" si="113"/>
        <v>פעיל</v>
      </c>
      <c r="I720" s="1788">
        <f t="shared" si="114"/>
        <v>38271</v>
      </c>
      <c r="J720" s="1788" t="str">
        <f t="shared" si="115"/>
        <v/>
      </c>
      <c r="K720" s="1786">
        <v>0</v>
      </c>
      <c r="L720" s="1786" t="s">
        <v>1594</v>
      </c>
      <c r="M720" s="1786" t="s">
        <v>1653</v>
      </c>
      <c r="N720" s="1786" t="s">
        <v>1653</v>
      </c>
      <c r="O720" s="1786">
        <v>0</v>
      </c>
      <c r="P720" s="1786"/>
      <c r="Q720" s="1786">
        <v>0</v>
      </c>
      <c r="R720" s="1788"/>
      <c r="S720" s="1786">
        <f t="shared" si="116"/>
        <v>1035</v>
      </c>
      <c r="T720" s="1786" t="str">
        <f t="shared" si="117"/>
        <v>בנק לאומי בע"מ</v>
      </c>
      <c r="U720" s="1786" t="str">
        <f t="shared" si="118"/>
        <v>ילין לפידות קופת גמל</v>
      </c>
      <c r="V720" s="1786" t="str">
        <f t="shared" si="119"/>
        <v>513167346</v>
      </c>
      <c r="W720" s="1789" t="str">
        <f t="shared" si="120"/>
        <v>ילין לפידות ניהול קופות גמל בע"מ</v>
      </c>
      <c r="AC720" s="1759" t="s">
        <v>346</v>
      </c>
      <c r="AD720" s="1759"/>
      <c r="AE720" s="1760">
        <v>38271</v>
      </c>
      <c r="AF720" s="1759" t="s">
        <v>3934</v>
      </c>
      <c r="AG720" s="1759" t="s">
        <v>1653</v>
      </c>
      <c r="AH720" s="1759" t="s">
        <v>1594</v>
      </c>
      <c r="AI720" s="1759" t="s">
        <v>4020</v>
      </c>
      <c r="AJ720" s="1759" t="s">
        <v>4020</v>
      </c>
      <c r="AK720" s="1759">
        <v>1035</v>
      </c>
      <c r="AL720" s="1759" t="s">
        <v>644</v>
      </c>
      <c r="AM720" s="1759">
        <v>1035</v>
      </c>
      <c r="AN720" s="1759" t="s">
        <v>5470</v>
      </c>
      <c r="AO720" s="1764"/>
      <c r="AP720" s="1759" t="s">
        <v>5363</v>
      </c>
      <c r="AQ720" s="1759" t="s">
        <v>5364</v>
      </c>
      <c r="AR720" s="1759" t="s">
        <v>642</v>
      </c>
      <c r="AS720" s="1759" t="s">
        <v>643</v>
      </c>
      <c r="AT720" s="1759" t="s">
        <v>327</v>
      </c>
      <c r="AU720" s="1763"/>
      <c r="AV720" s="1763"/>
    </row>
    <row r="721" spans="1:48" ht="25" hidden="1">
      <c r="A721" s="1785" t="str">
        <f t="shared" si="110"/>
        <v>גמל</v>
      </c>
      <c r="B721" s="1786">
        <f t="shared" si="111"/>
        <v>1036</v>
      </c>
      <c r="C721" s="1787">
        <v>28946</v>
      </c>
      <c r="D721" s="1786" t="str">
        <f t="shared" si="112"/>
        <v>ילין לפידות קופת גמל מסלול מניות</v>
      </c>
      <c r="E721" s="1786" t="s">
        <v>3929</v>
      </c>
      <c r="F721" s="1786" t="s">
        <v>2958</v>
      </c>
      <c r="G721" s="1786" t="s">
        <v>2959</v>
      </c>
      <c r="H721" s="1786" t="str">
        <f t="shared" si="113"/>
        <v>פעיל</v>
      </c>
      <c r="I721" s="1788">
        <f t="shared" si="114"/>
        <v>38271</v>
      </c>
      <c r="J721" s="1788" t="str">
        <f t="shared" si="115"/>
        <v/>
      </c>
      <c r="K721" s="1786">
        <v>0</v>
      </c>
      <c r="L721" s="1786" t="s">
        <v>1594</v>
      </c>
      <c r="M721" s="1786" t="s">
        <v>1653</v>
      </c>
      <c r="N721" s="1786" t="s">
        <v>1653</v>
      </c>
      <c r="O721" s="1786">
        <v>0</v>
      </c>
      <c r="P721" s="1786"/>
      <c r="Q721" s="1786">
        <v>0</v>
      </c>
      <c r="R721" s="1788"/>
      <c r="S721" s="1786">
        <f t="shared" si="116"/>
        <v>1035</v>
      </c>
      <c r="T721" s="1786" t="str">
        <f t="shared" si="117"/>
        <v>בנק לאומי בע"מ</v>
      </c>
      <c r="U721" s="1786" t="str">
        <f t="shared" si="118"/>
        <v>ילין לפידות קופת גמל</v>
      </c>
      <c r="V721" s="1786" t="str">
        <f t="shared" si="119"/>
        <v>513167346</v>
      </c>
      <c r="W721" s="1789" t="str">
        <f t="shared" si="120"/>
        <v>ילין לפידות ניהול קופות גמל בע"מ</v>
      </c>
      <c r="AC721" s="1761" t="s">
        <v>346</v>
      </c>
      <c r="AD721" s="1761"/>
      <c r="AE721" s="1762">
        <v>38271</v>
      </c>
      <c r="AF721" s="1761" t="s">
        <v>1595</v>
      </c>
      <c r="AG721" s="1761" t="s">
        <v>75</v>
      </c>
      <c r="AH721" s="1761" t="s">
        <v>1594</v>
      </c>
      <c r="AI721" s="1761" t="s">
        <v>4021</v>
      </c>
      <c r="AJ721" s="1761" t="s">
        <v>4021</v>
      </c>
      <c r="AK721" s="1761">
        <v>1036</v>
      </c>
      <c r="AL721" s="1761" t="s">
        <v>644</v>
      </c>
      <c r="AM721" s="1761">
        <v>1035</v>
      </c>
      <c r="AN721" s="1761" t="s">
        <v>5470</v>
      </c>
      <c r="AO721" s="1764"/>
      <c r="AP721" s="1761" t="s">
        <v>5363</v>
      </c>
      <c r="AQ721" s="1761" t="s">
        <v>5364</v>
      </c>
      <c r="AR721" s="1761" t="s">
        <v>642</v>
      </c>
      <c r="AS721" s="1761" t="s">
        <v>643</v>
      </c>
      <c r="AT721" s="1761" t="s">
        <v>327</v>
      </c>
      <c r="AU721" s="1763"/>
      <c r="AV721" s="1763"/>
    </row>
    <row r="722" spans="1:48" ht="25" hidden="1">
      <c r="A722" s="1785" t="str">
        <f t="shared" si="110"/>
        <v>גמל</v>
      </c>
      <c r="B722" s="1786">
        <f t="shared" si="111"/>
        <v>1037</v>
      </c>
      <c r="C722" s="1787">
        <v>28946</v>
      </c>
      <c r="D722" s="1786" t="str">
        <f t="shared" si="112"/>
        <v>ילין לפידות קופת גמל מסלול אג"ח</v>
      </c>
      <c r="E722" s="1786" t="s">
        <v>3929</v>
      </c>
      <c r="F722" s="1786" t="s">
        <v>2958</v>
      </c>
      <c r="G722" s="1786" t="s">
        <v>2959</v>
      </c>
      <c r="H722" s="1786" t="str">
        <f t="shared" si="113"/>
        <v>פעיל</v>
      </c>
      <c r="I722" s="1788">
        <f t="shared" si="114"/>
        <v>38271</v>
      </c>
      <c r="J722" s="1788" t="str">
        <f t="shared" si="115"/>
        <v/>
      </c>
      <c r="K722" s="1786">
        <v>0</v>
      </c>
      <c r="L722" s="1786" t="s">
        <v>1594</v>
      </c>
      <c r="M722" s="1786" t="s">
        <v>1653</v>
      </c>
      <c r="N722" s="1786" t="s">
        <v>1653</v>
      </c>
      <c r="O722" s="1786">
        <v>0</v>
      </c>
      <c r="P722" s="1786"/>
      <c r="Q722" s="1786">
        <v>0</v>
      </c>
      <c r="R722" s="1788"/>
      <c r="S722" s="1786">
        <f t="shared" si="116"/>
        <v>1035</v>
      </c>
      <c r="T722" s="1786" t="str">
        <f t="shared" si="117"/>
        <v>בנק לאומי בע"מ</v>
      </c>
      <c r="U722" s="1786" t="str">
        <f t="shared" si="118"/>
        <v>ילין לפידות קופת גמל</v>
      </c>
      <c r="V722" s="1786" t="str">
        <f t="shared" si="119"/>
        <v>513167346</v>
      </c>
      <c r="W722" s="1789" t="str">
        <f t="shared" si="120"/>
        <v>ילין לפידות ניהול קופות גמל בע"מ</v>
      </c>
      <c r="AC722" s="1759" t="s">
        <v>346</v>
      </c>
      <c r="AD722" s="1759"/>
      <c r="AE722" s="1760">
        <v>38271</v>
      </c>
      <c r="AF722" s="1759" t="s">
        <v>1653</v>
      </c>
      <c r="AG722" s="1759" t="s">
        <v>1653</v>
      </c>
      <c r="AH722" s="1759" t="s">
        <v>1594</v>
      </c>
      <c r="AI722" s="1759" t="s">
        <v>2225</v>
      </c>
      <c r="AJ722" s="1759" t="s">
        <v>2225</v>
      </c>
      <c r="AK722" s="1759">
        <v>1037</v>
      </c>
      <c r="AL722" s="1759" t="s">
        <v>644</v>
      </c>
      <c r="AM722" s="1759">
        <v>1035</v>
      </c>
      <c r="AN722" s="1759" t="s">
        <v>5470</v>
      </c>
      <c r="AO722" s="1764"/>
      <c r="AP722" s="1759" t="s">
        <v>5363</v>
      </c>
      <c r="AQ722" s="1759" t="s">
        <v>5364</v>
      </c>
      <c r="AR722" s="1759" t="s">
        <v>642</v>
      </c>
      <c r="AS722" s="1759" t="s">
        <v>643</v>
      </c>
      <c r="AT722" s="1759" t="s">
        <v>327</v>
      </c>
      <c r="AU722" s="1763"/>
      <c r="AV722" s="1763"/>
    </row>
    <row r="723" spans="1:48" ht="25" hidden="1">
      <c r="A723" s="1785" t="str">
        <f t="shared" si="110"/>
        <v>גמל</v>
      </c>
      <c r="B723" s="1786">
        <f t="shared" si="111"/>
        <v>1360</v>
      </c>
      <c r="C723" s="1787">
        <v>28946</v>
      </c>
      <c r="D723" s="1786" t="str">
        <f t="shared" si="112"/>
        <v>ילין לפידות קופת גמל מסלול אג"ח ממשלת ישראל</v>
      </c>
      <c r="E723" s="1786" t="s">
        <v>3929</v>
      </c>
      <c r="F723" s="1786" t="s">
        <v>2958</v>
      </c>
      <c r="G723" s="1786" t="s">
        <v>2959</v>
      </c>
      <c r="H723" s="1786" t="str">
        <f t="shared" si="113"/>
        <v>פעיל</v>
      </c>
      <c r="I723" s="1788">
        <f t="shared" si="114"/>
        <v>38271</v>
      </c>
      <c r="J723" s="1788" t="str">
        <f t="shared" si="115"/>
        <v/>
      </c>
      <c r="K723" s="1786">
        <v>0</v>
      </c>
      <c r="L723" s="1786" t="s">
        <v>1594</v>
      </c>
      <c r="M723" s="1786" t="s">
        <v>1653</v>
      </c>
      <c r="N723" s="1786" t="s">
        <v>1653</v>
      </c>
      <c r="O723" s="1786">
        <v>0</v>
      </c>
      <c r="P723" s="1786"/>
      <c r="Q723" s="1786">
        <v>0</v>
      </c>
      <c r="R723" s="1788"/>
      <c r="S723" s="1786">
        <f t="shared" si="116"/>
        <v>1035</v>
      </c>
      <c r="T723" s="1786" t="str">
        <f t="shared" si="117"/>
        <v>בנק לאומי בע"מ</v>
      </c>
      <c r="U723" s="1786" t="str">
        <f t="shared" si="118"/>
        <v>ילין לפידות קופת גמל</v>
      </c>
      <c r="V723" s="1786" t="str">
        <f t="shared" si="119"/>
        <v>513167346</v>
      </c>
      <c r="W723" s="1789" t="str">
        <f t="shared" si="120"/>
        <v>ילין לפידות ניהול קופות גמל בע"מ</v>
      </c>
      <c r="AC723" s="1761" t="s">
        <v>346</v>
      </c>
      <c r="AD723" s="1761"/>
      <c r="AE723" s="1762">
        <v>38271</v>
      </c>
      <c r="AF723" s="1761" t="s">
        <v>2009</v>
      </c>
      <c r="AG723" s="1761" t="s">
        <v>1653</v>
      </c>
      <c r="AH723" s="1761" t="s">
        <v>1594</v>
      </c>
      <c r="AI723" s="1761" t="s">
        <v>4068</v>
      </c>
      <c r="AJ723" s="1761" t="s">
        <v>4068</v>
      </c>
      <c r="AK723" s="1761">
        <v>1360</v>
      </c>
      <c r="AL723" s="1761" t="s">
        <v>644</v>
      </c>
      <c r="AM723" s="1761">
        <v>1035</v>
      </c>
      <c r="AN723" s="1761" t="s">
        <v>5470</v>
      </c>
      <c r="AO723" s="1764"/>
      <c r="AP723" s="1761" t="s">
        <v>5363</v>
      </c>
      <c r="AQ723" s="1761" t="s">
        <v>5364</v>
      </c>
      <c r="AR723" s="1761" t="s">
        <v>642</v>
      </c>
      <c r="AS723" s="1761" t="s">
        <v>643</v>
      </c>
      <c r="AT723" s="1761" t="s">
        <v>327</v>
      </c>
      <c r="AU723" s="1763"/>
      <c r="AV723" s="1763"/>
    </row>
    <row r="724" spans="1:48" ht="25" hidden="1">
      <c r="A724" s="1785" t="str">
        <f t="shared" si="110"/>
        <v>גמל</v>
      </c>
      <c r="B724" s="1786">
        <f t="shared" si="111"/>
        <v>9939</v>
      </c>
      <c r="C724" s="1787">
        <v>28946</v>
      </c>
      <c r="D724" s="1786" t="str">
        <f t="shared" si="112"/>
        <v xml:space="preserve">ילין לפידות קופת גמל מסלול לבני 50 ומטה </v>
      </c>
      <c r="E724" s="1786" t="s">
        <v>3929</v>
      </c>
      <c r="F724" s="1786" t="s">
        <v>2958</v>
      </c>
      <c r="G724" s="1786" t="s">
        <v>2959</v>
      </c>
      <c r="H724" s="1786" t="str">
        <f t="shared" si="113"/>
        <v>פעיל</v>
      </c>
      <c r="I724" s="1788">
        <f t="shared" si="114"/>
        <v>38271</v>
      </c>
      <c r="J724" s="1788" t="str">
        <f t="shared" si="115"/>
        <v/>
      </c>
      <c r="K724" s="1786">
        <v>0</v>
      </c>
      <c r="L724" s="1786" t="s">
        <v>1594</v>
      </c>
      <c r="M724" s="1786" t="s">
        <v>1653</v>
      </c>
      <c r="N724" s="1786" t="s">
        <v>1653</v>
      </c>
      <c r="O724" s="1786">
        <v>0</v>
      </c>
      <c r="P724" s="1786"/>
      <c r="Q724" s="1786">
        <v>0</v>
      </c>
      <c r="R724" s="1788"/>
      <c r="S724" s="1786">
        <f t="shared" si="116"/>
        <v>1035</v>
      </c>
      <c r="T724" s="1786" t="str">
        <f t="shared" si="117"/>
        <v>בנק לאומי בע"מ</v>
      </c>
      <c r="U724" s="1786" t="str">
        <f t="shared" si="118"/>
        <v>ילין לפידות קופת גמל</v>
      </c>
      <c r="V724" s="1786" t="str">
        <f t="shared" si="119"/>
        <v>513167346</v>
      </c>
      <c r="W724" s="1789" t="str">
        <f t="shared" si="120"/>
        <v>ילין לפידות ניהול קופות גמל בע"מ</v>
      </c>
      <c r="AC724" s="1759" t="s">
        <v>346</v>
      </c>
      <c r="AD724" s="1759"/>
      <c r="AE724" s="1760">
        <v>38271</v>
      </c>
      <c r="AF724" s="1759" t="s">
        <v>4151</v>
      </c>
      <c r="AG724" s="1759" t="s">
        <v>3931</v>
      </c>
      <c r="AH724" s="1759" t="s">
        <v>3658</v>
      </c>
      <c r="AI724" s="1759" t="s">
        <v>4467</v>
      </c>
      <c r="AJ724" s="1759" t="s">
        <v>4467</v>
      </c>
      <c r="AK724" s="1759">
        <v>9939</v>
      </c>
      <c r="AL724" s="1759" t="s">
        <v>644</v>
      </c>
      <c r="AM724" s="1759">
        <v>1035</v>
      </c>
      <c r="AN724" s="1759" t="s">
        <v>5470</v>
      </c>
      <c r="AO724" s="1764"/>
      <c r="AP724" s="1759" t="s">
        <v>5363</v>
      </c>
      <c r="AQ724" s="1759" t="s">
        <v>5364</v>
      </c>
      <c r="AR724" s="1759" t="s">
        <v>642</v>
      </c>
      <c r="AS724" s="1759" t="s">
        <v>643</v>
      </c>
      <c r="AT724" s="1759" t="s">
        <v>327</v>
      </c>
      <c r="AU724" s="1763"/>
      <c r="AV724" s="1763"/>
    </row>
    <row r="725" spans="1:48" ht="25" hidden="1">
      <c r="A725" s="1785" t="str">
        <f t="shared" si="110"/>
        <v>גמל</v>
      </c>
      <c r="B725" s="1786">
        <f t="shared" si="111"/>
        <v>9940</v>
      </c>
      <c r="C725" s="1787">
        <v>28946</v>
      </c>
      <c r="D725" s="1786" t="str">
        <f t="shared" si="112"/>
        <v>ילין לפידות קופת גמל מסלול לבני 50 עד 60</v>
      </c>
      <c r="E725" s="1786" t="s">
        <v>3929</v>
      </c>
      <c r="F725" s="1786" t="s">
        <v>2958</v>
      </c>
      <c r="G725" s="1786" t="s">
        <v>2959</v>
      </c>
      <c r="H725" s="1786" t="str">
        <f t="shared" si="113"/>
        <v>פעיל</v>
      </c>
      <c r="I725" s="1788">
        <f t="shared" si="114"/>
        <v>38271</v>
      </c>
      <c r="J725" s="1788" t="str">
        <f t="shared" si="115"/>
        <v/>
      </c>
      <c r="K725" s="1786">
        <v>0</v>
      </c>
      <c r="L725" s="1786" t="s">
        <v>1594</v>
      </c>
      <c r="M725" s="1786" t="s">
        <v>1653</v>
      </c>
      <c r="N725" s="1786" t="s">
        <v>1653</v>
      </c>
      <c r="O725" s="1786">
        <v>0</v>
      </c>
      <c r="P725" s="1786"/>
      <c r="Q725" s="1786">
        <v>0</v>
      </c>
      <c r="R725" s="1788"/>
      <c r="S725" s="1786">
        <f t="shared" si="116"/>
        <v>1035</v>
      </c>
      <c r="T725" s="1786" t="str">
        <f t="shared" si="117"/>
        <v>בנק לאומי בע"מ</v>
      </c>
      <c r="U725" s="1786" t="str">
        <f t="shared" si="118"/>
        <v>ילין לפידות קופת גמל</v>
      </c>
      <c r="V725" s="1786" t="str">
        <f t="shared" si="119"/>
        <v>513167346</v>
      </c>
      <c r="W725" s="1789" t="str">
        <f t="shared" si="120"/>
        <v>ילין לפידות ניהול קופות גמל בע"מ</v>
      </c>
      <c r="AC725" s="1761" t="s">
        <v>346</v>
      </c>
      <c r="AD725" s="1761"/>
      <c r="AE725" s="1762">
        <v>38271</v>
      </c>
      <c r="AF725" s="1761" t="s">
        <v>3932</v>
      </c>
      <c r="AG725" s="1761" t="s">
        <v>3931</v>
      </c>
      <c r="AH725" s="1761" t="s">
        <v>3658</v>
      </c>
      <c r="AI725" s="1761" t="s">
        <v>4468</v>
      </c>
      <c r="AJ725" s="1761" t="s">
        <v>4468</v>
      </c>
      <c r="AK725" s="1761">
        <v>9940</v>
      </c>
      <c r="AL725" s="1761" t="s">
        <v>644</v>
      </c>
      <c r="AM725" s="1761">
        <v>1035</v>
      </c>
      <c r="AN725" s="1761" t="s">
        <v>5470</v>
      </c>
      <c r="AO725" s="1764"/>
      <c r="AP725" s="1761" t="s">
        <v>5363</v>
      </c>
      <c r="AQ725" s="1761" t="s">
        <v>5364</v>
      </c>
      <c r="AR725" s="1761" t="s">
        <v>642</v>
      </c>
      <c r="AS725" s="1761" t="s">
        <v>643</v>
      </c>
      <c r="AT725" s="1761" t="s">
        <v>327</v>
      </c>
      <c r="AU725" s="1763"/>
      <c r="AV725" s="1763"/>
    </row>
    <row r="726" spans="1:48" ht="25" hidden="1">
      <c r="A726" s="1785" t="str">
        <f t="shared" si="110"/>
        <v>גמל</v>
      </c>
      <c r="B726" s="1786">
        <f t="shared" si="111"/>
        <v>9941</v>
      </c>
      <c r="C726" s="1787">
        <v>28946</v>
      </c>
      <c r="D726" s="1786" t="str">
        <f t="shared" si="112"/>
        <v>ילין לפידות קופת גמל מסלול לבני 60 ומעלה</v>
      </c>
      <c r="E726" s="1786" t="s">
        <v>3929</v>
      </c>
      <c r="F726" s="1786" t="s">
        <v>2958</v>
      </c>
      <c r="G726" s="1786" t="s">
        <v>2959</v>
      </c>
      <c r="H726" s="1786" t="str">
        <f t="shared" si="113"/>
        <v>פעיל</v>
      </c>
      <c r="I726" s="1788">
        <f t="shared" si="114"/>
        <v>38271</v>
      </c>
      <c r="J726" s="1788" t="str">
        <f t="shared" si="115"/>
        <v/>
      </c>
      <c r="K726" s="1786">
        <v>0</v>
      </c>
      <c r="L726" s="1786" t="s">
        <v>1594</v>
      </c>
      <c r="M726" s="1786" t="s">
        <v>1653</v>
      </c>
      <c r="N726" s="1786" t="s">
        <v>1653</v>
      </c>
      <c r="O726" s="1786">
        <v>0</v>
      </c>
      <c r="P726" s="1786"/>
      <c r="Q726" s="1786">
        <v>0</v>
      </c>
      <c r="R726" s="1788"/>
      <c r="S726" s="1786">
        <f t="shared" si="116"/>
        <v>1035</v>
      </c>
      <c r="T726" s="1786" t="str">
        <f t="shared" si="117"/>
        <v>בנק לאומי בע"מ</v>
      </c>
      <c r="U726" s="1786" t="str">
        <f t="shared" si="118"/>
        <v>ילין לפידות קופת גמל</v>
      </c>
      <c r="V726" s="1786" t="str">
        <f t="shared" si="119"/>
        <v>513167346</v>
      </c>
      <c r="W726" s="1789" t="str">
        <f t="shared" si="120"/>
        <v>ילין לפידות ניהול קופות גמל בע"מ</v>
      </c>
      <c r="AC726" s="1759" t="s">
        <v>346</v>
      </c>
      <c r="AD726" s="1759"/>
      <c r="AE726" s="1760">
        <v>38271</v>
      </c>
      <c r="AF726" s="1759" t="s">
        <v>3963</v>
      </c>
      <c r="AG726" s="1759" t="s">
        <v>3931</v>
      </c>
      <c r="AH726" s="1759" t="s">
        <v>3658</v>
      </c>
      <c r="AI726" s="1759" t="s">
        <v>4469</v>
      </c>
      <c r="AJ726" s="1759" t="s">
        <v>4469</v>
      </c>
      <c r="AK726" s="1759">
        <v>9941</v>
      </c>
      <c r="AL726" s="1759" t="s">
        <v>644</v>
      </c>
      <c r="AM726" s="1759">
        <v>1035</v>
      </c>
      <c r="AN726" s="1759" t="s">
        <v>5470</v>
      </c>
      <c r="AO726" s="1764"/>
      <c r="AP726" s="1759" t="s">
        <v>5363</v>
      </c>
      <c r="AQ726" s="1759" t="s">
        <v>5364</v>
      </c>
      <c r="AR726" s="1759" t="s">
        <v>642</v>
      </c>
      <c r="AS726" s="1759" t="s">
        <v>643</v>
      </c>
      <c r="AT726" s="1759" t="s">
        <v>327</v>
      </c>
      <c r="AU726" s="1763"/>
      <c r="AV726" s="1763"/>
    </row>
    <row r="727" spans="1:48" ht="25" hidden="1">
      <c r="A727" s="1785" t="str">
        <f t="shared" ref="A727:A790" si="121">AT727</f>
        <v>גמל</v>
      </c>
      <c r="B727" s="1786">
        <f t="shared" ref="B727:B790" si="122">AK727</f>
        <v>1163</v>
      </c>
      <c r="C727" s="1787">
        <v>28946</v>
      </c>
      <c r="D727" s="1786" t="str">
        <f t="shared" ref="D727:D790" si="123">AJ727</f>
        <v>ילין לפידות קופת גמל מסלול כללי ב'</v>
      </c>
      <c r="E727" s="1786" t="s">
        <v>3929</v>
      </c>
      <c r="F727" s="1786" t="s">
        <v>2958</v>
      </c>
      <c r="G727" s="1786" t="s">
        <v>2959</v>
      </c>
      <c r="H727" s="1786" t="str">
        <f t="shared" ref="H727:H790" si="124">AC727</f>
        <v>לא פעיל</v>
      </c>
      <c r="I727" s="1788">
        <f t="shared" ref="I727:I790" si="125">IF(AE727="","",AE727)</f>
        <v>38271</v>
      </c>
      <c r="J727" s="1788">
        <f t="shared" ref="J727:J790" si="126">IF(AD727="","",AD727)</f>
        <v>42370.772615740701</v>
      </c>
      <c r="K727" s="1786">
        <v>0</v>
      </c>
      <c r="L727" s="1786" t="s">
        <v>1594</v>
      </c>
      <c r="M727" s="1786" t="s">
        <v>1653</v>
      </c>
      <c r="N727" s="1786" t="s">
        <v>1653</v>
      </c>
      <c r="O727" s="1786">
        <v>0</v>
      </c>
      <c r="P727" s="1786"/>
      <c r="Q727" s="1786">
        <v>0</v>
      </c>
      <c r="R727" s="1788"/>
      <c r="S727" s="1786">
        <f t="shared" ref="S727:S790" si="127">AM727</f>
        <v>1035</v>
      </c>
      <c r="T727" s="1786" t="str">
        <f t="shared" ref="T727:T790" si="128">AN727</f>
        <v>בנק לאומי בע"מ</v>
      </c>
      <c r="U727" s="1786" t="str">
        <f t="shared" ref="U727:U790" si="129">AL727</f>
        <v>ילין לפידות קופת גמל</v>
      </c>
      <c r="V727" s="1786" t="str">
        <f t="shared" ref="V727:V790" si="130">AQ727</f>
        <v>513167346</v>
      </c>
      <c r="W727" s="1789" t="str">
        <f t="shared" ref="W727:W790" si="131">AR727</f>
        <v>ילין לפידות ניהול קופות גמל בע"מ</v>
      </c>
      <c r="AC727" s="1761" t="s">
        <v>1586</v>
      </c>
      <c r="AD727" s="1762">
        <v>42370.772615740701</v>
      </c>
      <c r="AE727" s="1762">
        <v>38271</v>
      </c>
      <c r="AF727" s="1761" t="s">
        <v>1583</v>
      </c>
      <c r="AG727" s="1761" t="s">
        <v>1583</v>
      </c>
      <c r="AH727" s="1761" t="s">
        <v>1583</v>
      </c>
      <c r="AI727" s="1761" t="s">
        <v>2305</v>
      </c>
      <c r="AJ727" s="1761" t="s">
        <v>2305</v>
      </c>
      <c r="AK727" s="1761">
        <v>1163</v>
      </c>
      <c r="AL727" s="1761" t="s">
        <v>644</v>
      </c>
      <c r="AM727" s="1761">
        <v>1035</v>
      </c>
      <c r="AN727" s="1761" t="s">
        <v>5470</v>
      </c>
      <c r="AO727" s="1764"/>
      <c r="AP727" s="1761" t="s">
        <v>5363</v>
      </c>
      <c r="AQ727" s="1761" t="s">
        <v>5364</v>
      </c>
      <c r="AR727" s="1761" t="s">
        <v>642</v>
      </c>
      <c r="AS727" s="1761" t="s">
        <v>643</v>
      </c>
      <c r="AT727" s="1761" t="s">
        <v>327</v>
      </c>
      <c r="AU727" s="1763"/>
      <c r="AV727" s="1763"/>
    </row>
    <row r="728" spans="1:48" ht="25" hidden="1">
      <c r="A728" s="1785" t="str">
        <f t="shared" si="121"/>
        <v>גמל</v>
      </c>
      <c r="B728" s="1786">
        <f t="shared" si="122"/>
        <v>1033</v>
      </c>
      <c r="C728" s="1787">
        <v>28946</v>
      </c>
      <c r="D728" s="1786" t="str">
        <f t="shared" si="123"/>
        <v>הראל גמל כללי</v>
      </c>
      <c r="E728" s="1786" t="s">
        <v>3929</v>
      </c>
      <c r="F728" s="1786" t="s">
        <v>2958</v>
      </c>
      <c r="G728" s="1786" t="s">
        <v>2959</v>
      </c>
      <c r="H728" s="1786" t="str">
        <f t="shared" si="124"/>
        <v>לא פעיל</v>
      </c>
      <c r="I728" s="1788">
        <f t="shared" si="125"/>
        <v>38271</v>
      </c>
      <c r="J728" s="1788">
        <f t="shared" si="126"/>
        <v>40179</v>
      </c>
      <c r="K728" s="1786">
        <v>0</v>
      </c>
      <c r="L728" s="1786" t="s">
        <v>1594</v>
      </c>
      <c r="M728" s="1786" t="s">
        <v>1653</v>
      </c>
      <c r="N728" s="1786" t="s">
        <v>1653</v>
      </c>
      <c r="O728" s="1786">
        <v>0</v>
      </c>
      <c r="P728" s="1786"/>
      <c r="Q728" s="1786">
        <v>0</v>
      </c>
      <c r="R728" s="1788"/>
      <c r="S728" s="1786">
        <f t="shared" si="127"/>
        <v>1033</v>
      </c>
      <c r="T728" s="1786" t="str">
        <f t="shared" si="128"/>
        <v>בנק הפועלים בע"מ</v>
      </c>
      <c r="U728" s="1786" t="str">
        <f t="shared" si="129"/>
        <v>הראל גמל כללי</v>
      </c>
      <c r="V728" s="1786">
        <f t="shared" si="130"/>
        <v>0</v>
      </c>
      <c r="W728" s="1789" t="str">
        <f t="shared" si="131"/>
        <v>הראל גמל והשתלמות בע"מ</v>
      </c>
      <c r="AC728" s="1759" t="s">
        <v>1586</v>
      </c>
      <c r="AD728" s="1760">
        <v>40179</v>
      </c>
      <c r="AE728" s="1760">
        <v>38271</v>
      </c>
      <c r="AF728" s="1759" t="s">
        <v>1583</v>
      </c>
      <c r="AG728" s="1759" t="s">
        <v>1583</v>
      </c>
      <c r="AH728" s="1759" t="s">
        <v>1583</v>
      </c>
      <c r="AI728" s="1759" t="s">
        <v>2224</v>
      </c>
      <c r="AJ728" s="1759" t="s">
        <v>2224</v>
      </c>
      <c r="AK728" s="1759">
        <v>1033</v>
      </c>
      <c r="AL728" s="1759" t="s">
        <v>2224</v>
      </c>
      <c r="AM728" s="1759">
        <v>1033</v>
      </c>
      <c r="AN728" s="1759" t="s">
        <v>1695</v>
      </c>
      <c r="AO728" s="1764"/>
      <c r="AP728" s="1759"/>
      <c r="AQ728" s="1759"/>
      <c r="AR728" s="1759" t="s">
        <v>344</v>
      </c>
      <c r="AS728" s="1759" t="s">
        <v>345</v>
      </c>
      <c r="AT728" s="1759" t="s">
        <v>327</v>
      </c>
      <c r="AU728" s="1763"/>
      <c r="AV728" s="1763"/>
    </row>
    <row r="729" spans="1:48" ht="25">
      <c r="A729" s="1785" t="str">
        <f t="shared" si="121"/>
        <v>פנסיה</v>
      </c>
      <c r="B729" s="1786">
        <f t="shared" si="122"/>
        <v>13240</v>
      </c>
      <c r="C729" s="1787">
        <v>28946</v>
      </c>
      <c r="D729" s="1786" t="str">
        <f t="shared" si="123"/>
        <v xml:space="preserve">הלמן אלדובי קרן פנסיה מקיפה מניות מניות </v>
      </c>
      <c r="E729" s="1786" t="s">
        <v>3929</v>
      </c>
      <c r="F729" s="1786" t="s">
        <v>2958</v>
      </c>
      <c r="G729" s="1786" t="s">
        <v>2959</v>
      </c>
      <c r="H729" s="1786" t="str">
        <f t="shared" si="124"/>
        <v>פעיל</v>
      </c>
      <c r="I729" s="1788">
        <f t="shared" si="125"/>
        <v>38261</v>
      </c>
      <c r="J729" s="1788" t="str">
        <f t="shared" si="126"/>
        <v/>
      </c>
      <c r="K729" s="1786">
        <v>0</v>
      </c>
      <c r="L729" s="1786" t="s">
        <v>1594</v>
      </c>
      <c r="M729" s="1786" t="s">
        <v>1653</v>
      </c>
      <c r="N729" s="1786" t="s">
        <v>1653</v>
      </c>
      <c r="O729" s="1786">
        <v>0</v>
      </c>
      <c r="P729" s="1786"/>
      <c r="Q729" s="1786">
        <v>0</v>
      </c>
      <c r="R729" s="1788"/>
      <c r="S729" s="1786">
        <f t="shared" si="127"/>
        <v>1032</v>
      </c>
      <c r="T729" s="1786" t="str">
        <f t="shared" si="128"/>
        <v>חברת תפעול גמל בע"מ</v>
      </c>
      <c r="U729" s="1786" t="str">
        <f t="shared" si="129"/>
        <v>הלמן אלדובי קרן פנסיה מקיפה</v>
      </c>
      <c r="V729" s="1786" t="str">
        <f t="shared" si="130"/>
        <v>513163105</v>
      </c>
      <c r="W729" s="1789" t="str">
        <f t="shared" si="131"/>
        <v>הלמן - אלדובי קופות גמל ופנסיה בע"מ</v>
      </c>
      <c r="AC729" s="1761" t="s">
        <v>346</v>
      </c>
      <c r="AD729" s="1761"/>
      <c r="AE729" s="1762">
        <v>38261</v>
      </c>
      <c r="AF729" s="1761" t="s">
        <v>1595</v>
      </c>
      <c r="AG729" s="1761" t="s">
        <v>75</v>
      </c>
      <c r="AH729" s="1761" t="s">
        <v>1594</v>
      </c>
      <c r="AI729" s="1761" t="s">
        <v>5537</v>
      </c>
      <c r="AJ729" s="1761" t="s">
        <v>5538</v>
      </c>
      <c r="AK729" s="1761">
        <v>13240</v>
      </c>
      <c r="AL729" s="1761" t="s">
        <v>2616</v>
      </c>
      <c r="AM729" s="1761">
        <v>1032</v>
      </c>
      <c r="AN729" s="1761" t="s">
        <v>5394</v>
      </c>
      <c r="AO729" s="1764"/>
      <c r="AP729" s="1761" t="s">
        <v>5371</v>
      </c>
      <c r="AQ729" s="1761" t="s">
        <v>5372</v>
      </c>
      <c r="AR729" s="1761" t="s">
        <v>354</v>
      </c>
      <c r="AS729" s="1761" t="s">
        <v>355</v>
      </c>
      <c r="AT729" s="1761" t="s">
        <v>328</v>
      </c>
      <c r="AU729" s="1763"/>
      <c r="AV729" s="1763"/>
    </row>
    <row r="730" spans="1:48" ht="25">
      <c r="A730" s="1785" t="str">
        <f t="shared" si="121"/>
        <v>פנסיה</v>
      </c>
      <c r="B730" s="1786">
        <f t="shared" si="122"/>
        <v>13241</v>
      </c>
      <c r="C730" s="1787">
        <v>28946</v>
      </c>
      <c r="D730" s="1786" t="str">
        <f t="shared" si="123"/>
        <v>הלמן אלדובי קרן פנסיה מקיפה מחקה מדד S&amp;P500</v>
      </c>
      <c r="E730" s="1786" t="s">
        <v>3929</v>
      </c>
      <c r="F730" s="1786" t="s">
        <v>2958</v>
      </c>
      <c r="G730" s="1786" t="s">
        <v>2959</v>
      </c>
      <c r="H730" s="1786" t="str">
        <f t="shared" si="124"/>
        <v>פעיל</v>
      </c>
      <c r="I730" s="1788">
        <f t="shared" si="125"/>
        <v>38261</v>
      </c>
      <c r="J730" s="1788" t="str">
        <f t="shared" si="126"/>
        <v/>
      </c>
      <c r="K730" s="1786">
        <v>0</v>
      </c>
      <c r="L730" s="1786" t="s">
        <v>1594</v>
      </c>
      <c r="M730" s="1786" t="s">
        <v>1653</v>
      </c>
      <c r="N730" s="1786" t="s">
        <v>1653</v>
      </c>
      <c r="O730" s="1786">
        <v>0</v>
      </c>
      <c r="P730" s="1786"/>
      <c r="Q730" s="1786">
        <v>0</v>
      </c>
      <c r="R730" s="1788"/>
      <c r="S730" s="1786">
        <f t="shared" si="127"/>
        <v>1032</v>
      </c>
      <c r="T730" s="1786" t="str">
        <f t="shared" si="128"/>
        <v>חברת תפעול גמל בע"מ</v>
      </c>
      <c r="U730" s="1786" t="str">
        <f t="shared" si="129"/>
        <v>הלמן אלדובי קרן פנסיה מקיפה</v>
      </c>
      <c r="V730" s="1786" t="str">
        <f t="shared" si="130"/>
        <v>513163105</v>
      </c>
      <c r="W730" s="1789" t="str">
        <f t="shared" si="131"/>
        <v>הלמן - אלדובי קופות גמל ופנסיה בע"מ</v>
      </c>
      <c r="AC730" s="1759" t="s">
        <v>346</v>
      </c>
      <c r="AD730" s="1759"/>
      <c r="AE730" s="1760">
        <v>38261</v>
      </c>
      <c r="AF730" s="1759" t="s">
        <v>1094</v>
      </c>
      <c r="AG730" s="1759" t="s">
        <v>1094</v>
      </c>
      <c r="AH730" s="1759" t="s">
        <v>1594</v>
      </c>
      <c r="AI730" s="1759" t="s">
        <v>5539</v>
      </c>
      <c r="AJ730" s="1759" t="s">
        <v>5540</v>
      </c>
      <c r="AK730" s="1759">
        <v>13241</v>
      </c>
      <c r="AL730" s="1759" t="s">
        <v>2616</v>
      </c>
      <c r="AM730" s="1759">
        <v>1032</v>
      </c>
      <c r="AN730" s="1759" t="s">
        <v>5394</v>
      </c>
      <c r="AO730" s="1764"/>
      <c r="AP730" s="1759" t="s">
        <v>5371</v>
      </c>
      <c r="AQ730" s="1759" t="s">
        <v>5372</v>
      </c>
      <c r="AR730" s="1759" t="s">
        <v>354</v>
      </c>
      <c r="AS730" s="1759" t="s">
        <v>355</v>
      </c>
      <c r="AT730" s="1759" t="s">
        <v>328</v>
      </c>
      <c r="AU730" s="1763"/>
      <c r="AV730" s="1763"/>
    </row>
    <row r="731" spans="1:48" ht="25">
      <c r="A731" s="1785" t="str">
        <f t="shared" si="121"/>
        <v>פנסיה</v>
      </c>
      <c r="B731" s="1786">
        <f t="shared" si="122"/>
        <v>11912</v>
      </c>
      <c r="C731" s="1787">
        <v>28946</v>
      </c>
      <c r="D731" s="1786" t="str">
        <f t="shared" si="123"/>
        <v>הלמן אלדובי קרן פנסיה מקיפה אג"ח ישראל</v>
      </c>
      <c r="E731" s="1786" t="s">
        <v>3929</v>
      </c>
      <c r="F731" s="1786" t="s">
        <v>2958</v>
      </c>
      <c r="G731" s="1786" t="s">
        <v>2959</v>
      </c>
      <c r="H731" s="1786" t="str">
        <f t="shared" si="124"/>
        <v>לא פעיל</v>
      </c>
      <c r="I731" s="1788">
        <f t="shared" si="125"/>
        <v>38261</v>
      </c>
      <c r="J731" s="1788">
        <f t="shared" si="126"/>
        <v>43988.871180555601</v>
      </c>
      <c r="K731" s="1786">
        <v>0</v>
      </c>
      <c r="L731" s="1786" t="s">
        <v>1594</v>
      </c>
      <c r="M731" s="1786" t="s">
        <v>1653</v>
      </c>
      <c r="N731" s="1786" t="s">
        <v>1653</v>
      </c>
      <c r="O731" s="1786">
        <v>0</v>
      </c>
      <c r="P731" s="1786"/>
      <c r="Q731" s="1786">
        <v>0</v>
      </c>
      <c r="R731" s="1788"/>
      <c r="S731" s="1786">
        <f t="shared" si="127"/>
        <v>1032</v>
      </c>
      <c r="T731" s="1786" t="str">
        <f t="shared" si="128"/>
        <v>חברת תפעול גמל בע"מ</v>
      </c>
      <c r="U731" s="1786" t="str">
        <f t="shared" si="129"/>
        <v>הלמן אלדובי קרן פנסיה מקיפה</v>
      </c>
      <c r="V731" s="1786" t="str">
        <f t="shared" si="130"/>
        <v>513163105</v>
      </c>
      <c r="W731" s="1789" t="str">
        <f t="shared" si="131"/>
        <v>הלמן - אלדובי קופות גמל ופנסיה בע"מ</v>
      </c>
      <c r="AC731" s="1761" t="s">
        <v>1586</v>
      </c>
      <c r="AD731" s="1762">
        <v>43988.871180555601</v>
      </c>
      <c r="AE731" s="1762">
        <v>38261</v>
      </c>
      <c r="AF731" s="1761" t="s">
        <v>3672</v>
      </c>
      <c r="AG731" s="1761" t="s">
        <v>1653</v>
      </c>
      <c r="AH731" s="1761" t="s">
        <v>1594</v>
      </c>
      <c r="AI731" s="1761" t="s">
        <v>5541</v>
      </c>
      <c r="AJ731" s="1761" t="s">
        <v>5542</v>
      </c>
      <c r="AK731" s="1761">
        <v>11912</v>
      </c>
      <c r="AL731" s="1761" t="s">
        <v>2616</v>
      </c>
      <c r="AM731" s="1761">
        <v>1032</v>
      </c>
      <c r="AN731" s="1761" t="s">
        <v>5394</v>
      </c>
      <c r="AO731" s="1764"/>
      <c r="AP731" s="1761" t="s">
        <v>5371</v>
      </c>
      <c r="AQ731" s="1761" t="s">
        <v>5372</v>
      </c>
      <c r="AR731" s="1761" t="s">
        <v>354</v>
      </c>
      <c r="AS731" s="1761" t="s">
        <v>355</v>
      </c>
      <c r="AT731" s="1761" t="s">
        <v>328</v>
      </c>
      <c r="AU731" s="1763"/>
      <c r="AV731" s="1763"/>
    </row>
    <row r="732" spans="1:48" ht="25">
      <c r="A732" s="1785" t="str">
        <f t="shared" si="121"/>
        <v>פנסיה</v>
      </c>
      <c r="B732" s="1786">
        <f t="shared" si="122"/>
        <v>11913</v>
      </c>
      <c r="C732" s="1787">
        <v>28946</v>
      </c>
      <c r="D732" s="1786" t="str">
        <f t="shared" si="123"/>
        <v>הלמן אלדובי קרן פנסיה מקיפה מסלול אג"ח עד 25% במניות</v>
      </c>
      <c r="E732" s="1786" t="s">
        <v>3929</v>
      </c>
      <c r="F732" s="1786" t="s">
        <v>2958</v>
      </c>
      <c r="G732" s="1786" t="s">
        <v>2959</v>
      </c>
      <c r="H732" s="1786" t="str">
        <f t="shared" si="124"/>
        <v>לא פעיל</v>
      </c>
      <c r="I732" s="1788">
        <f t="shared" si="125"/>
        <v>38261</v>
      </c>
      <c r="J732" s="1788">
        <f t="shared" si="126"/>
        <v>43988.871180555601</v>
      </c>
      <c r="K732" s="1786">
        <v>0</v>
      </c>
      <c r="L732" s="1786" t="s">
        <v>1594</v>
      </c>
      <c r="M732" s="1786" t="s">
        <v>1653</v>
      </c>
      <c r="N732" s="1786" t="s">
        <v>1653</v>
      </c>
      <c r="O732" s="1786">
        <v>0</v>
      </c>
      <c r="P732" s="1786"/>
      <c r="Q732" s="1786">
        <v>0</v>
      </c>
      <c r="R732" s="1788"/>
      <c r="S732" s="1786">
        <f t="shared" si="127"/>
        <v>1032</v>
      </c>
      <c r="T732" s="1786" t="str">
        <f t="shared" si="128"/>
        <v>חברת תפעול גמל בע"מ</v>
      </c>
      <c r="U732" s="1786" t="str">
        <f t="shared" si="129"/>
        <v>הלמן אלדובי קרן פנסיה מקיפה</v>
      </c>
      <c r="V732" s="1786" t="str">
        <f t="shared" si="130"/>
        <v>513163105</v>
      </c>
      <c r="W732" s="1789" t="str">
        <f t="shared" si="131"/>
        <v>הלמן - אלדובי קופות גמל ופנסיה בע"מ</v>
      </c>
      <c r="AC732" s="1759" t="s">
        <v>1586</v>
      </c>
      <c r="AD732" s="1760">
        <v>43988.871180555601</v>
      </c>
      <c r="AE732" s="1760">
        <v>38261</v>
      </c>
      <c r="AF732" s="1759" t="s">
        <v>3934</v>
      </c>
      <c r="AG732" s="1759" t="s">
        <v>1653</v>
      </c>
      <c r="AH732" s="1759" t="s">
        <v>1594</v>
      </c>
      <c r="AI732" s="1759" t="s">
        <v>5543</v>
      </c>
      <c r="AJ732" s="1759" t="s">
        <v>5544</v>
      </c>
      <c r="AK732" s="1759">
        <v>11913</v>
      </c>
      <c r="AL732" s="1759" t="s">
        <v>2616</v>
      </c>
      <c r="AM732" s="1759">
        <v>1032</v>
      </c>
      <c r="AN732" s="1759" t="s">
        <v>5394</v>
      </c>
      <c r="AO732" s="1764"/>
      <c r="AP732" s="1759" t="s">
        <v>5371</v>
      </c>
      <c r="AQ732" s="1759" t="s">
        <v>5372</v>
      </c>
      <c r="AR732" s="1759" t="s">
        <v>354</v>
      </c>
      <c r="AS732" s="1759" t="s">
        <v>355</v>
      </c>
      <c r="AT732" s="1759" t="s">
        <v>328</v>
      </c>
      <c r="AU732" s="1763"/>
      <c r="AV732" s="1763"/>
    </row>
    <row r="733" spans="1:48" ht="25">
      <c r="A733" s="1785" t="str">
        <f t="shared" si="121"/>
        <v>פנסיה</v>
      </c>
      <c r="B733" s="1786">
        <f t="shared" si="122"/>
        <v>12135</v>
      </c>
      <c r="C733" s="1787">
        <v>28946</v>
      </c>
      <c r="D733" s="1786" t="str">
        <f t="shared" si="123"/>
        <v>הלמן אלדובי קרן פנסיה מקיפה בסיסי למקבלי פנסיה</v>
      </c>
      <c r="E733" s="1786" t="s">
        <v>3929</v>
      </c>
      <c r="F733" s="1786" t="s">
        <v>2958</v>
      </c>
      <c r="G733" s="1786" t="s">
        <v>2959</v>
      </c>
      <c r="H733" s="1786" t="str">
        <f t="shared" si="124"/>
        <v>פעיל</v>
      </c>
      <c r="I733" s="1788">
        <f t="shared" si="125"/>
        <v>38261</v>
      </c>
      <c r="J733" s="1788" t="str">
        <f t="shared" si="126"/>
        <v/>
      </c>
      <c r="K733" s="1786">
        <v>0</v>
      </c>
      <c r="L733" s="1786" t="s">
        <v>1594</v>
      </c>
      <c r="M733" s="1786" t="s">
        <v>1653</v>
      </c>
      <c r="N733" s="1786" t="s">
        <v>1653</v>
      </c>
      <c r="O733" s="1786">
        <v>0</v>
      </c>
      <c r="P733" s="1786"/>
      <c r="Q733" s="1786">
        <v>0</v>
      </c>
      <c r="R733" s="1788"/>
      <c r="S733" s="1786">
        <f t="shared" si="127"/>
        <v>1032</v>
      </c>
      <c r="T733" s="1786" t="str">
        <f t="shared" si="128"/>
        <v>חברת תפעול גמל בע"מ</v>
      </c>
      <c r="U733" s="1786" t="str">
        <f t="shared" si="129"/>
        <v>הלמן אלדובי קרן פנסיה מקיפה</v>
      </c>
      <c r="V733" s="1786" t="str">
        <f t="shared" si="130"/>
        <v>513163105</v>
      </c>
      <c r="W733" s="1789" t="str">
        <f t="shared" si="131"/>
        <v>הלמן - אלדובי קופות גמל ופנסיה בע"מ</v>
      </c>
      <c r="AC733" s="1761" t="s">
        <v>346</v>
      </c>
      <c r="AD733" s="1761"/>
      <c r="AE733" s="1762">
        <v>38261</v>
      </c>
      <c r="AF733" s="1761" t="s">
        <v>4160</v>
      </c>
      <c r="AG733" s="1761" t="s">
        <v>2614</v>
      </c>
      <c r="AH733" s="1761" t="s">
        <v>3658</v>
      </c>
      <c r="AI733" s="1761" t="s">
        <v>5545</v>
      </c>
      <c r="AJ733" s="1761" t="s">
        <v>5545</v>
      </c>
      <c r="AK733" s="1761">
        <v>12135</v>
      </c>
      <c r="AL733" s="1761" t="s">
        <v>2616</v>
      </c>
      <c r="AM733" s="1761">
        <v>1032</v>
      </c>
      <c r="AN733" s="1761" t="s">
        <v>5394</v>
      </c>
      <c r="AO733" s="1764"/>
      <c r="AP733" s="1761" t="s">
        <v>5371</v>
      </c>
      <c r="AQ733" s="1761" t="s">
        <v>5372</v>
      </c>
      <c r="AR733" s="1761" t="s">
        <v>354</v>
      </c>
      <c r="AS733" s="1761" t="s">
        <v>355</v>
      </c>
      <c r="AT733" s="1761" t="s">
        <v>328</v>
      </c>
      <c r="AU733" s="1763"/>
      <c r="AV733" s="1763"/>
    </row>
    <row r="734" spans="1:48" ht="25">
      <c r="A734" s="1785" t="str">
        <f t="shared" si="121"/>
        <v>פנסיה</v>
      </c>
      <c r="B734" s="1786">
        <f t="shared" si="122"/>
        <v>9768</v>
      </c>
      <c r="C734" s="1787">
        <v>28946</v>
      </c>
      <c r="D734" s="1786" t="str">
        <f t="shared" si="123"/>
        <v>הלמן-אלדובי קרן פנסיה מקיפה לבני 50 ומטה</v>
      </c>
      <c r="E734" s="1786" t="s">
        <v>3929</v>
      </c>
      <c r="F734" s="1786" t="s">
        <v>2958</v>
      </c>
      <c r="G734" s="1786" t="s">
        <v>2959</v>
      </c>
      <c r="H734" s="1786" t="str">
        <f t="shared" si="124"/>
        <v>פעיל</v>
      </c>
      <c r="I734" s="1788">
        <f t="shared" si="125"/>
        <v>38261</v>
      </c>
      <c r="J734" s="1788" t="str">
        <f t="shared" si="126"/>
        <v/>
      </c>
      <c r="K734" s="1786">
        <v>0</v>
      </c>
      <c r="L734" s="1786" t="s">
        <v>1594</v>
      </c>
      <c r="M734" s="1786" t="s">
        <v>1653</v>
      </c>
      <c r="N734" s="1786" t="s">
        <v>1653</v>
      </c>
      <c r="O734" s="1786">
        <v>0</v>
      </c>
      <c r="P734" s="1786"/>
      <c r="Q734" s="1786">
        <v>0</v>
      </c>
      <c r="R734" s="1788"/>
      <c r="S734" s="1786">
        <f t="shared" si="127"/>
        <v>1032</v>
      </c>
      <c r="T734" s="1786" t="str">
        <f t="shared" si="128"/>
        <v>חברת תפעול גמל בע"מ</v>
      </c>
      <c r="U734" s="1786" t="str">
        <f t="shared" si="129"/>
        <v>הלמן אלדובי קרן פנסיה מקיפה</v>
      </c>
      <c r="V734" s="1786" t="str">
        <f t="shared" si="130"/>
        <v>513163105</v>
      </c>
      <c r="W734" s="1789" t="str">
        <f t="shared" si="131"/>
        <v>הלמן - אלדובי קופות גמל ופנסיה בע"מ</v>
      </c>
      <c r="AC734" s="1759" t="s">
        <v>346</v>
      </c>
      <c r="AD734" s="1759"/>
      <c r="AE734" s="1760">
        <v>38261</v>
      </c>
      <c r="AF734" s="1759" t="s">
        <v>4151</v>
      </c>
      <c r="AG734" s="1759" t="s">
        <v>3931</v>
      </c>
      <c r="AH734" s="1759" t="s">
        <v>3658</v>
      </c>
      <c r="AI734" s="1759" t="s">
        <v>4342</v>
      </c>
      <c r="AJ734" s="1759" t="s">
        <v>4342</v>
      </c>
      <c r="AK734" s="1759">
        <v>9768</v>
      </c>
      <c r="AL734" s="1759" t="s">
        <v>2616</v>
      </c>
      <c r="AM734" s="1759">
        <v>1032</v>
      </c>
      <c r="AN734" s="1759" t="s">
        <v>5394</v>
      </c>
      <c r="AO734" s="1764"/>
      <c r="AP734" s="1759" t="s">
        <v>5371</v>
      </c>
      <c r="AQ734" s="1759" t="s">
        <v>5372</v>
      </c>
      <c r="AR734" s="1759" t="s">
        <v>354</v>
      </c>
      <c r="AS734" s="1759" t="s">
        <v>355</v>
      </c>
      <c r="AT734" s="1759" t="s">
        <v>328</v>
      </c>
      <c r="AU734" s="1763"/>
      <c r="AV734" s="1763"/>
    </row>
    <row r="735" spans="1:48" ht="25">
      <c r="A735" s="1785" t="str">
        <f t="shared" si="121"/>
        <v>פנסיה</v>
      </c>
      <c r="B735" s="1786">
        <f t="shared" si="122"/>
        <v>2163</v>
      </c>
      <c r="C735" s="1787">
        <v>28946</v>
      </c>
      <c r="D735" s="1786" t="str">
        <f t="shared" si="123"/>
        <v>הלמן אלדובי קרן פנסיה מקיפה - קצר</v>
      </c>
      <c r="E735" s="1786" t="s">
        <v>3929</v>
      </c>
      <c r="F735" s="1786" t="s">
        <v>2958</v>
      </c>
      <c r="G735" s="1786" t="s">
        <v>2959</v>
      </c>
      <c r="H735" s="1786" t="str">
        <f t="shared" si="124"/>
        <v>לא פעיל</v>
      </c>
      <c r="I735" s="1788">
        <f t="shared" si="125"/>
        <v>38261</v>
      </c>
      <c r="J735" s="1788">
        <f t="shared" si="126"/>
        <v>42701.578067129602</v>
      </c>
      <c r="K735" s="1786">
        <v>0</v>
      </c>
      <c r="L735" s="1786" t="s">
        <v>1594</v>
      </c>
      <c r="M735" s="1786" t="s">
        <v>1653</v>
      </c>
      <c r="N735" s="1786" t="s">
        <v>1653</v>
      </c>
      <c r="O735" s="1786">
        <v>0</v>
      </c>
      <c r="P735" s="1786"/>
      <c r="Q735" s="1786">
        <v>0</v>
      </c>
      <c r="R735" s="1788"/>
      <c r="S735" s="1786">
        <f t="shared" si="127"/>
        <v>1032</v>
      </c>
      <c r="T735" s="1786" t="str">
        <f t="shared" si="128"/>
        <v>חברת תפעול גמל בע"מ</v>
      </c>
      <c r="U735" s="1786" t="str">
        <f t="shared" si="129"/>
        <v>הלמן אלדובי קרן פנסיה מקיפה</v>
      </c>
      <c r="V735" s="1786" t="str">
        <f t="shared" si="130"/>
        <v>513163105</v>
      </c>
      <c r="W735" s="1789" t="str">
        <f t="shared" si="131"/>
        <v>הלמן - אלדובי קופות גמל ופנסיה בע"מ</v>
      </c>
      <c r="AC735" s="1761" t="s">
        <v>1586</v>
      </c>
      <c r="AD735" s="1762">
        <v>42701.578067129602</v>
      </c>
      <c r="AE735" s="1762">
        <v>38261</v>
      </c>
      <c r="AF735" s="1761" t="s">
        <v>70</v>
      </c>
      <c r="AG735" s="1761" t="s">
        <v>70</v>
      </c>
      <c r="AH735" s="1761" t="s">
        <v>3658</v>
      </c>
      <c r="AI735" s="1761" t="s">
        <v>2618</v>
      </c>
      <c r="AJ735" s="1761" t="s">
        <v>2618</v>
      </c>
      <c r="AK735" s="1761">
        <v>2163</v>
      </c>
      <c r="AL735" s="1761" t="s">
        <v>2616</v>
      </c>
      <c r="AM735" s="1761">
        <v>1032</v>
      </c>
      <c r="AN735" s="1761" t="s">
        <v>5394</v>
      </c>
      <c r="AO735" s="1764"/>
      <c r="AP735" s="1761" t="s">
        <v>5371</v>
      </c>
      <c r="AQ735" s="1761" t="s">
        <v>5372</v>
      </c>
      <c r="AR735" s="1761" t="s">
        <v>354</v>
      </c>
      <c r="AS735" s="1761" t="s">
        <v>355</v>
      </c>
      <c r="AT735" s="1761" t="s">
        <v>328</v>
      </c>
      <c r="AU735" s="1763"/>
      <c r="AV735" s="1763"/>
    </row>
    <row r="736" spans="1:48" ht="25">
      <c r="A736" s="1785" t="str">
        <f t="shared" si="121"/>
        <v>פנסיה</v>
      </c>
      <c r="B736" s="1786">
        <f t="shared" si="122"/>
        <v>9770</v>
      </c>
      <c r="C736" s="1787">
        <v>28946</v>
      </c>
      <c r="D736" s="1786" t="str">
        <f t="shared" si="123"/>
        <v>הלמן-אלדובי קרן פנסיה מקיפה לבני 60 ומעלה</v>
      </c>
      <c r="E736" s="1786" t="s">
        <v>3929</v>
      </c>
      <c r="F736" s="1786" t="s">
        <v>2958</v>
      </c>
      <c r="G736" s="1786" t="s">
        <v>2959</v>
      </c>
      <c r="H736" s="1786" t="str">
        <f t="shared" si="124"/>
        <v>פעיל</v>
      </c>
      <c r="I736" s="1788">
        <f t="shared" si="125"/>
        <v>38261</v>
      </c>
      <c r="J736" s="1788" t="str">
        <f t="shared" si="126"/>
        <v/>
      </c>
      <c r="K736" s="1786">
        <v>0</v>
      </c>
      <c r="L736" s="1786" t="s">
        <v>1594</v>
      </c>
      <c r="M736" s="1786" t="s">
        <v>1653</v>
      </c>
      <c r="N736" s="1786" t="s">
        <v>1653</v>
      </c>
      <c r="O736" s="1786">
        <v>0</v>
      </c>
      <c r="P736" s="1786"/>
      <c r="Q736" s="1786">
        <v>0</v>
      </c>
      <c r="R736" s="1788"/>
      <c r="S736" s="1786">
        <f t="shared" si="127"/>
        <v>1032</v>
      </c>
      <c r="T736" s="1786" t="str">
        <f t="shared" si="128"/>
        <v>חברת תפעול גמל בע"מ</v>
      </c>
      <c r="U736" s="1786" t="str">
        <f t="shared" si="129"/>
        <v>הלמן אלדובי קרן פנסיה מקיפה</v>
      </c>
      <c r="V736" s="1786" t="str">
        <f t="shared" si="130"/>
        <v>513163105</v>
      </c>
      <c r="W736" s="1789" t="str">
        <f t="shared" si="131"/>
        <v>הלמן - אלדובי קופות גמל ופנסיה בע"מ</v>
      </c>
      <c r="AC736" s="1759" t="s">
        <v>346</v>
      </c>
      <c r="AD736" s="1759"/>
      <c r="AE736" s="1760">
        <v>38261</v>
      </c>
      <c r="AF736" s="1759" t="s">
        <v>3963</v>
      </c>
      <c r="AG736" s="1759" t="s">
        <v>3931</v>
      </c>
      <c r="AH736" s="1759" t="s">
        <v>3658</v>
      </c>
      <c r="AI736" s="1759" t="s">
        <v>4344</v>
      </c>
      <c r="AJ736" s="1759" t="s">
        <v>4344</v>
      </c>
      <c r="AK736" s="1759">
        <v>9770</v>
      </c>
      <c r="AL736" s="1759" t="s">
        <v>2616</v>
      </c>
      <c r="AM736" s="1759">
        <v>1032</v>
      </c>
      <c r="AN736" s="1759" t="s">
        <v>5394</v>
      </c>
      <c r="AO736" s="1764"/>
      <c r="AP736" s="1759" t="s">
        <v>5371</v>
      </c>
      <c r="AQ736" s="1759" t="s">
        <v>5372</v>
      </c>
      <c r="AR736" s="1759" t="s">
        <v>354</v>
      </c>
      <c r="AS736" s="1759" t="s">
        <v>355</v>
      </c>
      <c r="AT736" s="1759" t="s">
        <v>328</v>
      </c>
      <c r="AU736" s="1763"/>
      <c r="AV736" s="1763"/>
    </row>
    <row r="737" spans="1:48" ht="25">
      <c r="A737" s="1785" t="str">
        <f t="shared" si="121"/>
        <v>פנסיה</v>
      </c>
      <c r="B737" s="1786">
        <f t="shared" si="122"/>
        <v>2199</v>
      </c>
      <c r="C737" s="1787">
        <v>28946</v>
      </c>
      <c r="D737" s="1786" t="str">
        <f t="shared" si="123"/>
        <v>הלמן-אלדובי קרן פנסיה מקיפה מסלול בסיסי למקבלי קצבה קיימים (עד 1.1.18)</v>
      </c>
      <c r="E737" s="1786" t="s">
        <v>3929</v>
      </c>
      <c r="F737" s="1786" t="s">
        <v>2958</v>
      </c>
      <c r="G737" s="1786" t="s">
        <v>2959</v>
      </c>
      <c r="H737" s="1786" t="str">
        <f t="shared" si="124"/>
        <v>פעיל</v>
      </c>
      <c r="I737" s="1788">
        <f t="shared" si="125"/>
        <v>38261</v>
      </c>
      <c r="J737" s="1788" t="str">
        <f t="shared" si="126"/>
        <v/>
      </c>
      <c r="K737" s="1786">
        <v>0</v>
      </c>
      <c r="L737" s="1786" t="s">
        <v>1594</v>
      </c>
      <c r="M737" s="1786" t="s">
        <v>1653</v>
      </c>
      <c r="N737" s="1786" t="s">
        <v>1653</v>
      </c>
      <c r="O737" s="1786">
        <v>0</v>
      </c>
      <c r="P737" s="1786"/>
      <c r="Q737" s="1786">
        <v>0</v>
      </c>
      <c r="R737" s="1788"/>
      <c r="S737" s="1786">
        <f t="shared" si="127"/>
        <v>1032</v>
      </c>
      <c r="T737" s="1786" t="str">
        <f t="shared" si="128"/>
        <v>חברת תפעול גמל בע"מ</v>
      </c>
      <c r="U737" s="1786" t="str">
        <f t="shared" si="129"/>
        <v>הלמן אלדובי קרן פנסיה מקיפה</v>
      </c>
      <c r="V737" s="1786" t="str">
        <f t="shared" si="130"/>
        <v>513163105</v>
      </c>
      <c r="W737" s="1789" t="str">
        <f t="shared" si="131"/>
        <v>הלמן - אלדובי קופות גמל ופנסיה בע"מ</v>
      </c>
      <c r="AC737" s="1761" t="s">
        <v>346</v>
      </c>
      <c r="AD737" s="1759"/>
      <c r="AE737" s="1762">
        <v>38261</v>
      </c>
      <c r="AF737" s="1761" t="s">
        <v>4160</v>
      </c>
      <c r="AG737" s="1761" t="s">
        <v>2614</v>
      </c>
      <c r="AH737" s="1761" t="s">
        <v>3658</v>
      </c>
      <c r="AI737" s="1761" t="s">
        <v>5546</v>
      </c>
      <c r="AJ737" s="1761" t="s">
        <v>5547</v>
      </c>
      <c r="AK737" s="1761">
        <v>2199</v>
      </c>
      <c r="AL737" s="1761" t="s">
        <v>2616</v>
      </c>
      <c r="AM737" s="1761">
        <v>1032</v>
      </c>
      <c r="AN737" s="1761" t="s">
        <v>5394</v>
      </c>
      <c r="AO737" s="1764"/>
      <c r="AP737" s="1761" t="s">
        <v>5371</v>
      </c>
      <c r="AQ737" s="1761" t="s">
        <v>5372</v>
      </c>
      <c r="AR737" s="1761" t="s">
        <v>354</v>
      </c>
      <c r="AS737" s="1761" t="s">
        <v>355</v>
      </c>
      <c r="AT737" s="1761" t="s">
        <v>328</v>
      </c>
      <c r="AU737" s="1763"/>
      <c r="AV737" s="1763"/>
    </row>
    <row r="738" spans="1:48" ht="25">
      <c r="A738" s="1785" t="str">
        <f t="shared" si="121"/>
        <v>פנסיה</v>
      </c>
      <c r="B738" s="1786">
        <f t="shared" si="122"/>
        <v>2250</v>
      </c>
      <c r="C738" s="1787">
        <v>28946</v>
      </c>
      <c r="D738" s="1786" t="str">
        <f t="shared" si="123"/>
        <v>הלמן אלדובי קרן פנסיה מקיפה - שוטף</v>
      </c>
      <c r="E738" s="1786" t="s">
        <v>3929</v>
      </c>
      <c r="F738" s="1786" t="s">
        <v>2958</v>
      </c>
      <c r="G738" s="1786" t="s">
        <v>2959</v>
      </c>
      <c r="H738" s="1786" t="str">
        <f t="shared" si="124"/>
        <v>לא פעיל</v>
      </c>
      <c r="I738" s="1788">
        <f t="shared" si="125"/>
        <v>38261</v>
      </c>
      <c r="J738" s="1788">
        <f t="shared" si="126"/>
        <v>42701.578067129602</v>
      </c>
      <c r="K738" s="1786">
        <v>0</v>
      </c>
      <c r="L738" s="1786" t="s">
        <v>1594</v>
      </c>
      <c r="M738" s="1786" t="s">
        <v>1653</v>
      </c>
      <c r="N738" s="1786" t="s">
        <v>1653</v>
      </c>
      <c r="O738" s="1786">
        <v>0</v>
      </c>
      <c r="P738" s="1786"/>
      <c r="Q738" s="1786">
        <v>0</v>
      </c>
      <c r="R738" s="1788"/>
      <c r="S738" s="1786">
        <f t="shared" si="127"/>
        <v>1032</v>
      </c>
      <c r="T738" s="1786" t="str">
        <f t="shared" si="128"/>
        <v>חברת תפעול גמל בע"מ</v>
      </c>
      <c r="U738" s="1786" t="str">
        <f t="shared" si="129"/>
        <v>הלמן אלדובי קרן פנסיה מקיפה</v>
      </c>
      <c r="V738" s="1786" t="str">
        <f t="shared" si="130"/>
        <v>513163105</v>
      </c>
      <c r="W738" s="1789" t="str">
        <f t="shared" si="131"/>
        <v>הלמן - אלדובי קופות גמל ופנסיה בע"מ</v>
      </c>
      <c r="AC738" s="1759" t="s">
        <v>1586</v>
      </c>
      <c r="AD738" s="1760">
        <v>42701.578067129602</v>
      </c>
      <c r="AE738" s="1760">
        <v>38261</v>
      </c>
      <c r="AF738" s="1759" t="s">
        <v>70</v>
      </c>
      <c r="AG738" s="1759" t="s">
        <v>70</v>
      </c>
      <c r="AH738" s="1759" t="s">
        <v>3658</v>
      </c>
      <c r="AI738" s="1759" t="s">
        <v>2911</v>
      </c>
      <c r="AJ738" s="1759" t="s">
        <v>2911</v>
      </c>
      <c r="AK738" s="1759">
        <v>2250</v>
      </c>
      <c r="AL738" s="1759" t="s">
        <v>2616</v>
      </c>
      <c r="AM738" s="1759">
        <v>1032</v>
      </c>
      <c r="AN738" s="1759" t="s">
        <v>5394</v>
      </c>
      <c r="AO738" s="1764"/>
      <c r="AP738" s="1759" t="s">
        <v>5371</v>
      </c>
      <c r="AQ738" s="1759" t="s">
        <v>5372</v>
      </c>
      <c r="AR738" s="1759" t="s">
        <v>354</v>
      </c>
      <c r="AS738" s="1759" t="s">
        <v>355</v>
      </c>
      <c r="AT738" s="1759" t="s">
        <v>328</v>
      </c>
      <c r="AU738" s="1763"/>
      <c r="AV738" s="1763"/>
    </row>
    <row r="739" spans="1:48" ht="25">
      <c r="A739" s="1785" t="str">
        <f t="shared" si="121"/>
        <v>פנסיה</v>
      </c>
      <c r="B739" s="1786">
        <f t="shared" si="122"/>
        <v>2161</v>
      </c>
      <c r="C739" s="1787">
        <v>28946</v>
      </c>
      <c r="D739" s="1786" t="str">
        <f t="shared" si="123"/>
        <v>הלמן אלדובי קרן פנסיה מקיפה - ארוך</v>
      </c>
      <c r="E739" s="1786" t="s">
        <v>3929</v>
      </c>
      <c r="F739" s="1786" t="s">
        <v>2958</v>
      </c>
      <c r="G739" s="1786" t="s">
        <v>2959</v>
      </c>
      <c r="H739" s="1786" t="str">
        <f t="shared" si="124"/>
        <v>לא פעיל</v>
      </c>
      <c r="I739" s="1788">
        <f t="shared" si="125"/>
        <v>38261</v>
      </c>
      <c r="J739" s="1788">
        <f t="shared" si="126"/>
        <v>42701.578067129602</v>
      </c>
      <c r="K739" s="1786">
        <v>0</v>
      </c>
      <c r="L739" s="1786" t="s">
        <v>1594</v>
      </c>
      <c r="M739" s="1786" t="s">
        <v>1653</v>
      </c>
      <c r="N739" s="1786" t="s">
        <v>1653</v>
      </c>
      <c r="O739" s="1786">
        <v>0</v>
      </c>
      <c r="P739" s="1786"/>
      <c r="Q739" s="1786">
        <v>0</v>
      </c>
      <c r="R739" s="1788"/>
      <c r="S739" s="1786">
        <f t="shared" si="127"/>
        <v>1032</v>
      </c>
      <c r="T739" s="1786" t="str">
        <f t="shared" si="128"/>
        <v>חברת תפעול גמל בע"מ</v>
      </c>
      <c r="U739" s="1786" t="str">
        <f t="shared" si="129"/>
        <v>הלמן אלדובי קרן פנסיה מקיפה</v>
      </c>
      <c r="V739" s="1786" t="str">
        <f t="shared" si="130"/>
        <v>513163105</v>
      </c>
      <c r="W739" s="1789" t="str">
        <f t="shared" si="131"/>
        <v>הלמן - אלדובי קופות גמל ופנסיה בע"מ</v>
      </c>
      <c r="AC739" s="1761" t="s">
        <v>1586</v>
      </c>
      <c r="AD739" s="1762">
        <v>42701.578067129602</v>
      </c>
      <c r="AE739" s="1762">
        <v>38261</v>
      </c>
      <c r="AF739" s="1761" t="s">
        <v>70</v>
      </c>
      <c r="AG739" s="1761" t="s">
        <v>70</v>
      </c>
      <c r="AH739" s="1761" t="s">
        <v>3658</v>
      </c>
      <c r="AI739" s="1761" t="s">
        <v>2615</v>
      </c>
      <c r="AJ739" s="1761" t="s">
        <v>2615</v>
      </c>
      <c r="AK739" s="1761">
        <v>2161</v>
      </c>
      <c r="AL739" s="1761" t="s">
        <v>2616</v>
      </c>
      <c r="AM739" s="1761">
        <v>1032</v>
      </c>
      <c r="AN739" s="1761" t="s">
        <v>5394</v>
      </c>
      <c r="AO739" s="1764"/>
      <c r="AP739" s="1761" t="s">
        <v>5371</v>
      </c>
      <c r="AQ739" s="1761" t="s">
        <v>5372</v>
      </c>
      <c r="AR739" s="1761" t="s">
        <v>354</v>
      </c>
      <c r="AS739" s="1761" t="s">
        <v>355</v>
      </c>
      <c r="AT739" s="1761" t="s">
        <v>328</v>
      </c>
      <c r="AU739" s="1763"/>
      <c r="AV739" s="1763"/>
    </row>
    <row r="740" spans="1:48" ht="25">
      <c r="A740" s="1785" t="str">
        <f t="shared" si="121"/>
        <v>פנסיה</v>
      </c>
      <c r="B740" s="1786">
        <f t="shared" si="122"/>
        <v>2162</v>
      </c>
      <c r="C740" s="1787">
        <v>28946</v>
      </c>
      <c r="D740" s="1786" t="str">
        <f t="shared" si="123"/>
        <v>הלמן אלדובי קרן פנסיה מקיפה - בינוני</v>
      </c>
      <c r="E740" s="1786" t="s">
        <v>3929</v>
      </c>
      <c r="F740" s="1786" t="s">
        <v>2958</v>
      </c>
      <c r="G740" s="1786" t="s">
        <v>2959</v>
      </c>
      <c r="H740" s="1786" t="str">
        <f t="shared" si="124"/>
        <v>לא פעיל</v>
      </c>
      <c r="I740" s="1788">
        <f t="shared" si="125"/>
        <v>38261</v>
      </c>
      <c r="J740" s="1788">
        <f t="shared" si="126"/>
        <v>42701.578067129602</v>
      </c>
      <c r="K740" s="1786">
        <v>0</v>
      </c>
      <c r="L740" s="1786" t="s">
        <v>1594</v>
      </c>
      <c r="M740" s="1786" t="s">
        <v>1653</v>
      </c>
      <c r="N740" s="1786" t="s">
        <v>1653</v>
      </c>
      <c r="O740" s="1786">
        <v>0</v>
      </c>
      <c r="P740" s="1786"/>
      <c r="Q740" s="1786">
        <v>0</v>
      </c>
      <c r="R740" s="1788"/>
      <c r="S740" s="1786">
        <f t="shared" si="127"/>
        <v>1032</v>
      </c>
      <c r="T740" s="1786" t="str">
        <f t="shared" si="128"/>
        <v>חברת תפעול גמל בע"מ</v>
      </c>
      <c r="U740" s="1786" t="str">
        <f t="shared" si="129"/>
        <v>הלמן אלדובי קרן פנסיה מקיפה</v>
      </c>
      <c r="V740" s="1786" t="str">
        <f t="shared" si="130"/>
        <v>513163105</v>
      </c>
      <c r="W740" s="1789" t="str">
        <f t="shared" si="131"/>
        <v>הלמן - אלדובי קופות גמל ופנסיה בע"מ</v>
      </c>
      <c r="AC740" s="1759" t="s">
        <v>1586</v>
      </c>
      <c r="AD740" s="1760">
        <v>42701.578067129602</v>
      </c>
      <c r="AE740" s="1760">
        <v>38261</v>
      </c>
      <c r="AF740" s="1759" t="s">
        <v>70</v>
      </c>
      <c r="AG740" s="1759" t="s">
        <v>70</v>
      </c>
      <c r="AH740" s="1759" t="s">
        <v>3658</v>
      </c>
      <c r="AI740" s="1759" t="s">
        <v>2617</v>
      </c>
      <c r="AJ740" s="1759" t="s">
        <v>2617</v>
      </c>
      <c r="AK740" s="1759">
        <v>2162</v>
      </c>
      <c r="AL740" s="1759" t="s">
        <v>2616</v>
      </c>
      <c r="AM740" s="1759">
        <v>1032</v>
      </c>
      <c r="AN740" s="1759" t="s">
        <v>5394</v>
      </c>
      <c r="AO740" s="1764"/>
      <c r="AP740" s="1759" t="s">
        <v>5371</v>
      </c>
      <c r="AQ740" s="1759" t="s">
        <v>5372</v>
      </c>
      <c r="AR740" s="1759" t="s">
        <v>354</v>
      </c>
      <c r="AS740" s="1759" t="s">
        <v>355</v>
      </c>
      <c r="AT740" s="1759" t="s">
        <v>328</v>
      </c>
      <c r="AU740" s="1763"/>
      <c r="AV740" s="1763"/>
    </row>
    <row r="741" spans="1:48" ht="25">
      <c r="A741" s="1785" t="str">
        <f t="shared" si="121"/>
        <v>פנסיה</v>
      </c>
      <c r="B741" s="1786">
        <f t="shared" si="122"/>
        <v>9769</v>
      </c>
      <c r="C741" s="1787">
        <v>28946</v>
      </c>
      <c r="D741" s="1786" t="str">
        <f t="shared" si="123"/>
        <v>הלמן-אלדובי קרן פנסיה מקיפה לבני 50 עד 60</v>
      </c>
      <c r="E741" s="1786" t="s">
        <v>3929</v>
      </c>
      <c r="F741" s="1786" t="s">
        <v>2958</v>
      </c>
      <c r="G741" s="1786" t="s">
        <v>2959</v>
      </c>
      <c r="H741" s="1786" t="str">
        <f t="shared" si="124"/>
        <v>פעיל</v>
      </c>
      <c r="I741" s="1788">
        <f t="shared" si="125"/>
        <v>38261</v>
      </c>
      <c r="J741" s="1788" t="str">
        <f t="shared" si="126"/>
        <v/>
      </c>
      <c r="K741" s="1786">
        <v>0</v>
      </c>
      <c r="L741" s="1786" t="s">
        <v>1594</v>
      </c>
      <c r="M741" s="1786" t="s">
        <v>1653</v>
      </c>
      <c r="N741" s="1786" t="s">
        <v>1653</v>
      </c>
      <c r="O741" s="1786">
        <v>0</v>
      </c>
      <c r="P741" s="1786"/>
      <c r="Q741" s="1786">
        <v>0</v>
      </c>
      <c r="R741" s="1788"/>
      <c r="S741" s="1786">
        <f t="shared" si="127"/>
        <v>1032</v>
      </c>
      <c r="T741" s="1786" t="str">
        <f t="shared" si="128"/>
        <v>חברת תפעול גמל בע"מ</v>
      </c>
      <c r="U741" s="1786" t="str">
        <f t="shared" si="129"/>
        <v>הלמן אלדובי קרן פנסיה מקיפה</v>
      </c>
      <c r="V741" s="1786" t="str">
        <f t="shared" si="130"/>
        <v>513163105</v>
      </c>
      <c r="W741" s="1789" t="str">
        <f t="shared" si="131"/>
        <v>הלמן - אלדובי קופות גמל ופנסיה בע"מ</v>
      </c>
      <c r="AC741" s="1761" t="s">
        <v>346</v>
      </c>
      <c r="AD741" s="1761"/>
      <c r="AE741" s="1762">
        <v>38261</v>
      </c>
      <c r="AF741" s="1761" t="s">
        <v>3932</v>
      </c>
      <c r="AG741" s="1761" t="s">
        <v>3931</v>
      </c>
      <c r="AH741" s="1761" t="s">
        <v>3658</v>
      </c>
      <c r="AI741" s="1761" t="s">
        <v>4343</v>
      </c>
      <c r="AJ741" s="1761" t="s">
        <v>4343</v>
      </c>
      <c r="AK741" s="1761">
        <v>9769</v>
      </c>
      <c r="AL741" s="1761" t="s">
        <v>2616</v>
      </c>
      <c r="AM741" s="1761">
        <v>1032</v>
      </c>
      <c r="AN741" s="1761" t="s">
        <v>5394</v>
      </c>
      <c r="AO741" s="1764"/>
      <c r="AP741" s="1761" t="s">
        <v>5371</v>
      </c>
      <c r="AQ741" s="1761" t="s">
        <v>5372</v>
      </c>
      <c r="AR741" s="1761" t="s">
        <v>354</v>
      </c>
      <c r="AS741" s="1761" t="s">
        <v>355</v>
      </c>
      <c r="AT741" s="1761" t="s">
        <v>328</v>
      </c>
      <c r="AU741" s="1763"/>
      <c r="AV741" s="1763"/>
    </row>
    <row r="742" spans="1:48" ht="25" hidden="1">
      <c r="A742" s="1785" t="str">
        <f t="shared" si="121"/>
        <v>גמל</v>
      </c>
      <c r="B742" s="1786">
        <f t="shared" si="122"/>
        <v>1031</v>
      </c>
      <c r="C742" s="1787">
        <v>28946</v>
      </c>
      <c r="D742" s="1786" t="str">
        <f t="shared" si="123"/>
        <v>מגדל למעסיק</v>
      </c>
      <c r="E742" s="1786" t="s">
        <v>3929</v>
      </c>
      <c r="F742" s="1786" t="s">
        <v>2958</v>
      </c>
      <c r="G742" s="1786" t="s">
        <v>2959</v>
      </c>
      <c r="H742" s="1786" t="str">
        <f t="shared" si="124"/>
        <v>לא פעיל</v>
      </c>
      <c r="I742" s="1788">
        <f t="shared" si="125"/>
        <v>38209</v>
      </c>
      <c r="J742" s="1788">
        <f t="shared" si="126"/>
        <v>39082.501412037003</v>
      </c>
      <c r="K742" s="1786">
        <v>0</v>
      </c>
      <c r="L742" s="1786" t="s">
        <v>1594</v>
      </c>
      <c r="M742" s="1786" t="s">
        <v>1653</v>
      </c>
      <c r="N742" s="1786" t="s">
        <v>1653</v>
      </c>
      <c r="O742" s="1786">
        <v>0</v>
      </c>
      <c r="P742" s="1786"/>
      <c r="Q742" s="1786">
        <v>0</v>
      </c>
      <c r="R742" s="1788"/>
      <c r="S742" s="1786">
        <f t="shared" si="127"/>
        <v>1031</v>
      </c>
      <c r="T742" s="1786" t="str">
        <f t="shared" si="128"/>
        <v>מגדל ביטוח</v>
      </c>
      <c r="U742" s="1786" t="str">
        <f t="shared" si="129"/>
        <v>מגדל למעסיק</v>
      </c>
      <c r="V742" s="1786">
        <f t="shared" si="130"/>
        <v>0</v>
      </c>
      <c r="W742" s="1789" t="str">
        <f t="shared" si="131"/>
        <v>מגדל ניהול קופות גמל בע"מ</v>
      </c>
      <c r="AC742" s="1759" t="s">
        <v>1586</v>
      </c>
      <c r="AD742" s="1760">
        <v>39082.501412037003</v>
      </c>
      <c r="AE742" s="1760">
        <v>38209</v>
      </c>
      <c r="AF742" s="1759"/>
      <c r="AG742" s="1759"/>
      <c r="AH742" s="1759" t="s">
        <v>1812</v>
      </c>
      <c r="AI742" s="1759" t="s">
        <v>2223</v>
      </c>
      <c r="AJ742" s="1759" t="s">
        <v>2223</v>
      </c>
      <c r="AK742" s="1759">
        <v>1031</v>
      </c>
      <c r="AL742" s="1759" t="s">
        <v>2223</v>
      </c>
      <c r="AM742" s="1759">
        <v>1031</v>
      </c>
      <c r="AN742" s="1759" t="s">
        <v>5399</v>
      </c>
      <c r="AO742" s="1764"/>
      <c r="AP742" s="1759"/>
      <c r="AQ742" s="1759"/>
      <c r="AR742" s="1759" t="s">
        <v>2211</v>
      </c>
      <c r="AS742" s="1759" t="s">
        <v>2210</v>
      </c>
      <c r="AT742" s="1759" t="s">
        <v>327</v>
      </c>
      <c r="AU742" s="1763"/>
      <c r="AV742" s="1763"/>
    </row>
    <row r="743" spans="1:48" ht="25" hidden="1">
      <c r="A743" s="1785" t="str">
        <f t="shared" si="121"/>
        <v>גמל</v>
      </c>
      <c r="B743" s="1786">
        <f t="shared" si="122"/>
        <v>1025</v>
      </c>
      <c r="C743" s="1787">
        <v>28946</v>
      </c>
      <c r="D743" s="1786" t="str">
        <f t="shared" si="123"/>
        <v>מגדל להשתלמות מסלול שקלי קצר</v>
      </c>
      <c r="E743" s="1786" t="s">
        <v>3929</v>
      </c>
      <c r="F743" s="1786" t="s">
        <v>2958</v>
      </c>
      <c r="G743" s="1786" t="s">
        <v>2959</v>
      </c>
      <c r="H743" s="1786" t="str">
        <f t="shared" si="124"/>
        <v>לא פעיל</v>
      </c>
      <c r="I743" s="1788">
        <f t="shared" si="125"/>
        <v>38209</v>
      </c>
      <c r="J743" s="1788">
        <f t="shared" si="126"/>
        <v>39082.549583333297</v>
      </c>
      <c r="K743" s="1786">
        <v>0</v>
      </c>
      <c r="L743" s="1786" t="s">
        <v>1594</v>
      </c>
      <c r="M743" s="1786" t="s">
        <v>1653</v>
      </c>
      <c r="N743" s="1786" t="s">
        <v>1653</v>
      </c>
      <c r="O743" s="1786">
        <v>0</v>
      </c>
      <c r="P743" s="1786"/>
      <c r="Q743" s="1786">
        <v>0</v>
      </c>
      <c r="R743" s="1788"/>
      <c r="S743" s="1786">
        <f t="shared" si="127"/>
        <v>1025</v>
      </c>
      <c r="T743" s="1786" t="str">
        <f t="shared" si="128"/>
        <v>מגדל ביטוח</v>
      </c>
      <c r="U743" s="1786" t="str">
        <f t="shared" si="129"/>
        <v>מגדל להשתלמות מסלול שקלי קצר</v>
      </c>
      <c r="V743" s="1786">
        <f t="shared" si="130"/>
        <v>0</v>
      </c>
      <c r="W743" s="1789" t="str">
        <f t="shared" si="131"/>
        <v>מגדל ניהול קופות גמל בע"מ</v>
      </c>
      <c r="AC743" s="1761" t="s">
        <v>1586</v>
      </c>
      <c r="AD743" s="1762">
        <v>39082.549583333297</v>
      </c>
      <c r="AE743" s="1762">
        <v>38209</v>
      </c>
      <c r="AF743" s="1761" t="s">
        <v>1673</v>
      </c>
      <c r="AG743" s="1761" t="s">
        <v>1614</v>
      </c>
      <c r="AH743" s="1761" t="s">
        <v>1594</v>
      </c>
      <c r="AI743" s="1761" t="s">
        <v>3470</v>
      </c>
      <c r="AJ743" s="1761" t="s">
        <v>2217</v>
      </c>
      <c r="AK743" s="1761">
        <v>1025</v>
      </c>
      <c r="AL743" s="1761" t="s">
        <v>2217</v>
      </c>
      <c r="AM743" s="1761">
        <v>1025</v>
      </c>
      <c r="AN743" s="1761" t="s">
        <v>5399</v>
      </c>
      <c r="AO743" s="1764"/>
      <c r="AP743" s="1761"/>
      <c r="AQ743" s="1761"/>
      <c r="AR743" s="1761" t="s">
        <v>2211</v>
      </c>
      <c r="AS743" s="1761" t="s">
        <v>2210</v>
      </c>
      <c r="AT743" s="1761" t="s">
        <v>327</v>
      </c>
      <c r="AU743" s="1763"/>
      <c r="AV743" s="1763"/>
    </row>
    <row r="744" spans="1:48" ht="25" hidden="1">
      <c r="A744" s="1785" t="str">
        <f t="shared" si="121"/>
        <v>גמל</v>
      </c>
      <c r="B744" s="1786">
        <f t="shared" si="122"/>
        <v>1026</v>
      </c>
      <c r="C744" s="1787">
        <v>28946</v>
      </c>
      <c r="D744" s="1786" t="str">
        <f t="shared" si="123"/>
        <v>מגדל להשתלמות מסלול אג"ח</v>
      </c>
      <c r="E744" s="1786" t="s">
        <v>3929</v>
      </c>
      <c r="F744" s="1786" t="s">
        <v>2958</v>
      </c>
      <c r="G744" s="1786" t="s">
        <v>2959</v>
      </c>
      <c r="H744" s="1786" t="str">
        <f t="shared" si="124"/>
        <v>לא פעיל</v>
      </c>
      <c r="I744" s="1788">
        <f t="shared" si="125"/>
        <v>38209</v>
      </c>
      <c r="J744" s="1788">
        <f t="shared" si="126"/>
        <v>39082.502847222197</v>
      </c>
      <c r="K744" s="1786">
        <v>0</v>
      </c>
      <c r="L744" s="1786" t="s">
        <v>1594</v>
      </c>
      <c r="M744" s="1786" t="s">
        <v>1653</v>
      </c>
      <c r="N744" s="1786" t="s">
        <v>1653</v>
      </c>
      <c r="O744" s="1786">
        <v>0</v>
      </c>
      <c r="P744" s="1786"/>
      <c r="Q744" s="1786">
        <v>0</v>
      </c>
      <c r="R744" s="1788"/>
      <c r="S744" s="1786">
        <f t="shared" si="127"/>
        <v>1025</v>
      </c>
      <c r="T744" s="1786" t="str">
        <f t="shared" si="128"/>
        <v>מגדל ביטוח</v>
      </c>
      <c r="U744" s="1786" t="str">
        <f t="shared" si="129"/>
        <v>מגדל להשתלמות מסלול שקלי קצר</v>
      </c>
      <c r="V744" s="1786">
        <f t="shared" si="130"/>
        <v>0</v>
      </c>
      <c r="W744" s="1789" t="str">
        <f t="shared" si="131"/>
        <v>מגדל ניהול קופות גמל בע"מ</v>
      </c>
      <c r="AC744" s="1759" t="s">
        <v>1586</v>
      </c>
      <c r="AD744" s="1760">
        <v>39082.502847222197</v>
      </c>
      <c r="AE744" s="1760">
        <v>38209</v>
      </c>
      <c r="AF744" s="1759" t="s">
        <v>1653</v>
      </c>
      <c r="AG744" s="1759" t="s">
        <v>1653</v>
      </c>
      <c r="AH744" s="1759" t="s">
        <v>1594</v>
      </c>
      <c r="AI744" s="1759" t="s">
        <v>3471</v>
      </c>
      <c r="AJ744" s="1759" t="s">
        <v>2218</v>
      </c>
      <c r="AK744" s="1759">
        <v>1026</v>
      </c>
      <c r="AL744" s="1759" t="s">
        <v>2217</v>
      </c>
      <c r="AM744" s="1759">
        <v>1025</v>
      </c>
      <c r="AN744" s="1759" t="s">
        <v>5399</v>
      </c>
      <c r="AO744" s="1764"/>
      <c r="AP744" s="1759"/>
      <c r="AQ744" s="1759"/>
      <c r="AR744" s="1759" t="s">
        <v>2211</v>
      </c>
      <c r="AS744" s="1759" t="s">
        <v>2210</v>
      </c>
      <c r="AT744" s="1759" t="s">
        <v>327</v>
      </c>
      <c r="AU744" s="1763"/>
      <c r="AV744" s="1763"/>
    </row>
    <row r="745" spans="1:48" ht="25" hidden="1">
      <c r="A745" s="1785" t="str">
        <f t="shared" si="121"/>
        <v>גמל</v>
      </c>
      <c r="B745" s="1786">
        <f t="shared" si="122"/>
        <v>1030</v>
      </c>
      <c r="C745" s="1787">
        <v>28946</v>
      </c>
      <c r="D745" s="1786" t="str">
        <f t="shared" si="123"/>
        <v>מגדל להשתלמות מסלול כללי</v>
      </c>
      <c r="E745" s="1786" t="s">
        <v>3929</v>
      </c>
      <c r="F745" s="1786" t="s">
        <v>2958</v>
      </c>
      <c r="G745" s="1786" t="s">
        <v>2959</v>
      </c>
      <c r="H745" s="1786" t="str">
        <f t="shared" si="124"/>
        <v>לא פעיל</v>
      </c>
      <c r="I745" s="1788">
        <f t="shared" si="125"/>
        <v>38209</v>
      </c>
      <c r="J745" s="1788">
        <f t="shared" si="126"/>
        <v>39082.503148148098</v>
      </c>
      <c r="K745" s="1786">
        <v>0</v>
      </c>
      <c r="L745" s="1786" t="s">
        <v>1594</v>
      </c>
      <c r="M745" s="1786" t="s">
        <v>1653</v>
      </c>
      <c r="N745" s="1786" t="s">
        <v>1653</v>
      </c>
      <c r="O745" s="1786">
        <v>0</v>
      </c>
      <c r="P745" s="1786"/>
      <c r="Q745" s="1786">
        <v>0</v>
      </c>
      <c r="R745" s="1788"/>
      <c r="S745" s="1786">
        <f t="shared" si="127"/>
        <v>1025</v>
      </c>
      <c r="T745" s="1786" t="str">
        <f t="shared" si="128"/>
        <v>מגדל ביטוח</v>
      </c>
      <c r="U745" s="1786" t="str">
        <f t="shared" si="129"/>
        <v>מגדל להשתלמות מסלול שקלי קצר</v>
      </c>
      <c r="V745" s="1786">
        <f t="shared" si="130"/>
        <v>0</v>
      </c>
      <c r="W745" s="1789" t="str">
        <f t="shared" si="131"/>
        <v>מגדל ניהול קופות גמל בע"מ</v>
      </c>
      <c r="AC745" s="1761" t="s">
        <v>1586</v>
      </c>
      <c r="AD745" s="1762">
        <v>39082.503148148098</v>
      </c>
      <c r="AE745" s="1762">
        <v>38209</v>
      </c>
      <c r="AF745" s="1761" t="s">
        <v>1583</v>
      </c>
      <c r="AG745" s="1761" t="s">
        <v>1583</v>
      </c>
      <c r="AH745" s="1761" t="s">
        <v>1583</v>
      </c>
      <c r="AI745" s="1761" t="s">
        <v>3475</v>
      </c>
      <c r="AJ745" s="1761" t="s">
        <v>2222</v>
      </c>
      <c r="AK745" s="1761">
        <v>1030</v>
      </c>
      <c r="AL745" s="1761" t="s">
        <v>2217</v>
      </c>
      <c r="AM745" s="1761">
        <v>1025</v>
      </c>
      <c r="AN745" s="1761" t="s">
        <v>5399</v>
      </c>
      <c r="AO745" s="1764"/>
      <c r="AP745" s="1761"/>
      <c r="AQ745" s="1761"/>
      <c r="AR745" s="1761" t="s">
        <v>2211</v>
      </c>
      <c r="AS745" s="1761" t="s">
        <v>2210</v>
      </c>
      <c r="AT745" s="1761" t="s">
        <v>327</v>
      </c>
      <c r="AU745" s="1763"/>
      <c r="AV745" s="1763"/>
    </row>
    <row r="746" spans="1:48" ht="25" hidden="1">
      <c r="A746" s="1785" t="str">
        <f t="shared" si="121"/>
        <v>גמל</v>
      </c>
      <c r="B746" s="1786">
        <f t="shared" si="122"/>
        <v>1028</v>
      </c>
      <c r="C746" s="1787">
        <v>28946</v>
      </c>
      <c r="D746" s="1786" t="str">
        <f t="shared" si="123"/>
        <v>מגדל להשתלמות מסלול מט"ח</v>
      </c>
      <c r="E746" s="1786" t="s">
        <v>3929</v>
      </c>
      <c r="F746" s="1786" t="s">
        <v>2958</v>
      </c>
      <c r="G746" s="1786" t="s">
        <v>2959</v>
      </c>
      <c r="H746" s="1786" t="str">
        <f t="shared" si="124"/>
        <v>לא פעיל</v>
      </c>
      <c r="I746" s="1788">
        <f t="shared" si="125"/>
        <v>38209</v>
      </c>
      <c r="J746" s="1788">
        <f t="shared" si="126"/>
        <v>39082.502997685202</v>
      </c>
      <c r="K746" s="1786">
        <v>0</v>
      </c>
      <c r="L746" s="1786" t="s">
        <v>1594</v>
      </c>
      <c r="M746" s="1786" t="s">
        <v>1653</v>
      </c>
      <c r="N746" s="1786" t="s">
        <v>1653</v>
      </c>
      <c r="O746" s="1786">
        <v>0</v>
      </c>
      <c r="P746" s="1786"/>
      <c r="Q746" s="1786">
        <v>0</v>
      </c>
      <c r="R746" s="1788"/>
      <c r="S746" s="1786">
        <f t="shared" si="127"/>
        <v>1025</v>
      </c>
      <c r="T746" s="1786" t="str">
        <f t="shared" si="128"/>
        <v>מגדל ביטוח</v>
      </c>
      <c r="U746" s="1786" t="str">
        <f t="shared" si="129"/>
        <v>מגדל להשתלמות מסלול שקלי קצר</v>
      </c>
      <c r="V746" s="1786">
        <f t="shared" si="130"/>
        <v>0</v>
      </c>
      <c r="W746" s="1789" t="str">
        <f t="shared" si="131"/>
        <v>מגדל ניהול קופות גמל בע"מ</v>
      </c>
      <c r="AC746" s="1759" t="s">
        <v>1586</v>
      </c>
      <c r="AD746" s="1760">
        <v>39082.502997685202</v>
      </c>
      <c r="AE746" s="1760">
        <v>38209</v>
      </c>
      <c r="AF746" s="1759" t="s">
        <v>1611</v>
      </c>
      <c r="AG746" s="1759" t="s">
        <v>1611</v>
      </c>
      <c r="AH746" s="1759" t="s">
        <v>1594</v>
      </c>
      <c r="AI746" s="1759" t="s">
        <v>3473</v>
      </c>
      <c r="AJ746" s="1759" t="s">
        <v>2220</v>
      </c>
      <c r="AK746" s="1759">
        <v>1028</v>
      </c>
      <c r="AL746" s="1759" t="s">
        <v>2217</v>
      </c>
      <c r="AM746" s="1759">
        <v>1025</v>
      </c>
      <c r="AN746" s="1759" t="s">
        <v>5399</v>
      </c>
      <c r="AO746" s="1764"/>
      <c r="AP746" s="1759"/>
      <c r="AQ746" s="1759"/>
      <c r="AR746" s="1759" t="s">
        <v>2211</v>
      </c>
      <c r="AS746" s="1759" t="s">
        <v>2210</v>
      </c>
      <c r="AT746" s="1759" t="s">
        <v>327</v>
      </c>
      <c r="AU746" s="1763"/>
      <c r="AV746" s="1763"/>
    </row>
    <row r="747" spans="1:48" ht="25" hidden="1">
      <c r="A747" s="1785" t="str">
        <f t="shared" si="121"/>
        <v>גמל</v>
      </c>
      <c r="B747" s="1786">
        <f t="shared" si="122"/>
        <v>1029</v>
      </c>
      <c r="C747" s="1787">
        <v>28946</v>
      </c>
      <c r="D747" s="1786" t="str">
        <f t="shared" si="123"/>
        <v>מגדל להשתלמות מסלול מנייתי</v>
      </c>
      <c r="E747" s="1786" t="s">
        <v>3929</v>
      </c>
      <c r="F747" s="1786" t="s">
        <v>2958</v>
      </c>
      <c r="G747" s="1786" t="s">
        <v>2959</v>
      </c>
      <c r="H747" s="1786" t="str">
        <f t="shared" si="124"/>
        <v>לא פעיל</v>
      </c>
      <c r="I747" s="1788">
        <f t="shared" si="125"/>
        <v>38209</v>
      </c>
      <c r="J747" s="1788">
        <f t="shared" si="126"/>
        <v>39082.503067129597</v>
      </c>
      <c r="K747" s="1786">
        <v>0</v>
      </c>
      <c r="L747" s="1786" t="s">
        <v>1594</v>
      </c>
      <c r="M747" s="1786" t="s">
        <v>1653</v>
      </c>
      <c r="N747" s="1786" t="s">
        <v>1653</v>
      </c>
      <c r="O747" s="1786">
        <v>0</v>
      </c>
      <c r="P747" s="1786"/>
      <c r="Q747" s="1786">
        <v>0</v>
      </c>
      <c r="R747" s="1788"/>
      <c r="S747" s="1786">
        <f t="shared" si="127"/>
        <v>1025</v>
      </c>
      <c r="T747" s="1786" t="str">
        <f t="shared" si="128"/>
        <v>מגדל ביטוח</v>
      </c>
      <c r="U747" s="1786" t="str">
        <f t="shared" si="129"/>
        <v>מגדל להשתלמות מסלול שקלי קצר</v>
      </c>
      <c r="V747" s="1786">
        <f t="shared" si="130"/>
        <v>0</v>
      </c>
      <c r="W747" s="1789" t="str">
        <f t="shared" si="131"/>
        <v>מגדל ניהול קופות גמל בע"מ</v>
      </c>
      <c r="AC747" s="1761" t="s">
        <v>1586</v>
      </c>
      <c r="AD747" s="1762">
        <v>39082.503067129597</v>
      </c>
      <c r="AE747" s="1762">
        <v>38209</v>
      </c>
      <c r="AF747" s="1761" t="s">
        <v>1595</v>
      </c>
      <c r="AG747" s="1761" t="s">
        <v>75</v>
      </c>
      <c r="AH747" s="1761" t="s">
        <v>1594</v>
      </c>
      <c r="AI747" s="1761" t="s">
        <v>3474</v>
      </c>
      <c r="AJ747" s="1761" t="s">
        <v>2221</v>
      </c>
      <c r="AK747" s="1761">
        <v>1029</v>
      </c>
      <c r="AL747" s="1761" t="s">
        <v>2217</v>
      </c>
      <c r="AM747" s="1761">
        <v>1025</v>
      </c>
      <c r="AN747" s="1761" t="s">
        <v>5399</v>
      </c>
      <c r="AO747" s="1764"/>
      <c r="AP747" s="1761"/>
      <c r="AQ747" s="1761"/>
      <c r="AR747" s="1761" t="s">
        <v>2211</v>
      </c>
      <c r="AS747" s="1761" t="s">
        <v>2210</v>
      </c>
      <c r="AT747" s="1761" t="s">
        <v>327</v>
      </c>
      <c r="AU747" s="1763"/>
      <c r="AV747" s="1763"/>
    </row>
    <row r="748" spans="1:48" ht="25" hidden="1">
      <c r="A748" s="1785" t="str">
        <f t="shared" si="121"/>
        <v>גמל</v>
      </c>
      <c r="B748" s="1786">
        <f t="shared" si="122"/>
        <v>1027</v>
      </c>
      <c r="C748" s="1787">
        <v>28946</v>
      </c>
      <c r="D748" s="1786" t="str">
        <f t="shared" si="123"/>
        <v>מגדל להשתלמות מסלול כללי חו"ל</v>
      </c>
      <c r="E748" s="1786" t="s">
        <v>3929</v>
      </c>
      <c r="F748" s="1786" t="s">
        <v>2958</v>
      </c>
      <c r="G748" s="1786" t="s">
        <v>2959</v>
      </c>
      <c r="H748" s="1786" t="str">
        <f t="shared" si="124"/>
        <v>לא פעיל</v>
      </c>
      <c r="I748" s="1788">
        <f t="shared" si="125"/>
        <v>38209</v>
      </c>
      <c r="J748" s="1788">
        <f t="shared" si="126"/>
        <v>39082.502951388902</v>
      </c>
      <c r="K748" s="1786">
        <v>0</v>
      </c>
      <c r="L748" s="1786" t="s">
        <v>1594</v>
      </c>
      <c r="M748" s="1786" t="s">
        <v>1653</v>
      </c>
      <c r="N748" s="1786" t="s">
        <v>1653</v>
      </c>
      <c r="O748" s="1786">
        <v>0</v>
      </c>
      <c r="P748" s="1786"/>
      <c r="Q748" s="1786">
        <v>0</v>
      </c>
      <c r="R748" s="1788"/>
      <c r="S748" s="1786">
        <f t="shared" si="127"/>
        <v>1025</v>
      </c>
      <c r="T748" s="1786" t="str">
        <f t="shared" si="128"/>
        <v>מגדל ביטוח</v>
      </c>
      <c r="U748" s="1786" t="str">
        <f t="shared" si="129"/>
        <v>מגדל להשתלמות מסלול שקלי קצר</v>
      </c>
      <c r="V748" s="1786">
        <f t="shared" si="130"/>
        <v>0</v>
      </c>
      <c r="W748" s="1789" t="str">
        <f t="shared" si="131"/>
        <v>מגדל ניהול קופות גמל בע"מ</v>
      </c>
      <c r="AC748" s="1759" t="s">
        <v>1586</v>
      </c>
      <c r="AD748" s="1760">
        <v>39082.502951388902</v>
      </c>
      <c r="AE748" s="1760">
        <v>38209</v>
      </c>
      <c r="AF748" s="1759" t="s">
        <v>1948</v>
      </c>
      <c r="AG748" s="1759" t="s">
        <v>1947</v>
      </c>
      <c r="AH748" s="1759" t="s">
        <v>1594</v>
      </c>
      <c r="AI748" s="1759" t="s">
        <v>3472</v>
      </c>
      <c r="AJ748" s="1759" t="s">
        <v>2219</v>
      </c>
      <c r="AK748" s="1759">
        <v>1027</v>
      </c>
      <c r="AL748" s="1759" t="s">
        <v>2217</v>
      </c>
      <c r="AM748" s="1759">
        <v>1025</v>
      </c>
      <c r="AN748" s="1759" t="s">
        <v>5399</v>
      </c>
      <c r="AO748" s="1764"/>
      <c r="AP748" s="1759"/>
      <c r="AQ748" s="1759"/>
      <c r="AR748" s="1759" t="s">
        <v>2211</v>
      </c>
      <c r="AS748" s="1759" t="s">
        <v>2210</v>
      </c>
      <c r="AT748" s="1759" t="s">
        <v>327</v>
      </c>
      <c r="AU748" s="1763"/>
      <c r="AV748" s="1763"/>
    </row>
    <row r="749" spans="1:48" ht="25" hidden="1">
      <c r="A749" s="1785" t="str">
        <f t="shared" si="121"/>
        <v>גמל</v>
      </c>
      <c r="B749" s="1786">
        <f t="shared" si="122"/>
        <v>1019</v>
      </c>
      <c r="C749" s="1787">
        <v>28946</v>
      </c>
      <c r="D749" s="1786" t="str">
        <f t="shared" si="123"/>
        <v>מגדל גמל מסלול שקלי קצר</v>
      </c>
      <c r="E749" s="1786" t="s">
        <v>3929</v>
      </c>
      <c r="F749" s="1786" t="s">
        <v>2958</v>
      </c>
      <c r="G749" s="1786" t="s">
        <v>2959</v>
      </c>
      <c r="H749" s="1786" t="str">
        <f t="shared" si="124"/>
        <v>לא פעיל</v>
      </c>
      <c r="I749" s="1788">
        <f t="shared" si="125"/>
        <v>38209</v>
      </c>
      <c r="J749" s="1788">
        <f t="shared" si="126"/>
        <v>39082.502500000002</v>
      </c>
      <c r="K749" s="1786">
        <v>0</v>
      </c>
      <c r="L749" s="1786" t="s">
        <v>1594</v>
      </c>
      <c r="M749" s="1786" t="s">
        <v>1653</v>
      </c>
      <c r="N749" s="1786" t="s">
        <v>1653</v>
      </c>
      <c r="O749" s="1786">
        <v>0</v>
      </c>
      <c r="P749" s="1786"/>
      <c r="Q749" s="1786">
        <v>0</v>
      </c>
      <c r="R749" s="1788"/>
      <c r="S749" s="1786">
        <f t="shared" si="127"/>
        <v>1019</v>
      </c>
      <c r="T749" s="1786" t="str">
        <f t="shared" si="128"/>
        <v>מגדל ביטוח</v>
      </c>
      <c r="U749" s="1786" t="str">
        <f t="shared" si="129"/>
        <v>מגדל גמל מסלול שקלי קצר</v>
      </c>
      <c r="V749" s="1786">
        <f t="shared" si="130"/>
        <v>0</v>
      </c>
      <c r="W749" s="1789" t="str">
        <f t="shared" si="131"/>
        <v>מגדל ניהול קופות גמל בע"מ</v>
      </c>
      <c r="AC749" s="1761" t="s">
        <v>1586</v>
      </c>
      <c r="AD749" s="1762">
        <v>39082.502500000002</v>
      </c>
      <c r="AE749" s="1762">
        <v>38209</v>
      </c>
      <c r="AF749" s="1761" t="s">
        <v>1673</v>
      </c>
      <c r="AG749" s="1761" t="s">
        <v>1614</v>
      </c>
      <c r="AH749" s="1761" t="s">
        <v>1594</v>
      </c>
      <c r="AI749" s="1761" t="s">
        <v>3464</v>
      </c>
      <c r="AJ749" s="1761" t="s">
        <v>2209</v>
      </c>
      <c r="AK749" s="1761">
        <v>1019</v>
      </c>
      <c r="AL749" s="1761" t="s">
        <v>2209</v>
      </c>
      <c r="AM749" s="1761">
        <v>1019</v>
      </c>
      <c r="AN749" s="1761" t="s">
        <v>5399</v>
      </c>
      <c r="AO749" s="1764"/>
      <c r="AP749" s="1761"/>
      <c r="AQ749" s="1761"/>
      <c r="AR749" s="1761" t="s">
        <v>2211</v>
      </c>
      <c r="AS749" s="1761" t="s">
        <v>2210</v>
      </c>
      <c r="AT749" s="1761" t="s">
        <v>327</v>
      </c>
      <c r="AU749" s="1763"/>
      <c r="AV749" s="1763"/>
    </row>
    <row r="750" spans="1:48" ht="25" hidden="1">
      <c r="A750" s="1785" t="str">
        <f t="shared" si="121"/>
        <v>גמל</v>
      </c>
      <c r="B750" s="1786">
        <f t="shared" si="122"/>
        <v>1020</v>
      </c>
      <c r="C750" s="1787">
        <v>28946</v>
      </c>
      <c r="D750" s="1786" t="str">
        <f t="shared" si="123"/>
        <v>מגדל גמל מסלול אג"ח</v>
      </c>
      <c r="E750" s="1786" t="s">
        <v>3929</v>
      </c>
      <c r="F750" s="1786" t="s">
        <v>2958</v>
      </c>
      <c r="G750" s="1786" t="s">
        <v>2959</v>
      </c>
      <c r="H750" s="1786" t="str">
        <f t="shared" si="124"/>
        <v>לא פעיל</v>
      </c>
      <c r="I750" s="1788">
        <f t="shared" si="125"/>
        <v>38209</v>
      </c>
      <c r="J750" s="1788">
        <f t="shared" si="126"/>
        <v>39082.502280092602</v>
      </c>
      <c r="K750" s="1786">
        <v>0</v>
      </c>
      <c r="L750" s="1786" t="s">
        <v>1594</v>
      </c>
      <c r="M750" s="1786" t="s">
        <v>1653</v>
      </c>
      <c r="N750" s="1786" t="s">
        <v>1653</v>
      </c>
      <c r="O750" s="1786">
        <v>0</v>
      </c>
      <c r="P750" s="1786"/>
      <c r="Q750" s="1786">
        <v>0</v>
      </c>
      <c r="R750" s="1788"/>
      <c r="S750" s="1786">
        <f t="shared" si="127"/>
        <v>1019</v>
      </c>
      <c r="T750" s="1786" t="str">
        <f t="shared" si="128"/>
        <v>מגדל ביטוח</v>
      </c>
      <c r="U750" s="1786" t="str">
        <f t="shared" si="129"/>
        <v>מגדל גמל מסלול שקלי קצר</v>
      </c>
      <c r="V750" s="1786">
        <f t="shared" si="130"/>
        <v>0</v>
      </c>
      <c r="W750" s="1789" t="str">
        <f t="shared" si="131"/>
        <v>מגדל ניהול קופות גמל בע"מ</v>
      </c>
      <c r="AC750" s="1759" t="s">
        <v>1586</v>
      </c>
      <c r="AD750" s="1760">
        <v>39082.502280092602</v>
      </c>
      <c r="AE750" s="1760">
        <v>38209</v>
      </c>
      <c r="AF750" s="1759" t="s">
        <v>1653</v>
      </c>
      <c r="AG750" s="1759" t="s">
        <v>1653</v>
      </c>
      <c r="AH750" s="1759" t="s">
        <v>1594</v>
      </c>
      <c r="AI750" s="1759" t="s">
        <v>3465</v>
      </c>
      <c r="AJ750" s="1759" t="s">
        <v>2212</v>
      </c>
      <c r="AK750" s="1759">
        <v>1020</v>
      </c>
      <c r="AL750" s="1759" t="s">
        <v>2209</v>
      </c>
      <c r="AM750" s="1759">
        <v>1019</v>
      </c>
      <c r="AN750" s="1759" t="s">
        <v>5399</v>
      </c>
      <c r="AO750" s="1764"/>
      <c r="AP750" s="1759"/>
      <c r="AQ750" s="1759"/>
      <c r="AR750" s="1759" t="s">
        <v>2211</v>
      </c>
      <c r="AS750" s="1759" t="s">
        <v>2210</v>
      </c>
      <c r="AT750" s="1759" t="s">
        <v>327</v>
      </c>
      <c r="AU750" s="1763"/>
      <c r="AV750" s="1763"/>
    </row>
    <row r="751" spans="1:48" ht="25" hidden="1">
      <c r="A751" s="1785" t="str">
        <f t="shared" si="121"/>
        <v>גמל</v>
      </c>
      <c r="B751" s="1786">
        <f t="shared" si="122"/>
        <v>1024</v>
      </c>
      <c r="C751" s="1787">
        <v>28946</v>
      </c>
      <c r="D751" s="1786" t="str">
        <f t="shared" si="123"/>
        <v>מגדל גמל מסלול כללי</v>
      </c>
      <c r="E751" s="1786" t="s">
        <v>3929</v>
      </c>
      <c r="F751" s="1786" t="s">
        <v>2958</v>
      </c>
      <c r="G751" s="1786" t="s">
        <v>2959</v>
      </c>
      <c r="H751" s="1786" t="str">
        <f t="shared" si="124"/>
        <v>לא פעיל</v>
      </c>
      <c r="I751" s="1788">
        <f t="shared" si="125"/>
        <v>38209</v>
      </c>
      <c r="J751" s="1788">
        <f t="shared" si="126"/>
        <v>39082.502280092602</v>
      </c>
      <c r="K751" s="1786">
        <v>0</v>
      </c>
      <c r="L751" s="1786" t="s">
        <v>1594</v>
      </c>
      <c r="M751" s="1786" t="s">
        <v>1653</v>
      </c>
      <c r="N751" s="1786" t="s">
        <v>1653</v>
      </c>
      <c r="O751" s="1786">
        <v>0</v>
      </c>
      <c r="P751" s="1786"/>
      <c r="Q751" s="1786">
        <v>0</v>
      </c>
      <c r="R751" s="1788"/>
      <c r="S751" s="1786">
        <f t="shared" si="127"/>
        <v>1019</v>
      </c>
      <c r="T751" s="1786" t="str">
        <f t="shared" si="128"/>
        <v>מגדל ביטוח</v>
      </c>
      <c r="U751" s="1786" t="str">
        <f t="shared" si="129"/>
        <v>מגדל גמל מסלול שקלי קצר</v>
      </c>
      <c r="V751" s="1786">
        <f t="shared" si="130"/>
        <v>0</v>
      </c>
      <c r="W751" s="1789" t="str">
        <f t="shared" si="131"/>
        <v>מגדל ניהול קופות גמל בע"מ</v>
      </c>
      <c r="AC751" s="1761" t="s">
        <v>1586</v>
      </c>
      <c r="AD751" s="1762">
        <v>39082.502280092602</v>
      </c>
      <c r="AE751" s="1762">
        <v>38209</v>
      </c>
      <c r="AF751" s="1761" t="s">
        <v>1583</v>
      </c>
      <c r="AG751" s="1761" t="s">
        <v>1583</v>
      </c>
      <c r="AH751" s="1761" t="s">
        <v>1583</v>
      </c>
      <c r="AI751" s="1761" t="s">
        <v>3469</v>
      </c>
      <c r="AJ751" s="1761" t="s">
        <v>2216</v>
      </c>
      <c r="AK751" s="1761">
        <v>1024</v>
      </c>
      <c r="AL751" s="1761" t="s">
        <v>2209</v>
      </c>
      <c r="AM751" s="1761">
        <v>1019</v>
      </c>
      <c r="AN751" s="1761" t="s">
        <v>5399</v>
      </c>
      <c r="AO751" s="1764"/>
      <c r="AP751" s="1761"/>
      <c r="AQ751" s="1761"/>
      <c r="AR751" s="1761" t="s">
        <v>2211</v>
      </c>
      <c r="AS751" s="1761" t="s">
        <v>2210</v>
      </c>
      <c r="AT751" s="1761" t="s">
        <v>327</v>
      </c>
      <c r="AU751" s="1763"/>
      <c r="AV751" s="1763"/>
    </row>
    <row r="752" spans="1:48" ht="25" hidden="1">
      <c r="A752" s="1785" t="str">
        <f t="shared" si="121"/>
        <v>גמל</v>
      </c>
      <c r="B752" s="1786">
        <f t="shared" si="122"/>
        <v>1022</v>
      </c>
      <c r="C752" s="1787">
        <v>28946</v>
      </c>
      <c r="D752" s="1786" t="str">
        <f t="shared" si="123"/>
        <v>מגדל גמל מסלול מט"ח</v>
      </c>
      <c r="E752" s="1786" t="s">
        <v>3929</v>
      </c>
      <c r="F752" s="1786" t="s">
        <v>2958</v>
      </c>
      <c r="G752" s="1786" t="s">
        <v>2959</v>
      </c>
      <c r="H752" s="1786" t="str">
        <f t="shared" si="124"/>
        <v>לא פעיל</v>
      </c>
      <c r="I752" s="1788">
        <f t="shared" si="125"/>
        <v>38209</v>
      </c>
      <c r="J752" s="1788">
        <f t="shared" si="126"/>
        <v>39082.502280092602</v>
      </c>
      <c r="K752" s="1786">
        <v>0</v>
      </c>
      <c r="L752" s="1786" t="s">
        <v>1594</v>
      </c>
      <c r="M752" s="1786" t="s">
        <v>1653</v>
      </c>
      <c r="N752" s="1786" t="s">
        <v>1653</v>
      </c>
      <c r="O752" s="1786">
        <v>0</v>
      </c>
      <c r="P752" s="1786"/>
      <c r="Q752" s="1786">
        <v>0</v>
      </c>
      <c r="R752" s="1788"/>
      <c r="S752" s="1786">
        <f t="shared" si="127"/>
        <v>1019</v>
      </c>
      <c r="T752" s="1786" t="str">
        <f t="shared" si="128"/>
        <v>מגדל ביטוח</v>
      </c>
      <c r="U752" s="1786" t="str">
        <f t="shared" si="129"/>
        <v>מגדל גמל מסלול שקלי קצר</v>
      </c>
      <c r="V752" s="1786">
        <f t="shared" si="130"/>
        <v>0</v>
      </c>
      <c r="W752" s="1789" t="str">
        <f t="shared" si="131"/>
        <v>מגדל ניהול קופות גמל בע"מ</v>
      </c>
      <c r="AC752" s="1759" t="s">
        <v>1586</v>
      </c>
      <c r="AD752" s="1760">
        <v>39082.502280092602</v>
      </c>
      <c r="AE752" s="1760">
        <v>38209</v>
      </c>
      <c r="AF752" s="1759" t="s">
        <v>1611</v>
      </c>
      <c r="AG752" s="1759" t="s">
        <v>1611</v>
      </c>
      <c r="AH752" s="1759" t="s">
        <v>1594</v>
      </c>
      <c r="AI752" s="1759" t="s">
        <v>3467</v>
      </c>
      <c r="AJ752" s="1759" t="s">
        <v>2214</v>
      </c>
      <c r="AK752" s="1759">
        <v>1022</v>
      </c>
      <c r="AL752" s="1759" t="s">
        <v>2209</v>
      </c>
      <c r="AM752" s="1759">
        <v>1019</v>
      </c>
      <c r="AN752" s="1759" t="s">
        <v>5399</v>
      </c>
      <c r="AO752" s="1764"/>
      <c r="AP752" s="1759"/>
      <c r="AQ752" s="1759"/>
      <c r="AR752" s="1759" t="s">
        <v>2211</v>
      </c>
      <c r="AS752" s="1759" t="s">
        <v>2210</v>
      </c>
      <c r="AT752" s="1759" t="s">
        <v>327</v>
      </c>
      <c r="AU752" s="1763"/>
      <c r="AV752" s="1763"/>
    </row>
    <row r="753" spans="1:48" ht="25" hidden="1">
      <c r="A753" s="1785" t="str">
        <f t="shared" si="121"/>
        <v>גמל</v>
      </c>
      <c r="B753" s="1786">
        <f t="shared" si="122"/>
        <v>1023</v>
      </c>
      <c r="C753" s="1787">
        <v>28946</v>
      </c>
      <c r="D753" s="1786" t="str">
        <f t="shared" si="123"/>
        <v>מגדל גמל מסלול מנייתי</v>
      </c>
      <c r="E753" s="1786" t="s">
        <v>3929</v>
      </c>
      <c r="F753" s="1786" t="s">
        <v>2958</v>
      </c>
      <c r="G753" s="1786" t="s">
        <v>2959</v>
      </c>
      <c r="H753" s="1786" t="str">
        <f t="shared" si="124"/>
        <v>לא פעיל</v>
      </c>
      <c r="I753" s="1788">
        <f t="shared" si="125"/>
        <v>38209</v>
      </c>
      <c r="J753" s="1788">
        <f t="shared" si="126"/>
        <v>39082.502280092602</v>
      </c>
      <c r="K753" s="1786">
        <v>0</v>
      </c>
      <c r="L753" s="1786" t="s">
        <v>1594</v>
      </c>
      <c r="M753" s="1786" t="s">
        <v>1653</v>
      </c>
      <c r="N753" s="1786" t="s">
        <v>1653</v>
      </c>
      <c r="O753" s="1786">
        <v>0</v>
      </c>
      <c r="P753" s="1786"/>
      <c r="Q753" s="1786">
        <v>0</v>
      </c>
      <c r="R753" s="1788"/>
      <c r="S753" s="1786">
        <f t="shared" si="127"/>
        <v>1019</v>
      </c>
      <c r="T753" s="1786" t="str">
        <f t="shared" si="128"/>
        <v>מגדל ביטוח</v>
      </c>
      <c r="U753" s="1786" t="str">
        <f t="shared" si="129"/>
        <v>מגדל גמל מסלול שקלי קצר</v>
      </c>
      <c r="V753" s="1786">
        <f t="shared" si="130"/>
        <v>0</v>
      </c>
      <c r="W753" s="1789" t="str">
        <f t="shared" si="131"/>
        <v>מגדל ניהול קופות גמל בע"מ</v>
      </c>
      <c r="AC753" s="1761" t="s">
        <v>1586</v>
      </c>
      <c r="AD753" s="1762">
        <v>39082.502280092602</v>
      </c>
      <c r="AE753" s="1762">
        <v>38209</v>
      </c>
      <c r="AF753" s="1761" t="s">
        <v>1595</v>
      </c>
      <c r="AG753" s="1761" t="s">
        <v>75</v>
      </c>
      <c r="AH753" s="1761" t="s">
        <v>1594</v>
      </c>
      <c r="AI753" s="1761" t="s">
        <v>3468</v>
      </c>
      <c r="AJ753" s="1761" t="s">
        <v>2215</v>
      </c>
      <c r="AK753" s="1761">
        <v>1023</v>
      </c>
      <c r="AL753" s="1761" t="s">
        <v>2209</v>
      </c>
      <c r="AM753" s="1761">
        <v>1019</v>
      </c>
      <c r="AN753" s="1761" t="s">
        <v>5399</v>
      </c>
      <c r="AO753" s="1764"/>
      <c r="AP753" s="1761"/>
      <c r="AQ753" s="1761"/>
      <c r="AR753" s="1761" t="s">
        <v>2211</v>
      </c>
      <c r="AS753" s="1761" t="s">
        <v>2210</v>
      </c>
      <c r="AT753" s="1761" t="s">
        <v>327</v>
      </c>
      <c r="AU753" s="1763"/>
      <c r="AV753" s="1763"/>
    </row>
    <row r="754" spans="1:48" ht="25" hidden="1">
      <c r="A754" s="1785" t="str">
        <f t="shared" si="121"/>
        <v>גמל</v>
      </c>
      <c r="B754" s="1786">
        <f t="shared" si="122"/>
        <v>1021</v>
      </c>
      <c r="C754" s="1787">
        <v>28946</v>
      </c>
      <c r="D754" s="1786" t="str">
        <f t="shared" si="123"/>
        <v>מגדל גמל מסלול כללי חו"ל</v>
      </c>
      <c r="E754" s="1786" t="s">
        <v>3929</v>
      </c>
      <c r="F754" s="1786" t="s">
        <v>2958</v>
      </c>
      <c r="G754" s="1786" t="s">
        <v>2959</v>
      </c>
      <c r="H754" s="1786" t="str">
        <f t="shared" si="124"/>
        <v>לא פעיל</v>
      </c>
      <c r="I754" s="1788">
        <f t="shared" si="125"/>
        <v>38209</v>
      </c>
      <c r="J754" s="1788">
        <f t="shared" si="126"/>
        <v>39082.502280092602</v>
      </c>
      <c r="K754" s="1786">
        <v>0</v>
      </c>
      <c r="L754" s="1786" t="s">
        <v>1594</v>
      </c>
      <c r="M754" s="1786" t="s">
        <v>1653</v>
      </c>
      <c r="N754" s="1786" t="s">
        <v>1653</v>
      </c>
      <c r="O754" s="1786">
        <v>0</v>
      </c>
      <c r="P754" s="1786"/>
      <c r="Q754" s="1786">
        <v>0</v>
      </c>
      <c r="R754" s="1788"/>
      <c r="S754" s="1786">
        <f t="shared" si="127"/>
        <v>1019</v>
      </c>
      <c r="T754" s="1786" t="str">
        <f t="shared" si="128"/>
        <v>מגדל ביטוח</v>
      </c>
      <c r="U754" s="1786" t="str">
        <f t="shared" si="129"/>
        <v>מגדל גמל מסלול שקלי קצר</v>
      </c>
      <c r="V754" s="1786">
        <f t="shared" si="130"/>
        <v>0</v>
      </c>
      <c r="W754" s="1789" t="str">
        <f t="shared" si="131"/>
        <v>מגדל ניהול קופות גמל בע"מ</v>
      </c>
      <c r="AC754" s="1759" t="s">
        <v>1586</v>
      </c>
      <c r="AD754" s="1760">
        <v>39082.502280092602</v>
      </c>
      <c r="AE754" s="1760">
        <v>38209</v>
      </c>
      <c r="AF754" s="1759" t="s">
        <v>1948</v>
      </c>
      <c r="AG754" s="1759" t="s">
        <v>1947</v>
      </c>
      <c r="AH754" s="1759" t="s">
        <v>1594</v>
      </c>
      <c r="AI754" s="1759" t="s">
        <v>3466</v>
      </c>
      <c r="AJ754" s="1759" t="s">
        <v>2213</v>
      </c>
      <c r="AK754" s="1759">
        <v>1021</v>
      </c>
      <c r="AL754" s="1759" t="s">
        <v>2209</v>
      </c>
      <c r="AM754" s="1759">
        <v>1019</v>
      </c>
      <c r="AN754" s="1759" t="s">
        <v>5399</v>
      </c>
      <c r="AO754" s="1764"/>
      <c r="AP754" s="1759"/>
      <c r="AQ754" s="1759"/>
      <c r="AR754" s="1759" t="s">
        <v>2211</v>
      </c>
      <c r="AS754" s="1759" t="s">
        <v>2210</v>
      </c>
      <c r="AT754" s="1759" t="s">
        <v>327</v>
      </c>
      <c r="AU754" s="1763"/>
      <c r="AV754" s="1763"/>
    </row>
    <row r="755" spans="1:48" ht="37.5" hidden="1">
      <c r="A755" s="1785" t="str">
        <f t="shared" si="121"/>
        <v>גמל</v>
      </c>
      <c r="B755" s="1786">
        <f t="shared" si="122"/>
        <v>1018</v>
      </c>
      <c r="C755" s="1787">
        <v>28946</v>
      </c>
      <c r="D755" s="1786" t="str">
        <f t="shared" si="123"/>
        <v>תמיר פישמן מרכזית לפיצויים כללי</v>
      </c>
      <c r="E755" s="1786" t="s">
        <v>3929</v>
      </c>
      <c r="F755" s="1786" t="s">
        <v>2958</v>
      </c>
      <c r="G755" s="1786" t="s">
        <v>2959</v>
      </c>
      <c r="H755" s="1786" t="str">
        <f t="shared" si="124"/>
        <v>לא פעיל</v>
      </c>
      <c r="I755" s="1788">
        <f t="shared" si="125"/>
        <v>38197</v>
      </c>
      <c r="J755" s="1788">
        <f t="shared" si="126"/>
        <v>41346.695428240702</v>
      </c>
      <c r="K755" s="1786">
        <v>0</v>
      </c>
      <c r="L755" s="1786" t="s">
        <v>1594</v>
      </c>
      <c r="M755" s="1786" t="s">
        <v>1653</v>
      </c>
      <c r="N755" s="1786" t="s">
        <v>1653</v>
      </c>
      <c r="O755" s="1786">
        <v>0</v>
      </c>
      <c r="P755" s="1786"/>
      <c r="Q755" s="1786">
        <v>0</v>
      </c>
      <c r="R755" s="1788"/>
      <c r="S755" s="1786">
        <f t="shared" si="127"/>
        <v>1018</v>
      </c>
      <c r="T755" s="1786" t="str">
        <f t="shared" si="128"/>
        <v>בנק לאומי בע"מ</v>
      </c>
      <c r="U755" s="1786" t="str">
        <f t="shared" si="129"/>
        <v>תמיר פישמן מרכזית לפיצויים כללי</v>
      </c>
      <c r="V755" s="1786">
        <f t="shared" si="130"/>
        <v>0</v>
      </c>
      <c r="W755" s="1789" t="str">
        <f t="shared" si="131"/>
        <v xml:space="preserve">אי.בי.אי. חברת ניהול קופות גמל וקרנות השתלמות בע"מ </v>
      </c>
      <c r="AC755" s="1761" t="s">
        <v>1586</v>
      </c>
      <c r="AD755" s="1762">
        <v>41346.695428240702</v>
      </c>
      <c r="AE755" s="1762">
        <v>38197</v>
      </c>
      <c r="AF755" s="1761" t="s">
        <v>1583</v>
      </c>
      <c r="AG755" s="1761" t="s">
        <v>1583</v>
      </c>
      <c r="AH755" s="1761" t="s">
        <v>1583</v>
      </c>
      <c r="AI755" s="1761" t="s">
        <v>641</v>
      </c>
      <c r="AJ755" s="1761" t="s">
        <v>641</v>
      </c>
      <c r="AK755" s="1761">
        <v>1018</v>
      </c>
      <c r="AL755" s="1761" t="s">
        <v>641</v>
      </c>
      <c r="AM755" s="1761">
        <v>1018</v>
      </c>
      <c r="AN755" s="1761" t="s">
        <v>5470</v>
      </c>
      <c r="AO755" s="1764"/>
      <c r="AP755" s="1761"/>
      <c r="AQ755" s="1761"/>
      <c r="AR755" s="1761" t="s">
        <v>5395</v>
      </c>
      <c r="AS755" s="1761" t="s">
        <v>677</v>
      </c>
      <c r="AT755" s="1761" t="s">
        <v>327</v>
      </c>
      <c r="AU755" s="1763"/>
      <c r="AV755" s="1763"/>
    </row>
    <row r="756" spans="1:48" ht="25" hidden="1">
      <c r="A756" s="1785" t="str">
        <f t="shared" si="121"/>
        <v>גמל</v>
      </c>
      <c r="B756" s="1786">
        <f t="shared" si="122"/>
        <v>1176</v>
      </c>
      <c r="C756" s="1787">
        <v>28946</v>
      </c>
      <c r="D756" s="1786" t="str">
        <f t="shared" si="123"/>
        <v>תמיר פישמן פיצויים ערך</v>
      </c>
      <c r="E756" s="1786" t="s">
        <v>3929</v>
      </c>
      <c r="F756" s="1786" t="s">
        <v>2958</v>
      </c>
      <c r="G756" s="1786" t="s">
        <v>2959</v>
      </c>
      <c r="H756" s="1786" t="str">
        <f t="shared" si="124"/>
        <v>לא פעיל</v>
      </c>
      <c r="I756" s="1788">
        <f t="shared" si="125"/>
        <v>38197</v>
      </c>
      <c r="J756" s="1788">
        <f t="shared" si="126"/>
        <v>40860.999988425901</v>
      </c>
      <c r="K756" s="1786">
        <v>0</v>
      </c>
      <c r="L756" s="1786" t="s">
        <v>1594</v>
      </c>
      <c r="M756" s="1786" t="s">
        <v>1653</v>
      </c>
      <c r="N756" s="1786" t="s">
        <v>1653</v>
      </c>
      <c r="O756" s="1786">
        <v>0</v>
      </c>
      <c r="P756" s="1786"/>
      <c r="Q756" s="1786">
        <v>0</v>
      </c>
      <c r="R756" s="1788"/>
      <c r="S756" s="1786">
        <f t="shared" si="127"/>
        <v>1018</v>
      </c>
      <c r="T756" s="1786" t="str">
        <f t="shared" si="128"/>
        <v>בנק לאומי בע"מ</v>
      </c>
      <c r="U756" s="1786" t="str">
        <f t="shared" si="129"/>
        <v>תמיר פישמן מרכזית לפיצויים כללי</v>
      </c>
      <c r="V756" s="1786">
        <f t="shared" si="130"/>
        <v>0</v>
      </c>
      <c r="W756" s="1789" t="str">
        <f t="shared" si="131"/>
        <v>תמיר פישמן גמל והשתלמות בע"מ</v>
      </c>
      <c r="AC756" s="1759" t="s">
        <v>1586</v>
      </c>
      <c r="AD756" s="1760">
        <v>40860.999988425901</v>
      </c>
      <c r="AE756" s="1760">
        <v>38197</v>
      </c>
      <c r="AF756" s="1759" t="s">
        <v>1583</v>
      </c>
      <c r="AG756" s="1759" t="s">
        <v>1583</v>
      </c>
      <c r="AH756" s="1759" t="s">
        <v>1583</v>
      </c>
      <c r="AI756" s="1759" t="s">
        <v>2318</v>
      </c>
      <c r="AJ756" s="1759" t="s">
        <v>2318</v>
      </c>
      <c r="AK756" s="1759">
        <v>1176</v>
      </c>
      <c r="AL756" s="1759" t="s">
        <v>641</v>
      </c>
      <c r="AM756" s="1759">
        <v>1018</v>
      </c>
      <c r="AN756" s="1759" t="s">
        <v>5470</v>
      </c>
      <c r="AO756" s="1764"/>
      <c r="AP756" s="1759"/>
      <c r="AQ756" s="1759"/>
      <c r="AR756" s="1759" t="s">
        <v>611</v>
      </c>
      <c r="AS756" s="1759" t="s">
        <v>612</v>
      </c>
      <c r="AT756" s="1759" t="s">
        <v>327</v>
      </c>
      <c r="AU756" s="1763"/>
      <c r="AV756" s="1763"/>
    </row>
    <row r="757" spans="1:48" ht="37.5" hidden="1">
      <c r="A757" s="1785" t="str">
        <f t="shared" si="121"/>
        <v>גמל</v>
      </c>
      <c r="B757" s="1786">
        <f t="shared" si="122"/>
        <v>1155</v>
      </c>
      <c r="C757" s="1787">
        <v>28946</v>
      </c>
      <c r="D757" s="1786" t="str">
        <f t="shared" si="123"/>
        <v>תמיר פישמן מרכזית לפיצויים אג"ח</v>
      </c>
      <c r="E757" s="1786" t="s">
        <v>3929</v>
      </c>
      <c r="F757" s="1786" t="s">
        <v>2958</v>
      </c>
      <c r="G757" s="1786" t="s">
        <v>2959</v>
      </c>
      <c r="H757" s="1786" t="str">
        <f t="shared" si="124"/>
        <v>לא פעיל</v>
      </c>
      <c r="I757" s="1788">
        <f t="shared" si="125"/>
        <v>38197</v>
      </c>
      <c r="J757" s="1788">
        <f t="shared" si="126"/>
        <v>41346.697500000002</v>
      </c>
      <c r="K757" s="1786">
        <v>0</v>
      </c>
      <c r="L757" s="1786" t="s">
        <v>1594</v>
      </c>
      <c r="M757" s="1786" t="s">
        <v>1653</v>
      </c>
      <c r="N757" s="1786" t="s">
        <v>1653</v>
      </c>
      <c r="O757" s="1786">
        <v>0</v>
      </c>
      <c r="P757" s="1786"/>
      <c r="Q757" s="1786">
        <v>0</v>
      </c>
      <c r="R757" s="1788"/>
      <c r="S757" s="1786">
        <f t="shared" si="127"/>
        <v>1018</v>
      </c>
      <c r="T757" s="1786" t="str">
        <f t="shared" si="128"/>
        <v>בנק לאומי בע"מ</v>
      </c>
      <c r="U757" s="1786" t="str">
        <f t="shared" si="129"/>
        <v>תמיר פישמן מרכזית לפיצויים כללי</v>
      </c>
      <c r="V757" s="1786">
        <f t="shared" si="130"/>
        <v>0</v>
      </c>
      <c r="W757" s="1789" t="str">
        <f t="shared" si="131"/>
        <v xml:space="preserve">אי.בי.אי. חברת ניהול קופות גמל וקרנות השתלמות בע"מ </v>
      </c>
      <c r="AC757" s="1761" t="s">
        <v>1586</v>
      </c>
      <c r="AD757" s="1762">
        <v>41346.697500000002</v>
      </c>
      <c r="AE757" s="1762">
        <v>38197</v>
      </c>
      <c r="AF757" s="1761" t="s">
        <v>1653</v>
      </c>
      <c r="AG757" s="1761" t="s">
        <v>1653</v>
      </c>
      <c r="AH757" s="1761" t="s">
        <v>1594</v>
      </c>
      <c r="AI757" s="1761" t="s">
        <v>3534</v>
      </c>
      <c r="AJ757" s="1761" t="s">
        <v>2303</v>
      </c>
      <c r="AK757" s="1761">
        <v>1155</v>
      </c>
      <c r="AL757" s="1761" t="s">
        <v>641</v>
      </c>
      <c r="AM757" s="1761">
        <v>1018</v>
      </c>
      <c r="AN757" s="1761" t="s">
        <v>5470</v>
      </c>
      <c r="AO757" s="1764"/>
      <c r="AP757" s="1761"/>
      <c r="AQ757" s="1761"/>
      <c r="AR757" s="1761" t="s">
        <v>5395</v>
      </c>
      <c r="AS757" s="1761" t="s">
        <v>677</v>
      </c>
      <c r="AT757" s="1761" t="s">
        <v>327</v>
      </c>
      <c r="AU757" s="1763"/>
      <c r="AV757" s="1763"/>
    </row>
    <row r="758" spans="1:48" ht="37.5" hidden="1">
      <c r="A758" s="1785" t="str">
        <f t="shared" si="121"/>
        <v>גמל</v>
      </c>
      <c r="B758" s="1786">
        <f t="shared" si="122"/>
        <v>1015</v>
      </c>
      <c r="C758" s="1787">
        <v>28946</v>
      </c>
      <c r="D758" s="1786" t="str">
        <f t="shared" si="123"/>
        <v>תמיר פישמן השתלמות מניות בישראל ובחו"ל</v>
      </c>
      <c r="E758" s="1786" t="s">
        <v>3929</v>
      </c>
      <c r="F758" s="1786" t="s">
        <v>2958</v>
      </c>
      <c r="G758" s="1786" t="s">
        <v>2959</v>
      </c>
      <c r="H758" s="1786" t="str">
        <f t="shared" si="124"/>
        <v>לא פעיל</v>
      </c>
      <c r="I758" s="1788">
        <f t="shared" si="125"/>
        <v>38197</v>
      </c>
      <c r="J758" s="1788">
        <f t="shared" si="126"/>
        <v>41346.683553240699</v>
      </c>
      <c r="K758" s="1786">
        <v>0</v>
      </c>
      <c r="L758" s="1786" t="s">
        <v>1594</v>
      </c>
      <c r="M758" s="1786" t="s">
        <v>1653</v>
      </c>
      <c r="N758" s="1786" t="s">
        <v>1653</v>
      </c>
      <c r="O758" s="1786">
        <v>0</v>
      </c>
      <c r="P758" s="1786"/>
      <c r="Q758" s="1786">
        <v>0</v>
      </c>
      <c r="R758" s="1788"/>
      <c r="S758" s="1786">
        <f t="shared" si="127"/>
        <v>1014</v>
      </c>
      <c r="T758" s="1786" t="str">
        <f t="shared" si="128"/>
        <v>בנק לאומי בע"מ</v>
      </c>
      <c r="U758" s="1786" t="str">
        <f t="shared" si="129"/>
        <v>תמיר פישמן השתלמות שקלי קצר</v>
      </c>
      <c r="V758" s="1786">
        <f t="shared" si="130"/>
        <v>0</v>
      </c>
      <c r="W758" s="1789" t="str">
        <f t="shared" si="131"/>
        <v xml:space="preserve">אי.בי.אי. חברת ניהול קופות גמל וקרנות השתלמות בע"מ </v>
      </c>
      <c r="AC758" s="1759" t="s">
        <v>1586</v>
      </c>
      <c r="AD758" s="1760">
        <v>41346.683553240699</v>
      </c>
      <c r="AE758" s="1760">
        <v>38197</v>
      </c>
      <c r="AF758" s="1759" t="s">
        <v>1595</v>
      </c>
      <c r="AG758" s="1759" t="s">
        <v>75</v>
      </c>
      <c r="AH758" s="1759" t="s">
        <v>1594</v>
      </c>
      <c r="AI758" s="1759" t="s">
        <v>2206</v>
      </c>
      <c r="AJ758" s="1759" t="s">
        <v>2206</v>
      </c>
      <c r="AK758" s="1759">
        <v>1015</v>
      </c>
      <c r="AL758" s="1759" t="s">
        <v>640</v>
      </c>
      <c r="AM758" s="1759">
        <v>1014</v>
      </c>
      <c r="AN758" s="1759" t="s">
        <v>5470</v>
      </c>
      <c r="AO758" s="1764"/>
      <c r="AP758" s="1759"/>
      <c r="AQ758" s="1759"/>
      <c r="AR758" s="1759" t="s">
        <v>5395</v>
      </c>
      <c r="AS758" s="1759" t="s">
        <v>677</v>
      </c>
      <c r="AT758" s="1759" t="s">
        <v>327</v>
      </c>
      <c r="AU758" s="1763"/>
      <c r="AV758" s="1763"/>
    </row>
    <row r="759" spans="1:48" ht="37.5" hidden="1">
      <c r="A759" s="1785" t="str">
        <f t="shared" si="121"/>
        <v>גמל</v>
      </c>
      <c r="B759" s="1786">
        <f t="shared" si="122"/>
        <v>1016</v>
      </c>
      <c r="C759" s="1787">
        <v>28946</v>
      </c>
      <c r="D759" s="1786" t="str">
        <f t="shared" si="123"/>
        <v>תמיר פישמן השתלמות אג"ח</v>
      </c>
      <c r="E759" s="1786" t="s">
        <v>3929</v>
      </c>
      <c r="F759" s="1786" t="s">
        <v>2958</v>
      </c>
      <c r="G759" s="1786" t="s">
        <v>2959</v>
      </c>
      <c r="H759" s="1786" t="str">
        <f t="shared" si="124"/>
        <v>לא פעיל</v>
      </c>
      <c r="I759" s="1788">
        <f t="shared" si="125"/>
        <v>38197</v>
      </c>
      <c r="J759" s="1788">
        <f t="shared" si="126"/>
        <v>41346.683125000003</v>
      </c>
      <c r="K759" s="1786">
        <v>0</v>
      </c>
      <c r="L759" s="1786" t="s">
        <v>1594</v>
      </c>
      <c r="M759" s="1786" t="s">
        <v>1653</v>
      </c>
      <c r="N759" s="1786" t="s">
        <v>1653</v>
      </c>
      <c r="O759" s="1786">
        <v>0</v>
      </c>
      <c r="P759" s="1786"/>
      <c r="Q759" s="1786">
        <v>0</v>
      </c>
      <c r="R759" s="1788"/>
      <c r="S759" s="1786">
        <f t="shared" si="127"/>
        <v>1014</v>
      </c>
      <c r="T759" s="1786" t="str">
        <f t="shared" si="128"/>
        <v>בנק לאומי בע"מ</v>
      </c>
      <c r="U759" s="1786" t="str">
        <f t="shared" si="129"/>
        <v>תמיר פישמן השתלמות שקלי קצר</v>
      </c>
      <c r="V759" s="1786">
        <f t="shared" si="130"/>
        <v>0</v>
      </c>
      <c r="W759" s="1789" t="str">
        <f t="shared" si="131"/>
        <v xml:space="preserve">אי.בי.אי. חברת ניהול קופות גמל וקרנות השתלמות בע"מ </v>
      </c>
      <c r="AC759" s="1761" t="s">
        <v>1586</v>
      </c>
      <c r="AD759" s="1762">
        <v>41346.683125000003</v>
      </c>
      <c r="AE759" s="1762">
        <v>38197</v>
      </c>
      <c r="AF759" s="1761" t="s">
        <v>1653</v>
      </c>
      <c r="AG759" s="1761" t="s">
        <v>1653</v>
      </c>
      <c r="AH759" s="1761" t="s">
        <v>1594</v>
      </c>
      <c r="AI759" s="1761" t="s">
        <v>2207</v>
      </c>
      <c r="AJ759" s="1761" t="s">
        <v>2207</v>
      </c>
      <c r="AK759" s="1761">
        <v>1016</v>
      </c>
      <c r="AL759" s="1761" t="s">
        <v>640</v>
      </c>
      <c r="AM759" s="1761">
        <v>1014</v>
      </c>
      <c r="AN759" s="1761" t="s">
        <v>5470</v>
      </c>
      <c r="AO759" s="1764"/>
      <c r="AP759" s="1761"/>
      <c r="AQ759" s="1761"/>
      <c r="AR759" s="1761" t="s">
        <v>5395</v>
      </c>
      <c r="AS759" s="1761" t="s">
        <v>677</v>
      </c>
      <c r="AT759" s="1761" t="s">
        <v>327</v>
      </c>
      <c r="AU759" s="1763"/>
      <c r="AV759" s="1763"/>
    </row>
    <row r="760" spans="1:48" ht="37.5" hidden="1">
      <c r="A760" s="1785" t="str">
        <f t="shared" si="121"/>
        <v>גמל</v>
      </c>
      <c r="B760" s="1786">
        <f t="shared" si="122"/>
        <v>1017</v>
      </c>
      <c r="C760" s="1787">
        <v>28946</v>
      </c>
      <c r="D760" s="1786" t="str">
        <f t="shared" si="123"/>
        <v>תמיר פישמן השתלמות כללי</v>
      </c>
      <c r="E760" s="1786" t="s">
        <v>3929</v>
      </c>
      <c r="F760" s="1786" t="s">
        <v>2958</v>
      </c>
      <c r="G760" s="1786" t="s">
        <v>2959</v>
      </c>
      <c r="H760" s="1786" t="str">
        <f t="shared" si="124"/>
        <v>לא פעיל</v>
      </c>
      <c r="I760" s="1788">
        <f t="shared" si="125"/>
        <v>38197</v>
      </c>
      <c r="J760" s="1788">
        <f t="shared" si="126"/>
        <v>41346.682604166701</v>
      </c>
      <c r="K760" s="1786">
        <v>0</v>
      </c>
      <c r="L760" s="1786" t="s">
        <v>1594</v>
      </c>
      <c r="M760" s="1786" t="s">
        <v>1653</v>
      </c>
      <c r="N760" s="1786" t="s">
        <v>1653</v>
      </c>
      <c r="O760" s="1786">
        <v>0</v>
      </c>
      <c r="P760" s="1786"/>
      <c r="Q760" s="1786">
        <v>0</v>
      </c>
      <c r="R760" s="1788"/>
      <c r="S760" s="1786">
        <f t="shared" si="127"/>
        <v>1014</v>
      </c>
      <c r="T760" s="1786" t="str">
        <f t="shared" si="128"/>
        <v>בנק לאומי בע"מ</v>
      </c>
      <c r="U760" s="1786" t="str">
        <f t="shared" si="129"/>
        <v>תמיר פישמן השתלמות שקלי קצר</v>
      </c>
      <c r="V760" s="1786">
        <f t="shared" si="130"/>
        <v>0</v>
      </c>
      <c r="W760" s="1789" t="str">
        <f t="shared" si="131"/>
        <v xml:space="preserve">אי.בי.אי. חברת ניהול קופות גמל וקרנות השתלמות בע"מ </v>
      </c>
      <c r="AC760" s="1759" t="s">
        <v>1586</v>
      </c>
      <c r="AD760" s="1760">
        <v>41346.682604166701</v>
      </c>
      <c r="AE760" s="1760">
        <v>38197</v>
      </c>
      <c r="AF760" s="1759" t="s">
        <v>1583</v>
      </c>
      <c r="AG760" s="1759" t="s">
        <v>1583</v>
      </c>
      <c r="AH760" s="1759" t="s">
        <v>1583</v>
      </c>
      <c r="AI760" s="1759" t="s">
        <v>2208</v>
      </c>
      <c r="AJ760" s="1759" t="s">
        <v>2208</v>
      </c>
      <c r="AK760" s="1759">
        <v>1017</v>
      </c>
      <c r="AL760" s="1759" t="s">
        <v>640</v>
      </c>
      <c r="AM760" s="1759">
        <v>1014</v>
      </c>
      <c r="AN760" s="1759" t="s">
        <v>5470</v>
      </c>
      <c r="AO760" s="1764"/>
      <c r="AP760" s="1759"/>
      <c r="AQ760" s="1759"/>
      <c r="AR760" s="1759" t="s">
        <v>5395</v>
      </c>
      <c r="AS760" s="1759" t="s">
        <v>677</v>
      </c>
      <c r="AT760" s="1759" t="s">
        <v>327</v>
      </c>
      <c r="AU760" s="1763"/>
      <c r="AV760" s="1763"/>
    </row>
    <row r="761" spans="1:48" ht="37.5" hidden="1">
      <c r="A761" s="1785" t="str">
        <f t="shared" si="121"/>
        <v>גמל</v>
      </c>
      <c r="B761" s="1786">
        <f t="shared" si="122"/>
        <v>1519</v>
      </c>
      <c r="C761" s="1787">
        <v>28946</v>
      </c>
      <c r="D761" s="1786" t="str">
        <f t="shared" si="123"/>
        <v>תמיר פישמן השתלמות מניות חו"ל</v>
      </c>
      <c r="E761" s="1786" t="s">
        <v>3929</v>
      </c>
      <c r="F761" s="1786" t="s">
        <v>2958</v>
      </c>
      <c r="G761" s="1786" t="s">
        <v>2959</v>
      </c>
      <c r="H761" s="1786" t="str">
        <f t="shared" si="124"/>
        <v>לא פעיל</v>
      </c>
      <c r="I761" s="1788">
        <f t="shared" si="125"/>
        <v>38197</v>
      </c>
      <c r="J761" s="1788">
        <f t="shared" si="126"/>
        <v>41346.683993055602</v>
      </c>
      <c r="K761" s="1786">
        <v>0</v>
      </c>
      <c r="L761" s="1786" t="s">
        <v>1594</v>
      </c>
      <c r="M761" s="1786" t="s">
        <v>1653</v>
      </c>
      <c r="N761" s="1786" t="s">
        <v>1653</v>
      </c>
      <c r="O761" s="1786">
        <v>0</v>
      </c>
      <c r="P761" s="1786"/>
      <c r="Q761" s="1786">
        <v>0</v>
      </c>
      <c r="R761" s="1788"/>
      <c r="S761" s="1786">
        <f t="shared" si="127"/>
        <v>1014</v>
      </c>
      <c r="T761" s="1786" t="str">
        <f t="shared" si="128"/>
        <v>בנק לאומי בע"מ</v>
      </c>
      <c r="U761" s="1786" t="str">
        <f t="shared" si="129"/>
        <v>תמיר פישמן השתלמות שקלי קצר</v>
      </c>
      <c r="V761" s="1786">
        <f t="shared" si="130"/>
        <v>0</v>
      </c>
      <c r="W761" s="1789" t="str">
        <f t="shared" si="131"/>
        <v xml:space="preserve">אי.בי.אי. חברת ניהול קופות גמל וקרנות השתלמות בע"מ </v>
      </c>
      <c r="AC761" s="1761" t="s">
        <v>1586</v>
      </c>
      <c r="AD761" s="1762">
        <v>41346.683993055602</v>
      </c>
      <c r="AE761" s="1762">
        <v>38197</v>
      </c>
      <c r="AF761" s="1761" t="s">
        <v>1948</v>
      </c>
      <c r="AG761" s="1761" t="s">
        <v>75</v>
      </c>
      <c r="AH761" s="1761" t="s">
        <v>1594</v>
      </c>
      <c r="AI761" s="1761" t="s">
        <v>2496</v>
      </c>
      <c r="AJ761" s="1761" t="s">
        <v>2496</v>
      </c>
      <c r="AK761" s="1761">
        <v>1519</v>
      </c>
      <c r="AL761" s="1761" t="s">
        <v>640</v>
      </c>
      <c r="AM761" s="1761">
        <v>1014</v>
      </c>
      <c r="AN761" s="1761" t="s">
        <v>5470</v>
      </c>
      <c r="AO761" s="1764"/>
      <c r="AP761" s="1761"/>
      <c r="AQ761" s="1761"/>
      <c r="AR761" s="1761" t="s">
        <v>5395</v>
      </c>
      <c r="AS761" s="1761" t="s">
        <v>677</v>
      </c>
      <c r="AT761" s="1761" t="s">
        <v>327</v>
      </c>
      <c r="AU761" s="1763"/>
      <c r="AV761" s="1763"/>
    </row>
    <row r="762" spans="1:48" ht="25" hidden="1">
      <c r="A762" s="1785" t="str">
        <f t="shared" si="121"/>
        <v>גמל</v>
      </c>
      <c r="B762" s="1786">
        <f t="shared" si="122"/>
        <v>1174</v>
      </c>
      <c r="C762" s="1787">
        <v>28946</v>
      </c>
      <c r="D762" s="1786" t="str">
        <f t="shared" si="123"/>
        <v>תמיר פישמן השתלמות מניות  II</v>
      </c>
      <c r="E762" s="1786" t="s">
        <v>3929</v>
      </c>
      <c r="F762" s="1786" t="s">
        <v>2958</v>
      </c>
      <c r="G762" s="1786" t="s">
        <v>2959</v>
      </c>
      <c r="H762" s="1786" t="str">
        <f t="shared" si="124"/>
        <v>לא פעיל</v>
      </c>
      <c r="I762" s="1788">
        <f t="shared" si="125"/>
        <v>38197</v>
      </c>
      <c r="J762" s="1788">
        <f t="shared" si="126"/>
        <v>39811.433240740698</v>
      </c>
      <c r="K762" s="1786">
        <v>0</v>
      </c>
      <c r="L762" s="1786" t="s">
        <v>1594</v>
      </c>
      <c r="M762" s="1786" t="s">
        <v>1653</v>
      </c>
      <c r="N762" s="1786" t="s">
        <v>1653</v>
      </c>
      <c r="O762" s="1786">
        <v>0</v>
      </c>
      <c r="P762" s="1786"/>
      <c r="Q762" s="1786">
        <v>0</v>
      </c>
      <c r="R762" s="1788"/>
      <c r="S762" s="1786">
        <f t="shared" si="127"/>
        <v>1014</v>
      </c>
      <c r="T762" s="1786" t="str">
        <f t="shared" si="128"/>
        <v>בנק לאומי בע"מ</v>
      </c>
      <c r="U762" s="1786" t="str">
        <f t="shared" si="129"/>
        <v>תמיר פישמן השתלמות שקלי קצר</v>
      </c>
      <c r="V762" s="1786">
        <f t="shared" si="130"/>
        <v>0</v>
      </c>
      <c r="W762" s="1789" t="str">
        <f t="shared" si="131"/>
        <v>תמיר פישמן גמל והשתלמות בע"מ</v>
      </c>
      <c r="AC762" s="1759" t="s">
        <v>1586</v>
      </c>
      <c r="AD762" s="1760">
        <v>39811.433240740698</v>
      </c>
      <c r="AE762" s="1760">
        <v>38197</v>
      </c>
      <c r="AF762" s="1759" t="s">
        <v>1595</v>
      </c>
      <c r="AG762" s="1759" t="s">
        <v>75</v>
      </c>
      <c r="AH762" s="1759" t="s">
        <v>1594</v>
      </c>
      <c r="AI762" s="1759" t="s">
        <v>2316</v>
      </c>
      <c r="AJ762" s="1759" t="s">
        <v>2316</v>
      </c>
      <c r="AK762" s="1759">
        <v>1174</v>
      </c>
      <c r="AL762" s="1759" t="s">
        <v>640</v>
      </c>
      <c r="AM762" s="1759">
        <v>1014</v>
      </c>
      <c r="AN762" s="1759" t="s">
        <v>5470</v>
      </c>
      <c r="AO762" s="1764"/>
      <c r="AP762" s="1759"/>
      <c r="AQ762" s="1759"/>
      <c r="AR762" s="1759" t="s">
        <v>611</v>
      </c>
      <c r="AS762" s="1759" t="s">
        <v>612</v>
      </c>
      <c r="AT762" s="1759" t="s">
        <v>327</v>
      </c>
      <c r="AU762" s="1763"/>
      <c r="AV762" s="1763"/>
    </row>
    <row r="763" spans="1:48" ht="37.5" hidden="1">
      <c r="A763" s="1785" t="str">
        <f t="shared" si="121"/>
        <v>גמל</v>
      </c>
      <c r="B763" s="1786">
        <f t="shared" si="122"/>
        <v>1175</v>
      </c>
      <c r="C763" s="1787">
        <v>28946</v>
      </c>
      <c r="D763" s="1786" t="str">
        <f t="shared" si="123"/>
        <v>תמיר פישמן השתלמות אג"ח מדינה</v>
      </c>
      <c r="E763" s="1786" t="s">
        <v>3929</v>
      </c>
      <c r="F763" s="1786" t="s">
        <v>2958</v>
      </c>
      <c r="G763" s="1786" t="s">
        <v>2959</v>
      </c>
      <c r="H763" s="1786" t="str">
        <f t="shared" si="124"/>
        <v>לא פעיל</v>
      </c>
      <c r="I763" s="1788">
        <f t="shared" si="125"/>
        <v>38197</v>
      </c>
      <c r="J763" s="1788">
        <f t="shared" si="126"/>
        <v>41346.684490740699</v>
      </c>
      <c r="K763" s="1786">
        <v>0</v>
      </c>
      <c r="L763" s="1786" t="s">
        <v>1594</v>
      </c>
      <c r="M763" s="1786" t="s">
        <v>1653</v>
      </c>
      <c r="N763" s="1786" t="s">
        <v>1653</v>
      </c>
      <c r="O763" s="1786">
        <v>0</v>
      </c>
      <c r="P763" s="1786"/>
      <c r="Q763" s="1786">
        <v>0</v>
      </c>
      <c r="R763" s="1788"/>
      <c r="S763" s="1786">
        <f t="shared" si="127"/>
        <v>1014</v>
      </c>
      <c r="T763" s="1786" t="str">
        <f t="shared" si="128"/>
        <v>בנק לאומי בע"מ</v>
      </c>
      <c r="U763" s="1786" t="str">
        <f t="shared" si="129"/>
        <v>תמיר פישמן השתלמות שקלי קצר</v>
      </c>
      <c r="V763" s="1786">
        <f t="shared" si="130"/>
        <v>0</v>
      </c>
      <c r="W763" s="1789" t="str">
        <f t="shared" si="131"/>
        <v xml:space="preserve">אי.בי.אי. חברת ניהול קופות גמל וקרנות השתלמות בע"מ </v>
      </c>
      <c r="AC763" s="1761" t="s">
        <v>1586</v>
      </c>
      <c r="AD763" s="1762">
        <v>41346.684490740699</v>
      </c>
      <c r="AE763" s="1762">
        <v>38197</v>
      </c>
      <c r="AF763" s="1761" t="s">
        <v>2009</v>
      </c>
      <c r="AG763" s="1761" t="s">
        <v>1653</v>
      </c>
      <c r="AH763" s="1761" t="s">
        <v>1594</v>
      </c>
      <c r="AI763" s="1761" t="s">
        <v>2317</v>
      </c>
      <c r="AJ763" s="1761" t="s">
        <v>2317</v>
      </c>
      <c r="AK763" s="1761">
        <v>1175</v>
      </c>
      <c r="AL763" s="1761" t="s">
        <v>640</v>
      </c>
      <c r="AM763" s="1761">
        <v>1014</v>
      </c>
      <c r="AN763" s="1761" t="s">
        <v>5470</v>
      </c>
      <c r="AO763" s="1764"/>
      <c r="AP763" s="1761"/>
      <c r="AQ763" s="1761"/>
      <c r="AR763" s="1761" t="s">
        <v>5395</v>
      </c>
      <c r="AS763" s="1761" t="s">
        <v>677</v>
      </c>
      <c r="AT763" s="1761" t="s">
        <v>327</v>
      </c>
      <c r="AU763" s="1763"/>
      <c r="AV763" s="1763"/>
    </row>
    <row r="764" spans="1:48" ht="25" hidden="1">
      <c r="A764" s="1785" t="str">
        <f t="shared" si="121"/>
        <v>גמל</v>
      </c>
      <c r="B764" s="1786">
        <f t="shared" si="122"/>
        <v>1109</v>
      </c>
      <c r="C764" s="1787">
        <v>28946</v>
      </c>
      <c r="D764" s="1786" t="str">
        <f t="shared" si="123"/>
        <v>תמיר פישמן השתלמות חו"ל</v>
      </c>
      <c r="E764" s="1786" t="s">
        <v>3929</v>
      </c>
      <c r="F764" s="1786" t="s">
        <v>2958</v>
      </c>
      <c r="G764" s="1786" t="s">
        <v>2959</v>
      </c>
      <c r="H764" s="1786" t="str">
        <f t="shared" si="124"/>
        <v>לא פעיל</v>
      </c>
      <c r="I764" s="1788">
        <f t="shared" si="125"/>
        <v>38197</v>
      </c>
      <c r="J764" s="1788">
        <f t="shared" si="126"/>
        <v>39166.358715277798</v>
      </c>
      <c r="K764" s="1786">
        <v>0</v>
      </c>
      <c r="L764" s="1786" t="s">
        <v>1594</v>
      </c>
      <c r="M764" s="1786" t="s">
        <v>1653</v>
      </c>
      <c r="N764" s="1786" t="s">
        <v>1653</v>
      </c>
      <c r="O764" s="1786">
        <v>0</v>
      </c>
      <c r="P764" s="1786"/>
      <c r="Q764" s="1786">
        <v>0</v>
      </c>
      <c r="R764" s="1788"/>
      <c r="S764" s="1786">
        <f t="shared" si="127"/>
        <v>1014</v>
      </c>
      <c r="T764" s="1786" t="str">
        <f t="shared" si="128"/>
        <v>בנק לאומי בע"מ</v>
      </c>
      <c r="U764" s="1786" t="str">
        <f t="shared" si="129"/>
        <v>תמיר פישמן השתלמות שקלי קצר</v>
      </c>
      <c r="V764" s="1786">
        <f t="shared" si="130"/>
        <v>0</v>
      </c>
      <c r="W764" s="1789" t="str">
        <f t="shared" si="131"/>
        <v>תמיר פישמן גמל והשתלמות בע"מ</v>
      </c>
      <c r="AC764" s="1759" t="s">
        <v>1586</v>
      </c>
      <c r="AD764" s="1760">
        <v>39166.358715277798</v>
      </c>
      <c r="AE764" s="1760">
        <v>38197</v>
      </c>
      <c r="AF764" s="1759" t="s">
        <v>1948</v>
      </c>
      <c r="AG764" s="1759" t="s">
        <v>1947</v>
      </c>
      <c r="AH764" s="1759" t="s">
        <v>1594</v>
      </c>
      <c r="AI764" s="1759" t="s">
        <v>2273</v>
      </c>
      <c r="AJ764" s="1759" t="s">
        <v>2273</v>
      </c>
      <c r="AK764" s="1759">
        <v>1109</v>
      </c>
      <c r="AL764" s="1759" t="s">
        <v>640</v>
      </c>
      <c r="AM764" s="1759">
        <v>1014</v>
      </c>
      <c r="AN764" s="1759" t="s">
        <v>5470</v>
      </c>
      <c r="AO764" s="1764"/>
      <c r="AP764" s="1759"/>
      <c r="AQ764" s="1759"/>
      <c r="AR764" s="1759" t="s">
        <v>611</v>
      </c>
      <c r="AS764" s="1759" t="s">
        <v>612</v>
      </c>
      <c r="AT764" s="1759" t="s">
        <v>327</v>
      </c>
      <c r="AU764" s="1763"/>
      <c r="AV764" s="1763"/>
    </row>
    <row r="765" spans="1:48" ht="25" hidden="1">
      <c r="A765" s="1785" t="str">
        <f t="shared" si="121"/>
        <v>גמל</v>
      </c>
      <c r="B765" s="1786">
        <f t="shared" si="122"/>
        <v>1173</v>
      </c>
      <c r="C765" s="1787">
        <v>28946</v>
      </c>
      <c r="D765" s="1786" t="str">
        <f t="shared" si="123"/>
        <v>תמיר פישמן השתלמות א' עד 10% מניות</v>
      </c>
      <c r="E765" s="1786" t="s">
        <v>3929</v>
      </c>
      <c r="F765" s="1786" t="s">
        <v>2958</v>
      </c>
      <c r="G765" s="1786" t="s">
        <v>2959</v>
      </c>
      <c r="H765" s="1786" t="str">
        <f t="shared" si="124"/>
        <v>לא פעיל</v>
      </c>
      <c r="I765" s="1788">
        <f t="shared" si="125"/>
        <v>38197</v>
      </c>
      <c r="J765" s="1788">
        <f t="shared" si="126"/>
        <v>39894.593240740702</v>
      </c>
      <c r="K765" s="1786">
        <v>0</v>
      </c>
      <c r="L765" s="1786" t="s">
        <v>1594</v>
      </c>
      <c r="M765" s="1786" t="s">
        <v>1653</v>
      </c>
      <c r="N765" s="1786" t="s">
        <v>1653</v>
      </c>
      <c r="O765" s="1786">
        <v>0</v>
      </c>
      <c r="P765" s="1786"/>
      <c r="Q765" s="1786">
        <v>0</v>
      </c>
      <c r="R765" s="1788"/>
      <c r="S765" s="1786">
        <f t="shared" si="127"/>
        <v>1014</v>
      </c>
      <c r="T765" s="1786" t="str">
        <f t="shared" si="128"/>
        <v>בנק לאומי בע"מ</v>
      </c>
      <c r="U765" s="1786" t="str">
        <f t="shared" si="129"/>
        <v>תמיר פישמן השתלמות שקלי קצר</v>
      </c>
      <c r="V765" s="1786">
        <f t="shared" si="130"/>
        <v>0</v>
      </c>
      <c r="W765" s="1789" t="str">
        <f t="shared" si="131"/>
        <v>תמיר פישמן גמל והשתלמות בע"מ</v>
      </c>
      <c r="AC765" s="1761" t="s">
        <v>1586</v>
      </c>
      <c r="AD765" s="1762">
        <v>39894.593240740702</v>
      </c>
      <c r="AE765" s="1762">
        <v>38197</v>
      </c>
      <c r="AF765" s="1761" t="s">
        <v>2025</v>
      </c>
      <c r="AG765" s="1761" t="s">
        <v>1583</v>
      </c>
      <c r="AH765" s="1761" t="s">
        <v>1583</v>
      </c>
      <c r="AI765" s="1761" t="s">
        <v>2315</v>
      </c>
      <c r="AJ765" s="1761" t="s">
        <v>2315</v>
      </c>
      <c r="AK765" s="1761">
        <v>1173</v>
      </c>
      <c r="AL765" s="1761" t="s">
        <v>640</v>
      </c>
      <c r="AM765" s="1761">
        <v>1014</v>
      </c>
      <c r="AN765" s="1761" t="s">
        <v>5470</v>
      </c>
      <c r="AO765" s="1764"/>
      <c r="AP765" s="1761"/>
      <c r="AQ765" s="1761"/>
      <c r="AR765" s="1761" t="s">
        <v>611</v>
      </c>
      <c r="AS765" s="1761" t="s">
        <v>612</v>
      </c>
      <c r="AT765" s="1761" t="s">
        <v>327</v>
      </c>
      <c r="AU765" s="1763"/>
      <c r="AV765" s="1763"/>
    </row>
    <row r="766" spans="1:48" ht="37.5" hidden="1">
      <c r="A766" s="1785" t="str">
        <f t="shared" si="121"/>
        <v>גמל</v>
      </c>
      <c r="B766" s="1786">
        <f t="shared" si="122"/>
        <v>1011</v>
      </c>
      <c r="C766" s="1787">
        <v>28946</v>
      </c>
      <c r="D766" s="1786" t="str">
        <f t="shared" si="123"/>
        <v>תמיר פישמן גמל מניות בישראל ובחו"ל</v>
      </c>
      <c r="E766" s="1786" t="s">
        <v>3929</v>
      </c>
      <c r="F766" s="1786" t="s">
        <v>2958</v>
      </c>
      <c r="G766" s="1786" t="s">
        <v>2959</v>
      </c>
      <c r="H766" s="1786" t="str">
        <f t="shared" si="124"/>
        <v>לא פעיל</v>
      </c>
      <c r="I766" s="1788">
        <f t="shared" si="125"/>
        <v>38197</v>
      </c>
      <c r="J766" s="1788">
        <f t="shared" si="126"/>
        <v>41346.672569444403</v>
      </c>
      <c r="K766" s="1786">
        <v>0</v>
      </c>
      <c r="L766" s="1786" t="s">
        <v>1594</v>
      </c>
      <c r="M766" s="1786" t="s">
        <v>1653</v>
      </c>
      <c r="N766" s="1786" t="s">
        <v>1653</v>
      </c>
      <c r="O766" s="1786">
        <v>0</v>
      </c>
      <c r="P766" s="1786"/>
      <c r="Q766" s="1786">
        <v>0</v>
      </c>
      <c r="R766" s="1788"/>
      <c r="S766" s="1786">
        <f t="shared" si="127"/>
        <v>1010</v>
      </c>
      <c r="T766" s="1786" t="str">
        <f t="shared" si="128"/>
        <v>בנק לאומי בע"מ</v>
      </c>
      <c r="U766" s="1786" t="str">
        <f t="shared" si="129"/>
        <v>תמיר פישמן גמל שקלי קצר</v>
      </c>
      <c r="V766" s="1786">
        <f t="shared" si="130"/>
        <v>0</v>
      </c>
      <c r="W766" s="1789" t="str">
        <f t="shared" si="131"/>
        <v xml:space="preserve">אי.בי.אי. חברת ניהול קופות גמל וקרנות השתלמות בע"מ </v>
      </c>
      <c r="AC766" s="1759" t="s">
        <v>1586</v>
      </c>
      <c r="AD766" s="1760">
        <v>41346.672569444403</v>
      </c>
      <c r="AE766" s="1760">
        <v>38197</v>
      </c>
      <c r="AF766" s="1759" t="s">
        <v>1595</v>
      </c>
      <c r="AG766" s="1759" t="s">
        <v>75</v>
      </c>
      <c r="AH766" s="1759" t="s">
        <v>1594</v>
      </c>
      <c r="AI766" s="1759" t="s">
        <v>2203</v>
      </c>
      <c r="AJ766" s="1759" t="s">
        <v>2203</v>
      </c>
      <c r="AK766" s="1759">
        <v>1011</v>
      </c>
      <c r="AL766" s="1759" t="s">
        <v>639</v>
      </c>
      <c r="AM766" s="1759">
        <v>1010</v>
      </c>
      <c r="AN766" s="1759" t="s">
        <v>5470</v>
      </c>
      <c r="AO766" s="1764"/>
      <c r="AP766" s="1759"/>
      <c r="AQ766" s="1759"/>
      <c r="AR766" s="1759" t="s">
        <v>5395</v>
      </c>
      <c r="AS766" s="1759" t="s">
        <v>677</v>
      </c>
      <c r="AT766" s="1759" t="s">
        <v>327</v>
      </c>
      <c r="AU766" s="1763"/>
      <c r="AV766" s="1763"/>
    </row>
    <row r="767" spans="1:48" ht="37.5" hidden="1">
      <c r="A767" s="1785" t="str">
        <f t="shared" si="121"/>
        <v>גמל</v>
      </c>
      <c r="B767" s="1786">
        <f t="shared" si="122"/>
        <v>1012</v>
      </c>
      <c r="C767" s="1787">
        <v>28946</v>
      </c>
      <c r="D767" s="1786" t="str">
        <f t="shared" si="123"/>
        <v>תמיר פישמן גמל אג"ח</v>
      </c>
      <c r="E767" s="1786" t="s">
        <v>3929</v>
      </c>
      <c r="F767" s="1786" t="s">
        <v>2958</v>
      </c>
      <c r="G767" s="1786" t="s">
        <v>2959</v>
      </c>
      <c r="H767" s="1786" t="str">
        <f t="shared" si="124"/>
        <v>לא פעיל</v>
      </c>
      <c r="I767" s="1788">
        <f t="shared" si="125"/>
        <v>38197</v>
      </c>
      <c r="J767" s="1788">
        <f t="shared" si="126"/>
        <v>41346.671898148103</v>
      </c>
      <c r="K767" s="1786">
        <v>0</v>
      </c>
      <c r="L767" s="1786" t="s">
        <v>1594</v>
      </c>
      <c r="M767" s="1786" t="s">
        <v>1653</v>
      </c>
      <c r="N767" s="1786" t="s">
        <v>1653</v>
      </c>
      <c r="O767" s="1786">
        <v>0</v>
      </c>
      <c r="P767" s="1786"/>
      <c r="Q767" s="1786">
        <v>0</v>
      </c>
      <c r="R767" s="1788"/>
      <c r="S767" s="1786">
        <f t="shared" si="127"/>
        <v>1010</v>
      </c>
      <c r="T767" s="1786" t="str">
        <f t="shared" si="128"/>
        <v>בנק לאומי בע"מ</v>
      </c>
      <c r="U767" s="1786" t="str">
        <f t="shared" si="129"/>
        <v>תמיר פישמן גמל שקלי קצר</v>
      </c>
      <c r="V767" s="1786">
        <f t="shared" si="130"/>
        <v>0</v>
      </c>
      <c r="W767" s="1789" t="str">
        <f t="shared" si="131"/>
        <v xml:space="preserve">אי.בי.אי. חברת ניהול קופות גמל וקרנות השתלמות בע"מ </v>
      </c>
      <c r="AC767" s="1761" t="s">
        <v>1586</v>
      </c>
      <c r="AD767" s="1762">
        <v>41346.671898148103</v>
      </c>
      <c r="AE767" s="1762">
        <v>38197</v>
      </c>
      <c r="AF767" s="1761" t="s">
        <v>1653</v>
      </c>
      <c r="AG767" s="1761" t="s">
        <v>1653</v>
      </c>
      <c r="AH767" s="1761" t="s">
        <v>1594</v>
      </c>
      <c r="AI767" s="1761" t="s">
        <v>2204</v>
      </c>
      <c r="AJ767" s="1761" t="s">
        <v>2204</v>
      </c>
      <c r="AK767" s="1761">
        <v>1012</v>
      </c>
      <c r="AL767" s="1761" t="s">
        <v>639</v>
      </c>
      <c r="AM767" s="1761">
        <v>1010</v>
      </c>
      <c r="AN767" s="1761" t="s">
        <v>5470</v>
      </c>
      <c r="AO767" s="1764"/>
      <c r="AP767" s="1761"/>
      <c r="AQ767" s="1761"/>
      <c r="AR767" s="1761" t="s">
        <v>5395</v>
      </c>
      <c r="AS767" s="1761" t="s">
        <v>677</v>
      </c>
      <c r="AT767" s="1761" t="s">
        <v>327</v>
      </c>
      <c r="AU767" s="1763"/>
      <c r="AV767" s="1763"/>
    </row>
    <row r="768" spans="1:48" ht="37.5" hidden="1">
      <c r="A768" s="1785" t="str">
        <f t="shared" si="121"/>
        <v>גמל</v>
      </c>
      <c r="B768" s="1786">
        <f t="shared" si="122"/>
        <v>1013</v>
      </c>
      <c r="C768" s="1787">
        <v>28946</v>
      </c>
      <c r="D768" s="1786" t="str">
        <f t="shared" si="123"/>
        <v>תמיר פישמן גמל כללי</v>
      </c>
      <c r="E768" s="1786" t="s">
        <v>3929</v>
      </c>
      <c r="F768" s="1786" t="s">
        <v>2958</v>
      </c>
      <c r="G768" s="1786" t="s">
        <v>2959</v>
      </c>
      <c r="H768" s="1786" t="str">
        <f t="shared" si="124"/>
        <v>לא פעיל</v>
      </c>
      <c r="I768" s="1788">
        <f t="shared" si="125"/>
        <v>38197</v>
      </c>
      <c r="J768" s="1788">
        <f t="shared" si="126"/>
        <v>41346.670150462996</v>
      </c>
      <c r="K768" s="1786">
        <v>0</v>
      </c>
      <c r="L768" s="1786" t="s">
        <v>1594</v>
      </c>
      <c r="M768" s="1786" t="s">
        <v>1653</v>
      </c>
      <c r="N768" s="1786" t="s">
        <v>1653</v>
      </c>
      <c r="O768" s="1786">
        <v>0</v>
      </c>
      <c r="P768" s="1786"/>
      <c r="Q768" s="1786">
        <v>0</v>
      </c>
      <c r="R768" s="1788"/>
      <c r="S768" s="1786">
        <f t="shared" si="127"/>
        <v>1010</v>
      </c>
      <c r="T768" s="1786" t="str">
        <f t="shared" si="128"/>
        <v>בנק לאומי בע"מ</v>
      </c>
      <c r="U768" s="1786" t="str">
        <f t="shared" si="129"/>
        <v>תמיר פישמן גמל שקלי קצר</v>
      </c>
      <c r="V768" s="1786">
        <f t="shared" si="130"/>
        <v>0</v>
      </c>
      <c r="W768" s="1789" t="str">
        <f t="shared" si="131"/>
        <v xml:space="preserve">אי.בי.אי. חברת ניהול קופות גמל וקרנות השתלמות בע"מ </v>
      </c>
      <c r="AC768" s="1759" t="s">
        <v>1586</v>
      </c>
      <c r="AD768" s="1760">
        <v>41346.670150462996</v>
      </c>
      <c r="AE768" s="1760">
        <v>38197</v>
      </c>
      <c r="AF768" s="1759" t="s">
        <v>1583</v>
      </c>
      <c r="AG768" s="1759" t="s">
        <v>1583</v>
      </c>
      <c r="AH768" s="1759" t="s">
        <v>1583</v>
      </c>
      <c r="AI768" s="1759" t="s">
        <v>2205</v>
      </c>
      <c r="AJ768" s="1759" t="s">
        <v>2205</v>
      </c>
      <c r="AK768" s="1759">
        <v>1013</v>
      </c>
      <c r="AL768" s="1759" t="s">
        <v>639</v>
      </c>
      <c r="AM768" s="1759">
        <v>1010</v>
      </c>
      <c r="AN768" s="1759" t="s">
        <v>5470</v>
      </c>
      <c r="AO768" s="1764"/>
      <c r="AP768" s="1759"/>
      <c r="AQ768" s="1759"/>
      <c r="AR768" s="1759" t="s">
        <v>5395</v>
      </c>
      <c r="AS768" s="1759" t="s">
        <v>677</v>
      </c>
      <c r="AT768" s="1759" t="s">
        <v>327</v>
      </c>
      <c r="AU768" s="1763"/>
      <c r="AV768" s="1763"/>
    </row>
    <row r="769" spans="1:48" ht="37.5" hidden="1">
      <c r="A769" s="1785" t="str">
        <f t="shared" si="121"/>
        <v>גמל</v>
      </c>
      <c r="B769" s="1786">
        <f t="shared" si="122"/>
        <v>1517</v>
      </c>
      <c r="C769" s="1787">
        <v>28946</v>
      </c>
      <c r="D769" s="1786" t="str">
        <f t="shared" si="123"/>
        <v>תמיר פישמן גמל מניות חו"ל</v>
      </c>
      <c r="E769" s="1786" t="s">
        <v>3929</v>
      </c>
      <c r="F769" s="1786" t="s">
        <v>2958</v>
      </c>
      <c r="G769" s="1786" t="s">
        <v>2959</v>
      </c>
      <c r="H769" s="1786" t="str">
        <f t="shared" si="124"/>
        <v>לא פעיל</v>
      </c>
      <c r="I769" s="1788">
        <f t="shared" si="125"/>
        <v>38197</v>
      </c>
      <c r="J769" s="1788">
        <f t="shared" si="126"/>
        <v>41346.673599537004</v>
      </c>
      <c r="K769" s="1786">
        <v>0</v>
      </c>
      <c r="L769" s="1786" t="s">
        <v>1594</v>
      </c>
      <c r="M769" s="1786" t="s">
        <v>1653</v>
      </c>
      <c r="N769" s="1786" t="s">
        <v>1653</v>
      </c>
      <c r="O769" s="1786">
        <v>0</v>
      </c>
      <c r="P769" s="1786"/>
      <c r="Q769" s="1786">
        <v>0</v>
      </c>
      <c r="R769" s="1788"/>
      <c r="S769" s="1786">
        <f t="shared" si="127"/>
        <v>1010</v>
      </c>
      <c r="T769" s="1786" t="str">
        <f t="shared" si="128"/>
        <v>בנק לאומי בע"מ</v>
      </c>
      <c r="U769" s="1786" t="str">
        <f t="shared" si="129"/>
        <v>תמיר פישמן גמל שקלי קצר</v>
      </c>
      <c r="V769" s="1786">
        <f t="shared" si="130"/>
        <v>0</v>
      </c>
      <c r="W769" s="1789" t="str">
        <f t="shared" si="131"/>
        <v xml:space="preserve">אי.בי.אי. חברת ניהול קופות גמל וקרנות השתלמות בע"מ </v>
      </c>
      <c r="AC769" s="1761" t="s">
        <v>1586</v>
      </c>
      <c r="AD769" s="1762">
        <v>41346.673599537004</v>
      </c>
      <c r="AE769" s="1762">
        <v>38197</v>
      </c>
      <c r="AF769" s="1761" t="s">
        <v>1948</v>
      </c>
      <c r="AG769" s="1761" t="s">
        <v>75</v>
      </c>
      <c r="AH769" s="1761" t="s">
        <v>1594</v>
      </c>
      <c r="AI769" s="1761" t="s">
        <v>2495</v>
      </c>
      <c r="AJ769" s="1761" t="s">
        <v>2495</v>
      </c>
      <c r="AK769" s="1761">
        <v>1517</v>
      </c>
      <c r="AL769" s="1761" t="s">
        <v>639</v>
      </c>
      <c r="AM769" s="1761">
        <v>1010</v>
      </c>
      <c r="AN769" s="1761" t="s">
        <v>5470</v>
      </c>
      <c r="AO769" s="1764"/>
      <c r="AP769" s="1761"/>
      <c r="AQ769" s="1761"/>
      <c r="AR769" s="1761" t="s">
        <v>5395</v>
      </c>
      <c r="AS769" s="1761" t="s">
        <v>677</v>
      </c>
      <c r="AT769" s="1761" t="s">
        <v>327</v>
      </c>
      <c r="AU769" s="1763"/>
      <c r="AV769" s="1763"/>
    </row>
    <row r="770" spans="1:48" ht="25" hidden="1">
      <c r="A770" s="1785" t="str">
        <f t="shared" si="121"/>
        <v>גמל</v>
      </c>
      <c r="B770" s="1786">
        <f t="shared" si="122"/>
        <v>1171</v>
      </c>
      <c r="C770" s="1787">
        <v>28946</v>
      </c>
      <c r="D770" s="1786" t="str">
        <f t="shared" si="123"/>
        <v>תמיר פישמן גמל מניות II</v>
      </c>
      <c r="E770" s="1786" t="s">
        <v>3929</v>
      </c>
      <c r="F770" s="1786" t="s">
        <v>2958</v>
      </c>
      <c r="G770" s="1786" t="s">
        <v>2959</v>
      </c>
      <c r="H770" s="1786" t="str">
        <f t="shared" si="124"/>
        <v>לא פעיל</v>
      </c>
      <c r="I770" s="1788">
        <f t="shared" si="125"/>
        <v>38197</v>
      </c>
      <c r="J770" s="1788">
        <f t="shared" si="126"/>
        <v>39811.428981481498</v>
      </c>
      <c r="K770" s="1786">
        <v>0</v>
      </c>
      <c r="L770" s="1786" t="s">
        <v>1594</v>
      </c>
      <c r="M770" s="1786" t="s">
        <v>1653</v>
      </c>
      <c r="N770" s="1786" t="s">
        <v>1653</v>
      </c>
      <c r="O770" s="1786">
        <v>0</v>
      </c>
      <c r="P770" s="1786"/>
      <c r="Q770" s="1786">
        <v>0</v>
      </c>
      <c r="R770" s="1788"/>
      <c r="S770" s="1786">
        <f t="shared" si="127"/>
        <v>1010</v>
      </c>
      <c r="T770" s="1786" t="str">
        <f t="shared" si="128"/>
        <v>בנק לאומי בע"מ</v>
      </c>
      <c r="U770" s="1786" t="str">
        <f t="shared" si="129"/>
        <v>תמיר פישמן גמל שקלי קצר</v>
      </c>
      <c r="V770" s="1786">
        <f t="shared" si="130"/>
        <v>0</v>
      </c>
      <c r="W770" s="1789" t="str">
        <f t="shared" si="131"/>
        <v>תמיר פישמן גמל והשתלמות בע"מ</v>
      </c>
      <c r="AC770" s="1759" t="s">
        <v>1586</v>
      </c>
      <c r="AD770" s="1760">
        <v>39811.428981481498</v>
      </c>
      <c r="AE770" s="1760">
        <v>38197</v>
      </c>
      <c r="AF770" s="1759" t="s">
        <v>1595</v>
      </c>
      <c r="AG770" s="1759" t="s">
        <v>75</v>
      </c>
      <c r="AH770" s="1759" t="s">
        <v>1594</v>
      </c>
      <c r="AI770" s="1759" t="s">
        <v>2313</v>
      </c>
      <c r="AJ770" s="1759" t="s">
        <v>2313</v>
      </c>
      <c r="AK770" s="1759">
        <v>1171</v>
      </c>
      <c r="AL770" s="1759" t="s">
        <v>639</v>
      </c>
      <c r="AM770" s="1759">
        <v>1010</v>
      </c>
      <c r="AN770" s="1759" t="s">
        <v>5470</v>
      </c>
      <c r="AO770" s="1764"/>
      <c r="AP770" s="1759"/>
      <c r="AQ770" s="1759"/>
      <c r="AR770" s="1759" t="s">
        <v>611</v>
      </c>
      <c r="AS770" s="1759" t="s">
        <v>612</v>
      </c>
      <c r="AT770" s="1759" t="s">
        <v>327</v>
      </c>
      <c r="AU770" s="1763"/>
      <c r="AV770" s="1763"/>
    </row>
    <row r="771" spans="1:48" ht="37.5" hidden="1">
      <c r="A771" s="1785" t="str">
        <f t="shared" si="121"/>
        <v>גמל</v>
      </c>
      <c r="B771" s="1786">
        <f t="shared" si="122"/>
        <v>1172</v>
      </c>
      <c r="C771" s="1787">
        <v>28946</v>
      </c>
      <c r="D771" s="1786" t="str">
        <f t="shared" si="123"/>
        <v>תמיר פישמן גמל אג"ח מדינה</v>
      </c>
      <c r="E771" s="1786" t="s">
        <v>3929</v>
      </c>
      <c r="F771" s="1786" t="s">
        <v>2958</v>
      </c>
      <c r="G771" s="1786" t="s">
        <v>2959</v>
      </c>
      <c r="H771" s="1786" t="str">
        <f t="shared" si="124"/>
        <v>לא פעיל</v>
      </c>
      <c r="I771" s="1788">
        <f t="shared" si="125"/>
        <v>38197</v>
      </c>
      <c r="J771" s="1788">
        <f t="shared" si="126"/>
        <v>41346.673171296301</v>
      </c>
      <c r="K771" s="1786">
        <v>0</v>
      </c>
      <c r="L771" s="1786" t="s">
        <v>1594</v>
      </c>
      <c r="M771" s="1786" t="s">
        <v>1653</v>
      </c>
      <c r="N771" s="1786" t="s">
        <v>1653</v>
      </c>
      <c r="O771" s="1786">
        <v>0</v>
      </c>
      <c r="P771" s="1786"/>
      <c r="Q771" s="1786">
        <v>0</v>
      </c>
      <c r="R771" s="1788"/>
      <c r="S771" s="1786">
        <f t="shared" si="127"/>
        <v>1010</v>
      </c>
      <c r="T771" s="1786" t="str">
        <f t="shared" si="128"/>
        <v>בנק לאומי בע"מ</v>
      </c>
      <c r="U771" s="1786" t="str">
        <f t="shared" si="129"/>
        <v>תמיר פישמן גמל שקלי קצר</v>
      </c>
      <c r="V771" s="1786">
        <f t="shared" si="130"/>
        <v>0</v>
      </c>
      <c r="W771" s="1789" t="str">
        <f t="shared" si="131"/>
        <v xml:space="preserve">אי.בי.אי. חברת ניהול קופות גמל וקרנות השתלמות בע"מ </v>
      </c>
      <c r="AC771" s="1761" t="s">
        <v>1586</v>
      </c>
      <c r="AD771" s="1762">
        <v>41346.673171296301</v>
      </c>
      <c r="AE771" s="1762">
        <v>38197</v>
      </c>
      <c r="AF771" s="1761" t="s">
        <v>2009</v>
      </c>
      <c r="AG771" s="1761" t="s">
        <v>1653</v>
      </c>
      <c r="AH771" s="1761" t="s">
        <v>1594</v>
      </c>
      <c r="AI771" s="1761" t="s">
        <v>2314</v>
      </c>
      <c r="AJ771" s="1761" t="s">
        <v>2314</v>
      </c>
      <c r="AK771" s="1761">
        <v>1172</v>
      </c>
      <c r="AL771" s="1761" t="s">
        <v>639</v>
      </c>
      <c r="AM771" s="1761">
        <v>1010</v>
      </c>
      <c r="AN771" s="1761" t="s">
        <v>5470</v>
      </c>
      <c r="AO771" s="1764"/>
      <c r="AP771" s="1761"/>
      <c r="AQ771" s="1761"/>
      <c r="AR771" s="1761" t="s">
        <v>5395</v>
      </c>
      <c r="AS771" s="1761" t="s">
        <v>677</v>
      </c>
      <c r="AT771" s="1761" t="s">
        <v>327</v>
      </c>
      <c r="AU771" s="1763"/>
      <c r="AV771" s="1763"/>
    </row>
    <row r="772" spans="1:48" ht="25" hidden="1">
      <c r="A772" s="1785" t="str">
        <f t="shared" si="121"/>
        <v>גמל</v>
      </c>
      <c r="B772" s="1786">
        <f t="shared" si="122"/>
        <v>1108</v>
      </c>
      <c r="C772" s="1787">
        <v>28946</v>
      </c>
      <c r="D772" s="1786" t="str">
        <f t="shared" si="123"/>
        <v>תמיר פישמן גמל חו"ל</v>
      </c>
      <c r="E772" s="1786" t="s">
        <v>3929</v>
      </c>
      <c r="F772" s="1786" t="s">
        <v>2958</v>
      </c>
      <c r="G772" s="1786" t="s">
        <v>2959</v>
      </c>
      <c r="H772" s="1786" t="str">
        <f t="shared" si="124"/>
        <v>לא פעיל</v>
      </c>
      <c r="I772" s="1788">
        <f t="shared" si="125"/>
        <v>38197</v>
      </c>
      <c r="J772" s="1788">
        <f t="shared" si="126"/>
        <v>39166.358634259297</v>
      </c>
      <c r="K772" s="1786">
        <v>0</v>
      </c>
      <c r="L772" s="1786" t="s">
        <v>1594</v>
      </c>
      <c r="M772" s="1786" t="s">
        <v>1653</v>
      </c>
      <c r="N772" s="1786" t="s">
        <v>1653</v>
      </c>
      <c r="O772" s="1786">
        <v>0</v>
      </c>
      <c r="P772" s="1786"/>
      <c r="Q772" s="1786">
        <v>0</v>
      </c>
      <c r="R772" s="1788"/>
      <c r="S772" s="1786">
        <f t="shared" si="127"/>
        <v>1010</v>
      </c>
      <c r="T772" s="1786" t="str">
        <f t="shared" si="128"/>
        <v>בנק לאומי בע"מ</v>
      </c>
      <c r="U772" s="1786" t="str">
        <f t="shared" si="129"/>
        <v>תמיר פישמן גמל שקלי קצר</v>
      </c>
      <c r="V772" s="1786">
        <f t="shared" si="130"/>
        <v>0</v>
      </c>
      <c r="W772" s="1789" t="str">
        <f t="shared" si="131"/>
        <v>תמיר פישמן גמל והשתלמות בע"מ</v>
      </c>
      <c r="AC772" s="1759" t="s">
        <v>1586</v>
      </c>
      <c r="AD772" s="1760">
        <v>39166.358634259297</v>
      </c>
      <c r="AE772" s="1760">
        <v>38197</v>
      </c>
      <c r="AF772" s="1759" t="s">
        <v>1948</v>
      </c>
      <c r="AG772" s="1759" t="s">
        <v>1947</v>
      </c>
      <c r="AH772" s="1759" t="s">
        <v>1594</v>
      </c>
      <c r="AI772" s="1759" t="s">
        <v>2272</v>
      </c>
      <c r="AJ772" s="1759" t="s">
        <v>2272</v>
      </c>
      <c r="AK772" s="1759">
        <v>1108</v>
      </c>
      <c r="AL772" s="1759" t="s">
        <v>639</v>
      </c>
      <c r="AM772" s="1759">
        <v>1010</v>
      </c>
      <c r="AN772" s="1759" t="s">
        <v>5470</v>
      </c>
      <c r="AO772" s="1764"/>
      <c r="AP772" s="1759"/>
      <c r="AQ772" s="1759"/>
      <c r="AR772" s="1759" t="s">
        <v>611</v>
      </c>
      <c r="AS772" s="1759" t="s">
        <v>612</v>
      </c>
      <c r="AT772" s="1759" t="s">
        <v>327</v>
      </c>
      <c r="AU772" s="1763"/>
      <c r="AV772" s="1763"/>
    </row>
    <row r="773" spans="1:48" ht="25" hidden="1">
      <c r="A773" s="1785" t="str">
        <f t="shared" si="121"/>
        <v>גמל</v>
      </c>
      <c r="B773" s="1786">
        <f t="shared" si="122"/>
        <v>1170</v>
      </c>
      <c r="C773" s="1787">
        <v>28946</v>
      </c>
      <c r="D773" s="1786" t="str">
        <f t="shared" si="123"/>
        <v>תמיר פישמן גמל א' עד 10% מניות</v>
      </c>
      <c r="E773" s="1786" t="s">
        <v>3929</v>
      </c>
      <c r="F773" s="1786" t="s">
        <v>2958</v>
      </c>
      <c r="G773" s="1786" t="s">
        <v>2959</v>
      </c>
      <c r="H773" s="1786" t="str">
        <f t="shared" si="124"/>
        <v>לא פעיל</v>
      </c>
      <c r="I773" s="1788">
        <f t="shared" si="125"/>
        <v>38197</v>
      </c>
      <c r="J773" s="1788">
        <f t="shared" si="126"/>
        <v>39894.593043981498</v>
      </c>
      <c r="K773" s="1786">
        <v>0</v>
      </c>
      <c r="L773" s="1786" t="s">
        <v>1594</v>
      </c>
      <c r="M773" s="1786" t="s">
        <v>1653</v>
      </c>
      <c r="N773" s="1786" t="s">
        <v>1653</v>
      </c>
      <c r="O773" s="1786">
        <v>0</v>
      </c>
      <c r="P773" s="1786"/>
      <c r="Q773" s="1786">
        <v>0</v>
      </c>
      <c r="R773" s="1788"/>
      <c r="S773" s="1786">
        <f t="shared" si="127"/>
        <v>1010</v>
      </c>
      <c r="T773" s="1786" t="str">
        <f t="shared" si="128"/>
        <v>בנק לאומי בע"מ</v>
      </c>
      <c r="U773" s="1786" t="str">
        <f t="shared" si="129"/>
        <v>תמיר פישמן גמל שקלי קצר</v>
      </c>
      <c r="V773" s="1786">
        <f t="shared" si="130"/>
        <v>0</v>
      </c>
      <c r="W773" s="1789" t="str">
        <f t="shared" si="131"/>
        <v>תמיר פישמן גמל והשתלמות בע"מ</v>
      </c>
      <c r="AC773" s="1761" t="s">
        <v>1586</v>
      </c>
      <c r="AD773" s="1762">
        <v>39894.593043981498</v>
      </c>
      <c r="AE773" s="1762">
        <v>38197</v>
      </c>
      <c r="AF773" s="1761" t="s">
        <v>2025</v>
      </c>
      <c r="AG773" s="1761" t="s">
        <v>1583</v>
      </c>
      <c r="AH773" s="1761" t="s">
        <v>1583</v>
      </c>
      <c r="AI773" s="1761" t="s">
        <v>2312</v>
      </c>
      <c r="AJ773" s="1761" t="s">
        <v>2312</v>
      </c>
      <c r="AK773" s="1761">
        <v>1170</v>
      </c>
      <c r="AL773" s="1761" t="s">
        <v>639</v>
      </c>
      <c r="AM773" s="1761">
        <v>1010</v>
      </c>
      <c r="AN773" s="1761" t="s">
        <v>5470</v>
      </c>
      <c r="AO773" s="1764"/>
      <c r="AP773" s="1761"/>
      <c r="AQ773" s="1761"/>
      <c r="AR773" s="1761" t="s">
        <v>611</v>
      </c>
      <c r="AS773" s="1761" t="s">
        <v>612</v>
      </c>
      <c r="AT773" s="1761" t="s">
        <v>327</v>
      </c>
      <c r="AU773" s="1763"/>
      <c r="AV773" s="1763"/>
    </row>
    <row r="774" spans="1:48" ht="25" hidden="1">
      <c r="A774" s="1785" t="str">
        <f t="shared" si="121"/>
        <v>גמל</v>
      </c>
      <c r="B774" s="1786">
        <f t="shared" si="122"/>
        <v>1008</v>
      </c>
      <c r="C774" s="1787">
        <v>28946</v>
      </c>
      <c r="D774" s="1786" t="str">
        <f t="shared" si="123"/>
        <v>הלמן-אלדובי קופה לתשלום דמי מחלה</v>
      </c>
      <c r="E774" s="1786" t="s">
        <v>3929</v>
      </c>
      <c r="F774" s="1786" t="s">
        <v>2958</v>
      </c>
      <c r="G774" s="1786" t="s">
        <v>2959</v>
      </c>
      <c r="H774" s="1786" t="str">
        <f t="shared" si="124"/>
        <v>פעיל</v>
      </c>
      <c r="I774" s="1788">
        <f t="shared" si="125"/>
        <v>38166</v>
      </c>
      <c r="J774" s="1788" t="str">
        <f t="shared" si="126"/>
        <v/>
      </c>
      <c r="K774" s="1786">
        <v>0</v>
      </c>
      <c r="L774" s="1786" t="s">
        <v>1594</v>
      </c>
      <c r="M774" s="1786" t="s">
        <v>1653</v>
      </c>
      <c r="N774" s="1786" t="s">
        <v>1653</v>
      </c>
      <c r="O774" s="1786">
        <v>0</v>
      </c>
      <c r="P774" s="1786"/>
      <c r="Q774" s="1786">
        <v>0</v>
      </c>
      <c r="R774" s="1788"/>
      <c r="S774" s="1786">
        <f t="shared" si="127"/>
        <v>1008</v>
      </c>
      <c r="T774" s="1786" t="str">
        <f t="shared" si="128"/>
        <v>בנק מזרחי טפחות בע"מ</v>
      </c>
      <c r="U774" s="1786" t="str">
        <f t="shared" si="129"/>
        <v>הלמן-אלדובי קופה לתשלום דמי מחלה</v>
      </c>
      <c r="V774" s="1786" t="str">
        <f t="shared" si="130"/>
        <v>513163105</v>
      </c>
      <c r="W774" s="1789" t="str">
        <f t="shared" si="131"/>
        <v>הלמן - אלדובי קופות גמל ופנסיה בע"מ</v>
      </c>
      <c r="AC774" s="1759" t="s">
        <v>346</v>
      </c>
      <c r="AD774" s="1759"/>
      <c r="AE774" s="1760">
        <v>38166</v>
      </c>
      <c r="AF774" s="1759" t="s">
        <v>1583</v>
      </c>
      <c r="AG774" s="1759" t="s">
        <v>1583</v>
      </c>
      <c r="AH774" s="1759" t="s">
        <v>1583</v>
      </c>
      <c r="AI774" s="1759" t="s">
        <v>4607</v>
      </c>
      <c r="AJ774" s="1759" t="s">
        <v>4606</v>
      </c>
      <c r="AK774" s="1759">
        <v>1008</v>
      </c>
      <c r="AL774" s="1759" t="s">
        <v>4606</v>
      </c>
      <c r="AM774" s="1759">
        <v>1008</v>
      </c>
      <c r="AN774" s="1759" t="s">
        <v>5370</v>
      </c>
      <c r="AO774" s="1764"/>
      <c r="AP774" s="1759" t="s">
        <v>5371</v>
      </c>
      <c r="AQ774" s="1759" t="s">
        <v>5372</v>
      </c>
      <c r="AR774" s="1759" t="s">
        <v>354</v>
      </c>
      <c r="AS774" s="1759" t="s">
        <v>355</v>
      </c>
      <c r="AT774" s="1759" t="s">
        <v>327</v>
      </c>
      <c r="AU774" s="1763"/>
      <c r="AV774" s="1763"/>
    </row>
    <row r="775" spans="1:48" ht="25" hidden="1">
      <c r="A775" s="1785" t="str">
        <f t="shared" si="121"/>
        <v>גמל</v>
      </c>
      <c r="B775" s="1786">
        <f t="shared" si="122"/>
        <v>1004</v>
      </c>
      <c r="C775" s="1787">
        <v>28946</v>
      </c>
      <c r="D775" s="1786" t="str">
        <f t="shared" si="123"/>
        <v>מבטחים רפואה שלמה</v>
      </c>
      <c r="E775" s="1786" t="s">
        <v>3929</v>
      </c>
      <c r="F775" s="1786" t="s">
        <v>2958</v>
      </c>
      <c r="G775" s="1786" t="s">
        <v>2959</v>
      </c>
      <c r="H775" s="1786" t="str">
        <f t="shared" si="124"/>
        <v>לא פעיל</v>
      </c>
      <c r="I775" s="1788">
        <f t="shared" si="125"/>
        <v>38147</v>
      </c>
      <c r="J775" s="1788">
        <f t="shared" si="126"/>
        <v>39173</v>
      </c>
      <c r="K775" s="1786">
        <v>0</v>
      </c>
      <c r="L775" s="1786" t="s">
        <v>1594</v>
      </c>
      <c r="M775" s="1786" t="s">
        <v>1653</v>
      </c>
      <c r="N775" s="1786" t="s">
        <v>1653</v>
      </c>
      <c r="O775" s="1786">
        <v>0</v>
      </c>
      <c r="P775" s="1786"/>
      <c r="Q775" s="1786">
        <v>0</v>
      </c>
      <c r="R775" s="1788"/>
      <c r="S775" s="1786">
        <f t="shared" si="127"/>
        <v>1004</v>
      </c>
      <c r="T775" s="1786" t="str">
        <f t="shared" si="128"/>
        <v>מבטחים הותיקה</v>
      </c>
      <c r="U775" s="1786" t="str">
        <f t="shared" si="129"/>
        <v>מבטחים רפואה שלמה</v>
      </c>
      <c r="V775" s="1786">
        <f t="shared" si="130"/>
        <v>0</v>
      </c>
      <c r="W775" s="1789" t="str">
        <f t="shared" si="131"/>
        <v>מנורה מבטחים גמל בע"מ</v>
      </c>
      <c r="AC775" s="1761" t="s">
        <v>1586</v>
      </c>
      <c r="AD775" s="1762">
        <v>39173</v>
      </c>
      <c r="AE775" s="1762">
        <v>38147</v>
      </c>
      <c r="AF775" s="1761" t="s">
        <v>1583</v>
      </c>
      <c r="AG775" s="1761" t="s">
        <v>1583</v>
      </c>
      <c r="AH775" s="1761" t="s">
        <v>1583</v>
      </c>
      <c r="AI775" s="1761" t="s">
        <v>3457</v>
      </c>
      <c r="AJ775" s="1761" t="s">
        <v>2199</v>
      </c>
      <c r="AK775" s="1761">
        <v>1004</v>
      </c>
      <c r="AL775" s="1761" t="s">
        <v>2199</v>
      </c>
      <c r="AM775" s="1761">
        <v>1004</v>
      </c>
      <c r="AN775" s="1761" t="s">
        <v>5548</v>
      </c>
      <c r="AO775" s="1764"/>
      <c r="AP775" s="1761"/>
      <c r="AQ775" s="1761"/>
      <c r="AR775" s="1761" t="s">
        <v>363</v>
      </c>
      <c r="AS775" s="1761" t="s">
        <v>364</v>
      </c>
      <c r="AT775" s="1761" t="s">
        <v>327</v>
      </c>
      <c r="AU775" s="1763"/>
      <c r="AV775" s="1763"/>
    </row>
    <row r="776" spans="1:48" ht="25" hidden="1">
      <c r="A776" s="1785" t="str">
        <f t="shared" si="121"/>
        <v>גמל</v>
      </c>
      <c r="B776" s="1786">
        <f t="shared" si="122"/>
        <v>1003</v>
      </c>
      <c r="C776" s="1787">
        <v>28946</v>
      </c>
      <c r="D776" s="1786" t="str">
        <f t="shared" si="123"/>
        <v>הדס ארזים אפסילון מרכזית לפיצויים מסלול כללי</v>
      </c>
      <c r="E776" s="1786" t="s">
        <v>3929</v>
      </c>
      <c r="F776" s="1786" t="s">
        <v>2958</v>
      </c>
      <c r="G776" s="1786" t="s">
        <v>2959</v>
      </c>
      <c r="H776" s="1786" t="str">
        <f t="shared" si="124"/>
        <v>לא פעיל</v>
      </c>
      <c r="I776" s="1788">
        <f t="shared" si="125"/>
        <v>38131</v>
      </c>
      <c r="J776" s="1788">
        <f t="shared" si="126"/>
        <v>41500.403229166703</v>
      </c>
      <c r="K776" s="1786">
        <v>0</v>
      </c>
      <c r="L776" s="1786" t="s">
        <v>1594</v>
      </c>
      <c r="M776" s="1786" t="s">
        <v>1653</v>
      </c>
      <c r="N776" s="1786" t="s">
        <v>1653</v>
      </c>
      <c r="O776" s="1786">
        <v>0</v>
      </c>
      <c r="P776" s="1786"/>
      <c r="Q776" s="1786">
        <v>0</v>
      </c>
      <c r="R776" s="1788"/>
      <c r="S776" s="1786">
        <f t="shared" si="127"/>
        <v>1003</v>
      </c>
      <c r="T776" s="1786" t="str">
        <f t="shared" si="128"/>
        <v>בנק הפועלים בע"מ</v>
      </c>
      <c r="U776" s="1786" t="str">
        <f t="shared" si="129"/>
        <v>הדס ארזים אפסילון מרכזית לפיצויים</v>
      </c>
      <c r="V776" s="1786" t="str">
        <f t="shared" si="130"/>
        <v>513163105</v>
      </c>
      <c r="W776" s="1789" t="str">
        <f t="shared" si="131"/>
        <v>הלמן - אלדובי קופות גמל ופנסיה בע"מ</v>
      </c>
      <c r="AC776" s="1759" t="s">
        <v>1586</v>
      </c>
      <c r="AD776" s="1760">
        <v>41500.403229166703</v>
      </c>
      <c r="AE776" s="1760">
        <v>38131</v>
      </c>
      <c r="AF776" s="1759" t="s">
        <v>1583</v>
      </c>
      <c r="AG776" s="1759" t="s">
        <v>1583</v>
      </c>
      <c r="AH776" s="1759" t="s">
        <v>1583</v>
      </c>
      <c r="AI776" s="1759" t="s">
        <v>3455</v>
      </c>
      <c r="AJ776" s="1759" t="s">
        <v>3455</v>
      </c>
      <c r="AK776" s="1759">
        <v>1003</v>
      </c>
      <c r="AL776" s="1759" t="s">
        <v>3456</v>
      </c>
      <c r="AM776" s="1759">
        <v>1003</v>
      </c>
      <c r="AN776" s="1759" t="s">
        <v>1695</v>
      </c>
      <c r="AO776" s="1764"/>
      <c r="AP776" s="1759" t="s">
        <v>5371</v>
      </c>
      <c r="AQ776" s="1759" t="s">
        <v>5372</v>
      </c>
      <c r="AR776" s="1759" t="s">
        <v>354</v>
      </c>
      <c r="AS776" s="1759" t="s">
        <v>355</v>
      </c>
      <c r="AT776" s="1759" t="s">
        <v>327</v>
      </c>
      <c r="AU776" s="1763"/>
      <c r="AV776" s="1763"/>
    </row>
    <row r="777" spans="1:48" ht="25" hidden="1">
      <c r="A777" s="1785" t="str">
        <f t="shared" si="121"/>
        <v>גמל</v>
      </c>
      <c r="B777" s="1786">
        <f t="shared" si="122"/>
        <v>1357</v>
      </c>
      <c r="C777" s="1787">
        <v>28946</v>
      </c>
      <c r="D777" s="1786" t="str">
        <f t="shared" si="123"/>
        <v>הדס ארזים אפסילון מרכזית לפיצויים שקלי טווח קצר</v>
      </c>
      <c r="E777" s="1786" t="s">
        <v>3929</v>
      </c>
      <c r="F777" s="1786" t="s">
        <v>2958</v>
      </c>
      <c r="G777" s="1786" t="s">
        <v>2959</v>
      </c>
      <c r="H777" s="1786" t="str">
        <f t="shared" si="124"/>
        <v>לא פעיל</v>
      </c>
      <c r="I777" s="1788">
        <f t="shared" si="125"/>
        <v>38131</v>
      </c>
      <c r="J777" s="1788">
        <f t="shared" si="126"/>
        <v>41599.412870370397</v>
      </c>
      <c r="K777" s="1786">
        <v>0</v>
      </c>
      <c r="L777" s="1786" t="s">
        <v>1594</v>
      </c>
      <c r="M777" s="1786" t="s">
        <v>1653</v>
      </c>
      <c r="N777" s="1786" t="s">
        <v>1653</v>
      </c>
      <c r="O777" s="1786">
        <v>0</v>
      </c>
      <c r="P777" s="1786"/>
      <c r="Q777" s="1786">
        <v>0</v>
      </c>
      <c r="R777" s="1788"/>
      <c r="S777" s="1786">
        <f t="shared" si="127"/>
        <v>1003</v>
      </c>
      <c r="T777" s="1786" t="str">
        <f t="shared" si="128"/>
        <v>בנק הפועלים בע"מ</v>
      </c>
      <c r="U777" s="1786" t="str">
        <f t="shared" si="129"/>
        <v>הדס ארזים אפסילון מרכזית לפיצויים</v>
      </c>
      <c r="V777" s="1786" t="str">
        <f t="shared" si="130"/>
        <v>513163105</v>
      </c>
      <c r="W777" s="1789" t="str">
        <f t="shared" si="131"/>
        <v>הלמן - אלדובי קופות גמל ופנסיה בע"מ</v>
      </c>
      <c r="AC777" s="1761" t="s">
        <v>1586</v>
      </c>
      <c r="AD777" s="1762">
        <v>41599.412870370397</v>
      </c>
      <c r="AE777" s="1762">
        <v>38131</v>
      </c>
      <c r="AF777" s="1761" t="s">
        <v>1673</v>
      </c>
      <c r="AG777" s="1761" t="s">
        <v>1614</v>
      </c>
      <c r="AH777" s="1761" t="s">
        <v>1594</v>
      </c>
      <c r="AI777" s="1761" t="s">
        <v>3615</v>
      </c>
      <c r="AJ777" s="1761" t="s">
        <v>3615</v>
      </c>
      <c r="AK777" s="1761">
        <v>1357</v>
      </c>
      <c r="AL777" s="1761" t="s">
        <v>3456</v>
      </c>
      <c r="AM777" s="1761">
        <v>1003</v>
      </c>
      <c r="AN777" s="1761" t="s">
        <v>1695</v>
      </c>
      <c r="AO777" s="1764"/>
      <c r="AP777" s="1761" t="s">
        <v>5371</v>
      </c>
      <c r="AQ777" s="1761" t="s">
        <v>5372</v>
      </c>
      <c r="AR777" s="1761" t="s">
        <v>354</v>
      </c>
      <c r="AS777" s="1761" t="s">
        <v>355</v>
      </c>
      <c r="AT777" s="1761" t="s">
        <v>327</v>
      </c>
      <c r="AU777" s="1763"/>
      <c r="AV777" s="1763"/>
    </row>
    <row r="778" spans="1:48" ht="25" hidden="1">
      <c r="A778" s="1785" t="str">
        <f t="shared" si="121"/>
        <v>גמל</v>
      </c>
      <c r="B778" s="1786">
        <f t="shared" si="122"/>
        <v>1234</v>
      </c>
      <c r="C778" s="1787">
        <v>28946</v>
      </c>
      <c r="D778" s="1786" t="str">
        <f t="shared" si="123"/>
        <v>הדס ארזים אפסילון מרכזית לפיצויים מסלול מנייתי</v>
      </c>
      <c r="E778" s="1786" t="s">
        <v>3929</v>
      </c>
      <c r="F778" s="1786" t="s">
        <v>2958</v>
      </c>
      <c r="G778" s="1786" t="s">
        <v>2959</v>
      </c>
      <c r="H778" s="1786" t="str">
        <f t="shared" si="124"/>
        <v>לא פעיל</v>
      </c>
      <c r="I778" s="1788">
        <f t="shared" si="125"/>
        <v>38131</v>
      </c>
      <c r="J778" s="1788">
        <f t="shared" si="126"/>
        <v>41500.403229166703</v>
      </c>
      <c r="K778" s="1786">
        <v>0</v>
      </c>
      <c r="L778" s="1786" t="s">
        <v>1594</v>
      </c>
      <c r="M778" s="1786" t="s">
        <v>1653</v>
      </c>
      <c r="N778" s="1786" t="s">
        <v>1653</v>
      </c>
      <c r="O778" s="1786">
        <v>0</v>
      </c>
      <c r="P778" s="1786"/>
      <c r="Q778" s="1786">
        <v>0</v>
      </c>
      <c r="R778" s="1788"/>
      <c r="S778" s="1786">
        <f t="shared" si="127"/>
        <v>1003</v>
      </c>
      <c r="T778" s="1786" t="str">
        <f t="shared" si="128"/>
        <v>בנק הפועלים בע"מ</v>
      </c>
      <c r="U778" s="1786" t="str">
        <f t="shared" si="129"/>
        <v>הדס ארזים אפסילון מרכזית לפיצויים</v>
      </c>
      <c r="V778" s="1786" t="str">
        <f t="shared" si="130"/>
        <v>513163105</v>
      </c>
      <c r="W778" s="1789" t="str">
        <f t="shared" si="131"/>
        <v>הלמן - אלדובי קופות גמל ופנסיה בע"מ</v>
      </c>
      <c r="AC778" s="1759" t="s">
        <v>1586</v>
      </c>
      <c r="AD778" s="1760">
        <v>41500.403229166703</v>
      </c>
      <c r="AE778" s="1760">
        <v>38131</v>
      </c>
      <c r="AF778" s="1759" t="s">
        <v>1595</v>
      </c>
      <c r="AG778" s="1759" t="s">
        <v>75</v>
      </c>
      <c r="AH778" s="1759" t="s">
        <v>1594</v>
      </c>
      <c r="AI778" s="1759" t="s">
        <v>3566</v>
      </c>
      <c r="AJ778" s="1759" t="s">
        <v>3566</v>
      </c>
      <c r="AK778" s="1759">
        <v>1234</v>
      </c>
      <c r="AL778" s="1759" t="s">
        <v>3456</v>
      </c>
      <c r="AM778" s="1759">
        <v>1003</v>
      </c>
      <c r="AN778" s="1759" t="s">
        <v>1695</v>
      </c>
      <c r="AO778" s="1764"/>
      <c r="AP778" s="1759" t="s">
        <v>5371</v>
      </c>
      <c r="AQ778" s="1759" t="s">
        <v>5372</v>
      </c>
      <c r="AR778" s="1759" t="s">
        <v>354</v>
      </c>
      <c r="AS778" s="1759" t="s">
        <v>355</v>
      </c>
      <c r="AT778" s="1759" t="s">
        <v>327</v>
      </c>
      <c r="AU778" s="1763"/>
      <c r="AV778" s="1763"/>
    </row>
    <row r="779" spans="1:48" ht="25" hidden="1">
      <c r="A779" s="1785" t="str">
        <f t="shared" si="121"/>
        <v>גמל</v>
      </c>
      <c r="B779" s="1786">
        <f t="shared" si="122"/>
        <v>1002</v>
      </c>
      <c r="C779" s="1787">
        <v>28946</v>
      </c>
      <c r="D779" s="1786" t="str">
        <f t="shared" si="123"/>
        <v>הדס ארזים אפסילון השתלמות מסלול כללי</v>
      </c>
      <c r="E779" s="1786" t="s">
        <v>3929</v>
      </c>
      <c r="F779" s="1786" t="s">
        <v>2958</v>
      </c>
      <c r="G779" s="1786" t="s">
        <v>2959</v>
      </c>
      <c r="H779" s="1786" t="str">
        <f t="shared" si="124"/>
        <v>לא פעיל</v>
      </c>
      <c r="I779" s="1788">
        <f t="shared" si="125"/>
        <v>38131</v>
      </c>
      <c r="J779" s="1788">
        <f t="shared" si="126"/>
        <v>41547.521631944401</v>
      </c>
      <c r="K779" s="1786">
        <v>0</v>
      </c>
      <c r="L779" s="1786" t="s">
        <v>1594</v>
      </c>
      <c r="M779" s="1786" t="s">
        <v>1653</v>
      </c>
      <c r="N779" s="1786" t="s">
        <v>1653</v>
      </c>
      <c r="O779" s="1786">
        <v>0</v>
      </c>
      <c r="P779" s="1786"/>
      <c r="Q779" s="1786">
        <v>0</v>
      </c>
      <c r="R779" s="1788"/>
      <c r="S779" s="1786">
        <f t="shared" si="127"/>
        <v>1002</v>
      </c>
      <c r="T779" s="1786" t="str">
        <f t="shared" si="128"/>
        <v>בנק הפועלים בע"מ</v>
      </c>
      <c r="U779" s="1786" t="str">
        <f t="shared" si="129"/>
        <v>הדס ארזים אפסילון קרן השתלמות</v>
      </c>
      <c r="V779" s="1786" t="str">
        <f t="shared" si="130"/>
        <v>513163105</v>
      </c>
      <c r="W779" s="1789" t="str">
        <f t="shared" si="131"/>
        <v>הלמן - אלדובי קופות גמל ופנסיה בע"מ</v>
      </c>
      <c r="AC779" s="1761" t="s">
        <v>1586</v>
      </c>
      <c r="AD779" s="1762">
        <v>41547.521631944401</v>
      </c>
      <c r="AE779" s="1762">
        <v>38131</v>
      </c>
      <c r="AF779" s="1761" t="s">
        <v>1583</v>
      </c>
      <c r="AG779" s="1761" t="s">
        <v>1583</v>
      </c>
      <c r="AH779" s="1761" t="s">
        <v>1583</v>
      </c>
      <c r="AI779" s="1761" t="s">
        <v>3453</v>
      </c>
      <c r="AJ779" s="1761" t="s">
        <v>3453</v>
      </c>
      <c r="AK779" s="1761">
        <v>1002</v>
      </c>
      <c r="AL779" s="1761" t="s">
        <v>3454</v>
      </c>
      <c r="AM779" s="1761">
        <v>1002</v>
      </c>
      <c r="AN779" s="1761" t="s">
        <v>1695</v>
      </c>
      <c r="AO779" s="1764"/>
      <c r="AP779" s="1761" t="s">
        <v>5371</v>
      </c>
      <c r="AQ779" s="1761" t="s">
        <v>5372</v>
      </c>
      <c r="AR779" s="1761" t="s">
        <v>354</v>
      </c>
      <c r="AS779" s="1761" t="s">
        <v>355</v>
      </c>
      <c r="AT779" s="1761" t="s">
        <v>327</v>
      </c>
      <c r="AU779" s="1763"/>
      <c r="AV779" s="1763"/>
    </row>
    <row r="780" spans="1:48" ht="25" hidden="1">
      <c r="A780" s="1785" t="str">
        <f t="shared" si="121"/>
        <v>גמל</v>
      </c>
      <c r="B780" s="1786">
        <f t="shared" si="122"/>
        <v>1356</v>
      </c>
      <c r="C780" s="1787">
        <v>28946</v>
      </c>
      <c r="D780" s="1786" t="str">
        <f t="shared" si="123"/>
        <v>הדס ארזים אפסילון השתלמות מסלול שקלי טווח קצר</v>
      </c>
      <c r="E780" s="1786" t="s">
        <v>3929</v>
      </c>
      <c r="F780" s="1786" t="s">
        <v>2958</v>
      </c>
      <c r="G780" s="1786" t="s">
        <v>2959</v>
      </c>
      <c r="H780" s="1786" t="str">
        <f t="shared" si="124"/>
        <v>לא פעיל</v>
      </c>
      <c r="I780" s="1788">
        <f t="shared" si="125"/>
        <v>38131</v>
      </c>
      <c r="J780" s="1788">
        <f t="shared" si="126"/>
        <v>41547.521631944401</v>
      </c>
      <c r="K780" s="1786">
        <v>0</v>
      </c>
      <c r="L780" s="1786" t="s">
        <v>1594</v>
      </c>
      <c r="M780" s="1786" t="s">
        <v>1653</v>
      </c>
      <c r="N780" s="1786" t="s">
        <v>1653</v>
      </c>
      <c r="O780" s="1786">
        <v>0</v>
      </c>
      <c r="P780" s="1786"/>
      <c r="Q780" s="1786">
        <v>0</v>
      </c>
      <c r="R780" s="1788"/>
      <c r="S780" s="1786">
        <f t="shared" si="127"/>
        <v>1002</v>
      </c>
      <c r="T780" s="1786" t="str">
        <f t="shared" si="128"/>
        <v>בנק הפועלים בע"מ</v>
      </c>
      <c r="U780" s="1786" t="str">
        <f t="shared" si="129"/>
        <v>הדס ארזים אפסילון קרן השתלמות</v>
      </c>
      <c r="V780" s="1786" t="str">
        <f t="shared" si="130"/>
        <v>513163105</v>
      </c>
      <c r="W780" s="1789" t="str">
        <f t="shared" si="131"/>
        <v>הלמן - אלדובי קופות גמל ופנסיה בע"מ</v>
      </c>
      <c r="AC780" s="1759" t="s">
        <v>1586</v>
      </c>
      <c r="AD780" s="1760">
        <v>41547.521631944401</v>
      </c>
      <c r="AE780" s="1760">
        <v>38131</v>
      </c>
      <c r="AF780" s="1759" t="s">
        <v>1673</v>
      </c>
      <c r="AG780" s="1759" t="s">
        <v>1614</v>
      </c>
      <c r="AH780" s="1759" t="s">
        <v>1594</v>
      </c>
      <c r="AI780" s="1759" t="s">
        <v>3614</v>
      </c>
      <c r="AJ780" s="1759" t="s">
        <v>3614</v>
      </c>
      <c r="AK780" s="1759">
        <v>1356</v>
      </c>
      <c r="AL780" s="1759" t="s">
        <v>3454</v>
      </c>
      <c r="AM780" s="1759">
        <v>1002</v>
      </c>
      <c r="AN780" s="1759" t="s">
        <v>1695</v>
      </c>
      <c r="AO780" s="1764"/>
      <c r="AP780" s="1759" t="s">
        <v>5371</v>
      </c>
      <c r="AQ780" s="1759" t="s">
        <v>5372</v>
      </c>
      <c r="AR780" s="1759" t="s">
        <v>354</v>
      </c>
      <c r="AS780" s="1759" t="s">
        <v>355</v>
      </c>
      <c r="AT780" s="1759" t="s">
        <v>327</v>
      </c>
      <c r="AU780" s="1763"/>
      <c r="AV780" s="1763"/>
    </row>
    <row r="781" spans="1:48" ht="25" hidden="1">
      <c r="A781" s="1785" t="str">
        <f t="shared" si="121"/>
        <v>גמל</v>
      </c>
      <c r="B781" s="1786">
        <f t="shared" si="122"/>
        <v>1232</v>
      </c>
      <c r="C781" s="1787">
        <v>28946</v>
      </c>
      <c r="D781" s="1786" t="str">
        <f t="shared" si="123"/>
        <v>הדס ארזים אפסילון השתלמות מסלול מנייתי</v>
      </c>
      <c r="E781" s="1786" t="s">
        <v>3929</v>
      </c>
      <c r="F781" s="1786" t="s">
        <v>2958</v>
      </c>
      <c r="G781" s="1786" t="s">
        <v>2959</v>
      </c>
      <c r="H781" s="1786" t="str">
        <f t="shared" si="124"/>
        <v>לא פעיל</v>
      </c>
      <c r="I781" s="1788">
        <f t="shared" si="125"/>
        <v>38131</v>
      </c>
      <c r="J781" s="1788">
        <f t="shared" si="126"/>
        <v>41547.521631944401</v>
      </c>
      <c r="K781" s="1786">
        <v>0</v>
      </c>
      <c r="L781" s="1786" t="s">
        <v>1594</v>
      </c>
      <c r="M781" s="1786" t="s">
        <v>1653</v>
      </c>
      <c r="N781" s="1786" t="s">
        <v>1653</v>
      </c>
      <c r="O781" s="1786">
        <v>0</v>
      </c>
      <c r="P781" s="1786"/>
      <c r="Q781" s="1786">
        <v>0</v>
      </c>
      <c r="R781" s="1788"/>
      <c r="S781" s="1786">
        <f t="shared" si="127"/>
        <v>1002</v>
      </c>
      <c r="T781" s="1786" t="str">
        <f t="shared" si="128"/>
        <v>בנק הפועלים בע"מ</v>
      </c>
      <c r="U781" s="1786" t="str">
        <f t="shared" si="129"/>
        <v>הדס ארזים אפסילון קרן השתלמות</v>
      </c>
      <c r="V781" s="1786" t="str">
        <f t="shared" si="130"/>
        <v>513163105</v>
      </c>
      <c r="W781" s="1789" t="str">
        <f t="shared" si="131"/>
        <v>הלמן - אלדובי קופות גמל ופנסיה בע"מ</v>
      </c>
      <c r="AC781" s="1761" t="s">
        <v>1586</v>
      </c>
      <c r="AD781" s="1762">
        <v>41547.521631944401</v>
      </c>
      <c r="AE781" s="1762">
        <v>38131</v>
      </c>
      <c r="AF781" s="1761" t="s">
        <v>1595</v>
      </c>
      <c r="AG781" s="1761" t="s">
        <v>75</v>
      </c>
      <c r="AH781" s="1761" t="s">
        <v>1594</v>
      </c>
      <c r="AI781" s="1761" t="s">
        <v>3565</v>
      </c>
      <c r="AJ781" s="1761" t="s">
        <v>3565</v>
      </c>
      <c r="AK781" s="1761">
        <v>1232</v>
      </c>
      <c r="AL781" s="1761" t="s">
        <v>3454</v>
      </c>
      <c r="AM781" s="1761">
        <v>1002</v>
      </c>
      <c r="AN781" s="1761" t="s">
        <v>1695</v>
      </c>
      <c r="AO781" s="1764"/>
      <c r="AP781" s="1761" t="s">
        <v>5371</v>
      </c>
      <c r="AQ781" s="1761" t="s">
        <v>5372</v>
      </c>
      <c r="AR781" s="1761" t="s">
        <v>354</v>
      </c>
      <c r="AS781" s="1761" t="s">
        <v>355</v>
      </c>
      <c r="AT781" s="1761" t="s">
        <v>327</v>
      </c>
      <c r="AU781" s="1763"/>
      <c r="AV781" s="1763"/>
    </row>
    <row r="782" spans="1:48" ht="25" hidden="1">
      <c r="A782" s="1785" t="str">
        <f t="shared" si="121"/>
        <v>גמל</v>
      </c>
      <c r="B782" s="1786">
        <f t="shared" si="122"/>
        <v>1231</v>
      </c>
      <c r="C782" s="1787">
        <v>28946</v>
      </c>
      <c r="D782" s="1786" t="str">
        <f t="shared" si="123"/>
        <v>הדס ארזים אפסילון השתלמות מסלול אג"ח</v>
      </c>
      <c r="E782" s="1786" t="s">
        <v>3929</v>
      </c>
      <c r="F782" s="1786" t="s">
        <v>2958</v>
      </c>
      <c r="G782" s="1786" t="s">
        <v>2959</v>
      </c>
      <c r="H782" s="1786" t="str">
        <f t="shared" si="124"/>
        <v>לא פעיל</v>
      </c>
      <c r="I782" s="1788">
        <f t="shared" si="125"/>
        <v>38131</v>
      </c>
      <c r="J782" s="1788">
        <f t="shared" si="126"/>
        <v>41547.521631944401</v>
      </c>
      <c r="K782" s="1786">
        <v>0</v>
      </c>
      <c r="L782" s="1786" t="s">
        <v>1594</v>
      </c>
      <c r="M782" s="1786" t="s">
        <v>1653</v>
      </c>
      <c r="N782" s="1786" t="s">
        <v>1653</v>
      </c>
      <c r="O782" s="1786">
        <v>0</v>
      </c>
      <c r="P782" s="1786"/>
      <c r="Q782" s="1786">
        <v>0</v>
      </c>
      <c r="R782" s="1788"/>
      <c r="S782" s="1786">
        <f t="shared" si="127"/>
        <v>1002</v>
      </c>
      <c r="T782" s="1786" t="str">
        <f t="shared" si="128"/>
        <v>בנק הפועלים בע"מ</v>
      </c>
      <c r="U782" s="1786" t="str">
        <f t="shared" si="129"/>
        <v>הדס ארזים אפסילון קרן השתלמות</v>
      </c>
      <c r="V782" s="1786" t="str">
        <f t="shared" si="130"/>
        <v>513163105</v>
      </c>
      <c r="W782" s="1789" t="str">
        <f t="shared" si="131"/>
        <v>הלמן - אלדובי קופות גמל ופנסיה בע"מ</v>
      </c>
      <c r="AC782" s="1759" t="s">
        <v>1586</v>
      </c>
      <c r="AD782" s="1760">
        <v>41547.521631944401</v>
      </c>
      <c r="AE782" s="1760">
        <v>38131</v>
      </c>
      <c r="AF782" s="1759" t="s">
        <v>1653</v>
      </c>
      <c r="AG782" s="1759" t="s">
        <v>1653</v>
      </c>
      <c r="AH782" s="1759" t="s">
        <v>1594</v>
      </c>
      <c r="AI782" s="1759" t="s">
        <v>3564</v>
      </c>
      <c r="AJ782" s="1759" t="s">
        <v>3564</v>
      </c>
      <c r="AK782" s="1759">
        <v>1231</v>
      </c>
      <c r="AL782" s="1759" t="s">
        <v>3454</v>
      </c>
      <c r="AM782" s="1759">
        <v>1002</v>
      </c>
      <c r="AN782" s="1759" t="s">
        <v>1695</v>
      </c>
      <c r="AO782" s="1764"/>
      <c r="AP782" s="1759" t="s">
        <v>5371</v>
      </c>
      <c r="AQ782" s="1759" t="s">
        <v>5372</v>
      </c>
      <c r="AR782" s="1759" t="s">
        <v>354</v>
      </c>
      <c r="AS782" s="1759" t="s">
        <v>355</v>
      </c>
      <c r="AT782" s="1759" t="s">
        <v>327</v>
      </c>
      <c r="AU782" s="1763"/>
      <c r="AV782" s="1763"/>
    </row>
    <row r="783" spans="1:48" ht="25" hidden="1">
      <c r="A783" s="1785" t="str">
        <f t="shared" si="121"/>
        <v>גמל</v>
      </c>
      <c r="B783" s="1786">
        <f t="shared" si="122"/>
        <v>988</v>
      </c>
      <c r="C783" s="1787">
        <v>28946</v>
      </c>
      <c r="D783" s="1786" t="str">
        <f t="shared" si="123"/>
        <v>אתגרים תעשיות מסלול טווח קצר</v>
      </c>
      <c r="E783" s="1786" t="s">
        <v>3929</v>
      </c>
      <c r="F783" s="1786" t="s">
        <v>2958</v>
      </c>
      <c r="G783" s="1786" t="s">
        <v>2959</v>
      </c>
      <c r="H783" s="1786" t="str">
        <f t="shared" si="124"/>
        <v>לא פעיל</v>
      </c>
      <c r="I783" s="1788">
        <f t="shared" si="125"/>
        <v>38034</v>
      </c>
      <c r="J783" s="1788">
        <f t="shared" si="126"/>
        <v>39804.603773148097</v>
      </c>
      <c r="K783" s="1786">
        <v>0</v>
      </c>
      <c r="L783" s="1786" t="s">
        <v>1594</v>
      </c>
      <c r="M783" s="1786" t="s">
        <v>1653</v>
      </c>
      <c r="N783" s="1786" t="s">
        <v>1653</v>
      </c>
      <c r="O783" s="1786">
        <v>0</v>
      </c>
      <c r="P783" s="1786"/>
      <c r="Q783" s="1786">
        <v>0</v>
      </c>
      <c r="R783" s="1788"/>
      <c r="S783" s="1786">
        <f t="shared" si="127"/>
        <v>988</v>
      </c>
      <c r="T783" s="1786" t="str">
        <f t="shared" si="128"/>
        <v>בנק לאומי בע"מ</v>
      </c>
      <c r="U783" s="1786" t="str">
        <f t="shared" si="129"/>
        <v>אתגרים תעשיות מסלול טווח קצר</v>
      </c>
      <c r="V783" s="1786">
        <f t="shared" si="130"/>
        <v>0</v>
      </c>
      <c r="W783" s="1789" t="str">
        <f t="shared" si="131"/>
        <v>ישיר בית השקעות (קופות גמל) בע"מ</v>
      </c>
      <c r="AC783" s="1761" t="s">
        <v>1586</v>
      </c>
      <c r="AD783" s="1762">
        <v>39804.603773148097</v>
      </c>
      <c r="AE783" s="1762">
        <v>38034</v>
      </c>
      <c r="AF783" s="1761" t="s">
        <v>1673</v>
      </c>
      <c r="AG783" s="1761" t="s">
        <v>1614</v>
      </c>
      <c r="AH783" s="1761" t="s">
        <v>1594</v>
      </c>
      <c r="AI783" s="1761" t="s">
        <v>3452</v>
      </c>
      <c r="AJ783" s="1761" t="s">
        <v>2198</v>
      </c>
      <c r="AK783" s="1761">
        <v>988</v>
      </c>
      <c r="AL783" s="1761" t="s">
        <v>2198</v>
      </c>
      <c r="AM783" s="1761">
        <v>988</v>
      </c>
      <c r="AN783" s="1761" t="s">
        <v>5470</v>
      </c>
      <c r="AO783" s="1764"/>
      <c r="AP783" s="1761"/>
      <c r="AQ783" s="1761"/>
      <c r="AR783" s="1761" t="s">
        <v>2162</v>
      </c>
      <c r="AS783" s="1761" t="s">
        <v>2161</v>
      </c>
      <c r="AT783" s="1761" t="s">
        <v>327</v>
      </c>
      <c r="AU783" s="1763"/>
      <c r="AV783" s="1763"/>
    </row>
    <row r="784" spans="1:48" ht="25" hidden="1">
      <c r="A784" s="1785" t="str">
        <f t="shared" si="121"/>
        <v>גמל</v>
      </c>
      <c r="B784" s="1786">
        <f t="shared" si="122"/>
        <v>987</v>
      </c>
      <c r="C784" s="1787">
        <v>28946</v>
      </c>
      <c r="D784" s="1786" t="str">
        <f t="shared" si="123"/>
        <v>אתגרים תעשיות מסלול כללי ב'</v>
      </c>
      <c r="E784" s="1786" t="s">
        <v>3929</v>
      </c>
      <c r="F784" s="1786" t="s">
        <v>2958</v>
      </c>
      <c r="G784" s="1786" t="s">
        <v>2959</v>
      </c>
      <c r="H784" s="1786" t="str">
        <f t="shared" si="124"/>
        <v>לא פעיל</v>
      </c>
      <c r="I784" s="1788">
        <f t="shared" si="125"/>
        <v>38034</v>
      </c>
      <c r="J784" s="1788">
        <f t="shared" si="126"/>
        <v>39804.603703703702</v>
      </c>
      <c r="K784" s="1786">
        <v>0</v>
      </c>
      <c r="L784" s="1786" t="s">
        <v>1594</v>
      </c>
      <c r="M784" s="1786" t="s">
        <v>1653</v>
      </c>
      <c r="N784" s="1786" t="s">
        <v>1653</v>
      </c>
      <c r="O784" s="1786">
        <v>0</v>
      </c>
      <c r="P784" s="1786"/>
      <c r="Q784" s="1786">
        <v>0</v>
      </c>
      <c r="R784" s="1788"/>
      <c r="S784" s="1786">
        <f t="shared" si="127"/>
        <v>987</v>
      </c>
      <c r="T784" s="1786" t="str">
        <f t="shared" si="128"/>
        <v>בנק לאומי בע"מ</v>
      </c>
      <c r="U784" s="1786" t="str">
        <f t="shared" si="129"/>
        <v>אתגרים תעשיות מסלול כללי ב'</v>
      </c>
      <c r="V784" s="1786">
        <f t="shared" si="130"/>
        <v>0</v>
      </c>
      <c r="W784" s="1789" t="str">
        <f t="shared" si="131"/>
        <v>ישיר בית השקעות (קופות גמל) בע"מ</v>
      </c>
      <c r="AC784" s="1759" t="s">
        <v>1586</v>
      </c>
      <c r="AD784" s="1760">
        <v>39804.603703703702</v>
      </c>
      <c r="AE784" s="1760">
        <v>38034</v>
      </c>
      <c r="AF784" s="1759" t="s">
        <v>1583</v>
      </c>
      <c r="AG784" s="1759" t="s">
        <v>1583</v>
      </c>
      <c r="AH784" s="1759" t="s">
        <v>1583</v>
      </c>
      <c r="AI784" s="1759" t="s">
        <v>3451</v>
      </c>
      <c r="AJ784" s="1759" t="s">
        <v>2197</v>
      </c>
      <c r="AK784" s="1759">
        <v>987</v>
      </c>
      <c r="AL784" s="1759" t="s">
        <v>2197</v>
      </c>
      <c r="AM784" s="1759">
        <v>987</v>
      </c>
      <c r="AN784" s="1759" t="s">
        <v>5470</v>
      </c>
      <c r="AO784" s="1764"/>
      <c r="AP784" s="1759"/>
      <c r="AQ784" s="1759"/>
      <c r="AR784" s="1759" t="s">
        <v>2162</v>
      </c>
      <c r="AS784" s="1759" t="s">
        <v>2161</v>
      </c>
      <c r="AT784" s="1759" t="s">
        <v>327</v>
      </c>
      <c r="AU784" s="1763"/>
      <c r="AV784" s="1763"/>
    </row>
    <row r="785" spans="1:48" ht="25" hidden="1">
      <c r="A785" s="1785" t="str">
        <f t="shared" si="121"/>
        <v>גמל</v>
      </c>
      <c r="B785" s="1786">
        <f t="shared" si="122"/>
        <v>986</v>
      </c>
      <c r="C785" s="1787">
        <v>28946</v>
      </c>
      <c r="D785" s="1786" t="str">
        <f t="shared" si="123"/>
        <v>אתגרים תעשיות מסלול כללי</v>
      </c>
      <c r="E785" s="1786" t="s">
        <v>3929</v>
      </c>
      <c r="F785" s="1786" t="s">
        <v>2958</v>
      </c>
      <c r="G785" s="1786" t="s">
        <v>2959</v>
      </c>
      <c r="H785" s="1786" t="str">
        <f t="shared" si="124"/>
        <v>לא פעיל</v>
      </c>
      <c r="I785" s="1788">
        <f t="shared" si="125"/>
        <v>38034</v>
      </c>
      <c r="J785" s="1788">
        <f t="shared" si="126"/>
        <v>40360</v>
      </c>
      <c r="K785" s="1786">
        <v>0</v>
      </c>
      <c r="L785" s="1786" t="s">
        <v>1594</v>
      </c>
      <c r="M785" s="1786" t="s">
        <v>1653</v>
      </c>
      <c r="N785" s="1786" t="s">
        <v>1653</v>
      </c>
      <c r="O785" s="1786">
        <v>0</v>
      </c>
      <c r="P785" s="1786"/>
      <c r="Q785" s="1786">
        <v>0</v>
      </c>
      <c r="R785" s="1788"/>
      <c r="S785" s="1786">
        <f t="shared" si="127"/>
        <v>986</v>
      </c>
      <c r="T785" s="1786" t="str">
        <f t="shared" si="128"/>
        <v>בנק לאומי בע"מ</v>
      </c>
      <c r="U785" s="1786" t="str">
        <f t="shared" si="129"/>
        <v>אתגרים תעשיות מסלול כללי</v>
      </c>
      <c r="V785" s="1786">
        <f t="shared" si="130"/>
        <v>0</v>
      </c>
      <c r="W785" s="1789" t="str">
        <f t="shared" si="131"/>
        <v>ישיר בית השקעות (קופות גמל) בע"מ</v>
      </c>
      <c r="AC785" s="1761" t="s">
        <v>1586</v>
      </c>
      <c r="AD785" s="1762">
        <v>40360</v>
      </c>
      <c r="AE785" s="1762">
        <v>38034</v>
      </c>
      <c r="AF785" s="1761" t="s">
        <v>1583</v>
      </c>
      <c r="AG785" s="1761" t="s">
        <v>1583</v>
      </c>
      <c r="AH785" s="1761" t="s">
        <v>1583</v>
      </c>
      <c r="AI785" s="1761" t="s">
        <v>3450</v>
      </c>
      <c r="AJ785" s="1761" t="s">
        <v>2196</v>
      </c>
      <c r="AK785" s="1761">
        <v>986</v>
      </c>
      <c r="AL785" s="1761" t="s">
        <v>2196</v>
      </c>
      <c r="AM785" s="1761">
        <v>986</v>
      </c>
      <c r="AN785" s="1761" t="s">
        <v>5470</v>
      </c>
      <c r="AO785" s="1764"/>
      <c r="AP785" s="1761"/>
      <c r="AQ785" s="1761"/>
      <c r="AR785" s="1761" t="s">
        <v>2162</v>
      </c>
      <c r="AS785" s="1761" t="s">
        <v>2161</v>
      </c>
      <c r="AT785" s="1761" t="s">
        <v>327</v>
      </c>
      <c r="AU785" s="1763"/>
      <c r="AV785" s="1763"/>
    </row>
    <row r="786" spans="1:48" ht="25" hidden="1">
      <c r="A786" s="1785" t="str">
        <f t="shared" si="121"/>
        <v>גמל</v>
      </c>
      <c r="B786" s="1786">
        <f t="shared" si="122"/>
        <v>985</v>
      </c>
      <c r="C786" s="1787">
        <v>28946</v>
      </c>
      <c r="D786" s="1786" t="str">
        <f t="shared" si="123"/>
        <v>אתגרים תעשיות מסלול שקלי</v>
      </c>
      <c r="E786" s="1786" t="s">
        <v>3929</v>
      </c>
      <c r="F786" s="1786" t="s">
        <v>2958</v>
      </c>
      <c r="G786" s="1786" t="s">
        <v>2959</v>
      </c>
      <c r="H786" s="1786" t="str">
        <f t="shared" si="124"/>
        <v>לא פעיל</v>
      </c>
      <c r="I786" s="1788">
        <f t="shared" si="125"/>
        <v>38034</v>
      </c>
      <c r="J786" s="1788">
        <f t="shared" si="126"/>
        <v>39804.603275463</v>
      </c>
      <c r="K786" s="1786">
        <v>0</v>
      </c>
      <c r="L786" s="1786" t="s">
        <v>1594</v>
      </c>
      <c r="M786" s="1786" t="s">
        <v>1653</v>
      </c>
      <c r="N786" s="1786" t="s">
        <v>1653</v>
      </c>
      <c r="O786" s="1786">
        <v>0</v>
      </c>
      <c r="P786" s="1786"/>
      <c r="Q786" s="1786">
        <v>0</v>
      </c>
      <c r="R786" s="1788"/>
      <c r="S786" s="1786">
        <f t="shared" si="127"/>
        <v>985</v>
      </c>
      <c r="T786" s="1786" t="str">
        <f t="shared" si="128"/>
        <v>בנק לאומי בע"מ</v>
      </c>
      <c r="U786" s="1786" t="str">
        <f t="shared" si="129"/>
        <v>אתגרים תעשיות מסלול שקלי</v>
      </c>
      <c r="V786" s="1786">
        <f t="shared" si="130"/>
        <v>0</v>
      </c>
      <c r="W786" s="1789" t="str">
        <f t="shared" si="131"/>
        <v>ישיר בית השקעות (קופות גמל) בע"מ</v>
      </c>
      <c r="AC786" s="1759" t="s">
        <v>1586</v>
      </c>
      <c r="AD786" s="1760">
        <v>39804.603275463</v>
      </c>
      <c r="AE786" s="1760">
        <v>38034</v>
      </c>
      <c r="AF786" s="1759" t="s">
        <v>1076</v>
      </c>
      <c r="AG786" s="1759" t="s">
        <v>1614</v>
      </c>
      <c r="AH786" s="1759" t="s">
        <v>1594</v>
      </c>
      <c r="AI786" s="1759" t="s">
        <v>3449</v>
      </c>
      <c r="AJ786" s="1759" t="s">
        <v>2195</v>
      </c>
      <c r="AK786" s="1759">
        <v>985</v>
      </c>
      <c r="AL786" s="1759" t="s">
        <v>2195</v>
      </c>
      <c r="AM786" s="1759">
        <v>985</v>
      </c>
      <c r="AN786" s="1759" t="s">
        <v>5470</v>
      </c>
      <c r="AO786" s="1764"/>
      <c r="AP786" s="1759"/>
      <c r="AQ786" s="1759"/>
      <c r="AR786" s="1759" t="s">
        <v>2162</v>
      </c>
      <c r="AS786" s="1759" t="s">
        <v>2161</v>
      </c>
      <c r="AT786" s="1759" t="s">
        <v>327</v>
      </c>
      <c r="AU786" s="1763"/>
      <c r="AV786" s="1763"/>
    </row>
    <row r="787" spans="1:48" ht="25" hidden="1">
      <c r="A787" s="1785" t="str">
        <f t="shared" si="121"/>
        <v>גמל</v>
      </c>
      <c r="B787" s="1786">
        <f t="shared" si="122"/>
        <v>984</v>
      </c>
      <c r="C787" s="1787">
        <v>28946</v>
      </c>
      <c r="D787" s="1786" t="str">
        <f t="shared" si="123"/>
        <v>אתגרים תעשיות מסלול צמוד מדד</v>
      </c>
      <c r="E787" s="1786" t="s">
        <v>3929</v>
      </c>
      <c r="F787" s="1786" t="s">
        <v>2958</v>
      </c>
      <c r="G787" s="1786" t="s">
        <v>2959</v>
      </c>
      <c r="H787" s="1786" t="str">
        <f t="shared" si="124"/>
        <v>לא פעיל</v>
      </c>
      <c r="I787" s="1788">
        <f t="shared" si="125"/>
        <v>38034</v>
      </c>
      <c r="J787" s="1788">
        <f t="shared" si="126"/>
        <v>39804.603171296301</v>
      </c>
      <c r="K787" s="1786">
        <v>0</v>
      </c>
      <c r="L787" s="1786" t="s">
        <v>1594</v>
      </c>
      <c r="M787" s="1786" t="s">
        <v>1653</v>
      </c>
      <c r="N787" s="1786" t="s">
        <v>1653</v>
      </c>
      <c r="O787" s="1786">
        <v>0</v>
      </c>
      <c r="P787" s="1786"/>
      <c r="Q787" s="1786">
        <v>0</v>
      </c>
      <c r="R787" s="1788"/>
      <c r="S787" s="1786">
        <f t="shared" si="127"/>
        <v>984</v>
      </c>
      <c r="T787" s="1786" t="str">
        <f t="shared" si="128"/>
        <v>בנק לאומי בע"מ</v>
      </c>
      <c r="U787" s="1786" t="str">
        <f t="shared" si="129"/>
        <v>אתגרים תעשיות מסלול צמוד מדד</v>
      </c>
      <c r="V787" s="1786">
        <f t="shared" si="130"/>
        <v>0</v>
      </c>
      <c r="W787" s="1789" t="str">
        <f t="shared" si="131"/>
        <v>ישיר בית השקעות (קופות גמל) בע"מ</v>
      </c>
      <c r="AC787" s="1761" t="s">
        <v>1586</v>
      </c>
      <c r="AD787" s="1762">
        <v>39804.603171296301</v>
      </c>
      <c r="AE787" s="1762">
        <v>38034</v>
      </c>
      <c r="AF787" s="1761" t="s">
        <v>1094</v>
      </c>
      <c r="AG787" s="1761" t="s">
        <v>1094</v>
      </c>
      <c r="AH787" s="1761" t="s">
        <v>1594</v>
      </c>
      <c r="AI787" s="1761" t="s">
        <v>3448</v>
      </c>
      <c r="AJ787" s="1761" t="s">
        <v>2194</v>
      </c>
      <c r="AK787" s="1761">
        <v>984</v>
      </c>
      <c r="AL787" s="1761" t="s">
        <v>2194</v>
      </c>
      <c r="AM787" s="1761">
        <v>984</v>
      </c>
      <c r="AN787" s="1761" t="s">
        <v>5470</v>
      </c>
      <c r="AO787" s="1764"/>
      <c r="AP787" s="1761"/>
      <c r="AQ787" s="1761"/>
      <c r="AR787" s="1761" t="s">
        <v>2162</v>
      </c>
      <c r="AS787" s="1761" t="s">
        <v>2161</v>
      </c>
      <c r="AT787" s="1761" t="s">
        <v>327</v>
      </c>
      <c r="AU787" s="1763"/>
      <c r="AV787" s="1763"/>
    </row>
    <row r="788" spans="1:48" ht="25" hidden="1">
      <c r="A788" s="1785" t="str">
        <f t="shared" si="121"/>
        <v>גמל</v>
      </c>
      <c r="B788" s="1786">
        <f t="shared" si="122"/>
        <v>983</v>
      </c>
      <c r="C788" s="1787">
        <v>28946</v>
      </c>
      <c r="D788" s="1786" t="str">
        <f t="shared" si="123"/>
        <v>אתגרים תעשיות מסלול מט"ח</v>
      </c>
      <c r="E788" s="1786" t="s">
        <v>3929</v>
      </c>
      <c r="F788" s="1786" t="s">
        <v>2958</v>
      </c>
      <c r="G788" s="1786" t="s">
        <v>2959</v>
      </c>
      <c r="H788" s="1786" t="str">
        <f t="shared" si="124"/>
        <v>לא פעיל</v>
      </c>
      <c r="I788" s="1788">
        <f t="shared" si="125"/>
        <v>38034</v>
      </c>
      <c r="J788" s="1788">
        <f t="shared" si="126"/>
        <v>39804.603113425903</v>
      </c>
      <c r="K788" s="1786">
        <v>0</v>
      </c>
      <c r="L788" s="1786" t="s">
        <v>1594</v>
      </c>
      <c r="M788" s="1786" t="s">
        <v>1653</v>
      </c>
      <c r="N788" s="1786" t="s">
        <v>1653</v>
      </c>
      <c r="O788" s="1786">
        <v>0</v>
      </c>
      <c r="P788" s="1786"/>
      <c r="Q788" s="1786">
        <v>0</v>
      </c>
      <c r="R788" s="1788"/>
      <c r="S788" s="1786">
        <f t="shared" si="127"/>
        <v>983</v>
      </c>
      <c r="T788" s="1786" t="str">
        <f t="shared" si="128"/>
        <v>בנק לאומי בע"מ</v>
      </c>
      <c r="U788" s="1786" t="str">
        <f t="shared" si="129"/>
        <v>אתגרים תעשיות מסלול מט"ח</v>
      </c>
      <c r="V788" s="1786">
        <f t="shared" si="130"/>
        <v>0</v>
      </c>
      <c r="W788" s="1789" t="str">
        <f t="shared" si="131"/>
        <v>ישיר בית השקעות (קופות גמל) בע"מ</v>
      </c>
      <c r="AC788" s="1759" t="s">
        <v>1586</v>
      </c>
      <c r="AD788" s="1760">
        <v>39804.603113425903</v>
      </c>
      <c r="AE788" s="1760">
        <v>38034</v>
      </c>
      <c r="AF788" s="1759" t="s">
        <v>1611</v>
      </c>
      <c r="AG788" s="1759" t="s">
        <v>1611</v>
      </c>
      <c r="AH788" s="1759" t="s">
        <v>1594</v>
      </c>
      <c r="AI788" s="1759" t="s">
        <v>3447</v>
      </c>
      <c r="AJ788" s="1759" t="s">
        <v>2193</v>
      </c>
      <c r="AK788" s="1759">
        <v>983</v>
      </c>
      <c r="AL788" s="1759" t="s">
        <v>2193</v>
      </c>
      <c r="AM788" s="1759">
        <v>983</v>
      </c>
      <c r="AN788" s="1759" t="s">
        <v>5470</v>
      </c>
      <c r="AO788" s="1764"/>
      <c r="AP788" s="1759"/>
      <c r="AQ788" s="1759"/>
      <c r="AR788" s="1759" t="s">
        <v>2162</v>
      </c>
      <c r="AS788" s="1759" t="s">
        <v>2161</v>
      </c>
      <c r="AT788" s="1759" t="s">
        <v>327</v>
      </c>
      <c r="AU788" s="1763"/>
      <c r="AV788" s="1763"/>
    </row>
    <row r="789" spans="1:48" ht="25" hidden="1">
      <c r="A789" s="1785" t="str">
        <f t="shared" si="121"/>
        <v>גמל</v>
      </c>
      <c r="B789" s="1786">
        <f t="shared" si="122"/>
        <v>982</v>
      </c>
      <c r="C789" s="1787">
        <v>28946</v>
      </c>
      <c r="D789" s="1786" t="str">
        <f t="shared" si="123"/>
        <v>אתגרים תעשיות מסלול מניות</v>
      </c>
      <c r="E789" s="1786" t="s">
        <v>3929</v>
      </c>
      <c r="F789" s="1786" t="s">
        <v>2958</v>
      </c>
      <c r="G789" s="1786" t="s">
        <v>2959</v>
      </c>
      <c r="H789" s="1786" t="str">
        <f t="shared" si="124"/>
        <v>לא פעיל</v>
      </c>
      <c r="I789" s="1788">
        <f t="shared" si="125"/>
        <v>38034</v>
      </c>
      <c r="J789" s="1788">
        <f t="shared" si="126"/>
        <v>39804.603020833303</v>
      </c>
      <c r="K789" s="1786">
        <v>0</v>
      </c>
      <c r="L789" s="1786" t="s">
        <v>1594</v>
      </c>
      <c r="M789" s="1786" t="s">
        <v>1653</v>
      </c>
      <c r="N789" s="1786" t="s">
        <v>1653</v>
      </c>
      <c r="O789" s="1786">
        <v>0</v>
      </c>
      <c r="P789" s="1786"/>
      <c r="Q789" s="1786">
        <v>0</v>
      </c>
      <c r="R789" s="1788"/>
      <c r="S789" s="1786">
        <f t="shared" si="127"/>
        <v>982</v>
      </c>
      <c r="T789" s="1786" t="str">
        <f t="shared" si="128"/>
        <v>בנק לאומי בע"מ</v>
      </c>
      <c r="U789" s="1786" t="str">
        <f t="shared" si="129"/>
        <v>אתגרים תעשיות מסלול מניות</v>
      </c>
      <c r="V789" s="1786">
        <f t="shared" si="130"/>
        <v>0</v>
      </c>
      <c r="W789" s="1789" t="str">
        <f t="shared" si="131"/>
        <v>ישיר בית השקעות (קופות גמל) בע"מ</v>
      </c>
      <c r="AC789" s="1761" t="s">
        <v>1586</v>
      </c>
      <c r="AD789" s="1762">
        <v>39804.603020833303</v>
      </c>
      <c r="AE789" s="1762">
        <v>38034</v>
      </c>
      <c r="AF789" s="1761" t="s">
        <v>1595</v>
      </c>
      <c r="AG789" s="1761" t="s">
        <v>75</v>
      </c>
      <c r="AH789" s="1761" t="s">
        <v>1594</v>
      </c>
      <c r="AI789" s="1761" t="s">
        <v>3446</v>
      </c>
      <c r="AJ789" s="1761" t="s">
        <v>2192</v>
      </c>
      <c r="AK789" s="1761">
        <v>982</v>
      </c>
      <c r="AL789" s="1761" t="s">
        <v>2192</v>
      </c>
      <c r="AM789" s="1761">
        <v>982</v>
      </c>
      <c r="AN789" s="1761" t="s">
        <v>5470</v>
      </c>
      <c r="AO789" s="1764"/>
      <c r="AP789" s="1761"/>
      <c r="AQ789" s="1761"/>
      <c r="AR789" s="1761" t="s">
        <v>2162</v>
      </c>
      <c r="AS789" s="1761" t="s">
        <v>2161</v>
      </c>
      <c r="AT789" s="1761" t="s">
        <v>327</v>
      </c>
      <c r="AU789" s="1763"/>
      <c r="AV789" s="1763"/>
    </row>
    <row r="790" spans="1:48" ht="25" hidden="1">
      <c r="A790" s="1785" t="str">
        <f t="shared" si="121"/>
        <v>גמל</v>
      </c>
      <c r="B790" s="1786">
        <f t="shared" si="122"/>
        <v>981</v>
      </c>
      <c r="C790" s="1787">
        <v>28946</v>
      </c>
      <c r="D790" s="1786" t="str">
        <f t="shared" si="123"/>
        <v>מנורה גמל מיתר</v>
      </c>
      <c r="E790" s="1786" t="s">
        <v>3929</v>
      </c>
      <c r="F790" s="1786" t="s">
        <v>2958</v>
      </c>
      <c r="G790" s="1786" t="s">
        <v>2959</v>
      </c>
      <c r="H790" s="1786" t="str">
        <f t="shared" si="124"/>
        <v>לא פעיל</v>
      </c>
      <c r="I790" s="1788">
        <f t="shared" si="125"/>
        <v>38011</v>
      </c>
      <c r="J790" s="1788">
        <f t="shared" si="126"/>
        <v>40878</v>
      </c>
      <c r="K790" s="1786">
        <v>0</v>
      </c>
      <c r="L790" s="1786" t="s">
        <v>1594</v>
      </c>
      <c r="M790" s="1786" t="s">
        <v>1653</v>
      </c>
      <c r="N790" s="1786" t="s">
        <v>1653</v>
      </c>
      <c r="O790" s="1786">
        <v>0</v>
      </c>
      <c r="P790" s="1786"/>
      <c r="Q790" s="1786">
        <v>0</v>
      </c>
      <c r="R790" s="1788"/>
      <c r="S790" s="1786">
        <f t="shared" si="127"/>
        <v>981</v>
      </c>
      <c r="T790" s="1786" t="str">
        <f t="shared" si="128"/>
        <v>בנק הפועלים בע"מ</v>
      </c>
      <c r="U790" s="1786" t="str">
        <f t="shared" si="129"/>
        <v>מנורה גמל מיתר</v>
      </c>
      <c r="V790" s="1786">
        <f t="shared" si="130"/>
        <v>0</v>
      </c>
      <c r="W790" s="1789" t="str">
        <f t="shared" si="131"/>
        <v>מנורה מבטחים גמל בע"מ</v>
      </c>
      <c r="AC790" s="1759" t="s">
        <v>1586</v>
      </c>
      <c r="AD790" s="1760">
        <v>40878</v>
      </c>
      <c r="AE790" s="1760">
        <v>38011</v>
      </c>
      <c r="AF790" s="1759" t="s">
        <v>1583</v>
      </c>
      <c r="AG790" s="1759" t="s">
        <v>1583</v>
      </c>
      <c r="AH790" s="1759" t="s">
        <v>1583</v>
      </c>
      <c r="AI790" s="1759" t="s">
        <v>2191</v>
      </c>
      <c r="AJ790" s="1759" t="s">
        <v>2191</v>
      </c>
      <c r="AK790" s="1759">
        <v>981</v>
      </c>
      <c r="AL790" s="1759" t="s">
        <v>2191</v>
      </c>
      <c r="AM790" s="1759">
        <v>981</v>
      </c>
      <c r="AN790" s="1759" t="s">
        <v>1695</v>
      </c>
      <c r="AO790" s="1764"/>
      <c r="AP790" s="1759"/>
      <c r="AQ790" s="1759"/>
      <c r="AR790" s="1759" t="s">
        <v>363</v>
      </c>
      <c r="AS790" s="1759" t="s">
        <v>364</v>
      </c>
      <c r="AT790" s="1759" t="s">
        <v>327</v>
      </c>
      <c r="AU790" s="1763"/>
      <c r="AV790" s="1763"/>
    </row>
    <row r="791" spans="1:48" ht="25" hidden="1">
      <c r="A791" s="1785" t="str">
        <f t="shared" ref="A791:A854" si="132">AT791</f>
        <v>גמל</v>
      </c>
      <c r="B791" s="1786">
        <f t="shared" ref="B791:B854" si="133">AK791</f>
        <v>980</v>
      </c>
      <c r="C791" s="1787">
        <v>28946</v>
      </c>
      <c r="D791" s="1786" t="str">
        <f t="shared" ref="D791:D854" si="134">AJ791</f>
        <v>מסד מסלולית שיקלי</v>
      </c>
      <c r="E791" s="1786" t="s">
        <v>3929</v>
      </c>
      <c r="F791" s="1786" t="s">
        <v>2958</v>
      </c>
      <c r="G791" s="1786" t="s">
        <v>2959</v>
      </c>
      <c r="H791" s="1786" t="str">
        <f t="shared" ref="H791:H854" si="135">AC791</f>
        <v>לא פעיל</v>
      </c>
      <c r="I791" s="1788">
        <f t="shared" ref="I791:I854" si="136">IF(AE791="","",AE791)</f>
        <v>38011</v>
      </c>
      <c r="J791" s="1788">
        <f t="shared" ref="J791:J854" si="137">IF(AD791="","",AD791)</f>
        <v>39082</v>
      </c>
      <c r="K791" s="1786">
        <v>0</v>
      </c>
      <c r="L791" s="1786" t="s">
        <v>1594</v>
      </c>
      <c r="M791" s="1786" t="s">
        <v>1653</v>
      </c>
      <c r="N791" s="1786" t="s">
        <v>1653</v>
      </c>
      <c r="O791" s="1786">
        <v>0</v>
      </c>
      <c r="P791" s="1786"/>
      <c r="Q791" s="1786">
        <v>0</v>
      </c>
      <c r="R791" s="1788"/>
      <c r="S791" s="1786">
        <f t="shared" ref="S791:S854" si="138">AM791</f>
        <v>976</v>
      </c>
      <c r="T791" s="1786" t="str">
        <f t="shared" ref="T791:T854" si="139">AN791</f>
        <v>בנק מסד בע"מ</v>
      </c>
      <c r="U791" s="1786" t="str">
        <f t="shared" ref="U791:U854" si="140">AL791</f>
        <v>מסד מסלולית מדדי</v>
      </c>
      <c r="V791" s="1786">
        <f t="shared" ref="V791:V854" si="141">AQ791</f>
        <v>0</v>
      </c>
      <c r="W791" s="1789" t="str">
        <f t="shared" ref="W791:W854" si="142">AR791</f>
        <v>מנורה מבטחים גמל בע"מ</v>
      </c>
      <c r="AC791" s="1761" t="s">
        <v>1586</v>
      </c>
      <c r="AD791" s="1762">
        <v>39082</v>
      </c>
      <c r="AE791" s="1762">
        <v>38011</v>
      </c>
      <c r="AF791" s="1761" t="s">
        <v>1076</v>
      </c>
      <c r="AG791" s="1761" t="s">
        <v>1614</v>
      </c>
      <c r="AH791" s="1761" t="s">
        <v>1594</v>
      </c>
      <c r="AI791" s="1761" t="s">
        <v>2190</v>
      </c>
      <c r="AJ791" s="1761" t="s">
        <v>2190</v>
      </c>
      <c r="AK791" s="1761">
        <v>980</v>
      </c>
      <c r="AL791" s="1761" t="s">
        <v>2186</v>
      </c>
      <c r="AM791" s="1761">
        <v>976</v>
      </c>
      <c r="AN791" s="1761" t="s">
        <v>5531</v>
      </c>
      <c r="AO791" s="1764"/>
      <c r="AP791" s="1761"/>
      <c r="AQ791" s="1761"/>
      <c r="AR791" s="1761" t="s">
        <v>363</v>
      </c>
      <c r="AS791" s="1761" t="s">
        <v>364</v>
      </c>
      <c r="AT791" s="1761" t="s">
        <v>327</v>
      </c>
      <c r="AU791" s="1763"/>
      <c r="AV791" s="1763"/>
    </row>
    <row r="792" spans="1:48" ht="25" hidden="1">
      <c r="A792" s="1785" t="str">
        <f t="shared" si="132"/>
        <v>גמל</v>
      </c>
      <c r="B792" s="1786">
        <f t="shared" si="133"/>
        <v>979</v>
      </c>
      <c r="C792" s="1787">
        <v>28946</v>
      </c>
      <c r="D792" s="1786" t="str">
        <f t="shared" si="134"/>
        <v>מסד מסלולית כללי</v>
      </c>
      <c r="E792" s="1786" t="s">
        <v>3929</v>
      </c>
      <c r="F792" s="1786" t="s">
        <v>2958</v>
      </c>
      <c r="G792" s="1786" t="s">
        <v>2959</v>
      </c>
      <c r="H792" s="1786" t="str">
        <f t="shared" si="135"/>
        <v>לא פעיל</v>
      </c>
      <c r="I792" s="1788">
        <f t="shared" si="136"/>
        <v>38011</v>
      </c>
      <c r="J792" s="1788">
        <f t="shared" si="137"/>
        <v>39082</v>
      </c>
      <c r="K792" s="1786">
        <v>0</v>
      </c>
      <c r="L792" s="1786" t="s">
        <v>1594</v>
      </c>
      <c r="M792" s="1786" t="s">
        <v>1653</v>
      </c>
      <c r="N792" s="1786" t="s">
        <v>1653</v>
      </c>
      <c r="O792" s="1786">
        <v>0</v>
      </c>
      <c r="P792" s="1786"/>
      <c r="Q792" s="1786">
        <v>0</v>
      </c>
      <c r="R792" s="1788"/>
      <c r="S792" s="1786">
        <f t="shared" si="138"/>
        <v>976</v>
      </c>
      <c r="T792" s="1786" t="str">
        <f t="shared" si="139"/>
        <v>בנק מסד בע"מ</v>
      </c>
      <c r="U792" s="1786" t="str">
        <f t="shared" si="140"/>
        <v>מסד מסלולית מדדי</v>
      </c>
      <c r="V792" s="1786">
        <f t="shared" si="141"/>
        <v>0</v>
      </c>
      <c r="W792" s="1789" t="str">
        <f t="shared" si="142"/>
        <v>מנורה מבטחים גמל בע"מ</v>
      </c>
      <c r="AC792" s="1759" t="s">
        <v>1586</v>
      </c>
      <c r="AD792" s="1760">
        <v>39082</v>
      </c>
      <c r="AE792" s="1760">
        <v>38011</v>
      </c>
      <c r="AF792" s="1759" t="s">
        <v>1583</v>
      </c>
      <c r="AG792" s="1759" t="s">
        <v>1583</v>
      </c>
      <c r="AH792" s="1759" t="s">
        <v>1583</v>
      </c>
      <c r="AI792" s="1759" t="s">
        <v>2189</v>
      </c>
      <c r="AJ792" s="1759" t="s">
        <v>2189</v>
      </c>
      <c r="AK792" s="1759">
        <v>979</v>
      </c>
      <c r="AL792" s="1759" t="s">
        <v>2186</v>
      </c>
      <c r="AM792" s="1759">
        <v>976</v>
      </c>
      <c r="AN792" s="1759" t="s">
        <v>5531</v>
      </c>
      <c r="AO792" s="1764"/>
      <c r="AP792" s="1759"/>
      <c r="AQ792" s="1759"/>
      <c r="AR792" s="1759" t="s">
        <v>363</v>
      </c>
      <c r="AS792" s="1759" t="s">
        <v>364</v>
      </c>
      <c r="AT792" s="1759" t="s">
        <v>327</v>
      </c>
      <c r="AU792" s="1763"/>
      <c r="AV792" s="1763"/>
    </row>
    <row r="793" spans="1:48" ht="25" hidden="1">
      <c r="A793" s="1785" t="str">
        <f t="shared" si="132"/>
        <v>גמל</v>
      </c>
      <c r="B793" s="1786">
        <f t="shared" si="133"/>
        <v>978</v>
      </c>
      <c r="C793" s="1787">
        <v>28946</v>
      </c>
      <c r="D793" s="1786" t="str">
        <f t="shared" si="134"/>
        <v>מסד מסלולית מנייתי</v>
      </c>
      <c r="E793" s="1786" t="s">
        <v>3929</v>
      </c>
      <c r="F793" s="1786" t="s">
        <v>2958</v>
      </c>
      <c r="G793" s="1786" t="s">
        <v>2959</v>
      </c>
      <c r="H793" s="1786" t="str">
        <f t="shared" si="135"/>
        <v>לא פעיל</v>
      </c>
      <c r="I793" s="1788">
        <f t="shared" si="136"/>
        <v>38011</v>
      </c>
      <c r="J793" s="1788">
        <f t="shared" si="137"/>
        <v>39082</v>
      </c>
      <c r="K793" s="1786">
        <v>0</v>
      </c>
      <c r="L793" s="1786" t="s">
        <v>1594</v>
      </c>
      <c r="M793" s="1786" t="s">
        <v>1653</v>
      </c>
      <c r="N793" s="1786" t="s">
        <v>1653</v>
      </c>
      <c r="O793" s="1786">
        <v>0</v>
      </c>
      <c r="P793" s="1786"/>
      <c r="Q793" s="1786">
        <v>0</v>
      </c>
      <c r="R793" s="1788"/>
      <c r="S793" s="1786">
        <f t="shared" si="138"/>
        <v>976</v>
      </c>
      <c r="T793" s="1786" t="str">
        <f t="shared" si="139"/>
        <v>בנק מסד בע"מ</v>
      </c>
      <c r="U793" s="1786" t="str">
        <f t="shared" si="140"/>
        <v>מסד מסלולית מדדי</v>
      </c>
      <c r="V793" s="1786">
        <f t="shared" si="141"/>
        <v>0</v>
      </c>
      <c r="W793" s="1789" t="str">
        <f t="shared" si="142"/>
        <v>מנורה מבטחים גמל בע"מ</v>
      </c>
      <c r="AC793" s="1761" t="s">
        <v>1586</v>
      </c>
      <c r="AD793" s="1762">
        <v>39082</v>
      </c>
      <c r="AE793" s="1762">
        <v>38011</v>
      </c>
      <c r="AF793" s="1761" t="s">
        <v>1595</v>
      </c>
      <c r="AG793" s="1761" t="s">
        <v>75</v>
      </c>
      <c r="AH793" s="1761" t="s">
        <v>1594</v>
      </c>
      <c r="AI793" s="1761" t="s">
        <v>2188</v>
      </c>
      <c r="AJ793" s="1761" t="s">
        <v>2188</v>
      </c>
      <c r="AK793" s="1761">
        <v>978</v>
      </c>
      <c r="AL793" s="1761" t="s">
        <v>2186</v>
      </c>
      <c r="AM793" s="1761">
        <v>976</v>
      </c>
      <c r="AN793" s="1761" t="s">
        <v>5531</v>
      </c>
      <c r="AO793" s="1764"/>
      <c r="AP793" s="1761"/>
      <c r="AQ793" s="1761"/>
      <c r="AR793" s="1761" t="s">
        <v>363</v>
      </c>
      <c r="AS793" s="1761" t="s">
        <v>364</v>
      </c>
      <c r="AT793" s="1761" t="s">
        <v>327</v>
      </c>
      <c r="AU793" s="1763"/>
      <c r="AV793" s="1763"/>
    </row>
    <row r="794" spans="1:48" ht="25" hidden="1">
      <c r="A794" s="1785" t="str">
        <f t="shared" si="132"/>
        <v>גמל</v>
      </c>
      <c r="B794" s="1786">
        <f t="shared" si="133"/>
        <v>977</v>
      </c>
      <c r="C794" s="1787">
        <v>28946</v>
      </c>
      <c r="D794" s="1786" t="str">
        <f t="shared" si="134"/>
        <v>מסד מסלולית מט"ח</v>
      </c>
      <c r="E794" s="1786" t="s">
        <v>3929</v>
      </c>
      <c r="F794" s="1786" t="s">
        <v>2958</v>
      </c>
      <c r="G794" s="1786" t="s">
        <v>2959</v>
      </c>
      <c r="H794" s="1786" t="str">
        <f t="shared" si="135"/>
        <v>לא פעיל</v>
      </c>
      <c r="I794" s="1788">
        <f t="shared" si="136"/>
        <v>38011</v>
      </c>
      <c r="J794" s="1788">
        <f t="shared" si="137"/>
        <v>39082</v>
      </c>
      <c r="K794" s="1786">
        <v>0</v>
      </c>
      <c r="L794" s="1786" t="s">
        <v>1594</v>
      </c>
      <c r="M794" s="1786" t="s">
        <v>1653</v>
      </c>
      <c r="N794" s="1786" t="s">
        <v>1653</v>
      </c>
      <c r="O794" s="1786">
        <v>0</v>
      </c>
      <c r="P794" s="1786"/>
      <c r="Q794" s="1786">
        <v>0</v>
      </c>
      <c r="R794" s="1788"/>
      <c r="S794" s="1786">
        <f t="shared" si="138"/>
        <v>976</v>
      </c>
      <c r="T794" s="1786" t="str">
        <f t="shared" si="139"/>
        <v>בנק מסד בע"מ</v>
      </c>
      <c r="U794" s="1786" t="str">
        <f t="shared" si="140"/>
        <v>מסד מסלולית מדדי</v>
      </c>
      <c r="V794" s="1786">
        <f t="shared" si="141"/>
        <v>0</v>
      </c>
      <c r="W794" s="1789" t="str">
        <f t="shared" si="142"/>
        <v>מנורה מבטחים גמל בע"מ</v>
      </c>
      <c r="AC794" s="1759" t="s">
        <v>1586</v>
      </c>
      <c r="AD794" s="1760">
        <v>39082</v>
      </c>
      <c r="AE794" s="1760">
        <v>38011</v>
      </c>
      <c r="AF794" s="1759" t="s">
        <v>1611</v>
      </c>
      <c r="AG794" s="1759" t="s">
        <v>1611</v>
      </c>
      <c r="AH794" s="1759" t="s">
        <v>1594</v>
      </c>
      <c r="AI794" s="1759" t="s">
        <v>2187</v>
      </c>
      <c r="AJ794" s="1759" t="s">
        <v>2187</v>
      </c>
      <c r="AK794" s="1759">
        <v>977</v>
      </c>
      <c r="AL794" s="1759" t="s">
        <v>2186</v>
      </c>
      <c r="AM794" s="1759">
        <v>976</v>
      </c>
      <c r="AN794" s="1759" t="s">
        <v>5531</v>
      </c>
      <c r="AO794" s="1764"/>
      <c r="AP794" s="1759"/>
      <c r="AQ794" s="1759"/>
      <c r="AR794" s="1759" t="s">
        <v>363</v>
      </c>
      <c r="AS794" s="1759" t="s">
        <v>364</v>
      </c>
      <c r="AT794" s="1759" t="s">
        <v>327</v>
      </c>
      <c r="AU794" s="1763"/>
      <c r="AV794" s="1763"/>
    </row>
    <row r="795" spans="1:48" ht="25" hidden="1">
      <c r="A795" s="1785" t="str">
        <f t="shared" si="132"/>
        <v>גמל</v>
      </c>
      <c r="B795" s="1786">
        <f t="shared" si="133"/>
        <v>976</v>
      </c>
      <c r="C795" s="1787">
        <v>28946</v>
      </c>
      <c r="D795" s="1786" t="str">
        <f t="shared" si="134"/>
        <v>מסד מסלולית מדדי</v>
      </c>
      <c r="E795" s="1786" t="s">
        <v>3929</v>
      </c>
      <c r="F795" s="1786" t="s">
        <v>2958</v>
      </c>
      <c r="G795" s="1786" t="s">
        <v>2959</v>
      </c>
      <c r="H795" s="1786" t="str">
        <f t="shared" si="135"/>
        <v>לא פעיל</v>
      </c>
      <c r="I795" s="1788">
        <f t="shared" si="136"/>
        <v>38011</v>
      </c>
      <c r="J795" s="1788">
        <f t="shared" si="137"/>
        <v>39082</v>
      </c>
      <c r="K795" s="1786">
        <v>0</v>
      </c>
      <c r="L795" s="1786" t="s">
        <v>1594</v>
      </c>
      <c r="M795" s="1786" t="s">
        <v>1653</v>
      </c>
      <c r="N795" s="1786" t="s">
        <v>1653</v>
      </c>
      <c r="O795" s="1786">
        <v>0</v>
      </c>
      <c r="P795" s="1786"/>
      <c r="Q795" s="1786">
        <v>0</v>
      </c>
      <c r="R795" s="1788"/>
      <c r="S795" s="1786">
        <f t="shared" si="138"/>
        <v>976</v>
      </c>
      <c r="T795" s="1786" t="str">
        <f t="shared" si="139"/>
        <v>בנק מסד בע"מ</v>
      </c>
      <c r="U795" s="1786" t="str">
        <f t="shared" si="140"/>
        <v>מסד מסלולית מדדי</v>
      </c>
      <c r="V795" s="1786">
        <f t="shared" si="141"/>
        <v>0</v>
      </c>
      <c r="W795" s="1789" t="str">
        <f t="shared" si="142"/>
        <v>מנורה מבטחים גמל בע"מ</v>
      </c>
      <c r="AC795" s="1761" t="s">
        <v>1586</v>
      </c>
      <c r="AD795" s="1762">
        <v>39082</v>
      </c>
      <c r="AE795" s="1762">
        <v>38011</v>
      </c>
      <c r="AF795" s="1761" t="s">
        <v>1094</v>
      </c>
      <c r="AG795" s="1761" t="s">
        <v>1094</v>
      </c>
      <c r="AH795" s="1761" t="s">
        <v>1594</v>
      </c>
      <c r="AI795" s="1761" t="s">
        <v>2186</v>
      </c>
      <c r="AJ795" s="1761" t="s">
        <v>2186</v>
      </c>
      <c r="AK795" s="1761">
        <v>976</v>
      </c>
      <c r="AL795" s="1761" t="s">
        <v>2186</v>
      </c>
      <c r="AM795" s="1761">
        <v>976</v>
      </c>
      <c r="AN795" s="1761" t="s">
        <v>5531</v>
      </c>
      <c r="AO795" s="1764"/>
      <c r="AP795" s="1761"/>
      <c r="AQ795" s="1761"/>
      <c r="AR795" s="1761" t="s">
        <v>363</v>
      </c>
      <c r="AS795" s="1761" t="s">
        <v>364</v>
      </c>
      <c r="AT795" s="1761" t="s">
        <v>327</v>
      </c>
      <c r="AU795" s="1763"/>
      <c r="AV795" s="1763"/>
    </row>
    <row r="796" spans="1:48" ht="37.5" hidden="1">
      <c r="A796" s="1785" t="str">
        <f t="shared" si="132"/>
        <v>גמל</v>
      </c>
      <c r="B796" s="1786">
        <f t="shared" si="133"/>
        <v>971</v>
      </c>
      <c r="C796" s="1787">
        <v>28946</v>
      </c>
      <c r="D796" s="1786" t="str">
        <f t="shared" si="134"/>
        <v>הייטק גמל קופת גמל לתגמולים ולפיצויים למגזר ההייטק והטכנולוגיה</v>
      </c>
      <c r="E796" s="1786" t="s">
        <v>3929</v>
      </c>
      <c r="F796" s="1786" t="s">
        <v>2958</v>
      </c>
      <c r="G796" s="1786" t="s">
        <v>2959</v>
      </c>
      <c r="H796" s="1786" t="str">
        <f t="shared" si="135"/>
        <v>לא פעיל</v>
      </c>
      <c r="I796" s="1788">
        <f t="shared" si="136"/>
        <v>37985</v>
      </c>
      <c r="J796" s="1788">
        <f t="shared" si="137"/>
        <v>40178</v>
      </c>
      <c r="K796" s="1786">
        <v>0</v>
      </c>
      <c r="L796" s="1786" t="s">
        <v>1594</v>
      </c>
      <c r="M796" s="1786" t="s">
        <v>1653</v>
      </c>
      <c r="N796" s="1786" t="s">
        <v>1653</v>
      </c>
      <c r="O796" s="1786">
        <v>0</v>
      </c>
      <c r="P796" s="1786"/>
      <c r="Q796" s="1786">
        <v>0</v>
      </c>
      <c r="R796" s="1788"/>
      <c r="S796" s="1786">
        <f t="shared" si="138"/>
        <v>971</v>
      </c>
      <c r="T796" s="1786" t="str">
        <f t="shared" si="139"/>
        <v>בנק הפועלים בע"מ</v>
      </c>
      <c r="U796" s="1786" t="str">
        <f t="shared" si="140"/>
        <v>הייטק גמל קופת גמל לתגמולים ולפיצויים למגזר ההייטק והטכנולוגיה</v>
      </c>
      <c r="V796" s="1786">
        <f t="shared" si="141"/>
        <v>0</v>
      </c>
      <c r="W796" s="1789" t="str">
        <f t="shared" si="142"/>
        <v>מיטב גמל ופנסיה בע"מ</v>
      </c>
      <c r="AC796" s="1759" t="s">
        <v>1586</v>
      </c>
      <c r="AD796" s="1760">
        <v>40178</v>
      </c>
      <c r="AE796" s="1760">
        <v>37985</v>
      </c>
      <c r="AF796" s="1759" t="s">
        <v>1583</v>
      </c>
      <c r="AG796" s="1759" t="s">
        <v>1583</v>
      </c>
      <c r="AH796" s="1759" t="s">
        <v>1583</v>
      </c>
      <c r="AI796" s="1759" t="s">
        <v>3445</v>
      </c>
      <c r="AJ796" s="1759" t="s">
        <v>2182</v>
      </c>
      <c r="AK796" s="1759">
        <v>971</v>
      </c>
      <c r="AL796" s="1759" t="s">
        <v>2182</v>
      </c>
      <c r="AM796" s="1759">
        <v>971</v>
      </c>
      <c r="AN796" s="1759" t="s">
        <v>1695</v>
      </c>
      <c r="AO796" s="1764"/>
      <c r="AP796" s="1759"/>
      <c r="AQ796" s="1759"/>
      <c r="AR796" s="1759" t="s">
        <v>365</v>
      </c>
      <c r="AS796" s="1759" t="s">
        <v>366</v>
      </c>
      <c r="AT796" s="1759" t="s">
        <v>327</v>
      </c>
      <c r="AU796" s="1763"/>
      <c r="AV796" s="1763"/>
    </row>
    <row r="797" spans="1:48" ht="37.5" hidden="1">
      <c r="A797" s="1785" t="str">
        <f t="shared" si="132"/>
        <v>גמל</v>
      </c>
      <c r="B797" s="1786">
        <f t="shared" si="133"/>
        <v>970</v>
      </c>
      <c r="C797" s="1787">
        <v>28946</v>
      </c>
      <c r="D797" s="1786" t="str">
        <f t="shared" si="134"/>
        <v>הייטק פיצויים-קופת פיצויים מרכזית למעסיקים במגזר ההייטק והטכנולוגיה</v>
      </c>
      <c r="E797" s="1786" t="s">
        <v>3929</v>
      </c>
      <c r="F797" s="1786" t="s">
        <v>2958</v>
      </c>
      <c r="G797" s="1786" t="s">
        <v>2959</v>
      </c>
      <c r="H797" s="1786" t="str">
        <f t="shared" si="135"/>
        <v>לא פעיל</v>
      </c>
      <c r="I797" s="1788">
        <f t="shared" si="136"/>
        <v>37985</v>
      </c>
      <c r="J797" s="1788">
        <f t="shared" si="137"/>
        <v>40178</v>
      </c>
      <c r="K797" s="1786">
        <v>0</v>
      </c>
      <c r="L797" s="1786" t="s">
        <v>1594</v>
      </c>
      <c r="M797" s="1786" t="s">
        <v>1653</v>
      </c>
      <c r="N797" s="1786" t="s">
        <v>1653</v>
      </c>
      <c r="O797" s="1786">
        <v>0</v>
      </c>
      <c r="P797" s="1786"/>
      <c r="Q797" s="1786">
        <v>0</v>
      </c>
      <c r="R797" s="1788"/>
      <c r="S797" s="1786">
        <f t="shared" si="138"/>
        <v>970</v>
      </c>
      <c r="T797" s="1786" t="str">
        <f t="shared" si="139"/>
        <v>בנק הפועלים בע"מ</v>
      </c>
      <c r="U797" s="1786" t="str">
        <f t="shared" si="140"/>
        <v>הייטק פיצויים-קופת פיצויים מרכזית למעסיקים במגזר ההייטק והטכנולוגיה</v>
      </c>
      <c r="V797" s="1786">
        <f t="shared" si="141"/>
        <v>0</v>
      </c>
      <c r="W797" s="1789" t="str">
        <f t="shared" si="142"/>
        <v>מיטב גמל ופנסיה בע"מ</v>
      </c>
      <c r="AC797" s="1761" t="s">
        <v>1586</v>
      </c>
      <c r="AD797" s="1762">
        <v>40178</v>
      </c>
      <c r="AE797" s="1762">
        <v>37985</v>
      </c>
      <c r="AF797" s="1761" t="s">
        <v>1583</v>
      </c>
      <c r="AG797" s="1761" t="s">
        <v>1583</v>
      </c>
      <c r="AH797" s="1761" t="s">
        <v>1583</v>
      </c>
      <c r="AI797" s="1761" t="s">
        <v>3444</v>
      </c>
      <c r="AJ797" s="1761" t="s">
        <v>2181</v>
      </c>
      <c r="AK797" s="1761">
        <v>970</v>
      </c>
      <c r="AL797" s="1761" t="s">
        <v>2181</v>
      </c>
      <c r="AM797" s="1761">
        <v>970</v>
      </c>
      <c r="AN797" s="1761" t="s">
        <v>1695</v>
      </c>
      <c r="AO797" s="1764"/>
      <c r="AP797" s="1761"/>
      <c r="AQ797" s="1761"/>
      <c r="AR797" s="1761" t="s">
        <v>365</v>
      </c>
      <c r="AS797" s="1761" t="s">
        <v>366</v>
      </c>
      <c r="AT797" s="1761" t="s">
        <v>327</v>
      </c>
      <c r="AU797" s="1763"/>
      <c r="AV797" s="1763"/>
    </row>
    <row r="798" spans="1:48" ht="37.5" hidden="1">
      <c r="A798" s="1785" t="str">
        <f t="shared" si="132"/>
        <v>גמל</v>
      </c>
      <c r="B798" s="1786">
        <f t="shared" si="133"/>
        <v>969</v>
      </c>
      <c r="C798" s="1787">
        <v>28946</v>
      </c>
      <c r="D798" s="1786" t="str">
        <f t="shared" si="134"/>
        <v>קופת גמל אישית לפיצויים של העובדים באוניברסיטה העברית בירושלים</v>
      </c>
      <c r="E798" s="1786" t="s">
        <v>3929</v>
      </c>
      <c r="F798" s="1786" t="s">
        <v>2958</v>
      </c>
      <c r="G798" s="1786" t="s">
        <v>2959</v>
      </c>
      <c r="H798" s="1786" t="str">
        <f t="shared" si="135"/>
        <v>פעיל</v>
      </c>
      <c r="I798" s="1788">
        <f t="shared" si="136"/>
        <v>37985</v>
      </c>
      <c r="J798" s="1788" t="str">
        <f t="shared" si="137"/>
        <v/>
      </c>
      <c r="K798" s="1786">
        <v>0</v>
      </c>
      <c r="L798" s="1786" t="s">
        <v>1594</v>
      </c>
      <c r="M798" s="1786" t="s">
        <v>1653</v>
      </c>
      <c r="N798" s="1786" t="s">
        <v>1653</v>
      </c>
      <c r="O798" s="1786">
        <v>0</v>
      </c>
      <c r="P798" s="1786"/>
      <c r="Q798" s="1786">
        <v>0</v>
      </c>
      <c r="R798" s="1788"/>
      <c r="S798" s="1786">
        <f t="shared" si="138"/>
        <v>969</v>
      </c>
      <c r="T798" s="1786" t="str">
        <f t="shared" si="139"/>
        <v>ניהול  עצמי</v>
      </c>
      <c r="U798" s="1786" t="str">
        <f t="shared" si="140"/>
        <v>קופת גמל אישית לפיצויים של העובדים באוניברסיטה העברית בירושלים</v>
      </c>
      <c r="V798" s="1786">
        <f t="shared" si="141"/>
        <v>0</v>
      </c>
      <c r="W798" s="1789" t="str">
        <f t="shared" si="142"/>
        <v>חברת הגמל לעובדי האוניברסיטה העברית בע"מ</v>
      </c>
      <c r="AC798" s="1759" t="s">
        <v>346</v>
      </c>
      <c r="AD798" s="1759"/>
      <c r="AE798" s="1760">
        <v>37985</v>
      </c>
      <c r="AF798" s="1759" t="s">
        <v>1583</v>
      </c>
      <c r="AG798" s="1759" t="s">
        <v>1583</v>
      </c>
      <c r="AH798" s="1759" t="s">
        <v>1583</v>
      </c>
      <c r="AI798" s="1759" t="s">
        <v>3443</v>
      </c>
      <c r="AJ798" s="1759" t="s">
        <v>638</v>
      </c>
      <c r="AK798" s="1759">
        <v>969</v>
      </c>
      <c r="AL798" s="1759" t="s">
        <v>638</v>
      </c>
      <c r="AM798" s="1759">
        <v>969</v>
      </c>
      <c r="AN798" s="1759" t="s">
        <v>5524</v>
      </c>
      <c r="AO798" s="1764"/>
      <c r="AP798" s="1759"/>
      <c r="AQ798" s="1759"/>
      <c r="AR798" s="1759" t="s">
        <v>3953</v>
      </c>
      <c r="AS798" s="1759" t="s">
        <v>546</v>
      </c>
      <c r="AT798" s="1759" t="s">
        <v>327</v>
      </c>
      <c r="AU798" s="1763"/>
      <c r="AV798" s="1763"/>
    </row>
    <row r="799" spans="1:48" ht="25" hidden="1">
      <c r="A799" s="1785" t="str">
        <f t="shared" si="132"/>
        <v>גמל</v>
      </c>
      <c r="B799" s="1786">
        <f t="shared" si="133"/>
        <v>1354</v>
      </c>
      <c r="C799" s="1787">
        <v>28946</v>
      </c>
      <c r="D799" s="1786" t="str">
        <f t="shared" si="134"/>
        <v>הפניקס השתלמות - מסלול אג"ח</v>
      </c>
      <c r="E799" s="1786" t="s">
        <v>3929</v>
      </c>
      <c r="F799" s="1786" t="s">
        <v>2958</v>
      </c>
      <c r="G799" s="1786" t="s">
        <v>2959</v>
      </c>
      <c r="H799" s="1786" t="str">
        <f t="shared" si="135"/>
        <v>לא פעיל</v>
      </c>
      <c r="I799" s="1788">
        <f t="shared" si="136"/>
        <v>37985</v>
      </c>
      <c r="J799" s="1788">
        <f t="shared" si="137"/>
        <v>43107.461817129602</v>
      </c>
      <c r="K799" s="1786">
        <v>0</v>
      </c>
      <c r="L799" s="1786" t="s">
        <v>1594</v>
      </c>
      <c r="M799" s="1786" t="s">
        <v>1653</v>
      </c>
      <c r="N799" s="1786" t="s">
        <v>1653</v>
      </c>
      <c r="O799" s="1786">
        <v>0</v>
      </c>
      <c r="P799" s="1786"/>
      <c r="Q799" s="1786">
        <v>0</v>
      </c>
      <c r="R799" s="1788"/>
      <c r="S799" s="1786">
        <f t="shared" si="138"/>
        <v>964</v>
      </c>
      <c r="T799" s="1786" t="str">
        <f t="shared" si="139"/>
        <v>לאומי</v>
      </c>
      <c r="U799" s="1786" t="str">
        <f t="shared" si="140"/>
        <v xml:space="preserve">הפניקס השתלמות </v>
      </c>
      <c r="V799" s="1786" t="str">
        <f t="shared" si="141"/>
        <v>520017450</v>
      </c>
      <c r="W799" s="1789" t="str">
        <f t="shared" si="142"/>
        <v xml:space="preserve">הפניקס אקסלנס פנסיה וגמל בע"מ </v>
      </c>
      <c r="AC799" s="1761" t="s">
        <v>1586</v>
      </c>
      <c r="AD799" s="1762">
        <v>43107.461817129602</v>
      </c>
      <c r="AE799" s="1762">
        <v>37985</v>
      </c>
      <c r="AF799" s="1761" t="s">
        <v>1653</v>
      </c>
      <c r="AG799" s="1761" t="s">
        <v>1653</v>
      </c>
      <c r="AH799" s="1761" t="s">
        <v>1594</v>
      </c>
      <c r="AI799" s="1761" t="s">
        <v>2935</v>
      </c>
      <c r="AJ799" s="1761" t="s">
        <v>2935</v>
      </c>
      <c r="AK799" s="1761">
        <v>1354</v>
      </c>
      <c r="AL799" s="1761" t="s">
        <v>3439</v>
      </c>
      <c r="AM799" s="1761">
        <v>964</v>
      </c>
      <c r="AN799" s="1761" t="s">
        <v>5305</v>
      </c>
      <c r="AO799" s="1764"/>
      <c r="AP799" s="1761" t="s">
        <v>5379</v>
      </c>
      <c r="AQ799" s="1761" t="s">
        <v>5380</v>
      </c>
      <c r="AR799" s="1761" t="s">
        <v>5381</v>
      </c>
      <c r="AS799" s="1761" t="s">
        <v>347</v>
      </c>
      <c r="AT799" s="1761" t="s">
        <v>327</v>
      </c>
      <c r="AU799" s="1763"/>
      <c r="AV799" s="1763"/>
    </row>
    <row r="800" spans="1:48" ht="25" hidden="1">
      <c r="A800" s="1785" t="str">
        <f t="shared" si="132"/>
        <v>גמל</v>
      </c>
      <c r="B800" s="1786">
        <f t="shared" si="133"/>
        <v>1483</v>
      </c>
      <c r="C800" s="1787">
        <v>28946</v>
      </c>
      <c r="D800" s="1786" t="str">
        <f t="shared" si="134"/>
        <v>הפניקס השתלמות - מסלול שיטת הפניקס</v>
      </c>
      <c r="E800" s="1786" t="s">
        <v>3929</v>
      </c>
      <c r="F800" s="1786" t="s">
        <v>2958</v>
      </c>
      <c r="G800" s="1786" t="s">
        <v>2959</v>
      </c>
      <c r="H800" s="1786" t="str">
        <f t="shared" si="135"/>
        <v>לא פעיל</v>
      </c>
      <c r="I800" s="1788">
        <f t="shared" si="136"/>
        <v>37985</v>
      </c>
      <c r="J800" s="1788">
        <f t="shared" si="137"/>
        <v>43111.528159722198</v>
      </c>
      <c r="K800" s="1786">
        <v>0</v>
      </c>
      <c r="L800" s="1786" t="s">
        <v>1594</v>
      </c>
      <c r="M800" s="1786" t="s">
        <v>1653</v>
      </c>
      <c r="N800" s="1786" t="s">
        <v>1653</v>
      </c>
      <c r="O800" s="1786">
        <v>0</v>
      </c>
      <c r="P800" s="1786"/>
      <c r="Q800" s="1786">
        <v>0</v>
      </c>
      <c r="R800" s="1788"/>
      <c r="S800" s="1786">
        <f t="shared" si="138"/>
        <v>964</v>
      </c>
      <c r="T800" s="1786" t="str">
        <f t="shared" si="139"/>
        <v>לאומי</v>
      </c>
      <c r="U800" s="1786" t="str">
        <f t="shared" si="140"/>
        <v xml:space="preserve">הפניקס השתלמות </v>
      </c>
      <c r="V800" s="1786" t="str">
        <f t="shared" si="141"/>
        <v>520017450</v>
      </c>
      <c r="W800" s="1789" t="str">
        <f t="shared" si="142"/>
        <v xml:space="preserve">הפניקס אקסלנס פנסיה וגמל בע"מ </v>
      </c>
      <c r="AC800" s="1759" t="s">
        <v>1586</v>
      </c>
      <c r="AD800" s="1760">
        <v>43111.528159722198</v>
      </c>
      <c r="AE800" s="1760">
        <v>37985</v>
      </c>
      <c r="AF800" s="1759" t="s">
        <v>4113</v>
      </c>
      <c r="AG800" s="1759" t="s">
        <v>4113</v>
      </c>
      <c r="AH800" s="1759" t="s">
        <v>3658</v>
      </c>
      <c r="AI800" s="1759" t="s">
        <v>3659</v>
      </c>
      <c r="AJ800" s="1759" t="s">
        <v>2494</v>
      </c>
      <c r="AK800" s="1759">
        <v>1483</v>
      </c>
      <c r="AL800" s="1759" t="s">
        <v>3439</v>
      </c>
      <c r="AM800" s="1759">
        <v>964</v>
      </c>
      <c r="AN800" s="1759" t="s">
        <v>5305</v>
      </c>
      <c r="AO800" s="1764"/>
      <c r="AP800" s="1759" t="s">
        <v>5379</v>
      </c>
      <c r="AQ800" s="1759" t="s">
        <v>5380</v>
      </c>
      <c r="AR800" s="1759" t="s">
        <v>5381</v>
      </c>
      <c r="AS800" s="1759" t="s">
        <v>347</v>
      </c>
      <c r="AT800" s="1759" t="s">
        <v>327</v>
      </c>
      <c r="AU800" s="1763"/>
      <c r="AV800" s="1763"/>
    </row>
    <row r="801" spans="1:48" ht="25" hidden="1">
      <c r="A801" s="1785" t="str">
        <f t="shared" si="132"/>
        <v>גמל</v>
      </c>
      <c r="B801" s="1786">
        <f t="shared" si="133"/>
        <v>965</v>
      </c>
      <c r="C801" s="1787">
        <v>28946</v>
      </c>
      <c r="D801" s="1786" t="str">
        <f t="shared" si="134"/>
        <v>הפניקס השתלמות - מסלול שיקלי</v>
      </c>
      <c r="E801" s="1786" t="s">
        <v>3929</v>
      </c>
      <c r="F801" s="1786" t="s">
        <v>2958</v>
      </c>
      <c r="G801" s="1786" t="s">
        <v>2959</v>
      </c>
      <c r="H801" s="1786" t="str">
        <f t="shared" si="135"/>
        <v>לא פעיל</v>
      </c>
      <c r="I801" s="1788">
        <f t="shared" si="136"/>
        <v>37985</v>
      </c>
      <c r="J801" s="1788">
        <f t="shared" si="137"/>
        <v>39330.516655092601</v>
      </c>
      <c r="K801" s="1786">
        <v>0</v>
      </c>
      <c r="L801" s="1786" t="s">
        <v>1594</v>
      </c>
      <c r="M801" s="1786" t="s">
        <v>1653</v>
      </c>
      <c r="N801" s="1786" t="s">
        <v>1653</v>
      </c>
      <c r="O801" s="1786">
        <v>0</v>
      </c>
      <c r="P801" s="1786"/>
      <c r="Q801" s="1786">
        <v>0</v>
      </c>
      <c r="R801" s="1788"/>
      <c r="S801" s="1786">
        <f t="shared" si="138"/>
        <v>964</v>
      </c>
      <c r="T801" s="1786" t="str">
        <f t="shared" si="139"/>
        <v>בנק מזרחי טפחות בע"מ</v>
      </c>
      <c r="U801" s="1786" t="str">
        <f t="shared" si="140"/>
        <v>הפניקס השתלמות - מסלול כללי</v>
      </c>
      <c r="V801" s="1786">
        <f t="shared" si="141"/>
        <v>0</v>
      </c>
      <c r="W801" s="1789" t="str">
        <f t="shared" si="142"/>
        <v>הפניקס קרנות פנסיה מאוזנות וותיקות בע"מ</v>
      </c>
      <c r="AC801" s="1761" t="s">
        <v>1586</v>
      </c>
      <c r="AD801" s="1762">
        <v>39330.516655092601</v>
      </c>
      <c r="AE801" s="1762">
        <v>37985</v>
      </c>
      <c r="AF801" s="1761" t="s">
        <v>1076</v>
      </c>
      <c r="AG801" s="1761" t="s">
        <v>1614</v>
      </c>
      <c r="AH801" s="1761" t="s">
        <v>1594</v>
      </c>
      <c r="AI801" s="1761" t="s">
        <v>3440</v>
      </c>
      <c r="AJ801" s="1761" t="s">
        <v>2178</v>
      </c>
      <c r="AK801" s="1761">
        <v>965</v>
      </c>
      <c r="AL801" s="1761" t="s">
        <v>635</v>
      </c>
      <c r="AM801" s="1761">
        <v>964</v>
      </c>
      <c r="AN801" s="1761" t="s">
        <v>5370</v>
      </c>
      <c r="AO801" s="1764"/>
      <c r="AP801" s="1761"/>
      <c r="AQ801" s="1761"/>
      <c r="AR801" s="1761" t="s">
        <v>495</v>
      </c>
      <c r="AS801" s="1761" t="s">
        <v>496</v>
      </c>
      <c r="AT801" s="1761" t="s">
        <v>327</v>
      </c>
      <c r="AU801" s="1763"/>
      <c r="AV801" s="1763"/>
    </row>
    <row r="802" spans="1:48" ht="25" hidden="1">
      <c r="A802" s="1785" t="str">
        <f t="shared" si="132"/>
        <v>גמל</v>
      </c>
      <c r="B802" s="1786">
        <f t="shared" si="133"/>
        <v>9548</v>
      </c>
      <c r="C802" s="1787">
        <v>28946</v>
      </c>
      <c r="D802" s="1786" t="str">
        <f t="shared" si="134"/>
        <v xml:space="preserve">הפניקס השתלמות - מסלול פאסיבי- מדדי מניות חו"ל </v>
      </c>
      <c r="E802" s="1786" t="s">
        <v>3929</v>
      </c>
      <c r="F802" s="1786" t="s">
        <v>2958</v>
      </c>
      <c r="G802" s="1786" t="s">
        <v>2959</v>
      </c>
      <c r="H802" s="1786" t="str">
        <f t="shared" si="135"/>
        <v>לא פעיל</v>
      </c>
      <c r="I802" s="1788">
        <f t="shared" si="136"/>
        <v>37985</v>
      </c>
      <c r="J802" s="1788">
        <f t="shared" si="137"/>
        <v>43107.469745370399</v>
      </c>
      <c r="K802" s="1786">
        <v>0</v>
      </c>
      <c r="L802" s="1786" t="s">
        <v>1594</v>
      </c>
      <c r="M802" s="1786" t="s">
        <v>1653</v>
      </c>
      <c r="N802" s="1786" t="s">
        <v>1653</v>
      </c>
      <c r="O802" s="1786">
        <v>0</v>
      </c>
      <c r="P802" s="1786"/>
      <c r="Q802" s="1786">
        <v>0</v>
      </c>
      <c r="R802" s="1788"/>
      <c r="S802" s="1786">
        <f t="shared" si="138"/>
        <v>964</v>
      </c>
      <c r="T802" s="1786" t="str">
        <f t="shared" si="139"/>
        <v>לאומי</v>
      </c>
      <c r="U802" s="1786" t="str">
        <f t="shared" si="140"/>
        <v xml:space="preserve">הפניקס השתלמות </v>
      </c>
      <c r="V802" s="1786" t="str">
        <f t="shared" si="141"/>
        <v>520017450</v>
      </c>
      <c r="W802" s="1789" t="str">
        <f t="shared" si="142"/>
        <v xml:space="preserve">הפניקס אקסלנס פנסיה וגמל בע"מ </v>
      </c>
      <c r="AC802" s="1759" t="s">
        <v>1586</v>
      </c>
      <c r="AD802" s="1760">
        <v>43107.469745370399</v>
      </c>
      <c r="AE802" s="1760">
        <v>37985</v>
      </c>
      <c r="AF802" s="1759" t="s">
        <v>4618</v>
      </c>
      <c r="AG802" s="1759" t="s">
        <v>75</v>
      </c>
      <c r="AH802" s="1759" t="s">
        <v>1594</v>
      </c>
      <c r="AI802" s="1759" t="s">
        <v>4290</v>
      </c>
      <c r="AJ802" s="1759" t="s">
        <v>4290</v>
      </c>
      <c r="AK802" s="1759">
        <v>9548</v>
      </c>
      <c r="AL802" s="1759" t="s">
        <v>3439</v>
      </c>
      <c r="AM802" s="1759">
        <v>964</v>
      </c>
      <c r="AN802" s="1759" t="s">
        <v>5305</v>
      </c>
      <c r="AO802" s="1764"/>
      <c r="AP802" s="1759" t="s">
        <v>5379</v>
      </c>
      <c r="AQ802" s="1759" t="s">
        <v>5380</v>
      </c>
      <c r="AR802" s="1759" t="s">
        <v>5381</v>
      </c>
      <c r="AS802" s="1759" t="s">
        <v>347</v>
      </c>
      <c r="AT802" s="1759" t="s">
        <v>327</v>
      </c>
      <c r="AU802" s="1763"/>
      <c r="AV802" s="1763"/>
    </row>
    <row r="803" spans="1:48" ht="25" hidden="1">
      <c r="A803" s="1785" t="str">
        <f t="shared" si="132"/>
        <v>גמל</v>
      </c>
      <c r="B803" s="1786">
        <f t="shared" si="133"/>
        <v>9547</v>
      </c>
      <c r="C803" s="1787">
        <v>28946</v>
      </c>
      <c r="D803" s="1786" t="str">
        <f t="shared" si="134"/>
        <v xml:space="preserve">הפניקס השתלמות מסלול פאסיבי - מדדי מניות </v>
      </c>
      <c r="E803" s="1786" t="s">
        <v>3929</v>
      </c>
      <c r="F803" s="1786" t="s">
        <v>2958</v>
      </c>
      <c r="G803" s="1786" t="s">
        <v>2959</v>
      </c>
      <c r="H803" s="1786" t="str">
        <f t="shared" si="135"/>
        <v>לא פעיל</v>
      </c>
      <c r="I803" s="1788">
        <f t="shared" si="136"/>
        <v>37985</v>
      </c>
      <c r="J803" s="1788">
        <f t="shared" si="137"/>
        <v>43107.473923611098</v>
      </c>
      <c r="K803" s="1786">
        <v>0</v>
      </c>
      <c r="L803" s="1786" t="s">
        <v>1594</v>
      </c>
      <c r="M803" s="1786" t="s">
        <v>1653</v>
      </c>
      <c r="N803" s="1786" t="s">
        <v>1653</v>
      </c>
      <c r="O803" s="1786">
        <v>0</v>
      </c>
      <c r="P803" s="1786"/>
      <c r="Q803" s="1786">
        <v>0</v>
      </c>
      <c r="R803" s="1788"/>
      <c r="S803" s="1786">
        <f t="shared" si="138"/>
        <v>964</v>
      </c>
      <c r="T803" s="1786" t="str">
        <f t="shared" si="139"/>
        <v>לאומי</v>
      </c>
      <c r="U803" s="1786" t="str">
        <f t="shared" si="140"/>
        <v xml:space="preserve">הפניקס השתלמות </v>
      </c>
      <c r="V803" s="1786" t="str">
        <f t="shared" si="141"/>
        <v>520017450</v>
      </c>
      <c r="W803" s="1789" t="str">
        <f t="shared" si="142"/>
        <v xml:space="preserve">הפניקס אקסלנס פנסיה וגמל בע"מ </v>
      </c>
      <c r="AC803" s="1761" t="s">
        <v>1586</v>
      </c>
      <c r="AD803" s="1762">
        <v>43107.473923611098</v>
      </c>
      <c r="AE803" s="1762">
        <v>37985</v>
      </c>
      <c r="AF803" s="1761" t="s">
        <v>3959</v>
      </c>
      <c r="AG803" s="1761" t="s">
        <v>75</v>
      </c>
      <c r="AH803" s="1761" t="s">
        <v>1594</v>
      </c>
      <c r="AI803" s="1761" t="s">
        <v>4289</v>
      </c>
      <c r="AJ803" s="1761" t="s">
        <v>4289</v>
      </c>
      <c r="AK803" s="1761">
        <v>9547</v>
      </c>
      <c r="AL803" s="1761" t="s">
        <v>3439</v>
      </c>
      <c r="AM803" s="1761">
        <v>964</v>
      </c>
      <c r="AN803" s="1761" t="s">
        <v>5305</v>
      </c>
      <c r="AO803" s="1764"/>
      <c r="AP803" s="1761" t="s">
        <v>5379</v>
      </c>
      <c r="AQ803" s="1761" t="s">
        <v>5380</v>
      </c>
      <c r="AR803" s="1761" t="s">
        <v>5381</v>
      </c>
      <c r="AS803" s="1761" t="s">
        <v>347</v>
      </c>
      <c r="AT803" s="1761" t="s">
        <v>327</v>
      </c>
      <c r="AU803" s="1763"/>
      <c r="AV803" s="1763"/>
    </row>
    <row r="804" spans="1:48" ht="25" hidden="1">
      <c r="A804" s="1785" t="str">
        <f t="shared" si="132"/>
        <v>גמל</v>
      </c>
      <c r="B804" s="1786">
        <f t="shared" si="133"/>
        <v>9546</v>
      </c>
      <c r="C804" s="1787">
        <v>28946</v>
      </c>
      <c r="D804" s="1786" t="str">
        <f t="shared" si="134"/>
        <v xml:space="preserve">הפניקס השתלמות - מסלול פאסיבי - מדדי אג"ח חו"ל </v>
      </c>
      <c r="E804" s="1786" t="s">
        <v>3929</v>
      </c>
      <c r="F804" s="1786" t="s">
        <v>2958</v>
      </c>
      <c r="G804" s="1786" t="s">
        <v>2959</v>
      </c>
      <c r="H804" s="1786" t="str">
        <f t="shared" si="135"/>
        <v>לא פעיל</v>
      </c>
      <c r="I804" s="1788">
        <f t="shared" si="136"/>
        <v>37985</v>
      </c>
      <c r="J804" s="1788">
        <f t="shared" si="137"/>
        <v>43107.447349536997</v>
      </c>
      <c r="K804" s="1786">
        <v>0</v>
      </c>
      <c r="L804" s="1786" t="s">
        <v>1594</v>
      </c>
      <c r="M804" s="1786" t="s">
        <v>1653</v>
      </c>
      <c r="N804" s="1786" t="s">
        <v>1653</v>
      </c>
      <c r="O804" s="1786">
        <v>0</v>
      </c>
      <c r="P804" s="1786"/>
      <c r="Q804" s="1786">
        <v>0</v>
      </c>
      <c r="R804" s="1788"/>
      <c r="S804" s="1786">
        <f t="shared" si="138"/>
        <v>964</v>
      </c>
      <c r="T804" s="1786" t="str">
        <f t="shared" si="139"/>
        <v>לאומי</v>
      </c>
      <c r="U804" s="1786" t="str">
        <f t="shared" si="140"/>
        <v xml:space="preserve">הפניקס השתלמות </v>
      </c>
      <c r="V804" s="1786" t="str">
        <f t="shared" si="141"/>
        <v>520017450</v>
      </c>
      <c r="W804" s="1789" t="str">
        <f t="shared" si="142"/>
        <v xml:space="preserve">הפניקס אקסלנס פנסיה וגמל בע"מ </v>
      </c>
      <c r="AC804" s="1759" t="s">
        <v>1586</v>
      </c>
      <c r="AD804" s="1760">
        <v>43107.447349536997</v>
      </c>
      <c r="AE804" s="1760">
        <v>37985</v>
      </c>
      <c r="AF804" s="1759" t="s">
        <v>4618</v>
      </c>
      <c r="AG804" s="1759" t="s">
        <v>1653</v>
      </c>
      <c r="AH804" s="1759" t="s">
        <v>1594</v>
      </c>
      <c r="AI804" s="1759" t="s">
        <v>4288</v>
      </c>
      <c r="AJ804" s="1759" t="s">
        <v>4288</v>
      </c>
      <c r="AK804" s="1759">
        <v>9546</v>
      </c>
      <c r="AL804" s="1759" t="s">
        <v>3439</v>
      </c>
      <c r="AM804" s="1759">
        <v>964</v>
      </c>
      <c r="AN804" s="1759" t="s">
        <v>5305</v>
      </c>
      <c r="AO804" s="1764"/>
      <c r="AP804" s="1759" t="s">
        <v>5379</v>
      </c>
      <c r="AQ804" s="1759" t="s">
        <v>5380</v>
      </c>
      <c r="AR804" s="1759" t="s">
        <v>5381</v>
      </c>
      <c r="AS804" s="1759" t="s">
        <v>347</v>
      </c>
      <c r="AT804" s="1759" t="s">
        <v>327</v>
      </c>
      <c r="AU804" s="1763"/>
      <c r="AV804" s="1763"/>
    </row>
    <row r="805" spans="1:48" ht="25" hidden="1">
      <c r="A805" s="1785" t="str">
        <f t="shared" si="132"/>
        <v>גמל</v>
      </c>
      <c r="B805" s="1786">
        <f t="shared" si="133"/>
        <v>9545</v>
      </c>
      <c r="C805" s="1787">
        <v>28946</v>
      </c>
      <c r="D805" s="1786" t="str">
        <f t="shared" si="134"/>
        <v xml:space="preserve">הפניקס השתלמות - מסלול פאסיבי - מדדי אג"ח </v>
      </c>
      <c r="E805" s="1786" t="s">
        <v>3929</v>
      </c>
      <c r="F805" s="1786" t="s">
        <v>2958</v>
      </c>
      <c r="G805" s="1786" t="s">
        <v>2959</v>
      </c>
      <c r="H805" s="1786" t="str">
        <f t="shared" si="135"/>
        <v>לא פעיל</v>
      </c>
      <c r="I805" s="1788">
        <f t="shared" si="136"/>
        <v>37985</v>
      </c>
      <c r="J805" s="1788">
        <f t="shared" si="137"/>
        <v>43107.4532175926</v>
      </c>
      <c r="K805" s="1786">
        <v>0</v>
      </c>
      <c r="L805" s="1786" t="s">
        <v>1594</v>
      </c>
      <c r="M805" s="1786" t="s">
        <v>1653</v>
      </c>
      <c r="N805" s="1786" t="s">
        <v>1653</v>
      </c>
      <c r="O805" s="1786">
        <v>0</v>
      </c>
      <c r="P805" s="1786"/>
      <c r="Q805" s="1786">
        <v>0</v>
      </c>
      <c r="R805" s="1788"/>
      <c r="S805" s="1786">
        <f t="shared" si="138"/>
        <v>964</v>
      </c>
      <c r="T805" s="1786" t="str">
        <f t="shared" si="139"/>
        <v>לאומי</v>
      </c>
      <c r="U805" s="1786" t="str">
        <f t="shared" si="140"/>
        <v xml:space="preserve">הפניקס השתלמות </v>
      </c>
      <c r="V805" s="1786" t="str">
        <f t="shared" si="141"/>
        <v>520017450</v>
      </c>
      <c r="W805" s="1789" t="str">
        <f t="shared" si="142"/>
        <v xml:space="preserve">הפניקס אקסלנס פנסיה וגמל בע"מ </v>
      </c>
      <c r="AC805" s="1761" t="s">
        <v>1586</v>
      </c>
      <c r="AD805" s="1762">
        <v>43107.4532175926</v>
      </c>
      <c r="AE805" s="1762">
        <v>37985</v>
      </c>
      <c r="AF805" s="1761" t="s">
        <v>3959</v>
      </c>
      <c r="AG805" s="1761" t="s">
        <v>1653</v>
      </c>
      <c r="AH805" s="1761" t="s">
        <v>1594</v>
      </c>
      <c r="AI805" s="1761" t="s">
        <v>4287</v>
      </c>
      <c r="AJ805" s="1761" t="s">
        <v>4287</v>
      </c>
      <c r="AK805" s="1761">
        <v>9545</v>
      </c>
      <c r="AL805" s="1761" t="s">
        <v>3439</v>
      </c>
      <c r="AM805" s="1761">
        <v>964</v>
      </c>
      <c r="AN805" s="1761" t="s">
        <v>5305</v>
      </c>
      <c r="AO805" s="1764"/>
      <c r="AP805" s="1761" t="s">
        <v>5379</v>
      </c>
      <c r="AQ805" s="1761" t="s">
        <v>5380</v>
      </c>
      <c r="AR805" s="1761" t="s">
        <v>5381</v>
      </c>
      <c r="AS805" s="1761" t="s">
        <v>347</v>
      </c>
      <c r="AT805" s="1761" t="s">
        <v>327</v>
      </c>
      <c r="AU805" s="1763"/>
      <c r="AV805" s="1763"/>
    </row>
    <row r="806" spans="1:48" ht="25" hidden="1">
      <c r="A806" s="1785" t="str">
        <f t="shared" si="132"/>
        <v>גמל</v>
      </c>
      <c r="B806" s="1786">
        <f t="shared" si="133"/>
        <v>8597</v>
      </c>
      <c r="C806" s="1787">
        <v>28946</v>
      </c>
      <c r="D806" s="1786" t="str">
        <f t="shared" si="134"/>
        <v>הפניקס השתלמות - מסלול אג"ח עד 25% מניות</v>
      </c>
      <c r="E806" s="1786" t="s">
        <v>3929</v>
      </c>
      <c r="F806" s="1786" t="s">
        <v>2958</v>
      </c>
      <c r="G806" s="1786" t="s">
        <v>2959</v>
      </c>
      <c r="H806" s="1786" t="str">
        <f t="shared" si="135"/>
        <v>לא פעיל</v>
      </c>
      <c r="I806" s="1788">
        <f t="shared" si="136"/>
        <v>37985</v>
      </c>
      <c r="J806" s="1788">
        <f t="shared" si="137"/>
        <v>43107.465787036999</v>
      </c>
      <c r="K806" s="1786">
        <v>0</v>
      </c>
      <c r="L806" s="1786" t="s">
        <v>1594</v>
      </c>
      <c r="M806" s="1786" t="s">
        <v>1653</v>
      </c>
      <c r="N806" s="1786" t="s">
        <v>1653</v>
      </c>
      <c r="O806" s="1786">
        <v>0</v>
      </c>
      <c r="P806" s="1786"/>
      <c r="Q806" s="1786">
        <v>0</v>
      </c>
      <c r="R806" s="1788"/>
      <c r="S806" s="1786">
        <f t="shared" si="138"/>
        <v>964</v>
      </c>
      <c r="T806" s="1786" t="str">
        <f t="shared" si="139"/>
        <v>לאומי</v>
      </c>
      <c r="U806" s="1786" t="str">
        <f t="shared" si="140"/>
        <v xml:space="preserve">הפניקס השתלמות </v>
      </c>
      <c r="V806" s="1786" t="str">
        <f t="shared" si="141"/>
        <v>520017450</v>
      </c>
      <c r="W806" s="1789" t="str">
        <f t="shared" si="142"/>
        <v xml:space="preserve">הפניקס אקסלנס פנסיה וגמל בע"מ </v>
      </c>
      <c r="AC806" s="1759" t="s">
        <v>1586</v>
      </c>
      <c r="AD806" s="1760">
        <v>43107.465787036999</v>
      </c>
      <c r="AE806" s="1760">
        <v>37985</v>
      </c>
      <c r="AF806" s="1759" t="s">
        <v>3934</v>
      </c>
      <c r="AG806" s="1759" t="s">
        <v>1653</v>
      </c>
      <c r="AH806" s="1759" t="s">
        <v>1594</v>
      </c>
      <c r="AI806" s="1759" t="s">
        <v>4250</v>
      </c>
      <c r="AJ806" s="1759" t="s">
        <v>4250</v>
      </c>
      <c r="AK806" s="1759">
        <v>8597</v>
      </c>
      <c r="AL806" s="1759" t="s">
        <v>3439</v>
      </c>
      <c r="AM806" s="1759">
        <v>964</v>
      </c>
      <c r="AN806" s="1759" t="s">
        <v>5305</v>
      </c>
      <c r="AO806" s="1764"/>
      <c r="AP806" s="1759" t="s">
        <v>5379</v>
      </c>
      <c r="AQ806" s="1759" t="s">
        <v>5380</v>
      </c>
      <c r="AR806" s="1759" t="s">
        <v>5381</v>
      </c>
      <c r="AS806" s="1759" t="s">
        <v>347</v>
      </c>
      <c r="AT806" s="1759" t="s">
        <v>327</v>
      </c>
      <c r="AU806" s="1763"/>
      <c r="AV806" s="1763"/>
    </row>
    <row r="807" spans="1:48" ht="25" hidden="1">
      <c r="A807" s="1785" t="str">
        <f t="shared" si="132"/>
        <v>גמל</v>
      </c>
      <c r="B807" s="1786">
        <f t="shared" si="133"/>
        <v>8596</v>
      </c>
      <c r="C807" s="1787">
        <v>28946</v>
      </c>
      <c r="D807" s="1786" t="str">
        <f t="shared" si="134"/>
        <v>הפניקס השתלמות - מסלול אג"ח</v>
      </c>
      <c r="E807" s="1786" t="s">
        <v>3929</v>
      </c>
      <c r="F807" s="1786" t="s">
        <v>2958</v>
      </c>
      <c r="G807" s="1786" t="s">
        <v>2959</v>
      </c>
      <c r="H807" s="1786" t="str">
        <f t="shared" si="135"/>
        <v>לא פעיל</v>
      </c>
      <c r="I807" s="1788">
        <f t="shared" si="136"/>
        <v>37985</v>
      </c>
      <c r="J807" s="1788">
        <f t="shared" si="137"/>
        <v>42355.695300925901</v>
      </c>
      <c r="K807" s="1786">
        <v>0</v>
      </c>
      <c r="L807" s="1786" t="s">
        <v>1594</v>
      </c>
      <c r="M807" s="1786" t="s">
        <v>1653</v>
      </c>
      <c r="N807" s="1786" t="s">
        <v>1653</v>
      </c>
      <c r="O807" s="1786">
        <v>0</v>
      </c>
      <c r="P807" s="1786"/>
      <c r="Q807" s="1786">
        <v>0</v>
      </c>
      <c r="R807" s="1788"/>
      <c r="S807" s="1786">
        <f t="shared" si="138"/>
        <v>964</v>
      </c>
      <c r="T807" s="1786" t="str">
        <f t="shared" si="139"/>
        <v>לאומי</v>
      </c>
      <c r="U807" s="1786" t="str">
        <f t="shared" si="140"/>
        <v xml:space="preserve">הפניקס השתלמות </v>
      </c>
      <c r="V807" s="1786" t="str">
        <f t="shared" si="141"/>
        <v>520017450</v>
      </c>
      <c r="W807" s="1789" t="str">
        <f t="shared" si="142"/>
        <v xml:space="preserve">הפניקס אקסלנס פנסיה וגמל בע"מ </v>
      </c>
      <c r="AC807" s="1761" t="s">
        <v>1586</v>
      </c>
      <c r="AD807" s="1762">
        <v>42355.695300925901</v>
      </c>
      <c r="AE807" s="1762">
        <v>37985</v>
      </c>
      <c r="AF807" s="1761" t="s">
        <v>1653</v>
      </c>
      <c r="AG807" s="1761" t="s">
        <v>1653</v>
      </c>
      <c r="AH807" s="1761" t="s">
        <v>1594</v>
      </c>
      <c r="AI807" s="1761" t="s">
        <v>2935</v>
      </c>
      <c r="AJ807" s="1761" t="s">
        <v>2935</v>
      </c>
      <c r="AK807" s="1761">
        <v>8596</v>
      </c>
      <c r="AL807" s="1761" t="s">
        <v>3439</v>
      </c>
      <c r="AM807" s="1761">
        <v>964</v>
      </c>
      <c r="AN807" s="1761" t="s">
        <v>5305</v>
      </c>
      <c r="AO807" s="1764"/>
      <c r="AP807" s="1761" t="s">
        <v>5379</v>
      </c>
      <c r="AQ807" s="1761" t="s">
        <v>5380</v>
      </c>
      <c r="AR807" s="1761" t="s">
        <v>5381</v>
      </c>
      <c r="AS807" s="1761" t="s">
        <v>347</v>
      </c>
      <c r="AT807" s="1761" t="s">
        <v>327</v>
      </c>
      <c r="AU807" s="1763"/>
      <c r="AV807" s="1763"/>
    </row>
    <row r="808" spans="1:48" ht="25" hidden="1">
      <c r="A808" s="1785" t="str">
        <f t="shared" si="132"/>
        <v>גמל</v>
      </c>
      <c r="B808" s="1786">
        <f t="shared" si="133"/>
        <v>966</v>
      </c>
      <c r="C808" s="1787">
        <v>28946</v>
      </c>
      <c r="D808" s="1786" t="str">
        <f t="shared" si="134"/>
        <v>הפניקס השתלמות - מסלול מט"ח</v>
      </c>
      <c r="E808" s="1786" t="s">
        <v>3929</v>
      </c>
      <c r="F808" s="1786" t="s">
        <v>2958</v>
      </c>
      <c r="G808" s="1786" t="s">
        <v>2959</v>
      </c>
      <c r="H808" s="1786" t="str">
        <f t="shared" si="135"/>
        <v>לא פעיל</v>
      </c>
      <c r="I808" s="1788">
        <f t="shared" si="136"/>
        <v>37985</v>
      </c>
      <c r="J808" s="1788">
        <f t="shared" si="137"/>
        <v>39330.516782407401</v>
      </c>
      <c r="K808" s="1786">
        <v>0</v>
      </c>
      <c r="L808" s="1786" t="s">
        <v>1594</v>
      </c>
      <c r="M808" s="1786" t="s">
        <v>1653</v>
      </c>
      <c r="N808" s="1786" t="s">
        <v>1653</v>
      </c>
      <c r="O808" s="1786">
        <v>0</v>
      </c>
      <c r="P808" s="1786"/>
      <c r="Q808" s="1786">
        <v>0</v>
      </c>
      <c r="R808" s="1788"/>
      <c r="S808" s="1786">
        <f t="shared" si="138"/>
        <v>964</v>
      </c>
      <c r="T808" s="1786" t="str">
        <f t="shared" si="139"/>
        <v>בנק מזרחי טפחות בע"מ</v>
      </c>
      <c r="U808" s="1786" t="str">
        <f t="shared" si="140"/>
        <v>הפניקס השתלמות - מסלול כללי</v>
      </c>
      <c r="V808" s="1786">
        <f t="shared" si="141"/>
        <v>0</v>
      </c>
      <c r="W808" s="1789" t="str">
        <f t="shared" si="142"/>
        <v>הפניקס קרנות פנסיה מאוזנות וותיקות בע"מ</v>
      </c>
      <c r="AC808" s="1759" t="s">
        <v>1586</v>
      </c>
      <c r="AD808" s="1760">
        <v>39330.516782407401</v>
      </c>
      <c r="AE808" s="1760">
        <v>37985</v>
      </c>
      <c r="AF808" s="1759" t="s">
        <v>1611</v>
      </c>
      <c r="AG808" s="1759" t="s">
        <v>1611</v>
      </c>
      <c r="AH808" s="1759" t="s">
        <v>1594</v>
      </c>
      <c r="AI808" s="1759" t="s">
        <v>3441</v>
      </c>
      <c r="AJ808" s="1759" t="s">
        <v>2179</v>
      </c>
      <c r="AK808" s="1759">
        <v>966</v>
      </c>
      <c r="AL808" s="1759" t="s">
        <v>635</v>
      </c>
      <c r="AM808" s="1759">
        <v>964</v>
      </c>
      <c r="AN808" s="1759" t="s">
        <v>5370</v>
      </c>
      <c r="AO808" s="1764"/>
      <c r="AP808" s="1759"/>
      <c r="AQ808" s="1759"/>
      <c r="AR808" s="1759" t="s">
        <v>495</v>
      </c>
      <c r="AS808" s="1759" t="s">
        <v>496</v>
      </c>
      <c r="AT808" s="1759" t="s">
        <v>327</v>
      </c>
      <c r="AU808" s="1763"/>
      <c r="AV808" s="1763"/>
    </row>
    <row r="809" spans="1:48" ht="25" hidden="1">
      <c r="A809" s="1785" t="str">
        <f t="shared" si="132"/>
        <v>גמל</v>
      </c>
      <c r="B809" s="1786">
        <f t="shared" si="133"/>
        <v>967</v>
      </c>
      <c r="C809" s="1787">
        <v>28946</v>
      </c>
      <c r="D809" s="1786" t="str">
        <f t="shared" si="134"/>
        <v>הפניקס השתלמות - מסלול מדדי</v>
      </c>
      <c r="E809" s="1786" t="s">
        <v>3929</v>
      </c>
      <c r="F809" s="1786" t="s">
        <v>2958</v>
      </c>
      <c r="G809" s="1786" t="s">
        <v>2959</v>
      </c>
      <c r="H809" s="1786" t="str">
        <f t="shared" si="135"/>
        <v>לא פעיל</v>
      </c>
      <c r="I809" s="1788">
        <f t="shared" si="136"/>
        <v>37985</v>
      </c>
      <c r="J809" s="1788">
        <f t="shared" si="137"/>
        <v>39330.516898148097</v>
      </c>
      <c r="K809" s="1786">
        <v>0</v>
      </c>
      <c r="L809" s="1786" t="s">
        <v>1594</v>
      </c>
      <c r="M809" s="1786" t="s">
        <v>1653</v>
      </c>
      <c r="N809" s="1786" t="s">
        <v>1653</v>
      </c>
      <c r="O809" s="1786">
        <v>0</v>
      </c>
      <c r="P809" s="1786"/>
      <c r="Q809" s="1786">
        <v>0</v>
      </c>
      <c r="R809" s="1788"/>
      <c r="S809" s="1786">
        <f t="shared" si="138"/>
        <v>964</v>
      </c>
      <c r="T809" s="1786" t="str">
        <f t="shared" si="139"/>
        <v>בנק מזרחי טפחות בע"מ</v>
      </c>
      <c r="U809" s="1786" t="str">
        <f t="shared" si="140"/>
        <v>הפניקס השתלמות - מסלול כללי</v>
      </c>
      <c r="V809" s="1786">
        <f t="shared" si="141"/>
        <v>0</v>
      </c>
      <c r="W809" s="1789" t="str">
        <f t="shared" si="142"/>
        <v>הפניקס קרנות פנסיה מאוזנות וותיקות בע"מ</v>
      </c>
      <c r="AC809" s="1761" t="s">
        <v>1586</v>
      </c>
      <c r="AD809" s="1762">
        <v>39330.516898148097</v>
      </c>
      <c r="AE809" s="1762">
        <v>37985</v>
      </c>
      <c r="AF809" s="1761" t="s">
        <v>1094</v>
      </c>
      <c r="AG809" s="1761" t="s">
        <v>1094</v>
      </c>
      <c r="AH809" s="1761" t="s">
        <v>1594</v>
      </c>
      <c r="AI809" s="1761" t="s">
        <v>3442</v>
      </c>
      <c r="AJ809" s="1761" t="s">
        <v>2180</v>
      </c>
      <c r="AK809" s="1761">
        <v>967</v>
      </c>
      <c r="AL809" s="1761" t="s">
        <v>635</v>
      </c>
      <c r="AM809" s="1761">
        <v>964</v>
      </c>
      <c r="AN809" s="1761" t="s">
        <v>5370</v>
      </c>
      <c r="AO809" s="1764"/>
      <c r="AP809" s="1761"/>
      <c r="AQ809" s="1761"/>
      <c r="AR809" s="1761" t="s">
        <v>495</v>
      </c>
      <c r="AS809" s="1761" t="s">
        <v>496</v>
      </c>
      <c r="AT809" s="1761" t="s">
        <v>327</v>
      </c>
      <c r="AU809" s="1763"/>
      <c r="AV809" s="1763"/>
    </row>
    <row r="810" spans="1:48" ht="25" hidden="1">
      <c r="A810" s="1785" t="str">
        <f t="shared" si="132"/>
        <v>גמל</v>
      </c>
      <c r="B810" s="1786">
        <f t="shared" si="133"/>
        <v>9549</v>
      </c>
      <c r="C810" s="1787">
        <v>28946</v>
      </c>
      <c r="D810" s="1786" t="str">
        <f t="shared" si="134"/>
        <v xml:space="preserve">הפניקס השתלמות - מסלול מתמחה שקלי טווח קצר </v>
      </c>
      <c r="E810" s="1786" t="s">
        <v>3929</v>
      </c>
      <c r="F810" s="1786" t="s">
        <v>2958</v>
      </c>
      <c r="G810" s="1786" t="s">
        <v>2959</v>
      </c>
      <c r="H810" s="1786" t="str">
        <f t="shared" si="135"/>
        <v>לא פעיל</v>
      </c>
      <c r="I810" s="1788">
        <f t="shared" si="136"/>
        <v>37985</v>
      </c>
      <c r="J810" s="1788">
        <f t="shared" si="137"/>
        <v>43107.444120370397</v>
      </c>
      <c r="K810" s="1786">
        <v>0</v>
      </c>
      <c r="L810" s="1786" t="s">
        <v>1594</v>
      </c>
      <c r="M810" s="1786" t="s">
        <v>1653</v>
      </c>
      <c r="N810" s="1786" t="s">
        <v>1653</v>
      </c>
      <c r="O810" s="1786">
        <v>0</v>
      </c>
      <c r="P810" s="1786"/>
      <c r="Q810" s="1786">
        <v>0</v>
      </c>
      <c r="R810" s="1788"/>
      <c r="S810" s="1786">
        <f t="shared" si="138"/>
        <v>964</v>
      </c>
      <c r="T810" s="1786" t="str">
        <f t="shared" si="139"/>
        <v>לאומי</v>
      </c>
      <c r="U810" s="1786" t="str">
        <f t="shared" si="140"/>
        <v xml:space="preserve">הפניקס השתלמות </v>
      </c>
      <c r="V810" s="1786" t="str">
        <f t="shared" si="141"/>
        <v>520017450</v>
      </c>
      <c r="W810" s="1789" t="str">
        <f t="shared" si="142"/>
        <v xml:space="preserve">הפניקס אקסלנס פנסיה וגמל בע"מ </v>
      </c>
      <c r="AC810" s="1759" t="s">
        <v>1586</v>
      </c>
      <c r="AD810" s="1760">
        <v>43107.444120370397</v>
      </c>
      <c r="AE810" s="1760">
        <v>37985</v>
      </c>
      <c r="AF810" s="1759" t="s">
        <v>1673</v>
      </c>
      <c r="AG810" s="1759" t="s">
        <v>1614</v>
      </c>
      <c r="AH810" s="1759" t="s">
        <v>1594</v>
      </c>
      <c r="AI810" s="1759" t="s">
        <v>4291</v>
      </c>
      <c r="AJ810" s="1759" t="s">
        <v>4291</v>
      </c>
      <c r="AK810" s="1759">
        <v>9549</v>
      </c>
      <c r="AL810" s="1759" t="s">
        <v>3439</v>
      </c>
      <c r="AM810" s="1759">
        <v>964</v>
      </c>
      <c r="AN810" s="1759" t="s">
        <v>5305</v>
      </c>
      <c r="AO810" s="1764"/>
      <c r="AP810" s="1759" t="s">
        <v>5379</v>
      </c>
      <c r="AQ810" s="1759" t="s">
        <v>5380</v>
      </c>
      <c r="AR810" s="1759" t="s">
        <v>5381</v>
      </c>
      <c r="AS810" s="1759" t="s">
        <v>347</v>
      </c>
      <c r="AT810" s="1759" t="s">
        <v>327</v>
      </c>
      <c r="AU810" s="1763"/>
      <c r="AV810" s="1763"/>
    </row>
    <row r="811" spans="1:48" ht="25" hidden="1">
      <c r="A811" s="1785" t="str">
        <f t="shared" si="132"/>
        <v>גמל</v>
      </c>
      <c r="B811" s="1786">
        <f t="shared" si="133"/>
        <v>9884</v>
      </c>
      <c r="C811" s="1787">
        <v>28946</v>
      </c>
      <c r="D811" s="1786" t="str">
        <f t="shared" si="134"/>
        <v xml:space="preserve">הפניקס תגמולים ופיצויים - מסלול לבני 50 ומטה </v>
      </c>
      <c r="E811" s="1786" t="s">
        <v>3929</v>
      </c>
      <c r="F811" s="1786" t="s">
        <v>2958</v>
      </c>
      <c r="G811" s="1786" t="s">
        <v>2959</v>
      </c>
      <c r="H811" s="1786" t="str">
        <f t="shared" si="135"/>
        <v>לא פעיל</v>
      </c>
      <c r="I811" s="1788">
        <f t="shared" si="136"/>
        <v>37985</v>
      </c>
      <c r="J811" s="1788">
        <f t="shared" si="137"/>
        <v>43107.575335648202</v>
      </c>
      <c r="K811" s="1786">
        <v>0</v>
      </c>
      <c r="L811" s="1786" t="s">
        <v>1594</v>
      </c>
      <c r="M811" s="1786" t="s">
        <v>1653</v>
      </c>
      <c r="N811" s="1786" t="s">
        <v>1653</v>
      </c>
      <c r="O811" s="1786">
        <v>0</v>
      </c>
      <c r="P811" s="1786"/>
      <c r="Q811" s="1786">
        <v>0</v>
      </c>
      <c r="R811" s="1788"/>
      <c r="S811" s="1786">
        <f t="shared" si="138"/>
        <v>957</v>
      </c>
      <c r="T811" s="1786" t="str">
        <f t="shared" si="139"/>
        <v>לאומי</v>
      </c>
      <c r="U811" s="1786" t="str">
        <f t="shared" si="140"/>
        <v xml:space="preserve">הפניקס תגמולים ופיצויים </v>
      </c>
      <c r="V811" s="1786" t="str">
        <f t="shared" si="141"/>
        <v>520017450</v>
      </c>
      <c r="W811" s="1789" t="str">
        <f t="shared" si="142"/>
        <v xml:space="preserve">הפניקס אקסלנס פנסיה וגמל בע"מ </v>
      </c>
      <c r="AC811" s="1761" t="s">
        <v>1586</v>
      </c>
      <c r="AD811" s="1762">
        <v>43107.575335648202</v>
      </c>
      <c r="AE811" s="1762">
        <v>37985</v>
      </c>
      <c r="AF811" s="1761" t="s">
        <v>4151</v>
      </c>
      <c r="AG811" s="1761" t="s">
        <v>3931</v>
      </c>
      <c r="AH811" s="1761" t="s">
        <v>3658</v>
      </c>
      <c r="AI811" s="1761" t="s">
        <v>4423</v>
      </c>
      <c r="AJ811" s="1761" t="s">
        <v>4423</v>
      </c>
      <c r="AK811" s="1761">
        <v>9884</v>
      </c>
      <c r="AL811" s="1761" t="s">
        <v>3158</v>
      </c>
      <c r="AM811" s="1761">
        <v>957</v>
      </c>
      <c r="AN811" s="1761" t="s">
        <v>5305</v>
      </c>
      <c r="AO811" s="1764"/>
      <c r="AP811" s="1761" t="s">
        <v>5379</v>
      </c>
      <c r="AQ811" s="1761" t="s">
        <v>5380</v>
      </c>
      <c r="AR811" s="1761" t="s">
        <v>5381</v>
      </c>
      <c r="AS811" s="1761" t="s">
        <v>347</v>
      </c>
      <c r="AT811" s="1761" t="s">
        <v>327</v>
      </c>
      <c r="AU811" s="1763"/>
      <c r="AV811" s="1763"/>
    </row>
    <row r="812" spans="1:48" ht="25" hidden="1">
      <c r="A812" s="1785" t="str">
        <f t="shared" si="132"/>
        <v>גמל</v>
      </c>
      <c r="B812" s="1786">
        <f t="shared" si="133"/>
        <v>8595</v>
      </c>
      <c r="C812" s="1787">
        <v>28946</v>
      </c>
      <c r="D812" s="1786" t="str">
        <f t="shared" si="134"/>
        <v>הפניקס מסלול אג"ח</v>
      </c>
      <c r="E812" s="1786" t="s">
        <v>3929</v>
      </c>
      <c r="F812" s="1786" t="s">
        <v>2958</v>
      </c>
      <c r="G812" s="1786" t="s">
        <v>2959</v>
      </c>
      <c r="H812" s="1786" t="str">
        <f t="shared" si="135"/>
        <v>לא פעיל</v>
      </c>
      <c r="I812" s="1788">
        <f t="shared" si="136"/>
        <v>37985</v>
      </c>
      <c r="J812" s="1788">
        <f t="shared" si="137"/>
        <v>42355.704803240696</v>
      </c>
      <c r="K812" s="1786">
        <v>0</v>
      </c>
      <c r="L812" s="1786" t="s">
        <v>1594</v>
      </c>
      <c r="M812" s="1786" t="s">
        <v>1653</v>
      </c>
      <c r="N812" s="1786" t="s">
        <v>1653</v>
      </c>
      <c r="O812" s="1786">
        <v>0</v>
      </c>
      <c r="P812" s="1786"/>
      <c r="Q812" s="1786">
        <v>0</v>
      </c>
      <c r="R812" s="1788"/>
      <c r="S812" s="1786">
        <f t="shared" si="138"/>
        <v>957</v>
      </c>
      <c r="T812" s="1786" t="str">
        <f t="shared" si="139"/>
        <v>לאומי</v>
      </c>
      <c r="U812" s="1786" t="str">
        <f t="shared" si="140"/>
        <v xml:space="preserve">הפניקס תגמולים ופיצויים </v>
      </c>
      <c r="V812" s="1786" t="str">
        <f t="shared" si="141"/>
        <v>520017450</v>
      </c>
      <c r="W812" s="1789" t="str">
        <f t="shared" si="142"/>
        <v xml:space="preserve">הפניקס אקסלנס פנסיה וגמל בע"מ </v>
      </c>
      <c r="AC812" s="1759" t="s">
        <v>1586</v>
      </c>
      <c r="AD812" s="1760">
        <v>42355.704803240696</v>
      </c>
      <c r="AE812" s="1760">
        <v>37985</v>
      </c>
      <c r="AF812" s="1759" t="s">
        <v>1653</v>
      </c>
      <c r="AG812" s="1759" t="s">
        <v>1653</v>
      </c>
      <c r="AH812" s="1759" t="s">
        <v>1594</v>
      </c>
      <c r="AI812" s="1759" t="s">
        <v>2934</v>
      </c>
      <c r="AJ812" s="1759" t="s">
        <v>2934</v>
      </c>
      <c r="AK812" s="1759">
        <v>8595</v>
      </c>
      <c r="AL812" s="1759" t="s">
        <v>3158</v>
      </c>
      <c r="AM812" s="1759">
        <v>957</v>
      </c>
      <c r="AN812" s="1759" t="s">
        <v>5305</v>
      </c>
      <c r="AO812" s="1764"/>
      <c r="AP812" s="1759" t="s">
        <v>5379</v>
      </c>
      <c r="AQ812" s="1759" t="s">
        <v>5380</v>
      </c>
      <c r="AR812" s="1759" t="s">
        <v>5381</v>
      </c>
      <c r="AS812" s="1759" t="s">
        <v>347</v>
      </c>
      <c r="AT812" s="1759" t="s">
        <v>327</v>
      </c>
      <c r="AU812" s="1763"/>
      <c r="AV812" s="1763"/>
    </row>
    <row r="813" spans="1:48" ht="25" hidden="1">
      <c r="A813" s="1785" t="str">
        <f t="shared" si="132"/>
        <v>גמל</v>
      </c>
      <c r="B813" s="1786">
        <f t="shared" si="133"/>
        <v>9530</v>
      </c>
      <c r="C813" s="1787">
        <v>28946</v>
      </c>
      <c r="D813" s="1786" t="str">
        <f t="shared" si="134"/>
        <v>הפניקס תגמולים ופיצויים - מסלול לבני 60 ומעלה</v>
      </c>
      <c r="E813" s="1786" t="s">
        <v>3929</v>
      </c>
      <c r="F813" s="1786" t="s">
        <v>2958</v>
      </c>
      <c r="G813" s="1786" t="s">
        <v>2959</v>
      </c>
      <c r="H813" s="1786" t="str">
        <f t="shared" si="135"/>
        <v>לא פעיל</v>
      </c>
      <c r="I813" s="1788">
        <f t="shared" si="136"/>
        <v>37985</v>
      </c>
      <c r="J813" s="1788">
        <f t="shared" si="137"/>
        <v>43107.579282407401</v>
      </c>
      <c r="K813" s="1786">
        <v>0</v>
      </c>
      <c r="L813" s="1786" t="s">
        <v>1594</v>
      </c>
      <c r="M813" s="1786" t="s">
        <v>1653</v>
      </c>
      <c r="N813" s="1786" t="s">
        <v>1653</v>
      </c>
      <c r="O813" s="1786">
        <v>0</v>
      </c>
      <c r="P813" s="1786"/>
      <c r="Q813" s="1786">
        <v>0</v>
      </c>
      <c r="R813" s="1788"/>
      <c r="S813" s="1786">
        <f t="shared" si="138"/>
        <v>957</v>
      </c>
      <c r="T813" s="1786" t="str">
        <f t="shared" si="139"/>
        <v>לאומי</v>
      </c>
      <c r="U813" s="1786" t="str">
        <f t="shared" si="140"/>
        <v xml:space="preserve">הפניקס תגמולים ופיצויים </v>
      </c>
      <c r="V813" s="1786" t="str">
        <f t="shared" si="141"/>
        <v>520017450</v>
      </c>
      <c r="W813" s="1789" t="str">
        <f t="shared" si="142"/>
        <v xml:space="preserve">הפניקס אקסלנס פנסיה וגמל בע"מ </v>
      </c>
      <c r="AC813" s="1761" t="s">
        <v>1586</v>
      </c>
      <c r="AD813" s="1762">
        <v>43107.579282407401</v>
      </c>
      <c r="AE813" s="1762">
        <v>37985</v>
      </c>
      <c r="AF813" s="1761" t="s">
        <v>3963</v>
      </c>
      <c r="AG813" s="1761" t="s">
        <v>3931</v>
      </c>
      <c r="AH813" s="1761" t="s">
        <v>3658</v>
      </c>
      <c r="AI813" s="1761" t="s">
        <v>4279</v>
      </c>
      <c r="AJ813" s="1761" t="s">
        <v>4279</v>
      </c>
      <c r="AK813" s="1761">
        <v>9530</v>
      </c>
      <c r="AL813" s="1761" t="s">
        <v>3158</v>
      </c>
      <c r="AM813" s="1761">
        <v>957</v>
      </c>
      <c r="AN813" s="1761" t="s">
        <v>5305</v>
      </c>
      <c r="AO813" s="1764"/>
      <c r="AP813" s="1761" t="s">
        <v>5379</v>
      </c>
      <c r="AQ813" s="1761" t="s">
        <v>5380</v>
      </c>
      <c r="AR813" s="1761" t="s">
        <v>5381</v>
      </c>
      <c r="AS813" s="1761" t="s">
        <v>347</v>
      </c>
      <c r="AT813" s="1761" t="s">
        <v>327</v>
      </c>
      <c r="AU813" s="1763"/>
      <c r="AV813" s="1763"/>
    </row>
    <row r="814" spans="1:48" ht="25" hidden="1">
      <c r="A814" s="1785" t="str">
        <f t="shared" si="132"/>
        <v>גמל</v>
      </c>
      <c r="B814" s="1786">
        <f t="shared" si="133"/>
        <v>1482</v>
      </c>
      <c r="C814" s="1787">
        <v>28946</v>
      </c>
      <c r="D814" s="1786" t="str">
        <f t="shared" si="134"/>
        <v>הפניקס תגמולים ופיצויים- מסלול שיטת הפניקס</v>
      </c>
      <c r="E814" s="1786" t="s">
        <v>3929</v>
      </c>
      <c r="F814" s="1786" t="s">
        <v>2958</v>
      </c>
      <c r="G814" s="1786" t="s">
        <v>2959</v>
      </c>
      <c r="H814" s="1786" t="str">
        <f t="shared" si="135"/>
        <v>לא פעיל</v>
      </c>
      <c r="I814" s="1788">
        <f t="shared" si="136"/>
        <v>37985</v>
      </c>
      <c r="J814" s="1788">
        <f t="shared" si="137"/>
        <v>43111.524259259299</v>
      </c>
      <c r="K814" s="1786">
        <v>0</v>
      </c>
      <c r="L814" s="1786" t="s">
        <v>1594</v>
      </c>
      <c r="M814" s="1786" t="s">
        <v>1653</v>
      </c>
      <c r="N814" s="1786" t="s">
        <v>1653</v>
      </c>
      <c r="O814" s="1786">
        <v>0</v>
      </c>
      <c r="P814" s="1786"/>
      <c r="Q814" s="1786">
        <v>0</v>
      </c>
      <c r="R814" s="1788"/>
      <c r="S814" s="1786">
        <f t="shared" si="138"/>
        <v>957</v>
      </c>
      <c r="T814" s="1786" t="str">
        <f t="shared" si="139"/>
        <v>לאומי</v>
      </c>
      <c r="U814" s="1786" t="str">
        <f t="shared" si="140"/>
        <v xml:space="preserve">הפניקס תגמולים ופיצויים </v>
      </c>
      <c r="V814" s="1786" t="str">
        <f t="shared" si="141"/>
        <v>520017450</v>
      </c>
      <c r="W814" s="1789" t="str">
        <f t="shared" si="142"/>
        <v xml:space="preserve">הפניקס אקסלנס פנסיה וגמל בע"מ </v>
      </c>
      <c r="AC814" s="1759" t="s">
        <v>1586</v>
      </c>
      <c r="AD814" s="1760">
        <v>43111.524259259299</v>
      </c>
      <c r="AE814" s="1760">
        <v>37985</v>
      </c>
      <c r="AF814" s="1759" t="s">
        <v>4113</v>
      </c>
      <c r="AG814" s="1759" t="s">
        <v>4113</v>
      </c>
      <c r="AH814" s="1759" t="s">
        <v>3658</v>
      </c>
      <c r="AI814" s="1759" t="s">
        <v>3657</v>
      </c>
      <c r="AJ814" s="1759" t="s">
        <v>2493</v>
      </c>
      <c r="AK814" s="1759">
        <v>1482</v>
      </c>
      <c r="AL814" s="1759" t="s">
        <v>3158</v>
      </c>
      <c r="AM814" s="1759">
        <v>957</v>
      </c>
      <c r="AN814" s="1759" t="s">
        <v>5305</v>
      </c>
      <c r="AO814" s="1764"/>
      <c r="AP814" s="1759" t="s">
        <v>5379</v>
      </c>
      <c r="AQ814" s="1759" t="s">
        <v>5380</v>
      </c>
      <c r="AR814" s="1759" t="s">
        <v>5381</v>
      </c>
      <c r="AS814" s="1759" t="s">
        <v>347</v>
      </c>
      <c r="AT814" s="1759" t="s">
        <v>327</v>
      </c>
      <c r="AU814" s="1763"/>
      <c r="AV814" s="1763"/>
    </row>
    <row r="815" spans="1:48" ht="25" hidden="1">
      <c r="A815" s="1785" t="str">
        <f t="shared" si="132"/>
        <v>גמל</v>
      </c>
      <c r="B815" s="1786">
        <f t="shared" si="133"/>
        <v>1355</v>
      </c>
      <c r="C815" s="1787">
        <v>28946</v>
      </c>
      <c r="D815" s="1786" t="str">
        <f t="shared" si="134"/>
        <v>הפניקס תגמולים ופיצויים - מסלול אג"ח</v>
      </c>
      <c r="E815" s="1786" t="s">
        <v>3929</v>
      </c>
      <c r="F815" s="1786" t="s">
        <v>2958</v>
      </c>
      <c r="G815" s="1786" t="s">
        <v>2959</v>
      </c>
      <c r="H815" s="1786" t="str">
        <f t="shared" si="135"/>
        <v>לא פעיל</v>
      </c>
      <c r="I815" s="1788">
        <f t="shared" si="136"/>
        <v>37985</v>
      </c>
      <c r="J815" s="1788">
        <f t="shared" si="137"/>
        <v>43107.587719907402</v>
      </c>
      <c r="K815" s="1786">
        <v>0</v>
      </c>
      <c r="L815" s="1786" t="s">
        <v>1594</v>
      </c>
      <c r="M815" s="1786" t="s">
        <v>1653</v>
      </c>
      <c r="N815" s="1786" t="s">
        <v>1653</v>
      </c>
      <c r="O815" s="1786">
        <v>0</v>
      </c>
      <c r="P815" s="1786"/>
      <c r="Q815" s="1786">
        <v>0</v>
      </c>
      <c r="R815" s="1788"/>
      <c r="S815" s="1786">
        <f t="shared" si="138"/>
        <v>957</v>
      </c>
      <c r="T815" s="1786" t="str">
        <f t="shared" si="139"/>
        <v>לאומי</v>
      </c>
      <c r="U815" s="1786" t="str">
        <f t="shared" si="140"/>
        <v xml:space="preserve">הפניקס תגמולים ופיצויים </v>
      </c>
      <c r="V815" s="1786" t="str">
        <f t="shared" si="141"/>
        <v>520017450</v>
      </c>
      <c r="W815" s="1789" t="str">
        <f t="shared" si="142"/>
        <v xml:space="preserve">הפניקס אקסלנס פנסיה וגמל בע"מ </v>
      </c>
      <c r="AC815" s="1761" t="s">
        <v>1586</v>
      </c>
      <c r="AD815" s="1762">
        <v>43107.587719907402</v>
      </c>
      <c r="AE815" s="1762">
        <v>37985</v>
      </c>
      <c r="AF815" s="1761" t="s">
        <v>1653</v>
      </c>
      <c r="AG815" s="1761" t="s">
        <v>1653</v>
      </c>
      <c r="AH815" s="1761" t="s">
        <v>1594</v>
      </c>
      <c r="AI815" s="1761" t="s">
        <v>4067</v>
      </c>
      <c r="AJ815" s="1761" t="s">
        <v>4067</v>
      </c>
      <c r="AK815" s="1761">
        <v>1355</v>
      </c>
      <c r="AL815" s="1761" t="s">
        <v>3158</v>
      </c>
      <c r="AM815" s="1761">
        <v>957</v>
      </c>
      <c r="AN815" s="1761" t="s">
        <v>5305</v>
      </c>
      <c r="AO815" s="1764"/>
      <c r="AP815" s="1761" t="s">
        <v>5379</v>
      </c>
      <c r="AQ815" s="1761" t="s">
        <v>5380</v>
      </c>
      <c r="AR815" s="1761" t="s">
        <v>5381</v>
      </c>
      <c r="AS815" s="1761" t="s">
        <v>347</v>
      </c>
      <c r="AT815" s="1761" t="s">
        <v>327</v>
      </c>
      <c r="AU815" s="1763"/>
      <c r="AV815" s="1763"/>
    </row>
    <row r="816" spans="1:48" ht="25" hidden="1">
      <c r="A816" s="1785" t="str">
        <f t="shared" si="132"/>
        <v>גמל</v>
      </c>
      <c r="B816" s="1786">
        <f t="shared" si="133"/>
        <v>957</v>
      </c>
      <c r="C816" s="1787">
        <v>28946</v>
      </c>
      <c r="D816" s="1786" t="str">
        <f t="shared" si="134"/>
        <v>הפניקס תגמולים ופיצויים - מסלול כללי</v>
      </c>
      <c r="E816" s="1786" t="s">
        <v>3929</v>
      </c>
      <c r="F816" s="1786" t="s">
        <v>2958</v>
      </c>
      <c r="G816" s="1786" t="s">
        <v>2959</v>
      </c>
      <c r="H816" s="1786" t="str">
        <f t="shared" si="135"/>
        <v>לא פעיל</v>
      </c>
      <c r="I816" s="1788">
        <f t="shared" si="136"/>
        <v>37985</v>
      </c>
      <c r="J816" s="1788">
        <f t="shared" si="137"/>
        <v>42370.764201388898</v>
      </c>
      <c r="K816" s="1786">
        <v>0</v>
      </c>
      <c r="L816" s="1786" t="s">
        <v>1594</v>
      </c>
      <c r="M816" s="1786" t="s">
        <v>1653</v>
      </c>
      <c r="N816" s="1786" t="s">
        <v>1653</v>
      </c>
      <c r="O816" s="1786">
        <v>0</v>
      </c>
      <c r="P816" s="1786"/>
      <c r="Q816" s="1786">
        <v>0</v>
      </c>
      <c r="R816" s="1788"/>
      <c r="S816" s="1786">
        <f t="shared" si="138"/>
        <v>957</v>
      </c>
      <c r="T816" s="1786" t="str">
        <f t="shared" si="139"/>
        <v>לאומי</v>
      </c>
      <c r="U816" s="1786" t="str">
        <f t="shared" si="140"/>
        <v xml:space="preserve">הפניקס תגמולים ופיצויים </v>
      </c>
      <c r="V816" s="1786" t="str">
        <f t="shared" si="141"/>
        <v>520017450</v>
      </c>
      <c r="W816" s="1789" t="str">
        <f t="shared" si="142"/>
        <v xml:space="preserve">הפניקס אקסלנס פנסיה וגמל בע"מ </v>
      </c>
      <c r="AC816" s="1759" t="s">
        <v>1586</v>
      </c>
      <c r="AD816" s="1760">
        <v>42370.764201388898</v>
      </c>
      <c r="AE816" s="1760">
        <v>37985</v>
      </c>
      <c r="AF816" s="1759" t="s">
        <v>1583</v>
      </c>
      <c r="AG816" s="1759" t="s">
        <v>1583</v>
      </c>
      <c r="AH816" s="1759" t="s">
        <v>1583</v>
      </c>
      <c r="AI816" s="1759" t="s">
        <v>634</v>
      </c>
      <c r="AJ816" s="1759" t="s">
        <v>634</v>
      </c>
      <c r="AK816" s="1759">
        <v>957</v>
      </c>
      <c r="AL816" s="1759" t="s">
        <v>3158</v>
      </c>
      <c r="AM816" s="1759">
        <v>957</v>
      </c>
      <c r="AN816" s="1759" t="s">
        <v>5305</v>
      </c>
      <c r="AO816" s="1764"/>
      <c r="AP816" s="1759" t="s">
        <v>5379</v>
      </c>
      <c r="AQ816" s="1759" t="s">
        <v>5380</v>
      </c>
      <c r="AR816" s="1759" t="s">
        <v>5381</v>
      </c>
      <c r="AS816" s="1759" t="s">
        <v>347</v>
      </c>
      <c r="AT816" s="1759" t="s">
        <v>327</v>
      </c>
      <c r="AU816" s="1763"/>
      <c r="AV816" s="1763"/>
    </row>
    <row r="817" spans="1:48" ht="25" hidden="1">
      <c r="A817" s="1785" t="str">
        <f t="shared" si="132"/>
        <v>גמל</v>
      </c>
      <c r="B817" s="1786">
        <f t="shared" si="133"/>
        <v>958</v>
      </c>
      <c r="C817" s="1787">
        <v>28946</v>
      </c>
      <c r="D817" s="1786" t="str">
        <f t="shared" si="134"/>
        <v>הפניקס תגמולים ופיצויים - מסלול שיקלי</v>
      </c>
      <c r="E817" s="1786" t="s">
        <v>3929</v>
      </c>
      <c r="F817" s="1786" t="s">
        <v>2958</v>
      </c>
      <c r="G817" s="1786" t="s">
        <v>2959</v>
      </c>
      <c r="H817" s="1786" t="str">
        <f t="shared" si="135"/>
        <v>לא פעיל</v>
      </c>
      <c r="I817" s="1788">
        <f t="shared" si="136"/>
        <v>37985</v>
      </c>
      <c r="J817" s="1788">
        <f t="shared" si="137"/>
        <v>39330.5161226852</v>
      </c>
      <c r="K817" s="1786">
        <v>0</v>
      </c>
      <c r="L817" s="1786" t="s">
        <v>1594</v>
      </c>
      <c r="M817" s="1786" t="s">
        <v>1653</v>
      </c>
      <c r="N817" s="1786" t="s">
        <v>1653</v>
      </c>
      <c r="O817" s="1786">
        <v>0</v>
      </c>
      <c r="P817" s="1786"/>
      <c r="Q817" s="1786">
        <v>0</v>
      </c>
      <c r="R817" s="1788"/>
      <c r="S817" s="1786">
        <f t="shared" si="138"/>
        <v>957</v>
      </c>
      <c r="T817" s="1786" t="str">
        <f t="shared" si="139"/>
        <v>בנק מזרחי טפחות בע"מ</v>
      </c>
      <c r="U817" s="1786" t="str">
        <f t="shared" si="140"/>
        <v>הפניקס תגמולים ופיצויים - מסלול כללי</v>
      </c>
      <c r="V817" s="1786">
        <f t="shared" si="141"/>
        <v>0</v>
      </c>
      <c r="W817" s="1789" t="str">
        <f t="shared" si="142"/>
        <v>הפניקס קרנות פנסיה מאוזנות וותיקות בע"מ</v>
      </c>
      <c r="AC817" s="1761" t="s">
        <v>1586</v>
      </c>
      <c r="AD817" s="1762">
        <v>39330.5161226852</v>
      </c>
      <c r="AE817" s="1762">
        <v>37985</v>
      </c>
      <c r="AF817" s="1761" t="s">
        <v>1076</v>
      </c>
      <c r="AG817" s="1761" t="s">
        <v>1614</v>
      </c>
      <c r="AH817" s="1761" t="s">
        <v>1594</v>
      </c>
      <c r="AI817" s="1761" t="s">
        <v>3436</v>
      </c>
      <c r="AJ817" s="1761" t="s">
        <v>2174</v>
      </c>
      <c r="AK817" s="1761">
        <v>958</v>
      </c>
      <c r="AL817" s="1761" t="s">
        <v>634</v>
      </c>
      <c r="AM817" s="1761">
        <v>957</v>
      </c>
      <c r="AN817" s="1761" t="s">
        <v>5370</v>
      </c>
      <c r="AO817" s="1764"/>
      <c r="AP817" s="1761"/>
      <c r="AQ817" s="1761"/>
      <c r="AR817" s="1761" t="s">
        <v>495</v>
      </c>
      <c r="AS817" s="1761" t="s">
        <v>496</v>
      </c>
      <c r="AT817" s="1761" t="s">
        <v>327</v>
      </c>
      <c r="AU817" s="1763"/>
      <c r="AV817" s="1763"/>
    </row>
    <row r="818" spans="1:48" ht="25" hidden="1">
      <c r="A818" s="1785" t="str">
        <f t="shared" si="132"/>
        <v>גמל</v>
      </c>
      <c r="B818" s="1786">
        <f t="shared" si="133"/>
        <v>959</v>
      </c>
      <c r="C818" s="1787">
        <v>28946</v>
      </c>
      <c r="D818" s="1786" t="str">
        <f t="shared" si="134"/>
        <v>הפניקס תגמולים ופיצויים - מסלול מט"ח</v>
      </c>
      <c r="E818" s="1786" t="s">
        <v>3929</v>
      </c>
      <c r="F818" s="1786" t="s">
        <v>2958</v>
      </c>
      <c r="G818" s="1786" t="s">
        <v>2959</v>
      </c>
      <c r="H818" s="1786" t="str">
        <f t="shared" si="135"/>
        <v>לא פעיל</v>
      </c>
      <c r="I818" s="1788">
        <f t="shared" si="136"/>
        <v>37985</v>
      </c>
      <c r="J818" s="1788">
        <f t="shared" si="137"/>
        <v>39330.5162962963</v>
      </c>
      <c r="K818" s="1786">
        <v>0</v>
      </c>
      <c r="L818" s="1786" t="s">
        <v>1594</v>
      </c>
      <c r="M818" s="1786" t="s">
        <v>1653</v>
      </c>
      <c r="N818" s="1786" t="s">
        <v>1653</v>
      </c>
      <c r="O818" s="1786">
        <v>0</v>
      </c>
      <c r="P818" s="1786"/>
      <c r="Q818" s="1786">
        <v>0</v>
      </c>
      <c r="R818" s="1788"/>
      <c r="S818" s="1786">
        <f t="shared" si="138"/>
        <v>957</v>
      </c>
      <c r="T818" s="1786" t="str">
        <f t="shared" si="139"/>
        <v>בנק מזרחי טפחות בע"מ</v>
      </c>
      <c r="U818" s="1786" t="str">
        <f t="shared" si="140"/>
        <v>הפניקס תגמולים ופיצויים - מסלול כללי</v>
      </c>
      <c r="V818" s="1786">
        <f t="shared" si="141"/>
        <v>0</v>
      </c>
      <c r="W818" s="1789" t="str">
        <f t="shared" si="142"/>
        <v>הפניקס קרנות פנסיה מאוזנות וותיקות בע"מ</v>
      </c>
      <c r="AC818" s="1759" t="s">
        <v>1586</v>
      </c>
      <c r="AD818" s="1760">
        <v>39330.5162962963</v>
      </c>
      <c r="AE818" s="1760">
        <v>37985</v>
      </c>
      <c r="AF818" s="1759" t="s">
        <v>1611</v>
      </c>
      <c r="AG818" s="1759" t="s">
        <v>1611</v>
      </c>
      <c r="AH818" s="1759" t="s">
        <v>1594</v>
      </c>
      <c r="AI818" s="1759" t="s">
        <v>3437</v>
      </c>
      <c r="AJ818" s="1759" t="s">
        <v>2175</v>
      </c>
      <c r="AK818" s="1759">
        <v>959</v>
      </c>
      <c r="AL818" s="1759" t="s">
        <v>634</v>
      </c>
      <c r="AM818" s="1759">
        <v>957</v>
      </c>
      <c r="AN818" s="1759" t="s">
        <v>5370</v>
      </c>
      <c r="AO818" s="1764"/>
      <c r="AP818" s="1759"/>
      <c r="AQ818" s="1759"/>
      <c r="AR818" s="1759" t="s">
        <v>495</v>
      </c>
      <c r="AS818" s="1759" t="s">
        <v>496</v>
      </c>
      <c r="AT818" s="1759" t="s">
        <v>327</v>
      </c>
      <c r="AU818" s="1763"/>
      <c r="AV818" s="1763"/>
    </row>
    <row r="819" spans="1:48" ht="25" hidden="1">
      <c r="A819" s="1785" t="str">
        <f t="shared" si="132"/>
        <v>גמל</v>
      </c>
      <c r="B819" s="1786">
        <f t="shared" si="133"/>
        <v>960</v>
      </c>
      <c r="C819" s="1787">
        <v>28946</v>
      </c>
      <c r="D819" s="1786" t="str">
        <f t="shared" si="134"/>
        <v>הפניקס תגמולים ופיצויים - מסלול מדדי</v>
      </c>
      <c r="E819" s="1786" t="s">
        <v>3929</v>
      </c>
      <c r="F819" s="1786" t="s">
        <v>2958</v>
      </c>
      <c r="G819" s="1786" t="s">
        <v>2959</v>
      </c>
      <c r="H819" s="1786" t="str">
        <f t="shared" si="135"/>
        <v>לא פעיל</v>
      </c>
      <c r="I819" s="1788">
        <f t="shared" si="136"/>
        <v>37985</v>
      </c>
      <c r="J819" s="1788">
        <f t="shared" si="137"/>
        <v>39330.516423611101</v>
      </c>
      <c r="K819" s="1786">
        <v>0</v>
      </c>
      <c r="L819" s="1786" t="s">
        <v>1594</v>
      </c>
      <c r="M819" s="1786" t="s">
        <v>1653</v>
      </c>
      <c r="N819" s="1786" t="s">
        <v>1653</v>
      </c>
      <c r="O819" s="1786">
        <v>0</v>
      </c>
      <c r="P819" s="1786"/>
      <c r="Q819" s="1786">
        <v>0</v>
      </c>
      <c r="R819" s="1788"/>
      <c r="S819" s="1786">
        <f t="shared" si="138"/>
        <v>957</v>
      </c>
      <c r="T819" s="1786" t="str">
        <f t="shared" si="139"/>
        <v>בנק מזרחי טפחות בע"מ</v>
      </c>
      <c r="U819" s="1786" t="str">
        <f t="shared" si="140"/>
        <v>הפניקס תגמולים ופיצויים - מסלול כללי</v>
      </c>
      <c r="V819" s="1786">
        <f t="shared" si="141"/>
        <v>0</v>
      </c>
      <c r="W819" s="1789" t="str">
        <f t="shared" si="142"/>
        <v>הפניקס קרנות פנסיה מאוזנות וותיקות בע"מ</v>
      </c>
      <c r="AC819" s="1761" t="s">
        <v>1586</v>
      </c>
      <c r="AD819" s="1762">
        <v>39330.516423611101</v>
      </c>
      <c r="AE819" s="1762">
        <v>37985</v>
      </c>
      <c r="AF819" s="1761" t="s">
        <v>1094</v>
      </c>
      <c r="AG819" s="1761" t="s">
        <v>1094</v>
      </c>
      <c r="AH819" s="1761" t="s">
        <v>1594</v>
      </c>
      <c r="AI819" s="1761" t="s">
        <v>3438</v>
      </c>
      <c r="AJ819" s="1761" t="s">
        <v>2176</v>
      </c>
      <c r="AK819" s="1761">
        <v>960</v>
      </c>
      <c r="AL819" s="1761" t="s">
        <v>634</v>
      </c>
      <c r="AM819" s="1761">
        <v>957</v>
      </c>
      <c r="AN819" s="1761" t="s">
        <v>5370</v>
      </c>
      <c r="AO819" s="1764"/>
      <c r="AP819" s="1761"/>
      <c r="AQ819" s="1761"/>
      <c r="AR819" s="1761" t="s">
        <v>495</v>
      </c>
      <c r="AS819" s="1761" t="s">
        <v>496</v>
      </c>
      <c r="AT819" s="1761" t="s">
        <v>327</v>
      </c>
      <c r="AU819" s="1763"/>
      <c r="AV819" s="1763"/>
    </row>
    <row r="820" spans="1:48" ht="25" hidden="1">
      <c r="A820" s="1785" t="str">
        <f t="shared" si="132"/>
        <v>גמל</v>
      </c>
      <c r="B820" s="1786">
        <f t="shared" si="133"/>
        <v>521</v>
      </c>
      <c r="C820" s="1787">
        <v>28946</v>
      </c>
      <c r="D820" s="1786" t="str">
        <f t="shared" si="134"/>
        <v>הפניקס תגמולים ופיצויים - מסלול אג"ח עד 25% מניות</v>
      </c>
      <c r="E820" s="1786" t="s">
        <v>3929</v>
      </c>
      <c r="F820" s="1786" t="s">
        <v>2958</v>
      </c>
      <c r="G820" s="1786" t="s">
        <v>2959</v>
      </c>
      <c r="H820" s="1786" t="str">
        <f t="shared" si="135"/>
        <v>לא פעיל</v>
      </c>
      <c r="I820" s="1788">
        <f t="shared" si="136"/>
        <v>37985</v>
      </c>
      <c r="J820" s="1788">
        <f t="shared" si="137"/>
        <v>43107.583043981504</v>
      </c>
      <c r="K820" s="1786">
        <v>0</v>
      </c>
      <c r="L820" s="1786" t="s">
        <v>1594</v>
      </c>
      <c r="M820" s="1786" t="s">
        <v>1653</v>
      </c>
      <c r="N820" s="1786" t="s">
        <v>1653</v>
      </c>
      <c r="O820" s="1786">
        <v>0</v>
      </c>
      <c r="P820" s="1786"/>
      <c r="Q820" s="1786">
        <v>0</v>
      </c>
      <c r="R820" s="1788"/>
      <c r="S820" s="1786">
        <f t="shared" si="138"/>
        <v>957</v>
      </c>
      <c r="T820" s="1786" t="str">
        <f t="shared" si="139"/>
        <v>לאומי</v>
      </c>
      <c r="U820" s="1786" t="str">
        <f t="shared" si="140"/>
        <v xml:space="preserve">הפניקס תגמולים ופיצויים </v>
      </c>
      <c r="V820" s="1786" t="str">
        <f t="shared" si="141"/>
        <v>520017450</v>
      </c>
      <c r="W820" s="1789" t="str">
        <f t="shared" si="142"/>
        <v xml:space="preserve">הפניקס אקסלנס פנסיה וגמל בע"מ </v>
      </c>
      <c r="AC820" s="1759" t="s">
        <v>1586</v>
      </c>
      <c r="AD820" s="1760">
        <v>43107.583043981504</v>
      </c>
      <c r="AE820" s="1760">
        <v>37985</v>
      </c>
      <c r="AF820" s="1759" t="s">
        <v>3934</v>
      </c>
      <c r="AG820" s="1759" t="s">
        <v>1653</v>
      </c>
      <c r="AH820" s="1759" t="s">
        <v>1594</v>
      </c>
      <c r="AI820" s="1759" t="s">
        <v>3961</v>
      </c>
      <c r="AJ820" s="1759" t="s">
        <v>3961</v>
      </c>
      <c r="AK820" s="1759">
        <v>521</v>
      </c>
      <c r="AL820" s="1759" t="s">
        <v>3158</v>
      </c>
      <c r="AM820" s="1759">
        <v>957</v>
      </c>
      <c r="AN820" s="1759" t="s">
        <v>5305</v>
      </c>
      <c r="AO820" s="1764"/>
      <c r="AP820" s="1759" t="s">
        <v>5379</v>
      </c>
      <c r="AQ820" s="1759" t="s">
        <v>5380</v>
      </c>
      <c r="AR820" s="1759" t="s">
        <v>5381</v>
      </c>
      <c r="AS820" s="1759" t="s">
        <v>347</v>
      </c>
      <c r="AT820" s="1759" t="s">
        <v>327</v>
      </c>
      <c r="AU820" s="1763"/>
      <c r="AV820" s="1763"/>
    </row>
    <row r="821" spans="1:48" ht="25" hidden="1">
      <c r="A821" s="1785" t="str">
        <f t="shared" si="132"/>
        <v>גמל</v>
      </c>
      <c r="B821" s="1786">
        <f t="shared" si="133"/>
        <v>1358</v>
      </c>
      <c r="C821" s="1787">
        <v>28946</v>
      </c>
      <c r="D821" s="1786" t="str">
        <f t="shared" si="134"/>
        <v>הדס ארזים אפסילון תגמולים מסלול שקלי טווח קצר</v>
      </c>
      <c r="E821" s="1786" t="s">
        <v>3929</v>
      </c>
      <c r="F821" s="1786" t="s">
        <v>2958</v>
      </c>
      <c r="G821" s="1786" t="s">
        <v>2959</v>
      </c>
      <c r="H821" s="1786" t="str">
        <f t="shared" si="135"/>
        <v>לא פעיל</v>
      </c>
      <c r="I821" s="1788">
        <f t="shared" si="136"/>
        <v>37985</v>
      </c>
      <c r="J821" s="1788">
        <f t="shared" si="137"/>
        <v>41547.520069444399</v>
      </c>
      <c r="K821" s="1786">
        <v>0</v>
      </c>
      <c r="L821" s="1786" t="s">
        <v>1594</v>
      </c>
      <c r="M821" s="1786" t="s">
        <v>1653</v>
      </c>
      <c r="N821" s="1786" t="s">
        <v>1653</v>
      </c>
      <c r="O821" s="1786">
        <v>0</v>
      </c>
      <c r="P821" s="1786"/>
      <c r="Q821" s="1786">
        <v>0</v>
      </c>
      <c r="R821" s="1788"/>
      <c r="S821" s="1786">
        <f t="shared" si="138"/>
        <v>956</v>
      </c>
      <c r="T821" s="1786" t="str">
        <f t="shared" si="139"/>
        <v>בנק הפועלים בע"מ</v>
      </c>
      <c r="U821" s="1786" t="str">
        <f t="shared" si="140"/>
        <v>הדס ארזים אפסילון תגמולים</v>
      </c>
      <c r="V821" s="1786" t="str">
        <f t="shared" si="141"/>
        <v>513163105</v>
      </c>
      <c r="W821" s="1789" t="str">
        <f t="shared" si="142"/>
        <v>הלמן - אלדובי קופות גמל ופנסיה בע"מ</v>
      </c>
      <c r="AC821" s="1761" t="s">
        <v>1586</v>
      </c>
      <c r="AD821" s="1762">
        <v>41547.520069444399</v>
      </c>
      <c r="AE821" s="1762">
        <v>37985</v>
      </c>
      <c r="AF821" s="1761" t="s">
        <v>1673</v>
      </c>
      <c r="AG821" s="1761" t="s">
        <v>1614</v>
      </c>
      <c r="AH821" s="1761" t="s">
        <v>1594</v>
      </c>
      <c r="AI821" s="1761" t="s">
        <v>3616</v>
      </c>
      <c r="AJ821" s="1761" t="s">
        <v>3616</v>
      </c>
      <c r="AK821" s="1761">
        <v>1358</v>
      </c>
      <c r="AL821" s="1761" t="s">
        <v>3435</v>
      </c>
      <c r="AM821" s="1761">
        <v>956</v>
      </c>
      <c r="AN821" s="1761" t="s">
        <v>1695</v>
      </c>
      <c r="AO821" s="1764"/>
      <c r="AP821" s="1761" t="s">
        <v>5371</v>
      </c>
      <c r="AQ821" s="1761" t="s">
        <v>5372</v>
      </c>
      <c r="AR821" s="1761" t="s">
        <v>354</v>
      </c>
      <c r="AS821" s="1761" t="s">
        <v>355</v>
      </c>
      <c r="AT821" s="1761" t="s">
        <v>327</v>
      </c>
      <c r="AU821" s="1763"/>
      <c r="AV821" s="1763"/>
    </row>
    <row r="822" spans="1:48" ht="25" hidden="1">
      <c r="A822" s="1785" t="str">
        <f t="shared" si="132"/>
        <v>גמל</v>
      </c>
      <c r="B822" s="1786">
        <f t="shared" si="133"/>
        <v>1229</v>
      </c>
      <c r="C822" s="1787">
        <v>28946</v>
      </c>
      <c r="D822" s="1786" t="str">
        <f t="shared" si="134"/>
        <v>הדס ארזים אפסילון תגמולים מסלול אג"ח</v>
      </c>
      <c r="E822" s="1786" t="s">
        <v>3929</v>
      </c>
      <c r="F822" s="1786" t="s">
        <v>2958</v>
      </c>
      <c r="G822" s="1786" t="s">
        <v>2959</v>
      </c>
      <c r="H822" s="1786" t="str">
        <f t="shared" si="135"/>
        <v>לא פעיל</v>
      </c>
      <c r="I822" s="1788">
        <f t="shared" si="136"/>
        <v>37985</v>
      </c>
      <c r="J822" s="1788">
        <f t="shared" si="137"/>
        <v>41547.520069444399</v>
      </c>
      <c r="K822" s="1786">
        <v>0</v>
      </c>
      <c r="L822" s="1786" t="s">
        <v>1594</v>
      </c>
      <c r="M822" s="1786" t="s">
        <v>1653</v>
      </c>
      <c r="N822" s="1786" t="s">
        <v>1653</v>
      </c>
      <c r="O822" s="1786">
        <v>0</v>
      </c>
      <c r="P822" s="1786"/>
      <c r="Q822" s="1786">
        <v>0</v>
      </c>
      <c r="R822" s="1788"/>
      <c r="S822" s="1786">
        <f t="shared" si="138"/>
        <v>956</v>
      </c>
      <c r="T822" s="1786" t="str">
        <f t="shared" si="139"/>
        <v>בנק הפועלים בע"מ</v>
      </c>
      <c r="U822" s="1786" t="str">
        <f t="shared" si="140"/>
        <v>הדס ארזים אפסילון תגמולים</v>
      </c>
      <c r="V822" s="1786" t="str">
        <f t="shared" si="141"/>
        <v>513163105</v>
      </c>
      <c r="W822" s="1789" t="str">
        <f t="shared" si="142"/>
        <v>הלמן - אלדובי קופות גמל ופנסיה בע"מ</v>
      </c>
      <c r="AC822" s="1759" t="s">
        <v>1586</v>
      </c>
      <c r="AD822" s="1760">
        <v>41547.520069444399</v>
      </c>
      <c r="AE822" s="1760">
        <v>37985</v>
      </c>
      <c r="AF822" s="1759" t="s">
        <v>1653</v>
      </c>
      <c r="AG822" s="1759" t="s">
        <v>1653</v>
      </c>
      <c r="AH822" s="1759" t="s">
        <v>1594</v>
      </c>
      <c r="AI822" s="1759" t="s">
        <v>3562</v>
      </c>
      <c r="AJ822" s="1759" t="s">
        <v>3562</v>
      </c>
      <c r="AK822" s="1759">
        <v>1229</v>
      </c>
      <c r="AL822" s="1759" t="s">
        <v>3435</v>
      </c>
      <c r="AM822" s="1759">
        <v>956</v>
      </c>
      <c r="AN822" s="1759" t="s">
        <v>1695</v>
      </c>
      <c r="AO822" s="1764"/>
      <c r="AP822" s="1759" t="s">
        <v>5371</v>
      </c>
      <c r="AQ822" s="1759" t="s">
        <v>5372</v>
      </c>
      <c r="AR822" s="1759" t="s">
        <v>354</v>
      </c>
      <c r="AS822" s="1759" t="s">
        <v>355</v>
      </c>
      <c r="AT822" s="1759" t="s">
        <v>327</v>
      </c>
      <c r="AU822" s="1763"/>
      <c r="AV822" s="1763"/>
    </row>
    <row r="823" spans="1:48" ht="25" hidden="1">
      <c r="A823" s="1785" t="str">
        <f t="shared" si="132"/>
        <v>גמל</v>
      </c>
      <c r="B823" s="1786">
        <f t="shared" si="133"/>
        <v>1230</v>
      </c>
      <c r="C823" s="1787">
        <v>28946</v>
      </c>
      <c r="D823" s="1786" t="str">
        <f t="shared" si="134"/>
        <v>הדס ארזים אפסילון תגמולים מסלול מנייתי</v>
      </c>
      <c r="E823" s="1786" t="s">
        <v>3929</v>
      </c>
      <c r="F823" s="1786" t="s">
        <v>2958</v>
      </c>
      <c r="G823" s="1786" t="s">
        <v>2959</v>
      </c>
      <c r="H823" s="1786" t="str">
        <f t="shared" si="135"/>
        <v>לא פעיל</v>
      </c>
      <c r="I823" s="1788">
        <f t="shared" si="136"/>
        <v>37985</v>
      </c>
      <c r="J823" s="1788">
        <f t="shared" si="137"/>
        <v>41547.520069444399</v>
      </c>
      <c r="K823" s="1786">
        <v>0</v>
      </c>
      <c r="L823" s="1786" t="s">
        <v>1594</v>
      </c>
      <c r="M823" s="1786" t="s">
        <v>1653</v>
      </c>
      <c r="N823" s="1786" t="s">
        <v>1653</v>
      </c>
      <c r="O823" s="1786">
        <v>0</v>
      </c>
      <c r="P823" s="1786"/>
      <c r="Q823" s="1786">
        <v>0</v>
      </c>
      <c r="R823" s="1788"/>
      <c r="S823" s="1786">
        <f t="shared" si="138"/>
        <v>956</v>
      </c>
      <c r="T823" s="1786" t="str">
        <f t="shared" si="139"/>
        <v>בנק הפועלים בע"מ</v>
      </c>
      <c r="U823" s="1786" t="str">
        <f t="shared" si="140"/>
        <v>הדס ארזים אפסילון תגמולים</v>
      </c>
      <c r="V823" s="1786" t="str">
        <f t="shared" si="141"/>
        <v>513163105</v>
      </c>
      <c r="W823" s="1789" t="str">
        <f t="shared" si="142"/>
        <v>הלמן - אלדובי קופות גמל ופנסיה בע"מ</v>
      </c>
      <c r="AC823" s="1761" t="s">
        <v>1586</v>
      </c>
      <c r="AD823" s="1762">
        <v>41547.520069444399</v>
      </c>
      <c r="AE823" s="1762">
        <v>37985</v>
      </c>
      <c r="AF823" s="1761" t="s">
        <v>1595</v>
      </c>
      <c r="AG823" s="1761" t="s">
        <v>75</v>
      </c>
      <c r="AH823" s="1761" t="s">
        <v>1594</v>
      </c>
      <c r="AI823" s="1761" t="s">
        <v>3563</v>
      </c>
      <c r="AJ823" s="1761" t="s">
        <v>3563</v>
      </c>
      <c r="AK823" s="1761">
        <v>1230</v>
      </c>
      <c r="AL823" s="1761" t="s">
        <v>3435</v>
      </c>
      <c r="AM823" s="1761">
        <v>956</v>
      </c>
      <c r="AN823" s="1761" t="s">
        <v>1695</v>
      </c>
      <c r="AO823" s="1764"/>
      <c r="AP823" s="1761" t="s">
        <v>5371</v>
      </c>
      <c r="AQ823" s="1761" t="s">
        <v>5372</v>
      </c>
      <c r="AR823" s="1761" t="s">
        <v>354</v>
      </c>
      <c r="AS823" s="1761" t="s">
        <v>355</v>
      </c>
      <c r="AT823" s="1761" t="s">
        <v>327</v>
      </c>
      <c r="AU823" s="1763"/>
      <c r="AV823" s="1763"/>
    </row>
    <row r="824" spans="1:48" ht="25" hidden="1">
      <c r="A824" s="1785" t="str">
        <f t="shared" si="132"/>
        <v>גמל</v>
      </c>
      <c r="B824" s="1786">
        <f t="shared" si="133"/>
        <v>956</v>
      </c>
      <c r="C824" s="1787">
        <v>28946</v>
      </c>
      <c r="D824" s="1786" t="str">
        <f t="shared" si="134"/>
        <v>הדס ארזים אפסילון תגמולים מסלול כללי</v>
      </c>
      <c r="E824" s="1786" t="s">
        <v>3929</v>
      </c>
      <c r="F824" s="1786" t="s">
        <v>2958</v>
      </c>
      <c r="G824" s="1786" t="s">
        <v>2959</v>
      </c>
      <c r="H824" s="1786" t="str">
        <f t="shared" si="135"/>
        <v>לא פעיל</v>
      </c>
      <c r="I824" s="1788">
        <f t="shared" si="136"/>
        <v>37985</v>
      </c>
      <c r="J824" s="1788">
        <f t="shared" si="137"/>
        <v>41547.520069444399</v>
      </c>
      <c r="K824" s="1786">
        <v>0</v>
      </c>
      <c r="L824" s="1786" t="s">
        <v>1594</v>
      </c>
      <c r="M824" s="1786" t="s">
        <v>1653</v>
      </c>
      <c r="N824" s="1786" t="s">
        <v>1653</v>
      </c>
      <c r="O824" s="1786">
        <v>0</v>
      </c>
      <c r="P824" s="1786"/>
      <c r="Q824" s="1786">
        <v>0</v>
      </c>
      <c r="R824" s="1788"/>
      <c r="S824" s="1786">
        <f t="shared" si="138"/>
        <v>956</v>
      </c>
      <c r="T824" s="1786" t="str">
        <f t="shared" si="139"/>
        <v>בנק הפועלים בע"מ</v>
      </c>
      <c r="U824" s="1786" t="str">
        <f t="shared" si="140"/>
        <v>הדס ארזים אפסילון תגמולים</v>
      </c>
      <c r="V824" s="1786" t="str">
        <f t="shared" si="141"/>
        <v>513163105</v>
      </c>
      <c r="W824" s="1789" t="str">
        <f t="shared" si="142"/>
        <v>הלמן - אלדובי קופות גמל ופנסיה בע"מ</v>
      </c>
      <c r="AC824" s="1759" t="s">
        <v>1586</v>
      </c>
      <c r="AD824" s="1760">
        <v>41547.520069444399</v>
      </c>
      <c r="AE824" s="1760">
        <v>37985</v>
      </c>
      <c r="AF824" s="1759" t="s">
        <v>1583</v>
      </c>
      <c r="AG824" s="1759" t="s">
        <v>1583</v>
      </c>
      <c r="AH824" s="1759" t="s">
        <v>1583</v>
      </c>
      <c r="AI824" s="1759" t="s">
        <v>3434</v>
      </c>
      <c r="AJ824" s="1759" t="s">
        <v>3434</v>
      </c>
      <c r="AK824" s="1759">
        <v>956</v>
      </c>
      <c r="AL824" s="1759" t="s">
        <v>3435</v>
      </c>
      <c r="AM824" s="1759">
        <v>956</v>
      </c>
      <c r="AN824" s="1759" t="s">
        <v>1695</v>
      </c>
      <c r="AO824" s="1764"/>
      <c r="AP824" s="1759" t="s">
        <v>5371</v>
      </c>
      <c r="AQ824" s="1759" t="s">
        <v>5372</v>
      </c>
      <c r="AR824" s="1759" t="s">
        <v>354</v>
      </c>
      <c r="AS824" s="1759" t="s">
        <v>355</v>
      </c>
      <c r="AT824" s="1759" t="s">
        <v>327</v>
      </c>
      <c r="AU824" s="1763"/>
      <c r="AV824" s="1763"/>
    </row>
    <row r="825" spans="1:48" ht="25" hidden="1">
      <c r="A825" s="1785" t="str">
        <f t="shared" si="132"/>
        <v>גמל</v>
      </c>
      <c r="B825" s="1786">
        <f t="shared" si="133"/>
        <v>955</v>
      </c>
      <c r="C825" s="1787">
        <v>28946</v>
      </c>
      <c r="D825" s="1786" t="str">
        <f t="shared" si="134"/>
        <v>קופת התגמולים של עובדי חברת י.א. מיטווך ובניו בע"מ</v>
      </c>
      <c r="E825" s="1786" t="s">
        <v>3929</v>
      </c>
      <c r="F825" s="1786" t="s">
        <v>2958</v>
      </c>
      <c r="G825" s="1786" t="s">
        <v>2959</v>
      </c>
      <c r="H825" s="1786" t="str">
        <f t="shared" si="135"/>
        <v>לא פעיל</v>
      </c>
      <c r="I825" s="1788">
        <f t="shared" si="136"/>
        <v>37977</v>
      </c>
      <c r="J825" s="1788">
        <f t="shared" si="137"/>
        <v>38168</v>
      </c>
      <c r="K825" s="1786">
        <v>0</v>
      </c>
      <c r="L825" s="1786" t="s">
        <v>1594</v>
      </c>
      <c r="M825" s="1786" t="s">
        <v>1653</v>
      </c>
      <c r="N825" s="1786" t="s">
        <v>1653</v>
      </c>
      <c r="O825" s="1786">
        <v>0</v>
      </c>
      <c r="P825" s="1786"/>
      <c r="Q825" s="1786">
        <v>0</v>
      </c>
      <c r="R825" s="1788"/>
      <c r="S825" s="1786">
        <f t="shared" si="138"/>
        <v>955</v>
      </c>
      <c r="T825" s="1786" t="str">
        <f t="shared" si="139"/>
        <v>בנק הפועלים בע"מ</v>
      </c>
      <c r="U825" s="1786" t="str">
        <f t="shared" si="140"/>
        <v>קופת התגמולים של עובדי חברת י.א. מיטווך ובניו בע"מ</v>
      </c>
      <c r="V825" s="1786">
        <f t="shared" si="141"/>
        <v>0</v>
      </c>
      <c r="W825" s="1789" t="str">
        <f t="shared" si="142"/>
        <v>אסיף חברה לניהול קופ"ג בע"מ</v>
      </c>
      <c r="AC825" s="1761" t="s">
        <v>1586</v>
      </c>
      <c r="AD825" s="1762">
        <v>38168</v>
      </c>
      <c r="AE825" s="1762">
        <v>37977</v>
      </c>
      <c r="AF825" s="1761" t="s">
        <v>1583</v>
      </c>
      <c r="AG825" s="1761" t="s">
        <v>1583</v>
      </c>
      <c r="AH825" s="1761" t="s">
        <v>1583</v>
      </c>
      <c r="AI825" s="1761" t="s">
        <v>3072</v>
      </c>
      <c r="AJ825" s="1761" t="s">
        <v>2173</v>
      </c>
      <c r="AK825" s="1761">
        <v>955</v>
      </c>
      <c r="AL825" s="1761" t="s">
        <v>2173</v>
      </c>
      <c r="AM825" s="1761">
        <v>955</v>
      </c>
      <c r="AN825" s="1761" t="s">
        <v>1695</v>
      </c>
      <c r="AO825" s="1764"/>
      <c r="AP825" s="1761"/>
      <c r="AQ825" s="1761"/>
      <c r="AR825" s="1761" t="s">
        <v>1652</v>
      </c>
      <c r="AS825" s="1761" t="s">
        <v>1651</v>
      </c>
      <c r="AT825" s="1761" t="s">
        <v>327</v>
      </c>
      <c r="AU825" s="1763"/>
      <c r="AV825" s="1763"/>
    </row>
    <row r="826" spans="1:48" ht="25" hidden="1">
      <c r="A826" s="1785" t="str">
        <f t="shared" si="132"/>
        <v>גמל</v>
      </c>
      <c r="B826" s="1786">
        <f t="shared" si="133"/>
        <v>954</v>
      </c>
      <c r="C826" s="1787">
        <v>28946</v>
      </c>
      <c r="D826" s="1786" t="str">
        <f t="shared" si="134"/>
        <v>הפניקס מרכזית</v>
      </c>
      <c r="E826" s="1786" t="s">
        <v>3929</v>
      </c>
      <c r="F826" s="1786" t="s">
        <v>2958</v>
      </c>
      <c r="G826" s="1786" t="s">
        <v>2959</v>
      </c>
      <c r="H826" s="1786" t="str">
        <f t="shared" si="135"/>
        <v>לא פעיל</v>
      </c>
      <c r="I826" s="1788">
        <f t="shared" si="136"/>
        <v>37985</v>
      </c>
      <c r="J826" s="1788">
        <f t="shared" si="137"/>
        <v>43107.645601851902</v>
      </c>
      <c r="K826" s="1786">
        <v>0</v>
      </c>
      <c r="L826" s="1786" t="s">
        <v>1594</v>
      </c>
      <c r="M826" s="1786" t="s">
        <v>1653</v>
      </c>
      <c r="N826" s="1786" t="s">
        <v>1653</v>
      </c>
      <c r="O826" s="1786">
        <v>0</v>
      </c>
      <c r="P826" s="1786"/>
      <c r="Q826" s="1786">
        <v>0</v>
      </c>
      <c r="R826" s="1788"/>
      <c r="S826" s="1786">
        <f t="shared" si="138"/>
        <v>954</v>
      </c>
      <c r="T826" s="1786" t="str">
        <f t="shared" si="139"/>
        <v>לאומי</v>
      </c>
      <c r="U826" s="1786" t="str">
        <f t="shared" si="140"/>
        <v>הפניקס מרכזית</v>
      </c>
      <c r="V826" s="1786" t="str">
        <f t="shared" si="141"/>
        <v>520017450</v>
      </c>
      <c r="W826" s="1789" t="str">
        <f t="shared" si="142"/>
        <v xml:space="preserve">הפניקס אקסלנס פנסיה וגמל בע"מ </v>
      </c>
      <c r="AC826" s="1759" t="s">
        <v>1586</v>
      </c>
      <c r="AD826" s="1760">
        <v>43107.645601851902</v>
      </c>
      <c r="AE826" s="1760">
        <v>37985</v>
      </c>
      <c r="AF826" s="1759" t="s">
        <v>1583</v>
      </c>
      <c r="AG826" s="1759" t="s">
        <v>1583</v>
      </c>
      <c r="AH826" s="1759" t="s">
        <v>1583</v>
      </c>
      <c r="AI826" s="1759" t="s">
        <v>631</v>
      </c>
      <c r="AJ826" s="1759" t="s">
        <v>631</v>
      </c>
      <c r="AK826" s="1759">
        <v>954</v>
      </c>
      <c r="AL826" s="1759" t="s">
        <v>631</v>
      </c>
      <c r="AM826" s="1759">
        <v>954</v>
      </c>
      <c r="AN826" s="1759" t="s">
        <v>5305</v>
      </c>
      <c r="AO826" s="1764"/>
      <c r="AP826" s="1759" t="s">
        <v>5379</v>
      </c>
      <c r="AQ826" s="1759" t="s">
        <v>5380</v>
      </c>
      <c r="AR826" s="1759" t="s">
        <v>5381</v>
      </c>
      <c r="AS826" s="1759" t="s">
        <v>347</v>
      </c>
      <c r="AT826" s="1759" t="s">
        <v>327</v>
      </c>
      <c r="AU826" s="1763"/>
      <c r="AV826" s="1763"/>
    </row>
    <row r="827" spans="1:48" ht="25" hidden="1">
      <c r="A827" s="1785" t="str">
        <f t="shared" si="132"/>
        <v>גמל</v>
      </c>
      <c r="B827" s="1786">
        <f t="shared" si="133"/>
        <v>952</v>
      </c>
      <c r="C827" s="1787">
        <v>28946</v>
      </c>
      <c r="D827" s="1786" t="str">
        <f t="shared" si="134"/>
        <v>אתגרים לפיצויים - מסלול כללי</v>
      </c>
      <c r="E827" s="1786" t="s">
        <v>3929</v>
      </c>
      <c r="F827" s="1786" t="s">
        <v>2958</v>
      </c>
      <c r="G827" s="1786" t="s">
        <v>2959</v>
      </c>
      <c r="H827" s="1786" t="str">
        <f t="shared" si="135"/>
        <v>לא פעיל</v>
      </c>
      <c r="I827" s="1788">
        <f t="shared" si="136"/>
        <v>37956</v>
      </c>
      <c r="J827" s="1788">
        <f t="shared" si="137"/>
        <v>40360</v>
      </c>
      <c r="K827" s="1786">
        <v>0</v>
      </c>
      <c r="L827" s="1786" t="s">
        <v>1594</v>
      </c>
      <c r="M827" s="1786" t="s">
        <v>1653</v>
      </c>
      <c r="N827" s="1786" t="s">
        <v>1653</v>
      </c>
      <c r="O827" s="1786">
        <v>0</v>
      </c>
      <c r="P827" s="1786"/>
      <c r="Q827" s="1786">
        <v>0</v>
      </c>
      <c r="R827" s="1788"/>
      <c r="S827" s="1786">
        <f t="shared" si="138"/>
        <v>952</v>
      </c>
      <c r="T827" s="1786" t="str">
        <f t="shared" si="139"/>
        <v>בנק לאומי בע"מ</v>
      </c>
      <c r="U827" s="1786" t="str">
        <f t="shared" si="140"/>
        <v>אתגרים לפיצויים - מסלול כללי</v>
      </c>
      <c r="V827" s="1786">
        <f t="shared" si="141"/>
        <v>0</v>
      </c>
      <c r="W827" s="1789" t="str">
        <f t="shared" si="142"/>
        <v>ישיר בית השקעות (קופות גמל) בע"מ</v>
      </c>
      <c r="AC827" s="1761" t="s">
        <v>1586</v>
      </c>
      <c r="AD827" s="1762">
        <v>40360</v>
      </c>
      <c r="AE827" s="1762">
        <v>37956</v>
      </c>
      <c r="AF827" s="1761" t="s">
        <v>1583</v>
      </c>
      <c r="AG827" s="1761" t="s">
        <v>1583</v>
      </c>
      <c r="AH827" s="1761" t="s">
        <v>1583</v>
      </c>
      <c r="AI827" s="1761" t="s">
        <v>3432</v>
      </c>
      <c r="AJ827" s="1761" t="s">
        <v>2171</v>
      </c>
      <c r="AK827" s="1761">
        <v>952</v>
      </c>
      <c r="AL827" s="1761" t="s">
        <v>2171</v>
      </c>
      <c r="AM827" s="1761">
        <v>952</v>
      </c>
      <c r="AN827" s="1761" t="s">
        <v>5470</v>
      </c>
      <c r="AO827" s="1764"/>
      <c r="AP827" s="1761"/>
      <c r="AQ827" s="1761"/>
      <c r="AR827" s="1761" t="s">
        <v>2162</v>
      </c>
      <c r="AS827" s="1761" t="s">
        <v>2161</v>
      </c>
      <c r="AT827" s="1761" t="s">
        <v>327</v>
      </c>
      <c r="AU827" s="1763"/>
      <c r="AV827" s="1763"/>
    </row>
    <row r="828" spans="1:48" ht="25" hidden="1">
      <c r="A828" s="1785" t="str">
        <f t="shared" si="132"/>
        <v>גמל</v>
      </c>
      <c r="B828" s="1786">
        <f t="shared" si="133"/>
        <v>951</v>
      </c>
      <c r="C828" s="1787">
        <v>28946</v>
      </c>
      <c r="D828" s="1786" t="str">
        <f t="shared" si="134"/>
        <v>אתגרים לפיצויים - מסלול שיקלי</v>
      </c>
      <c r="E828" s="1786" t="s">
        <v>3929</v>
      </c>
      <c r="F828" s="1786" t="s">
        <v>2958</v>
      </c>
      <c r="G828" s="1786" t="s">
        <v>2959</v>
      </c>
      <c r="H828" s="1786" t="str">
        <f t="shared" si="135"/>
        <v>לא פעיל</v>
      </c>
      <c r="I828" s="1788">
        <f t="shared" si="136"/>
        <v>37956</v>
      </c>
      <c r="J828" s="1788">
        <f t="shared" si="137"/>
        <v>40360</v>
      </c>
      <c r="K828" s="1786">
        <v>0</v>
      </c>
      <c r="L828" s="1786" t="s">
        <v>1594</v>
      </c>
      <c r="M828" s="1786" t="s">
        <v>1653</v>
      </c>
      <c r="N828" s="1786" t="s">
        <v>1653</v>
      </c>
      <c r="O828" s="1786">
        <v>0</v>
      </c>
      <c r="P828" s="1786"/>
      <c r="Q828" s="1786">
        <v>0</v>
      </c>
      <c r="R828" s="1788"/>
      <c r="S828" s="1786">
        <f t="shared" si="138"/>
        <v>951</v>
      </c>
      <c r="T828" s="1786" t="str">
        <f t="shared" si="139"/>
        <v>בנק לאומי בע"מ</v>
      </c>
      <c r="U828" s="1786" t="str">
        <f t="shared" si="140"/>
        <v>אתגרים לפיצויים - מסלול שיקלי</v>
      </c>
      <c r="V828" s="1786">
        <f t="shared" si="141"/>
        <v>0</v>
      </c>
      <c r="W828" s="1789" t="str">
        <f t="shared" si="142"/>
        <v>ישיר בית השקעות (קופות גמל) בע"מ</v>
      </c>
      <c r="AC828" s="1759" t="s">
        <v>1586</v>
      </c>
      <c r="AD828" s="1760">
        <v>40360</v>
      </c>
      <c r="AE828" s="1760">
        <v>37956</v>
      </c>
      <c r="AF828" s="1759" t="s">
        <v>1076</v>
      </c>
      <c r="AG828" s="1759" t="s">
        <v>1614</v>
      </c>
      <c r="AH828" s="1759" t="s">
        <v>1594</v>
      </c>
      <c r="AI828" s="1759" t="s">
        <v>3431</v>
      </c>
      <c r="AJ828" s="1759" t="s">
        <v>2170</v>
      </c>
      <c r="AK828" s="1759">
        <v>951</v>
      </c>
      <c r="AL828" s="1759" t="s">
        <v>2170</v>
      </c>
      <c r="AM828" s="1759">
        <v>951</v>
      </c>
      <c r="AN828" s="1759" t="s">
        <v>5470</v>
      </c>
      <c r="AO828" s="1764"/>
      <c r="AP828" s="1759"/>
      <c r="AQ828" s="1759"/>
      <c r="AR828" s="1759" t="s">
        <v>2162</v>
      </c>
      <c r="AS828" s="1759" t="s">
        <v>2161</v>
      </c>
      <c r="AT828" s="1759" t="s">
        <v>327</v>
      </c>
      <c r="AU828" s="1763"/>
      <c r="AV828" s="1763"/>
    </row>
    <row r="829" spans="1:48" ht="25" hidden="1">
      <c r="A829" s="1785" t="str">
        <f t="shared" si="132"/>
        <v>גמל</v>
      </c>
      <c r="B829" s="1786">
        <f t="shared" si="133"/>
        <v>949</v>
      </c>
      <c r="C829" s="1787">
        <v>28946</v>
      </c>
      <c r="D829" s="1786" t="str">
        <f t="shared" si="134"/>
        <v>אתגרים לפיצויים - מסלול מט"ח</v>
      </c>
      <c r="E829" s="1786" t="s">
        <v>3929</v>
      </c>
      <c r="F829" s="1786" t="s">
        <v>2958</v>
      </c>
      <c r="G829" s="1786" t="s">
        <v>2959</v>
      </c>
      <c r="H829" s="1786" t="str">
        <f t="shared" si="135"/>
        <v>לא פעיל</v>
      </c>
      <c r="I829" s="1788">
        <f t="shared" si="136"/>
        <v>37958</v>
      </c>
      <c r="J829" s="1788">
        <f t="shared" si="137"/>
        <v>39804.6028703704</v>
      </c>
      <c r="K829" s="1786">
        <v>0</v>
      </c>
      <c r="L829" s="1786" t="s">
        <v>1594</v>
      </c>
      <c r="M829" s="1786" t="s">
        <v>1653</v>
      </c>
      <c r="N829" s="1786" t="s">
        <v>1653</v>
      </c>
      <c r="O829" s="1786">
        <v>0</v>
      </c>
      <c r="P829" s="1786"/>
      <c r="Q829" s="1786">
        <v>0</v>
      </c>
      <c r="R829" s="1788"/>
      <c r="S829" s="1786">
        <f t="shared" si="138"/>
        <v>949</v>
      </c>
      <c r="T829" s="1786" t="str">
        <f t="shared" si="139"/>
        <v>בנק לאומי בע"מ</v>
      </c>
      <c r="U829" s="1786" t="str">
        <f t="shared" si="140"/>
        <v>אתגרים לפיצויים - מסלול מט"ח</v>
      </c>
      <c r="V829" s="1786">
        <f t="shared" si="141"/>
        <v>0</v>
      </c>
      <c r="W829" s="1789" t="str">
        <f t="shared" si="142"/>
        <v>ישיר בית השקעות (קופות גמל) בע"מ</v>
      </c>
      <c r="AC829" s="1761" t="s">
        <v>1586</v>
      </c>
      <c r="AD829" s="1762">
        <v>39804.6028703704</v>
      </c>
      <c r="AE829" s="1762">
        <v>37958</v>
      </c>
      <c r="AF829" s="1761" t="s">
        <v>1611</v>
      </c>
      <c r="AG829" s="1761" t="s">
        <v>1611</v>
      </c>
      <c r="AH829" s="1761" t="s">
        <v>1594</v>
      </c>
      <c r="AI829" s="1761" t="s">
        <v>3429</v>
      </c>
      <c r="AJ829" s="1761" t="s">
        <v>2168</v>
      </c>
      <c r="AK829" s="1761">
        <v>949</v>
      </c>
      <c r="AL829" s="1761" t="s">
        <v>2168</v>
      </c>
      <c r="AM829" s="1761">
        <v>949</v>
      </c>
      <c r="AN829" s="1761" t="s">
        <v>5470</v>
      </c>
      <c r="AO829" s="1764"/>
      <c r="AP829" s="1761"/>
      <c r="AQ829" s="1761"/>
      <c r="AR829" s="1761" t="s">
        <v>2162</v>
      </c>
      <c r="AS829" s="1761" t="s">
        <v>2161</v>
      </c>
      <c r="AT829" s="1761" t="s">
        <v>327</v>
      </c>
      <c r="AU829" s="1763"/>
      <c r="AV829" s="1763"/>
    </row>
    <row r="830" spans="1:48" ht="25" hidden="1">
      <c r="A830" s="1785" t="str">
        <f t="shared" si="132"/>
        <v>גמל</v>
      </c>
      <c r="B830" s="1786">
        <f t="shared" si="133"/>
        <v>947</v>
      </c>
      <c r="C830" s="1787">
        <v>28946</v>
      </c>
      <c r="D830" s="1786" t="str">
        <f t="shared" si="134"/>
        <v>אתגרים - מסלול כללי ב'</v>
      </c>
      <c r="E830" s="1786" t="s">
        <v>3929</v>
      </c>
      <c r="F830" s="1786" t="s">
        <v>2958</v>
      </c>
      <c r="G830" s="1786" t="s">
        <v>2959</v>
      </c>
      <c r="H830" s="1786" t="str">
        <f t="shared" si="135"/>
        <v>לא פעיל</v>
      </c>
      <c r="I830" s="1788">
        <f t="shared" si="136"/>
        <v>37958</v>
      </c>
      <c r="J830" s="1788">
        <f t="shared" si="137"/>
        <v>39804.6027777778</v>
      </c>
      <c r="K830" s="1786">
        <v>0</v>
      </c>
      <c r="L830" s="1786" t="s">
        <v>1594</v>
      </c>
      <c r="M830" s="1786" t="s">
        <v>1653</v>
      </c>
      <c r="N830" s="1786" t="s">
        <v>1653</v>
      </c>
      <c r="O830" s="1786">
        <v>0</v>
      </c>
      <c r="P830" s="1786"/>
      <c r="Q830" s="1786">
        <v>0</v>
      </c>
      <c r="R830" s="1788"/>
      <c r="S830" s="1786">
        <f t="shared" si="138"/>
        <v>947</v>
      </c>
      <c r="T830" s="1786" t="str">
        <f t="shared" si="139"/>
        <v>בנק לאומי בע"מ</v>
      </c>
      <c r="U830" s="1786" t="str">
        <f t="shared" si="140"/>
        <v>אתגרים - מסלול כללי ב'</v>
      </c>
      <c r="V830" s="1786">
        <f t="shared" si="141"/>
        <v>0</v>
      </c>
      <c r="W830" s="1789" t="str">
        <f t="shared" si="142"/>
        <v>ישיר בית השקעות (קופות גמל) בע"מ</v>
      </c>
      <c r="AC830" s="1759" t="s">
        <v>1586</v>
      </c>
      <c r="AD830" s="1760">
        <v>39804.6027777778</v>
      </c>
      <c r="AE830" s="1760">
        <v>37958</v>
      </c>
      <c r="AF830" s="1759" t="s">
        <v>1583</v>
      </c>
      <c r="AG830" s="1759" t="s">
        <v>1583</v>
      </c>
      <c r="AH830" s="1759" t="s">
        <v>1583</v>
      </c>
      <c r="AI830" s="1759" t="s">
        <v>3428</v>
      </c>
      <c r="AJ830" s="1759" t="s">
        <v>2167</v>
      </c>
      <c r="AK830" s="1759">
        <v>947</v>
      </c>
      <c r="AL830" s="1759" t="s">
        <v>2167</v>
      </c>
      <c r="AM830" s="1759">
        <v>947</v>
      </c>
      <c r="AN830" s="1759" t="s">
        <v>5470</v>
      </c>
      <c r="AO830" s="1764"/>
      <c r="AP830" s="1759"/>
      <c r="AQ830" s="1759"/>
      <c r="AR830" s="1759" t="s">
        <v>2162</v>
      </c>
      <c r="AS830" s="1759" t="s">
        <v>2161</v>
      </c>
      <c r="AT830" s="1759" t="s">
        <v>327</v>
      </c>
      <c r="AU830" s="1763"/>
      <c r="AV830" s="1763"/>
    </row>
    <row r="831" spans="1:48" ht="25" hidden="1">
      <c r="A831" s="1785" t="str">
        <f t="shared" si="132"/>
        <v>גמל</v>
      </c>
      <c r="B831" s="1786">
        <f t="shared" si="133"/>
        <v>946</v>
      </c>
      <c r="C831" s="1787">
        <v>28946</v>
      </c>
      <c r="D831" s="1786" t="str">
        <f t="shared" si="134"/>
        <v>אתגרים - מסלול כללי</v>
      </c>
      <c r="E831" s="1786" t="s">
        <v>3929</v>
      </c>
      <c r="F831" s="1786" t="s">
        <v>2958</v>
      </c>
      <c r="G831" s="1786" t="s">
        <v>2959</v>
      </c>
      <c r="H831" s="1786" t="str">
        <f t="shared" si="135"/>
        <v>לא פעיל</v>
      </c>
      <c r="I831" s="1788">
        <f t="shared" si="136"/>
        <v>37956</v>
      </c>
      <c r="J831" s="1788">
        <f t="shared" si="137"/>
        <v>40360</v>
      </c>
      <c r="K831" s="1786">
        <v>0</v>
      </c>
      <c r="L831" s="1786" t="s">
        <v>1594</v>
      </c>
      <c r="M831" s="1786" t="s">
        <v>1653</v>
      </c>
      <c r="N831" s="1786" t="s">
        <v>1653</v>
      </c>
      <c r="O831" s="1786">
        <v>0</v>
      </c>
      <c r="P831" s="1786"/>
      <c r="Q831" s="1786">
        <v>0</v>
      </c>
      <c r="R831" s="1788"/>
      <c r="S831" s="1786">
        <f t="shared" si="138"/>
        <v>946</v>
      </c>
      <c r="T831" s="1786" t="str">
        <f t="shared" si="139"/>
        <v>בנק לאומי בע"מ</v>
      </c>
      <c r="U831" s="1786" t="str">
        <f t="shared" si="140"/>
        <v>אתגרים - מסלול כללי</v>
      </c>
      <c r="V831" s="1786">
        <f t="shared" si="141"/>
        <v>0</v>
      </c>
      <c r="W831" s="1789" t="str">
        <f t="shared" si="142"/>
        <v>ישיר בית השקעות (קופות גמל) בע"מ</v>
      </c>
      <c r="AC831" s="1761" t="s">
        <v>1586</v>
      </c>
      <c r="AD831" s="1762">
        <v>40360</v>
      </c>
      <c r="AE831" s="1762">
        <v>37956</v>
      </c>
      <c r="AF831" s="1761" t="s">
        <v>1583</v>
      </c>
      <c r="AG831" s="1761" t="s">
        <v>1583</v>
      </c>
      <c r="AH831" s="1761" t="s">
        <v>1583</v>
      </c>
      <c r="AI831" s="1761" t="s">
        <v>3427</v>
      </c>
      <c r="AJ831" s="1761" t="s">
        <v>2166</v>
      </c>
      <c r="AK831" s="1761">
        <v>946</v>
      </c>
      <c r="AL831" s="1761" t="s">
        <v>2166</v>
      </c>
      <c r="AM831" s="1761">
        <v>946</v>
      </c>
      <c r="AN831" s="1761" t="s">
        <v>5470</v>
      </c>
      <c r="AO831" s="1764"/>
      <c r="AP831" s="1761"/>
      <c r="AQ831" s="1761"/>
      <c r="AR831" s="1761" t="s">
        <v>2162</v>
      </c>
      <c r="AS831" s="1761" t="s">
        <v>2161</v>
      </c>
      <c r="AT831" s="1761" t="s">
        <v>327</v>
      </c>
      <c r="AU831" s="1763"/>
      <c r="AV831" s="1763"/>
    </row>
    <row r="832" spans="1:48" ht="25" hidden="1">
      <c r="A832" s="1785" t="str">
        <f t="shared" si="132"/>
        <v>גמל</v>
      </c>
      <c r="B832" s="1786">
        <f t="shared" si="133"/>
        <v>945</v>
      </c>
      <c r="C832" s="1787">
        <v>28946</v>
      </c>
      <c r="D832" s="1786" t="str">
        <f t="shared" si="134"/>
        <v>אתגרים - מסלול שיקלי</v>
      </c>
      <c r="E832" s="1786" t="s">
        <v>3929</v>
      </c>
      <c r="F832" s="1786" t="s">
        <v>2958</v>
      </c>
      <c r="G832" s="1786" t="s">
        <v>2959</v>
      </c>
      <c r="H832" s="1786" t="str">
        <f t="shared" si="135"/>
        <v>לא פעיל</v>
      </c>
      <c r="I832" s="1788">
        <f t="shared" si="136"/>
        <v>37958</v>
      </c>
      <c r="J832" s="1788">
        <f t="shared" si="137"/>
        <v>40360</v>
      </c>
      <c r="K832" s="1786">
        <v>0</v>
      </c>
      <c r="L832" s="1786" t="s">
        <v>1594</v>
      </c>
      <c r="M832" s="1786" t="s">
        <v>1653</v>
      </c>
      <c r="N832" s="1786" t="s">
        <v>1653</v>
      </c>
      <c r="O832" s="1786">
        <v>0</v>
      </c>
      <c r="P832" s="1786"/>
      <c r="Q832" s="1786">
        <v>0</v>
      </c>
      <c r="R832" s="1788"/>
      <c r="S832" s="1786">
        <f t="shared" si="138"/>
        <v>945</v>
      </c>
      <c r="T832" s="1786" t="str">
        <f t="shared" si="139"/>
        <v>בנק לאומי בע"מ</v>
      </c>
      <c r="U832" s="1786" t="str">
        <f t="shared" si="140"/>
        <v>אתגרים - מסלול שיקלי</v>
      </c>
      <c r="V832" s="1786">
        <f t="shared" si="141"/>
        <v>0</v>
      </c>
      <c r="W832" s="1789" t="str">
        <f t="shared" si="142"/>
        <v>ישיר בית השקעות (קופות גמל) בע"מ</v>
      </c>
      <c r="AC832" s="1759" t="s">
        <v>1586</v>
      </c>
      <c r="AD832" s="1760">
        <v>40360</v>
      </c>
      <c r="AE832" s="1760">
        <v>37958</v>
      </c>
      <c r="AF832" s="1759" t="s">
        <v>1076</v>
      </c>
      <c r="AG832" s="1759" t="s">
        <v>1614</v>
      </c>
      <c r="AH832" s="1759" t="s">
        <v>1594</v>
      </c>
      <c r="AI832" s="1759" t="s">
        <v>3426</v>
      </c>
      <c r="AJ832" s="1759" t="s">
        <v>2165</v>
      </c>
      <c r="AK832" s="1759">
        <v>945</v>
      </c>
      <c r="AL832" s="1759" t="s">
        <v>2165</v>
      </c>
      <c r="AM832" s="1759">
        <v>945</v>
      </c>
      <c r="AN832" s="1759" t="s">
        <v>5470</v>
      </c>
      <c r="AO832" s="1764"/>
      <c r="AP832" s="1759"/>
      <c r="AQ832" s="1759"/>
      <c r="AR832" s="1759" t="s">
        <v>2162</v>
      </c>
      <c r="AS832" s="1759" t="s">
        <v>2161</v>
      </c>
      <c r="AT832" s="1759" t="s">
        <v>327</v>
      </c>
      <c r="AU832" s="1763"/>
      <c r="AV832" s="1763"/>
    </row>
    <row r="833" spans="1:48" ht="25" hidden="1">
      <c r="A833" s="1785" t="str">
        <f t="shared" si="132"/>
        <v>גמל</v>
      </c>
      <c r="B833" s="1786">
        <f t="shared" si="133"/>
        <v>944</v>
      </c>
      <c r="C833" s="1787">
        <v>28946</v>
      </c>
      <c r="D833" s="1786" t="str">
        <f t="shared" si="134"/>
        <v>אתגרים - מסלול צמוד מדד</v>
      </c>
      <c r="E833" s="1786" t="s">
        <v>3929</v>
      </c>
      <c r="F833" s="1786" t="s">
        <v>2958</v>
      </c>
      <c r="G833" s="1786" t="s">
        <v>2959</v>
      </c>
      <c r="H833" s="1786" t="str">
        <f t="shared" si="135"/>
        <v>לא פעיל</v>
      </c>
      <c r="I833" s="1788">
        <f t="shared" si="136"/>
        <v>37956</v>
      </c>
      <c r="J833" s="1788">
        <f t="shared" si="137"/>
        <v>40360</v>
      </c>
      <c r="K833" s="1786">
        <v>0</v>
      </c>
      <c r="L833" s="1786" t="s">
        <v>1594</v>
      </c>
      <c r="M833" s="1786" t="s">
        <v>1653</v>
      </c>
      <c r="N833" s="1786" t="s">
        <v>1653</v>
      </c>
      <c r="O833" s="1786">
        <v>0</v>
      </c>
      <c r="P833" s="1786"/>
      <c r="Q833" s="1786">
        <v>0</v>
      </c>
      <c r="R833" s="1788"/>
      <c r="S833" s="1786">
        <f t="shared" si="138"/>
        <v>944</v>
      </c>
      <c r="T833" s="1786" t="str">
        <f t="shared" si="139"/>
        <v>בנק לאומי בע"מ</v>
      </c>
      <c r="U833" s="1786" t="str">
        <f t="shared" si="140"/>
        <v>אתגרים - מסלול צמוד מדד</v>
      </c>
      <c r="V833" s="1786">
        <f t="shared" si="141"/>
        <v>0</v>
      </c>
      <c r="W833" s="1789" t="str">
        <f t="shared" si="142"/>
        <v>ישיר בית השקעות (קופות גמל) בע"מ</v>
      </c>
      <c r="AC833" s="1761" t="s">
        <v>1586</v>
      </c>
      <c r="AD833" s="1762">
        <v>40360</v>
      </c>
      <c r="AE833" s="1762">
        <v>37956</v>
      </c>
      <c r="AF833" s="1761" t="s">
        <v>1094</v>
      </c>
      <c r="AG833" s="1761" t="s">
        <v>1094</v>
      </c>
      <c r="AH833" s="1761" t="s">
        <v>1594</v>
      </c>
      <c r="AI833" s="1761" t="s">
        <v>3425</v>
      </c>
      <c r="AJ833" s="1761" t="s">
        <v>2164</v>
      </c>
      <c r="AK833" s="1761">
        <v>944</v>
      </c>
      <c r="AL833" s="1761" t="s">
        <v>2164</v>
      </c>
      <c r="AM833" s="1761">
        <v>944</v>
      </c>
      <c r="AN833" s="1761" t="s">
        <v>5470</v>
      </c>
      <c r="AO833" s="1764"/>
      <c r="AP833" s="1761"/>
      <c r="AQ833" s="1761"/>
      <c r="AR833" s="1761" t="s">
        <v>2162</v>
      </c>
      <c r="AS833" s="1761" t="s">
        <v>2161</v>
      </c>
      <c r="AT833" s="1761" t="s">
        <v>327</v>
      </c>
      <c r="AU833" s="1763"/>
      <c r="AV833" s="1763"/>
    </row>
    <row r="834" spans="1:48" ht="25" hidden="1">
      <c r="A834" s="1785" t="str">
        <f t="shared" si="132"/>
        <v>גמל</v>
      </c>
      <c r="B834" s="1786">
        <f t="shared" si="133"/>
        <v>943</v>
      </c>
      <c r="C834" s="1787">
        <v>28946</v>
      </c>
      <c r="D834" s="1786" t="str">
        <f t="shared" si="134"/>
        <v>אתגרים - מסלול מט"ח</v>
      </c>
      <c r="E834" s="1786" t="s">
        <v>3929</v>
      </c>
      <c r="F834" s="1786" t="s">
        <v>2958</v>
      </c>
      <c r="G834" s="1786" t="s">
        <v>2959</v>
      </c>
      <c r="H834" s="1786" t="str">
        <f t="shared" si="135"/>
        <v>לא פעיל</v>
      </c>
      <c r="I834" s="1788">
        <f t="shared" si="136"/>
        <v>37958</v>
      </c>
      <c r="J834" s="1788">
        <f t="shared" si="137"/>
        <v>39804.6026388889</v>
      </c>
      <c r="K834" s="1786">
        <v>0</v>
      </c>
      <c r="L834" s="1786" t="s">
        <v>1594</v>
      </c>
      <c r="M834" s="1786" t="s">
        <v>1653</v>
      </c>
      <c r="N834" s="1786" t="s">
        <v>1653</v>
      </c>
      <c r="O834" s="1786">
        <v>0</v>
      </c>
      <c r="P834" s="1786"/>
      <c r="Q834" s="1786">
        <v>0</v>
      </c>
      <c r="R834" s="1788"/>
      <c r="S834" s="1786">
        <f t="shared" si="138"/>
        <v>943</v>
      </c>
      <c r="T834" s="1786" t="str">
        <f t="shared" si="139"/>
        <v>בנק לאומי בע"מ</v>
      </c>
      <c r="U834" s="1786" t="str">
        <f t="shared" si="140"/>
        <v>אתגרים - מסלול מט"ח</v>
      </c>
      <c r="V834" s="1786">
        <f t="shared" si="141"/>
        <v>0</v>
      </c>
      <c r="W834" s="1789" t="str">
        <f t="shared" si="142"/>
        <v>ישיר בית השקעות (קופות גמל) בע"מ</v>
      </c>
      <c r="AC834" s="1759" t="s">
        <v>1586</v>
      </c>
      <c r="AD834" s="1760">
        <v>39804.6026388889</v>
      </c>
      <c r="AE834" s="1760">
        <v>37958</v>
      </c>
      <c r="AF834" s="1759" t="s">
        <v>1611</v>
      </c>
      <c r="AG834" s="1759" t="s">
        <v>1611</v>
      </c>
      <c r="AH834" s="1759" t="s">
        <v>1594</v>
      </c>
      <c r="AI834" s="1759" t="s">
        <v>3424</v>
      </c>
      <c r="AJ834" s="1759" t="s">
        <v>2163</v>
      </c>
      <c r="AK834" s="1759">
        <v>943</v>
      </c>
      <c r="AL834" s="1759" t="s">
        <v>2163</v>
      </c>
      <c r="AM834" s="1759">
        <v>943</v>
      </c>
      <c r="AN834" s="1759" t="s">
        <v>5470</v>
      </c>
      <c r="AO834" s="1764"/>
      <c r="AP834" s="1759"/>
      <c r="AQ834" s="1759"/>
      <c r="AR834" s="1759" t="s">
        <v>2162</v>
      </c>
      <c r="AS834" s="1759" t="s">
        <v>2161</v>
      </c>
      <c r="AT834" s="1759" t="s">
        <v>327</v>
      </c>
      <c r="AU834" s="1763"/>
      <c r="AV834" s="1763"/>
    </row>
    <row r="835" spans="1:48" ht="25" hidden="1">
      <c r="A835" s="1785" t="str">
        <f t="shared" si="132"/>
        <v>גמל</v>
      </c>
      <c r="B835" s="1786">
        <f t="shared" si="133"/>
        <v>942</v>
      </c>
      <c r="C835" s="1787">
        <v>28946</v>
      </c>
      <c r="D835" s="1786" t="str">
        <f t="shared" si="134"/>
        <v>אתגרים - מסלול מניות</v>
      </c>
      <c r="E835" s="1786" t="s">
        <v>3929</v>
      </c>
      <c r="F835" s="1786" t="s">
        <v>2958</v>
      </c>
      <c r="G835" s="1786" t="s">
        <v>2959</v>
      </c>
      <c r="H835" s="1786" t="str">
        <f t="shared" si="135"/>
        <v>לא פעיל</v>
      </c>
      <c r="I835" s="1788">
        <f t="shared" si="136"/>
        <v>37958</v>
      </c>
      <c r="J835" s="1788">
        <f t="shared" si="137"/>
        <v>39804.602523148104</v>
      </c>
      <c r="K835" s="1786">
        <v>0</v>
      </c>
      <c r="L835" s="1786" t="s">
        <v>1594</v>
      </c>
      <c r="M835" s="1786" t="s">
        <v>1653</v>
      </c>
      <c r="N835" s="1786" t="s">
        <v>1653</v>
      </c>
      <c r="O835" s="1786">
        <v>0</v>
      </c>
      <c r="P835" s="1786"/>
      <c r="Q835" s="1786">
        <v>0</v>
      </c>
      <c r="R835" s="1788"/>
      <c r="S835" s="1786">
        <f t="shared" si="138"/>
        <v>942</v>
      </c>
      <c r="T835" s="1786" t="str">
        <f t="shared" si="139"/>
        <v>בנק לאומי בע"מ</v>
      </c>
      <c r="U835" s="1786" t="str">
        <f t="shared" si="140"/>
        <v>אתגרים - מסלול מניות</v>
      </c>
      <c r="V835" s="1786">
        <f t="shared" si="141"/>
        <v>0</v>
      </c>
      <c r="W835" s="1789" t="str">
        <f t="shared" si="142"/>
        <v>ישיר בית השקעות (קופות גמל) בע"מ</v>
      </c>
      <c r="AC835" s="1761" t="s">
        <v>1586</v>
      </c>
      <c r="AD835" s="1762">
        <v>39804.602523148104</v>
      </c>
      <c r="AE835" s="1762">
        <v>37958</v>
      </c>
      <c r="AF835" s="1761" t="s">
        <v>1595</v>
      </c>
      <c r="AG835" s="1761" t="s">
        <v>75</v>
      </c>
      <c r="AH835" s="1761" t="s">
        <v>1594</v>
      </c>
      <c r="AI835" s="1761" t="s">
        <v>3423</v>
      </c>
      <c r="AJ835" s="1761" t="s">
        <v>2160</v>
      </c>
      <c r="AK835" s="1761">
        <v>942</v>
      </c>
      <c r="AL835" s="1761" t="s">
        <v>2160</v>
      </c>
      <c r="AM835" s="1761">
        <v>942</v>
      </c>
      <c r="AN835" s="1761" t="s">
        <v>5470</v>
      </c>
      <c r="AO835" s="1764"/>
      <c r="AP835" s="1761"/>
      <c r="AQ835" s="1761"/>
      <c r="AR835" s="1761" t="s">
        <v>2162</v>
      </c>
      <c r="AS835" s="1761" t="s">
        <v>2161</v>
      </c>
      <c r="AT835" s="1761" t="s">
        <v>327</v>
      </c>
      <c r="AU835" s="1763"/>
      <c r="AV835" s="1763"/>
    </row>
    <row r="836" spans="1:48" ht="25" hidden="1">
      <c r="A836" s="1785" t="str">
        <f t="shared" si="132"/>
        <v>גמל</v>
      </c>
      <c r="B836" s="1786">
        <f t="shared" si="133"/>
        <v>940</v>
      </c>
      <c r="C836" s="1787">
        <v>28946</v>
      </c>
      <c r="D836" s="1786" t="str">
        <f t="shared" si="134"/>
        <v>מנוף מרכזית - מסלול שיקלי</v>
      </c>
      <c r="E836" s="1786" t="s">
        <v>3929</v>
      </c>
      <c r="F836" s="1786" t="s">
        <v>2958</v>
      </c>
      <c r="G836" s="1786" t="s">
        <v>2959</v>
      </c>
      <c r="H836" s="1786" t="str">
        <f t="shared" si="135"/>
        <v>לא פעיל</v>
      </c>
      <c r="I836" s="1788">
        <f t="shared" si="136"/>
        <v>37956</v>
      </c>
      <c r="J836" s="1788">
        <f t="shared" si="137"/>
        <v>37969.390601851897</v>
      </c>
      <c r="K836" s="1786">
        <v>0</v>
      </c>
      <c r="L836" s="1786" t="s">
        <v>1594</v>
      </c>
      <c r="M836" s="1786" t="s">
        <v>1653</v>
      </c>
      <c r="N836" s="1786" t="s">
        <v>1653</v>
      </c>
      <c r="O836" s="1786">
        <v>0</v>
      </c>
      <c r="P836" s="1786"/>
      <c r="Q836" s="1786">
        <v>0</v>
      </c>
      <c r="R836" s="1788"/>
      <c r="S836" s="1786">
        <f t="shared" si="138"/>
        <v>937</v>
      </c>
      <c r="T836" s="1786" t="str">
        <f t="shared" si="139"/>
        <v>בנק לאומי בע"מ</v>
      </c>
      <c r="U836" s="1786" t="str">
        <f t="shared" si="140"/>
        <v>מנוף מרכזית - מסלול כללי</v>
      </c>
      <c r="V836" s="1786">
        <f t="shared" si="141"/>
        <v>0</v>
      </c>
      <c r="W836" s="1789" t="str">
        <f t="shared" si="142"/>
        <v>הראל עתידית קופות גמל בע"מ</v>
      </c>
      <c r="AC836" s="1759" t="s">
        <v>1586</v>
      </c>
      <c r="AD836" s="1760">
        <v>37969.390601851897</v>
      </c>
      <c r="AE836" s="1760">
        <v>37956</v>
      </c>
      <c r="AF836" s="1759" t="s">
        <v>1076</v>
      </c>
      <c r="AG836" s="1759" t="s">
        <v>1614</v>
      </c>
      <c r="AH836" s="1759" t="s">
        <v>1594</v>
      </c>
      <c r="AI836" s="1759" t="s">
        <v>3421</v>
      </c>
      <c r="AJ836" s="1759" t="s">
        <v>2158</v>
      </c>
      <c r="AK836" s="1759">
        <v>940</v>
      </c>
      <c r="AL836" s="1759" t="s">
        <v>2155</v>
      </c>
      <c r="AM836" s="1759">
        <v>937</v>
      </c>
      <c r="AN836" s="1759" t="s">
        <v>5470</v>
      </c>
      <c r="AO836" s="1764"/>
      <c r="AP836" s="1759"/>
      <c r="AQ836" s="1759"/>
      <c r="AR836" s="1759" t="s">
        <v>530</v>
      </c>
      <c r="AS836" s="1759" t="s">
        <v>531</v>
      </c>
      <c r="AT836" s="1759" t="s">
        <v>327</v>
      </c>
      <c r="AU836" s="1763"/>
      <c r="AV836" s="1763"/>
    </row>
    <row r="837" spans="1:48" ht="25" hidden="1">
      <c r="A837" s="1785" t="str">
        <f t="shared" si="132"/>
        <v>גמל</v>
      </c>
      <c r="B837" s="1786">
        <f t="shared" si="133"/>
        <v>941</v>
      </c>
      <c r="C837" s="1787">
        <v>28946</v>
      </c>
      <c r="D837" s="1786" t="str">
        <f t="shared" si="134"/>
        <v>מנוף מרכזית - מסלול צמוד מדד</v>
      </c>
      <c r="E837" s="1786" t="s">
        <v>3929</v>
      </c>
      <c r="F837" s="1786" t="s">
        <v>2958</v>
      </c>
      <c r="G837" s="1786" t="s">
        <v>2959</v>
      </c>
      <c r="H837" s="1786" t="str">
        <f t="shared" si="135"/>
        <v>לא פעיל</v>
      </c>
      <c r="I837" s="1788">
        <f t="shared" si="136"/>
        <v>37956</v>
      </c>
      <c r="J837" s="1788">
        <f t="shared" si="137"/>
        <v>37969.390625</v>
      </c>
      <c r="K837" s="1786">
        <v>0</v>
      </c>
      <c r="L837" s="1786" t="s">
        <v>1594</v>
      </c>
      <c r="M837" s="1786" t="s">
        <v>1653</v>
      </c>
      <c r="N837" s="1786" t="s">
        <v>1653</v>
      </c>
      <c r="O837" s="1786">
        <v>0</v>
      </c>
      <c r="P837" s="1786"/>
      <c r="Q837" s="1786">
        <v>0</v>
      </c>
      <c r="R837" s="1788"/>
      <c r="S837" s="1786">
        <f t="shared" si="138"/>
        <v>937</v>
      </c>
      <c r="T837" s="1786" t="str">
        <f t="shared" si="139"/>
        <v>בנק לאומי בע"מ</v>
      </c>
      <c r="U837" s="1786" t="str">
        <f t="shared" si="140"/>
        <v>מנוף מרכזית - מסלול כללי</v>
      </c>
      <c r="V837" s="1786">
        <f t="shared" si="141"/>
        <v>0</v>
      </c>
      <c r="W837" s="1789" t="str">
        <f t="shared" si="142"/>
        <v>הראל עתידית קופות גמל בע"מ</v>
      </c>
      <c r="AC837" s="1761" t="s">
        <v>1586</v>
      </c>
      <c r="AD837" s="1762">
        <v>37969.390625</v>
      </c>
      <c r="AE837" s="1762">
        <v>37956</v>
      </c>
      <c r="AF837" s="1761" t="s">
        <v>1094</v>
      </c>
      <c r="AG837" s="1761" t="s">
        <v>1094</v>
      </c>
      <c r="AH837" s="1761" t="s">
        <v>1594</v>
      </c>
      <c r="AI837" s="1761" t="s">
        <v>3422</v>
      </c>
      <c r="AJ837" s="1761" t="s">
        <v>2159</v>
      </c>
      <c r="AK837" s="1761">
        <v>941</v>
      </c>
      <c r="AL837" s="1761" t="s">
        <v>2155</v>
      </c>
      <c r="AM837" s="1761">
        <v>937</v>
      </c>
      <c r="AN837" s="1761" t="s">
        <v>5470</v>
      </c>
      <c r="AO837" s="1764"/>
      <c r="AP837" s="1761"/>
      <c r="AQ837" s="1761"/>
      <c r="AR837" s="1761" t="s">
        <v>530</v>
      </c>
      <c r="AS837" s="1761" t="s">
        <v>531</v>
      </c>
      <c r="AT837" s="1761" t="s">
        <v>327</v>
      </c>
      <c r="AU837" s="1763"/>
      <c r="AV837" s="1763"/>
    </row>
    <row r="838" spans="1:48" ht="25" hidden="1">
      <c r="A838" s="1785" t="str">
        <f t="shared" si="132"/>
        <v>גמל</v>
      </c>
      <c r="B838" s="1786">
        <f t="shared" si="133"/>
        <v>939</v>
      </c>
      <c r="C838" s="1787">
        <v>28946</v>
      </c>
      <c r="D838" s="1786" t="str">
        <f t="shared" si="134"/>
        <v>מנוף מרכזית - מסלול מט"ח</v>
      </c>
      <c r="E838" s="1786" t="s">
        <v>3929</v>
      </c>
      <c r="F838" s="1786" t="s">
        <v>2958</v>
      </c>
      <c r="G838" s="1786" t="s">
        <v>2959</v>
      </c>
      <c r="H838" s="1786" t="str">
        <f t="shared" si="135"/>
        <v>לא פעיל</v>
      </c>
      <c r="I838" s="1788">
        <f t="shared" si="136"/>
        <v>37956</v>
      </c>
      <c r="J838" s="1788">
        <f t="shared" si="137"/>
        <v>37969.3905787037</v>
      </c>
      <c r="K838" s="1786">
        <v>0</v>
      </c>
      <c r="L838" s="1786" t="s">
        <v>1594</v>
      </c>
      <c r="M838" s="1786" t="s">
        <v>1653</v>
      </c>
      <c r="N838" s="1786" t="s">
        <v>1653</v>
      </c>
      <c r="O838" s="1786">
        <v>0</v>
      </c>
      <c r="P838" s="1786"/>
      <c r="Q838" s="1786">
        <v>0</v>
      </c>
      <c r="R838" s="1788"/>
      <c r="S838" s="1786">
        <f t="shared" si="138"/>
        <v>937</v>
      </c>
      <c r="T838" s="1786" t="str">
        <f t="shared" si="139"/>
        <v>בנק לאומי בע"מ</v>
      </c>
      <c r="U838" s="1786" t="str">
        <f t="shared" si="140"/>
        <v>מנוף מרכזית - מסלול כללי</v>
      </c>
      <c r="V838" s="1786">
        <f t="shared" si="141"/>
        <v>0</v>
      </c>
      <c r="W838" s="1789" t="str">
        <f t="shared" si="142"/>
        <v>הראל עתידית קופות גמל בע"מ</v>
      </c>
      <c r="AC838" s="1759" t="s">
        <v>1586</v>
      </c>
      <c r="AD838" s="1760">
        <v>37969.3905787037</v>
      </c>
      <c r="AE838" s="1760">
        <v>37956</v>
      </c>
      <c r="AF838" s="1759" t="s">
        <v>1611</v>
      </c>
      <c r="AG838" s="1759" t="s">
        <v>1611</v>
      </c>
      <c r="AH838" s="1759" t="s">
        <v>1594</v>
      </c>
      <c r="AI838" s="1759" t="s">
        <v>3420</v>
      </c>
      <c r="AJ838" s="1759" t="s">
        <v>2157</v>
      </c>
      <c r="AK838" s="1759">
        <v>939</v>
      </c>
      <c r="AL838" s="1759" t="s">
        <v>2155</v>
      </c>
      <c r="AM838" s="1759">
        <v>937</v>
      </c>
      <c r="AN838" s="1759" t="s">
        <v>5470</v>
      </c>
      <c r="AO838" s="1764"/>
      <c r="AP838" s="1759"/>
      <c r="AQ838" s="1759"/>
      <c r="AR838" s="1759" t="s">
        <v>530</v>
      </c>
      <c r="AS838" s="1759" t="s">
        <v>531</v>
      </c>
      <c r="AT838" s="1759" t="s">
        <v>327</v>
      </c>
      <c r="AU838" s="1763"/>
      <c r="AV838" s="1763"/>
    </row>
    <row r="839" spans="1:48" ht="25" hidden="1">
      <c r="A839" s="1785" t="str">
        <f t="shared" si="132"/>
        <v>גמל</v>
      </c>
      <c r="B839" s="1786">
        <f t="shared" si="133"/>
        <v>938</v>
      </c>
      <c r="C839" s="1787">
        <v>28946</v>
      </c>
      <c r="D839" s="1786" t="str">
        <f t="shared" si="134"/>
        <v>מנוף מרכזית - מסלול מנייתי</v>
      </c>
      <c r="E839" s="1786" t="s">
        <v>3929</v>
      </c>
      <c r="F839" s="1786" t="s">
        <v>2958</v>
      </c>
      <c r="G839" s="1786" t="s">
        <v>2959</v>
      </c>
      <c r="H839" s="1786" t="str">
        <f t="shared" si="135"/>
        <v>לא פעיל</v>
      </c>
      <c r="I839" s="1788">
        <f t="shared" si="136"/>
        <v>37956</v>
      </c>
      <c r="J839" s="1788">
        <f t="shared" si="137"/>
        <v>37969.390567129602</v>
      </c>
      <c r="K839" s="1786">
        <v>0</v>
      </c>
      <c r="L839" s="1786" t="s">
        <v>1594</v>
      </c>
      <c r="M839" s="1786" t="s">
        <v>1653</v>
      </c>
      <c r="N839" s="1786" t="s">
        <v>1653</v>
      </c>
      <c r="O839" s="1786">
        <v>0</v>
      </c>
      <c r="P839" s="1786"/>
      <c r="Q839" s="1786">
        <v>0</v>
      </c>
      <c r="R839" s="1788"/>
      <c r="S839" s="1786">
        <f t="shared" si="138"/>
        <v>937</v>
      </c>
      <c r="T839" s="1786" t="str">
        <f t="shared" si="139"/>
        <v>בנק לאומי בע"מ</v>
      </c>
      <c r="U839" s="1786" t="str">
        <f t="shared" si="140"/>
        <v>מנוף מרכזית - מסלול כללי</v>
      </c>
      <c r="V839" s="1786">
        <f t="shared" si="141"/>
        <v>0</v>
      </c>
      <c r="W839" s="1789" t="str">
        <f t="shared" si="142"/>
        <v>הראל עתידית קופות גמל בע"מ</v>
      </c>
      <c r="AC839" s="1761" t="s">
        <v>1586</v>
      </c>
      <c r="AD839" s="1762">
        <v>37969.390567129602</v>
      </c>
      <c r="AE839" s="1762">
        <v>37956</v>
      </c>
      <c r="AF839" s="1761" t="s">
        <v>1595</v>
      </c>
      <c r="AG839" s="1761" t="s">
        <v>75</v>
      </c>
      <c r="AH839" s="1761" t="s">
        <v>1594</v>
      </c>
      <c r="AI839" s="1761" t="s">
        <v>3419</v>
      </c>
      <c r="AJ839" s="1761" t="s">
        <v>2156</v>
      </c>
      <c r="AK839" s="1761">
        <v>938</v>
      </c>
      <c r="AL839" s="1761" t="s">
        <v>2155</v>
      </c>
      <c r="AM839" s="1761">
        <v>937</v>
      </c>
      <c r="AN839" s="1761" t="s">
        <v>5470</v>
      </c>
      <c r="AO839" s="1764"/>
      <c r="AP839" s="1761"/>
      <c r="AQ839" s="1761"/>
      <c r="AR839" s="1761" t="s">
        <v>530</v>
      </c>
      <c r="AS839" s="1761" t="s">
        <v>531</v>
      </c>
      <c r="AT839" s="1761" t="s">
        <v>327</v>
      </c>
      <c r="AU839" s="1763"/>
      <c r="AV839" s="1763"/>
    </row>
    <row r="840" spans="1:48" ht="25" hidden="1">
      <c r="A840" s="1785" t="str">
        <f t="shared" si="132"/>
        <v>גמל</v>
      </c>
      <c r="B840" s="1786">
        <f t="shared" si="133"/>
        <v>937</v>
      </c>
      <c r="C840" s="1787">
        <v>28946</v>
      </c>
      <c r="D840" s="1786" t="str">
        <f t="shared" si="134"/>
        <v>מנוף מרכזית - מסלול כללי</v>
      </c>
      <c r="E840" s="1786" t="s">
        <v>3929</v>
      </c>
      <c r="F840" s="1786" t="s">
        <v>2958</v>
      </c>
      <c r="G840" s="1786" t="s">
        <v>2959</v>
      </c>
      <c r="H840" s="1786" t="str">
        <f t="shared" si="135"/>
        <v>לא פעיל</v>
      </c>
      <c r="I840" s="1788">
        <f t="shared" si="136"/>
        <v>37956</v>
      </c>
      <c r="J840" s="1788">
        <f t="shared" si="137"/>
        <v>38288.445868055598</v>
      </c>
      <c r="K840" s="1786">
        <v>0</v>
      </c>
      <c r="L840" s="1786" t="s">
        <v>1594</v>
      </c>
      <c r="M840" s="1786" t="s">
        <v>1653</v>
      </c>
      <c r="N840" s="1786" t="s">
        <v>1653</v>
      </c>
      <c r="O840" s="1786">
        <v>0</v>
      </c>
      <c r="P840" s="1786"/>
      <c r="Q840" s="1786">
        <v>0</v>
      </c>
      <c r="R840" s="1788"/>
      <c r="S840" s="1786">
        <f t="shared" si="138"/>
        <v>937</v>
      </c>
      <c r="T840" s="1786" t="str">
        <f t="shared" si="139"/>
        <v>בנק לאומי בע"מ</v>
      </c>
      <c r="U840" s="1786" t="str">
        <f t="shared" si="140"/>
        <v>מנוף מרכזית - מסלול כללי</v>
      </c>
      <c r="V840" s="1786">
        <f t="shared" si="141"/>
        <v>0</v>
      </c>
      <c r="W840" s="1789" t="str">
        <f t="shared" si="142"/>
        <v>הראל עתידית קופות גמל בע"מ</v>
      </c>
      <c r="AC840" s="1759" t="s">
        <v>1586</v>
      </c>
      <c r="AD840" s="1760">
        <v>38288.445868055598</v>
      </c>
      <c r="AE840" s="1760">
        <v>37956</v>
      </c>
      <c r="AF840" s="1759" t="s">
        <v>1583</v>
      </c>
      <c r="AG840" s="1759" t="s">
        <v>1583</v>
      </c>
      <c r="AH840" s="1759" t="s">
        <v>1583</v>
      </c>
      <c r="AI840" s="1759" t="s">
        <v>3418</v>
      </c>
      <c r="AJ840" s="1759" t="s">
        <v>2155</v>
      </c>
      <c r="AK840" s="1759">
        <v>937</v>
      </c>
      <c r="AL840" s="1759" t="s">
        <v>2155</v>
      </c>
      <c r="AM840" s="1759">
        <v>937</v>
      </c>
      <c r="AN840" s="1759" t="s">
        <v>5470</v>
      </c>
      <c r="AO840" s="1764"/>
      <c r="AP840" s="1759"/>
      <c r="AQ840" s="1759"/>
      <c r="AR840" s="1759" t="s">
        <v>530</v>
      </c>
      <c r="AS840" s="1759" t="s">
        <v>531</v>
      </c>
      <c r="AT840" s="1759" t="s">
        <v>327</v>
      </c>
      <c r="AU840" s="1763"/>
      <c r="AV840" s="1763"/>
    </row>
    <row r="841" spans="1:48" ht="25" hidden="1">
      <c r="A841" s="1785" t="str">
        <f t="shared" si="132"/>
        <v>גמל</v>
      </c>
      <c r="B841" s="1786">
        <f t="shared" si="133"/>
        <v>936</v>
      </c>
      <c r="C841" s="1787">
        <v>28946</v>
      </c>
      <c r="D841" s="1786" t="str">
        <f t="shared" si="134"/>
        <v>מנוף השתלמות - מסלול צמוד מדד</v>
      </c>
      <c r="E841" s="1786" t="s">
        <v>3929</v>
      </c>
      <c r="F841" s="1786" t="s">
        <v>2958</v>
      </c>
      <c r="G841" s="1786" t="s">
        <v>2959</v>
      </c>
      <c r="H841" s="1786" t="str">
        <f t="shared" si="135"/>
        <v>לא פעיל</v>
      </c>
      <c r="I841" s="1788">
        <f t="shared" si="136"/>
        <v>37956</v>
      </c>
      <c r="J841" s="1788">
        <f t="shared" si="137"/>
        <v>37969.390509259298</v>
      </c>
      <c r="K841" s="1786">
        <v>0</v>
      </c>
      <c r="L841" s="1786" t="s">
        <v>1594</v>
      </c>
      <c r="M841" s="1786" t="s">
        <v>1653</v>
      </c>
      <c r="N841" s="1786" t="s">
        <v>1653</v>
      </c>
      <c r="O841" s="1786">
        <v>0</v>
      </c>
      <c r="P841" s="1786"/>
      <c r="Q841" s="1786">
        <v>0</v>
      </c>
      <c r="R841" s="1788"/>
      <c r="S841" s="1786">
        <f t="shared" si="138"/>
        <v>932</v>
      </c>
      <c r="T841" s="1786" t="str">
        <f t="shared" si="139"/>
        <v>בנק לאומי בע"מ</v>
      </c>
      <c r="U841" s="1786" t="str">
        <f t="shared" si="140"/>
        <v>מנוף השתלמות - מסלול כללי</v>
      </c>
      <c r="V841" s="1786">
        <f t="shared" si="141"/>
        <v>0</v>
      </c>
      <c r="W841" s="1789" t="str">
        <f t="shared" si="142"/>
        <v>הראל עתידית קופות גמל בע"מ</v>
      </c>
      <c r="AC841" s="1761" t="s">
        <v>1586</v>
      </c>
      <c r="AD841" s="1762">
        <v>37969.390509259298</v>
      </c>
      <c r="AE841" s="1762">
        <v>37956</v>
      </c>
      <c r="AF841" s="1761" t="s">
        <v>1094</v>
      </c>
      <c r="AG841" s="1761" t="s">
        <v>1094</v>
      </c>
      <c r="AH841" s="1761" t="s">
        <v>1594</v>
      </c>
      <c r="AI841" s="1761" t="s">
        <v>3417</v>
      </c>
      <c r="AJ841" s="1761" t="s">
        <v>2154</v>
      </c>
      <c r="AK841" s="1761">
        <v>936</v>
      </c>
      <c r="AL841" s="1761" t="s">
        <v>2150</v>
      </c>
      <c r="AM841" s="1761">
        <v>932</v>
      </c>
      <c r="AN841" s="1761" t="s">
        <v>5470</v>
      </c>
      <c r="AO841" s="1764"/>
      <c r="AP841" s="1761"/>
      <c r="AQ841" s="1761"/>
      <c r="AR841" s="1761" t="s">
        <v>530</v>
      </c>
      <c r="AS841" s="1761" t="s">
        <v>531</v>
      </c>
      <c r="AT841" s="1761" t="s">
        <v>327</v>
      </c>
      <c r="AU841" s="1763"/>
      <c r="AV841" s="1763"/>
    </row>
    <row r="842" spans="1:48" ht="25" hidden="1">
      <c r="A842" s="1785" t="str">
        <f t="shared" si="132"/>
        <v>גמל</v>
      </c>
      <c r="B842" s="1786">
        <f t="shared" si="133"/>
        <v>934</v>
      </c>
      <c r="C842" s="1787">
        <v>28946</v>
      </c>
      <c r="D842" s="1786" t="str">
        <f t="shared" si="134"/>
        <v>מנוף השתלמות - מסלול מט"ח</v>
      </c>
      <c r="E842" s="1786" t="s">
        <v>3929</v>
      </c>
      <c r="F842" s="1786" t="s">
        <v>2958</v>
      </c>
      <c r="G842" s="1786" t="s">
        <v>2959</v>
      </c>
      <c r="H842" s="1786" t="str">
        <f t="shared" si="135"/>
        <v>לא פעיל</v>
      </c>
      <c r="I842" s="1788">
        <f t="shared" si="136"/>
        <v>37956</v>
      </c>
      <c r="J842" s="1788">
        <f t="shared" si="137"/>
        <v>37969.390474537002</v>
      </c>
      <c r="K842" s="1786">
        <v>0</v>
      </c>
      <c r="L842" s="1786" t="s">
        <v>1594</v>
      </c>
      <c r="M842" s="1786" t="s">
        <v>1653</v>
      </c>
      <c r="N842" s="1786" t="s">
        <v>1653</v>
      </c>
      <c r="O842" s="1786">
        <v>0</v>
      </c>
      <c r="P842" s="1786"/>
      <c r="Q842" s="1786">
        <v>0</v>
      </c>
      <c r="R842" s="1788"/>
      <c r="S842" s="1786">
        <f t="shared" si="138"/>
        <v>932</v>
      </c>
      <c r="T842" s="1786" t="str">
        <f t="shared" si="139"/>
        <v>בנק לאומי בע"מ</v>
      </c>
      <c r="U842" s="1786" t="str">
        <f t="shared" si="140"/>
        <v>מנוף השתלמות - מסלול כללי</v>
      </c>
      <c r="V842" s="1786">
        <f t="shared" si="141"/>
        <v>0</v>
      </c>
      <c r="W842" s="1789" t="str">
        <f t="shared" si="142"/>
        <v>הראל עתידית קופות גמל בע"מ</v>
      </c>
      <c r="AC842" s="1759" t="s">
        <v>1586</v>
      </c>
      <c r="AD842" s="1760">
        <v>37969.390474537002</v>
      </c>
      <c r="AE842" s="1760">
        <v>37956</v>
      </c>
      <c r="AF842" s="1759" t="s">
        <v>1611</v>
      </c>
      <c r="AG842" s="1759" t="s">
        <v>1611</v>
      </c>
      <c r="AH842" s="1759" t="s">
        <v>1594</v>
      </c>
      <c r="AI842" s="1759" t="s">
        <v>3415</v>
      </c>
      <c r="AJ842" s="1759" t="s">
        <v>2152</v>
      </c>
      <c r="AK842" s="1759">
        <v>934</v>
      </c>
      <c r="AL842" s="1759" t="s">
        <v>2150</v>
      </c>
      <c r="AM842" s="1759">
        <v>932</v>
      </c>
      <c r="AN842" s="1759" t="s">
        <v>5470</v>
      </c>
      <c r="AO842" s="1764"/>
      <c r="AP842" s="1759"/>
      <c r="AQ842" s="1759"/>
      <c r="AR842" s="1759" t="s">
        <v>530</v>
      </c>
      <c r="AS842" s="1759" t="s">
        <v>531</v>
      </c>
      <c r="AT842" s="1759" t="s">
        <v>327</v>
      </c>
      <c r="AU842" s="1763"/>
      <c r="AV842" s="1763"/>
    </row>
    <row r="843" spans="1:48" ht="25" hidden="1">
      <c r="A843" s="1785" t="str">
        <f t="shared" si="132"/>
        <v>גמל</v>
      </c>
      <c r="B843" s="1786">
        <f t="shared" si="133"/>
        <v>935</v>
      </c>
      <c r="C843" s="1787">
        <v>28946</v>
      </c>
      <c r="D843" s="1786" t="str">
        <f t="shared" si="134"/>
        <v>מנוף השתלמות - מסלול שקלי</v>
      </c>
      <c r="E843" s="1786" t="s">
        <v>3929</v>
      </c>
      <c r="F843" s="1786" t="s">
        <v>2958</v>
      </c>
      <c r="G843" s="1786" t="s">
        <v>2959</v>
      </c>
      <c r="H843" s="1786" t="str">
        <f t="shared" si="135"/>
        <v>לא פעיל</v>
      </c>
      <c r="I843" s="1788">
        <f t="shared" si="136"/>
        <v>37956</v>
      </c>
      <c r="J843" s="1788">
        <f t="shared" si="137"/>
        <v>37969.390497685199</v>
      </c>
      <c r="K843" s="1786">
        <v>0</v>
      </c>
      <c r="L843" s="1786" t="s">
        <v>1594</v>
      </c>
      <c r="M843" s="1786" t="s">
        <v>1653</v>
      </c>
      <c r="N843" s="1786" t="s">
        <v>1653</v>
      </c>
      <c r="O843" s="1786">
        <v>0</v>
      </c>
      <c r="P843" s="1786"/>
      <c r="Q843" s="1786">
        <v>0</v>
      </c>
      <c r="R843" s="1788"/>
      <c r="S843" s="1786">
        <f t="shared" si="138"/>
        <v>932</v>
      </c>
      <c r="T843" s="1786" t="str">
        <f t="shared" si="139"/>
        <v>בנק לאומי בע"מ</v>
      </c>
      <c r="U843" s="1786" t="str">
        <f t="shared" si="140"/>
        <v>מנוף השתלמות - מסלול כללי</v>
      </c>
      <c r="V843" s="1786">
        <f t="shared" si="141"/>
        <v>0</v>
      </c>
      <c r="W843" s="1789" t="str">
        <f t="shared" si="142"/>
        <v>הראל עתידית קופות גמל בע"מ</v>
      </c>
      <c r="AC843" s="1761" t="s">
        <v>1586</v>
      </c>
      <c r="AD843" s="1762">
        <v>37969.390497685199</v>
      </c>
      <c r="AE843" s="1762">
        <v>37956</v>
      </c>
      <c r="AF843" s="1761" t="s">
        <v>1076</v>
      </c>
      <c r="AG843" s="1761" t="s">
        <v>1614</v>
      </c>
      <c r="AH843" s="1761" t="s">
        <v>1594</v>
      </c>
      <c r="AI843" s="1761" t="s">
        <v>3416</v>
      </c>
      <c r="AJ843" s="1761" t="s">
        <v>2153</v>
      </c>
      <c r="AK843" s="1761">
        <v>935</v>
      </c>
      <c r="AL843" s="1761" t="s">
        <v>2150</v>
      </c>
      <c r="AM843" s="1761">
        <v>932</v>
      </c>
      <c r="AN843" s="1761" t="s">
        <v>5470</v>
      </c>
      <c r="AO843" s="1764"/>
      <c r="AP843" s="1761"/>
      <c r="AQ843" s="1761"/>
      <c r="AR843" s="1761" t="s">
        <v>530</v>
      </c>
      <c r="AS843" s="1761" t="s">
        <v>531</v>
      </c>
      <c r="AT843" s="1761" t="s">
        <v>327</v>
      </c>
      <c r="AU843" s="1763"/>
      <c r="AV843" s="1763"/>
    </row>
    <row r="844" spans="1:48" ht="25" hidden="1">
      <c r="A844" s="1785" t="str">
        <f t="shared" si="132"/>
        <v>גמל</v>
      </c>
      <c r="B844" s="1786">
        <f t="shared" si="133"/>
        <v>933</v>
      </c>
      <c r="C844" s="1787">
        <v>28946</v>
      </c>
      <c r="D844" s="1786" t="str">
        <f t="shared" si="134"/>
        <v>מנוף השתלמות - מסלול  מנייתי</v>
      </c>
      <c r="E844" s="1786" t="s">
        <v>3929</v>
      </c>
      <c r="F844" s="1786" t="s">
        <v>2958</v>
      </c>
      <c r="G844" s="1786" t="s">
        <v>2959</v>
      </c>
      <c r="H844" s="1786" t="str">
        <f t="shared" si="135"/>
        <v>לא פעיל</v>
      </c>
      <c r="I844" s="1788">
        <f t="shared" si="136"/>
        <v>37956</v>
      </c>
      <c r="J844" s="1788">
        <f t="shared" si="137"/>
        <v>37969.390462962998</v>
      </c>
      <c r="K844" s="1786">
        <v>0</v>
      </c>
      <c r="L844" s="1786" t="s">
        <v>1594</v>
      </c>
      <c r="M844" s="1786" t="s">
        <v>1653</v>
      </c>
      <c r="N844" s="1786" t="s">
        <v>1653</v>
      </c>
      <c r="O844" s="1786">
        <v>0</v>
      </c>
      <c r="P844" s="1786"/>
      <c r="Q844" s="1786">
        <v>0</v>
      </c>
      <c r="R844" s="1788"/>
      <c r="S844" s="1786">
        <f t="shared" si="138"/>
        <v>932</v>
      </c>
      <c r="T844" s="1786" t="str">
        <f t="shared" si="139"/>
        <v>בנק לאומי בע"מ</v>
      </c>
      <c r="U844" s="1786" t="str">
        <f t="shared" si="140"/>
        <v>מנוף השתלמות - מסלול כללי</v>
      </c>
      <c r="V844" s="1786">
        <f t="shared" si="141"/>
        <v>0</v>
      </c>
      <c r="W844" s="1789" t="str">
        <f t="shared" si="142"/>
        <v>הראל עתידית קופות גמל בע"מ</v>
      </c>
      <c r="AC844" s="1759" t="s">
        <v>1586</v>
      </c>
      <c r="AD844" s="1760">
        <v>37969.390462962998</v>
      </c>
      <c r="AE844" s="1760">
        <v>37956</v>
      </c>
      <c r="AF844" s="1759" t="s">
        <v>1595</v>
      </c>
      <c r="AG844" s="1759" t="s">
        <v>75</v>
      </c>
      <c r="AH844" s="1759" t="s">
        <v>1594</v>
      </c>
      <c r="AI844" s="1759" t="s">
        <v>3414</v>
      </c>
      <c r="AJ844" s="1759" t="s">
        <v>2151</v>
      </c>
      <c r="AK844" s="1759">
        <v>933</v>
      </c>
      <c r="AL844" s="1759" t="s">
        <v>2150</v>
      </c>
      <c r="AM844" s="1759">
        <v>932</v>
      </c>
      <c r="AN844" s="1759" t="s">
        <v>5470</v>
      </c>
      <c r="AO844" s="1764"/>
      <c r="AP844" s="1759"/>
      <c r="AQ844" s="1759"/>
      <c r="AR844" s="1759" t="s">
        <v>530</v>
      </c>
      <c r="AS844" s="1759" t="s">
        <v>531</v>
      </c>
      <c r="AT844" s="1759" t="s">
        <v>327</v>
      </c>
      <c r="AU844" s="1763"/>
      <c r="AV844" s="1763"/>
    </row>
    <row r="845" spans="1:48" ht="25" hidden="1">
      <c r="A845" s="1785" t="str">
        <f t="shared" si="132"/>
        <v>גמל</v>
      </c>
      <c r="B845" s="1786">
        <f t="shared" si="133"/>
        <v>932</v>
      </c>
      <c r="C845" s="1787">
        <v>28946</v>
      </c>
      <c r="D845" s="1786" t="str">
        <f t="shared" si="134"/>
        <v>מנוף השתלמות - מסלול כללי</v>
      </c>
      <c r="E845" s="1786" t="s">
        <v>3929</v>
      </c>
      <c r="F845" s="1786" t="s">
        <v>2958</v>
      </c>
      <c r="G845" s="1786" t="s">
        <v>2959</v>
      </c>
      <c r="H845" s="1786" t="str">
        <f t="shared" si="135"/>
        <v>לא פעיל</v>
      </c>
      <c r="I845" s="1788">
        <f t="shared" si="136"/>
        <v>37956</v>
      </c>
      <c r="J845" s="1788">
        <f t="shared" si="137"/>
        <v>38288.446770833303</v>
      </c>
      <c r="K845" s="1786">
        <v>0</v>
      </c>
      <c r="L845" s="1786" t="s">
        <v>1594</v>
      </c>
      <c r="M845" s="1786" t="s">
        <v>1653</v>
      </c>
      <c r="N845" s="1786" t="s">
        <v>1653</v>
      </c>
      <c r="O845" s="1786">
        <v>0</v>
      </c>
      <c r="P845" s="1786"/>
      <c r="Q845" s="1786">
        <v>0</v>
      </c>
      <c r="R845" s="1788"/>
      <c r="S845" s="1786">
        <f t="shared" si="138"/>
        <v>932</v>
      </c>
      <c r="T845" s="1786" t="str">
        <f t="shared" si="139"/>
        <v>בנק לאומי בע"מ</v>
      </c>
      <c r="U845" s="1786" t="str">
        <f t="shared" si="140"/>
        <v>מנוף השתלמות - מסלול כללי</v>
      </c>
      <c r="V845" s="1786">
        <f t="shared" si="141"/>
        <v>0</v>
      </c>
      <c r="W845" s="1789" t="str">
        <f t="shared" si="142"/>
        <v>הראל עתידית קופות גמל בע"מ</v>
      </c>
      <c r="AC845" s="1761" t="s">
        <v>1586</v>
      </c>
      <c r="AD845" s="1762">
        <v>38288.446770833303</v>
      </c>
      <c r="AE845" s="1762">
        <v>37956</v>
      </c>
      <c r="AF845" s="1761" t="s">
        <v>1583</v>
      </c>
      <c r="AG845" s="1761" t="s">
        <v>1583</v>
      </c>
      <c r="AH845" s="1761" t="s">
        <v>1583</v>
      </c>
      <c r="AI845" s="1761" t="s">
        <v>3413</v>
      </c>
      <c r="AJ845" s="1761" t="s">
        <v>2150</v>
      </c>
      <c r="AK845" s="1761">
        <v>932</v>
      </c>
      <c r="AL845" s="1761" t="s">
        <v>2150</v>
      </c>
      <c r="AM845" s="1761">
        <v>932</v>
      </c>
      <c r="AN845" s="1761" t="s">
        <v>5470</v>
      </c>
      <c r="AO845" s="1764"/>
      <c r="AP845" s="1761"/>
      <c r="AQ845" s="1761"/>
      <c r="AR845" s="1761" t="s">
        <v>530</v>
      </c>
      <c r="AS845" s="1761" t="s">
        <v>531</v>
      </c>
      <c r="AT845" s="1761" t="s">
        <v>327</v>
      </c>
      <c r="AU845" s="1763"/>
      <c r="AV845" s="1763"/>
    </row>
    <row r="846" spans="1:48" ht="25" hidden="1">
      <c r="A846" s="1785" t="str">
        <f t="shared" si="132"/>
        <v>גמל</v>
      </c>
      <c r="B846" s="1786">
        <f t="shared" si="133"/>
        <v>928</v>
      </c>
      <c r="C846" s="1787">
        <v>28946</v>
      </c>
      <c r="D846" s="1786" t="str">
        <f t="shared" si="134"/>
        <v>מנוף תגמולים - מסלול מנייתי</v>
      </c>
      <c r="E846" s="1786" t="s">
        <v>3929</v>
      </c>
      <c r="F846" s="1786" t="s">
        <v>2958</v>
      </c>
      <c r="G846" s="1786" t="s">
        <v>2959</v>
      </c>
      <c r="H846" s="1786" t="str">
        <f t="shared" si="135"/>
        <v>לא פעיל</v>
      </c>
      <c r="I846" s="1788">
        <f t="shared" si="136"/>
        <v>37956</v>
      </c>
      <c r="J846" s="1788">
        <f t="shared" si="137"/>
        <v>37969.390381944402</v>
      </c>
      <c r="K846" s="1786">
        <v>0</v>
      </c>
      <c r="L846" s="1786" t="s">
        <v>1594</v>
      </c>
      <c r="M846" s="1786" t="s">
        <v>1653</v>
      </c>
      <c r="N846" s="1786" t="s">
        <v>1653</v>
      </c>
      <c r="O846" s="1786">
        <v>0</v>
      </c>
      <c r="P846" s="1786"/>
      <c r="Q846" s="1786">
        <v>0</v>
      </c>
      <c r="R846" s="1788"/>
      <c r="S846" s="1786">
        <f t="shared" si="138"/>
        <v>927</v>
      </c>
      <c r="T846" s="1786" t="str">
        <f t="shared" si="139"/>
        <v>בנק לאומי בע"מ</v>
      </c>
      <c r="U846" s="1786" t="str">
        <f t="shared" si="140"/>
        <v>מנוף תגמולים - מסלול כללי</v>
      </c>
      <c r="V846" s="1786">
        <f t="shared" si="141"/>
        <v>0</v>
      </c>
      <c r="W846" s="1789" t="str">
        <f t="shared" si="142"/>
        <v>הראל עתידית קופות גמל בע"מ</v>
      </c>
      <c r="AC846" s="1759" t="s">
        <v>1586</v>
      </c>
      <c r="AD846" s="1760">
        <v>37969.390381944402</v>
      </c>
      <c r="AE846" s="1760">
        <v>37956</v>
      </c>
      <c r="AF846" s="1759" t="s">
        <v>1595</v>
      </c>
      <c r="AG846" s="1759" t="s">
        <v>75</v>
      </c>
      <c r="AH846" s="1759" t="s">
        <v>1594</v>
      </c>
      <c r="AI846" s="1759" t="s">
        <v>3409</v>
      </c>
      <c r="AJ846" s="1759" t="s">
        <v>2146</v>
      </c>
      <c r="AK846" s="1759">
        <v>928</v>
      </c>
      <c r="AL846" s="1759" t="s">
        <v>2145</v>
      </c>
      <c r="AM846" s="1759">
        <v>927</v>
      </c>
      <c r="AN846" s="1759" t="s">
        <v>5470</v>
      </c>
      <c r="AO846" s="1764"/>
      <c r="AP846" s="1759"/>
      <c r="AQ846" s="1759"/>
      <c r="AR846" s="1759" t="s">
        <v>530</v>
      </c>
      <c r="AS846" s="1759" t="s">
        <v>531</v>
      </c>
      <c r="AT846" s="1759" t="s">
        <v>327</v>
      </c>
      <c r="AU846" s="1763"/>
      <c r="AV846" s="1763"/>
    </row>
    <row r="847" spans="1:48" ht="25" hidden="1">
      <c r="A847" s="1785" t="str">
        <f t="shared" si="132"/>
        <v>גמל</v>
      </c>
      <c r="B847" s="1786">
        <f t="shared" si="133"/>
        <v>931</v>
      </c>
      <c r="C847" s="1787">
        <v>28946</v>
      </c>
      <c r="D847" s="1786" t="str">
        <f t="shared" si="134"/>
        <v>מנוף תגמולים - מסלול צמוד מדד</v>
      </c>
      <c r="E847" s="1786" t="s">
        <v>3929</v>
      </c>
      <c r="F847" s="1786" t="s">
        <v>2958</v>
      </c>
      <c r="G847" s="1786" t="s">
        <v>2959</v>
      </c>
      <c r="H847" s="1786" t="str">
        <f t="shared" si="135"/>
        <v>לא פעיל</v>
      </c>
      <c r="I847" s="1788">
        <f t="shared" si="136"/>
        <v>37956</v>
      </c>
      <c r="J847" s="1788">
        <f t="shared" si="137"/>
        <v>37969.390428240702</v>
      </c>
      <c r="K847" s="1786">
        <v>0</v>
      </c>
      <c r="L847" s="1786" t="s">
        <v>1594</v>
      </c>
      <c r="M847" s="1786" t="s">
        <v>1653</v>
      </c>
      <c r="N847" s="1786" t="s">
        <v>1653</v>
      </c>
      <c r="O847" s="1786">
        <v>0</v>
      </c>
      <c r="P847" s="1786"/>
      <c r="Q847" s="1786">
        <v>0</v>
      </c>
      <c r="R847" s="1788"/>
      <c r="S847" s="1786">
        <f t="shared" si="138"/>
        <v>927</v>
      </c>
      <c r="T847" s="1786" t="str">
        <f t="shared" si="139"/>
        <v>בנק לאומי בע"מ</v>
      </c>
      <c r="U847" s="1786" t="str">
        <f t="shared" si="140"/>
        <v>מנוף תגמולים - מסלול כללי</v>
      </c>
      <c r="V847" s="1786">
        <f t="shared" si="141"/>
        <v>0</v>
      </c>
      <c r="W847" s="1789" t="str">
        <f t="shared" si="142"/>
        <v>הראל עתידית קופות גמל בע"מ</v>
      </c>
      <c r="AC847" s="1761" t="s">
        <v>1586</v>
      </c>
      <c r="AD847" s="1762">
        <v>37969.390428240702</v>
      </c>
      <c r="AE847" s="1762">
        <v>37956</v>
      </c>
      <c r="AF847" s="1761" t="s">
        <v>1094</v>
      </c>
      <c r="AG847" s="1761" t="s">
        <v>1094</v>
      </c>
      <c r="AH847" s="1761" t="s">
        <v>1594</v>
      </c>
      <c r="AI847" s="1761" t="s">
        <v>3412</v>
      </c>
      <c r="AJ847" s="1761" t="s">
        <v>2149</v>
      </c>
      <c r="AK847" s="1761">
        <v>931</v>
      </c>
      <c r="AL847" s="1761" t="s">
        <v>2145</v>
      </c>
      <c r="AM847" s="1761">
        <v>927</v>
      </c>
      <c r="AN847" s="1761" t="s">
        <v>5470</v>
      </c>
      <c r="AO847" s="1764"/>
      <c r="AP847" s="1761"/>
      <c r="AQ847" s="1761"/>
      <c r="AR847" s="1761" t="s">
        <v>530</v>
      </c>
      <c r="AS847" s="1761" t="s">
        <v>531</v>
      </c>
      <c r="AT847" s="1761" t="s">
        <v>327</v>
      </c>
      <c r="AU847" s="1763"/>
      <c r="AV847" s="1763"/>
    </row>
    <row r="848" spans="1:48" ht="25" hidden="1">
      <c r="A848" s="1785" t="str">
        <f t="shared" si="132"/>
        <v>גמל</v>
      </c>
      <c r="B848" s="1786">
        <f t="shared" si="133"/>
        <v>930</v>
      </c>
      <c r="C848" s="1787">
        <v>28946</v>
      </c>
      <c r="D848" s="1786" t="str">
        <f t="shared" si="134"/>
        <v>מנוף תגמולים - מסלול שיקלי</v>
      </c>
      <c r="E848" s="1786" t="s">
        <v>3929</v>
      </c>
      <c r="F848" s="1786" t="s">
        <v>2958</v>
      </c>
      <c r="G848" s="1786" t="s">
        <v>2959</v>
      </c>
      <c r="H848" s="1786" t="str">
        <f t="shared" si="135"/>
        <v>לא פעיל</v>
      </c>
      <c r="I848" s="1788">
        <f t="shared" si="136"/>
        <v>37956</v>
      </c>
      <c r="J848" s="1788">
        <f t="shared" si="137"/>
        <v>37969.390416666698</v>
      </c>
      <c r="K848" s="1786">
        <v>0</v>
      </c>
      <c r="L848" s="1786" t="s">
        <v>1594</v>
      </c>
      <c r="M848" s="1786" t="s">
        <v>1653</v>
      </c>
      <c r="N848" s="1786" t="s">
        <v>1653</v>
      </c>
      <c r="O848" s="1786">
        <v>0</v>
      </c>
      <c r="P848" s="1786"/>
      <c r="Q848" s="1786">
        <v>0</v>
      </c>
      <c r="R848" s="1788"/>
      <c r="S848" s="1786">
        <f t="shared" si="138"/>
        <v>927</v>
      </c>
      <c r="T848" s="1786" t="str">
        <f t="shared" si="139"/>
        <v>בנק לאומי בע"מ</v>
      </c>
      <c r="U848" s="1786" t="str">
        <f t="shared" si="140"/>
        <v>מנוף תגמולים - מסלול כללי</v>
      </c>
      <c r="V848" s="1786">
        <f t="shared" si="141"/>
        <v>0</v>
      </c>
      <c r="W848" s="1789" t="str">
        <f t="shared" si="142"/>
        <v>הראל עתידית קופות גמל בע"מ</v>
      </c>
      <c r="AC848" s="1759" t="s">
        <v>1586</v>
      </c>
      <c r="AD848" s="1760">
        <v>37969.390416666698</v>
      </c>
      <c r="AE848" s="1760">
        <v>37956</v>
      </c>
      <c r="AF848" s="1759" t="s">
        <v>1076</v>
      </c>
      <c r="AG848" s="1759" t="s">
        <v>1614</v>
      </c>
      <c r="AH848" s="1759" t="s">
        <v>1594</v>
      </c>
      <c r="AI848" s="1759" t="s">
        <v>3411</v>
      </c>
      <c r="AJ848" s="1759" t="s">
        <v>2148</v>
      </c>
      <c r="AK848" s="1759">
        <v>930</v>
      </c>
      <c r="AL848" s="1759" t="s">
        <v>2145</v>
      </c>
      <c r="AM848" s="1759">
        <v>927</v>
      </c>
      <c r="AN848" s="1759" t="s">
        <v>5470</v>
      </c>
      <c r="AO848" s="1764"/>
      <c r="AP848" s="1759"/>
      <c r="AQ848" s="1759"/>
      <c r="AR848" s="1759" t="s">
        <v>530</v>
      </c>
      <c r="AS848" s="1759" t="s">
        <v>531</v>
      </c>
      <c r="AT848" s="1759" t="s">
        <v>327</v>
      </c>
      <c r="AU848" s="1763"/>
      <c r="AV848" s="1763"/>
    </row>
    <row r="849" spans="1:48" ht="25" hidden="1">
      <c r="A849" s="1785" t="str">
        <f t="shared" si="132"/>
        <v>גמל</v>
      </c>
      <c r="B849" s="1786">
        <f t="shared" si="133"/>
        <v>929</v>
      </c>
      <c r="C849" s="1787">
        <v>28946</v>
      </c>
      <c r="D849" s="1786" t="str">
        <f t="shared" si="134"/>
        <v>מנוף תגמולים - מסלול מט"ח</v>
      </c>
      <c r="E849" s="1786" t="s">
        <v>3929</v>
      </c>
      <c r="F849" s="1786" t="s">
        <v>2958</v>
      </c>
      <c r="G849" s="1786" t="s">
        <v>2959</v>
      </c>
      <c r="H849" s="1786" t="str">
        <f t="shared" si="135"/>
        <v>לא פעיל</v>
      </c>
      <c r="I849" s="1788">
        <f t="shared" si="136"/>
        <v>37956</v>
      </c>
      <c r="J849" s="1788">
        <f t="shared" si="137"/>
        <v>37969.390393518501</v>
      </c>
      <c r="K849" s="1786">
        <v>0</v>
      </c>
      <c r="L849" s="1786" t="s">
        <v>1594</v>
      </c>
      <c r="M849" s="1786" t="s">
        <v>1653</v>
      </c>
      <c r="N849" s="1786" t="s">
        <v>1653</v>
      </c>
      <c r="O849" s="1786">
        <v>0</v>
      </c>
      <c r="P849" s="1786"/>
      <c r="Q849" s="1786">
        <v>0</v>
      </c>
      <c r="R849" s="1788"/>
      <c r="S849" s="1786">
        <f t="shared" si="138"/>
        <v>927</v>
      </c>
      <c r="T849" s="1786" t="str">
        <f t="shared" si="139"/>
        <v>בנק לאומי בע"מ</v>
      </c>
      <c r="U849" s="1786" t="str">
        <f t="shared" si="140"/>
        <v>מנוף תגמולים - מסלול כללי</v>
      </c>
      <c r="V849" s="1786">
        <f t="shared" si="141"/>
        <v>0</v>
      </c>
      <c r="W849" s="1789" t="str">
        <f t="shared" si="142"/>
        <v>הראל עתידית קופות גמל בע"מ</v>
      </c>
      <c r="AC849" s="1761" t="s">
        <v>1586</v>
      </c>
      <c r="AD849" s="1762">
        <v>37969.390393518501</v>
      </c>
      <c r="AE849" s="1762">
        <v>37956</v>
      </c>
      <c r="AF849" s="1761" t="s">
        <v>1611</v>
      </c>
      <c r="AG849" s="1761" t="s">
        <v>1611</v>
      </c>
      <c r="AH849" s="1761" t="s">
        <v>1594</v>
      </c>
      <c r="AI849" s="1761" t="s">
        <v>3410</v>
      </c>
      <c r="AJ849" s="1761" t="s">
        <v>2147</v>
      </c>
      <c r="AK849" s="1761">
        <v>929</v>
      </c>
      <c r="AL849" s="1761" t="s">
        <v>2145</v>
      </c>
      <c r="AM849" s="1761">
        <v>927</v>
      </c>
      <c r="AN849" s="1761" t="s">
        <v>5470</v>
      </c>
      <c r="AO849" s="1764"/>
      <c r="AP849" s="1761"/>
      <c r="AQ849" s="1761"/>
      <c r="AR849" s="1761" t="s">
        <v>530</v>
      </c>
      <c r="AS849" s="1761" t="s">
        <v>531</v>
      </c>
      <c r="AT849" s="1761" t="s">
        <v>327</v>
      </c>
      <c r="AU849" s="1763"/>
      <c r="AV849" s="1763"/>
    </row>
    <row r="850" spans="1:48" ht="25" hidden="1">
      <c r="A850" s="1785" t="str">
        <f t="shared" si="132"/>
        <v>גמל</v>
      </c>
      <c r="B850" s="1786">
        <f t="shared" si="133"/>
        <v>927</v>
      </c>
      <c r="C850" s="1787">
        <v>28946</v>
      </c>
      <c r="D850" s="1786" t="str">
        <f t="shared" si="134"/>
        <v>מנוף תגמולים - מסלול כללי</v>
      </c>
      <c r="E850" s="1786" t="s">
        <v>3929</v>
      </c>
      <c r="F850" s="1786" t="s">
        <v>2958</v>
      </c>
      <c r="G850" s="1786" t="s">
        <v>2959</v>
      </c>
      <c r="H850" s="1786" t="str">
        <f t="shared" si="135"/>
        <v>לא פעיל</v>
      </c>
      <c r="I850" s="1788">
        <f t="shared" si="136"/>
        <v>37956</v>
      </c>
      <c r="J850" s="1788">
        <f t="shared" si="137"/>
        <v>38288.445439814801</v>
      </c>
      <c r="K850" s="1786">
        <v>0</v>
      </c>
      <c r="L850" s="1786" t="s">
        <v>1594</v>
      </c>
      <c r="M850" s="1786" t="s">
        <v>1653</v>
      </c>
      <c r="N850" s="1786" t="s">
        <v>1653</v>
      </c>
      <c r="O850" s="1786">
        <v>0</v>
      </c>
      <c r="P850" s="1786"/>
      <c r="Q850" s="1786">
        <v>0</v>
      </c>
      <c r="R850" s="1788"/>
      <c r="S850" s="1786">
        <f t="shared" si="138"/>
        <v>927</v>
      </c>
      <c r="T850" s="1786" t="str">
        <f t="shared" si="139"/>
        <v>בנק לאומי בע"מ</v>
      </c>
      <c r="U850" s="1786" t="str">
        <f t="shared" si="140"/>
        <v>מנוף תגמולים - מסלול כללי</v>
      </c>
      <c r="V850" s="1786">
        <f t="shared" si="141"/>
        <v>0</v>
      </c>
      <c r="W850" s="1789" t="str">
        <f t="shared" si="142"/>
        <v>הראל עתידית קופות גמל בע"מ</v>
      </c>
      <c r="AC850" s="1759" t="s">
        <v>1586</v>
      </c>
      <c r="AD850" s="1760">
        <v>38288.445439814801</v>
      </c>
      <c r="AE850" s="1760">
        <v>37956</v>
      </c>
      <c r="AF850" s="1759" t="s">
        <v>1583</v>
      </c>
      <c r="AG850" s="1759" t="s">
        <v>1583</v>
      </c>
      <c r="AH850" s="1759" t="s">
        <v>1583</v>
      </c>
      <c r="AI850" s="1759" t="s">
        <v>3408</v>
      </c>
      <c r="AJ850" s="1759" t="s">
        <v>2145</v>
      </c>
      <c r="AK850" s="1759">
        <v>927</v>
      </c>
      <c r="AL850" s="1759" t="s">
        <v>2145</v>
      </c>
      <c r="AM850" s="1759">
        <v>927</v>
      </c>
      <c r="AN850" s="1759" t="s">
        <v>5470</v>
      </c>
      <c r="AO850" s="1764"/>
      <c r="AP850" s="1759"/>
      <c r="AQ850" s="1759"/>
      <c r="AR850" s="1759" t="s">
        <v>530</v>
      </c>
      <c r="AS850" s="1759" t="s">
        <v>531</v>
      </c>
      <c r="AT850" s="1759" t="s">
        <v>327</v>
      </c>
      <c r="AU850" s="1763"/>
      <c r="AV850" s="1763"/>
    </row>
    <row r="851" spans="1:48" ht="25" hidden="1">
      <c r="A851" s="1785" t="str">
        <f t="shared" si="132"/>
        <v>גמל</v>
      </c>
      <c r="B851" s="1786">
        <f t="shared" si="133"/>
        <v>926</v>
      </c>
      <c r="C851" s="1787">
        <v>28946</v>
      </c>
      <c r="D851" s="1786" t="str">
        <f t="shared" si="134"/>
        <v>מקפת החדשה מרכזית לפיצויים</v>
      </c>
      <c r="E851" s="1786" t="s">
        <v>3929</v>
      </c>
      <c r="F851" s="1786" t="s">
        <v>2958</v>
      </c>
      <c r="G851" s="1786" t="s">
        <v>2959</v>
      </c>
      <c r="H851" s="1786" t="str">
        <f t="shared" si="135"/>
        <v>לא פעיל</v>
      </c>
      <c r="I851" s="1788">
        <f t="shared" si="136"/>
        <v>37943</v>
      </c>
      <c r="J851" s="1788">
        <f t="shared" si="137"/>
        <v>40013.633958333303</v>
      </c>
      <c r="K851" s="1786">
        <v>0</v>
      </c>
      <c r="L851" s="1786" t="s">
        <v>1594</v>
      </c>
      <c r="M851" s="1786" t="s">
        <v>1653</v>
      </c>
      <c r="N851" s="1786" t="s">
        <v>1653</v>
      </c>
      <c r="O851" s="1786">
        <v>0</v>
      </c>
      <c r="P851" s="1786"/>
      <c r="Q851" s="1786">
        <v>0</v>
      </c>
      <c r="R851" s="1788"/>
      <c r="S851" s="1786">
        <f t="shared" si="138"/>
        <v>926</v>
      </c>
      <c r="T851" s="1786" t="str">
        <f t="shared" si="139"/>
        <v>מגדל מקפת</v>
      </c>
      <c r="U851" s="1786" t="str">
        <f t="shared" si="140"/>
        <v>מקפת החדשה מרכזית לפיצויים</v>
      </c>
      <c r="V851" s="1786">
        <f t="shared" si="141"/>
        <v>0</v>
      </c>
      <c r="W851" s="1789" t="str">
        <f t="shared" si="142"/>
        <v>מקפת החדשה ניהול קופות גמל בע"מ</v>
      </c>
      <c r="AC851" s="1761" t="s">
        <v>1586</v>
      </c>
      <c r="AD851" s="1762">
        <v>40013.633958333303</v>
      </c>
      <c r="AE851" s="1762">
        <v>37943</v>
      </c>
      <c r="AF851" s="1761" t="s">
        <v>1583</v>
      </c>
      <c r="AG851" s="1761" t="s">
        <v>1583</v>
      </c>
      <c r="AH851" s="1761" t="s">
        <v>1583</v>
      </c>
      <c r="AI851" s="1761" t="s">
        <v>2142</v>
      </c>
      <c r="AJ851" s="1761" t="s">
        <v>2142</v>
      </c>
      <c r="AK851" s="1761">
        <v>926</v>
      </c>
      <c r="AL851" s="1761" t="s">
        <v>2142</v>
      </c>
      <c r="AM851" s="1761">
        <v>926</v>
      </c>
      <c r="AN851" s="1761" t="s">
        <v>5400</v>
      </c>
      <c r="AO851" s="1764"/>
      <c r="AP851" s="1761"/>
      <c r="AQ851" s="1761"/>
      <c r="AR851" s="1761" t="s">
        <v>2144</v>
      </c>
      <c r="AS851" s="1761" t="s">
        <v>2143</v>
      </c>
      <c r="AT851" s="1761" t="s">
        <v>327</v>
      </c>
      <c r="AU851" s="1763"/>
      <c r="AV851" s="1763"/>
    </row>
    <row r="852" spans="1:48" ht="37.5" hidden="1">
      <c r="A852" s="1785" t="str">
        <f t="shared" si="132"/>
        <v>גמל</v>
      </c>
      <c r="B852" s="1786">
        <f t="shared" si="133"/>
        <v>925</v>
      </c>
      <c r="C852" s="1787">
        <v>28946</v>
      </c>
      <c r="D852" s="1786" t="str">
        <f t="shared" si="134"/>
        <v>מקפת החדשה קרן השתלמות</v>
      </c>
      <c r="E852" s="1786" t="s">
        <v>3929</v>
      </c>
      <c r="F852" s="1786" t="s">
        <v>2958</v>
      </c>
      <c r="G852" s="1786" t="s">
        <v>2959</v>
      </c>
      <c r="H852" s="1786" t="str">
        <f t="shared" si="135"/>
        <v>לא פעיל</v>
      </c>
      <c r="I852" s="1788">
        <f t="shared" si="136"/>
        <v>37943</v>
      </c>
      <c r="J852" s="1788">
        <f t="shared" si="137"/>
        <v>40839</v>
      </c>
      <c r="K852" s="1786">
        <v>0</v>
      </c>
      <c r="L852" s="1786" t="s">
        <v>1594</v>
      </c>
      <c r="M852" s="1786" t="s">
        <v>1653</v>
      </c>
      <c r="N852" s="1786" t="s">
        <v>1653</v>
      </c>
      <c r="O852" s="1786">
        <v>0</v>
      </c>
      <c r="P852" s="1786"/>
      <c r="Q852" s="1786">
        <v>0</v>
      </c>
      <c r="R852" s="1788"/>
      <c r="S852" s="1786">
        <f t="shared" si="138"/>
        <v>925</v>
      </c>
      <c r="T852" s="1786" t="str">
        <f t="shared" si="139"/>
        <v>ד.ס.ש ייעוץ ושירותים בע"מ</v>
      </c>
      <c r="U852" s="1786" t="str">
        <f t="shared" si="140"/>
        <v>מקפת החדשה קרן השתלמות</v>
      </c>
      <c r="V852" s="1786" t="str">
        <f t="shared" si="141"/>
        <v>510464803</v>
      </c>
      <c r="W852" s="1789" t="str">
        <f t="shared" si="142"/>
        <v>מגדל מקפת קרנות פנסיה וקופות גמל בע"מ</v>
      </c>
      <c r="AC852" s="1759" t="s">
        <v>1586</v>
      </c>
      <c r="AD852" s="1760">
        <v>40839</v>
      </c>
      <c r="AE852" s="1760">
        <v>37943</v>
      </c>
      <c r="AF852" s="1759" t="s">
        <v>1583</v>
      </c>
      <c r="AG852" s="1759" t="s">
        <v>1583</v>
      </c>
      <c r="AH852" s="1759" t="s">
        <v>1583</v>
      </c>
      <c r="AI852" s="1759" t="s">
        <v>2141</v>
      </c>
      <c r="AJ852" s="1759" t="s">
        <v>2141</v>
      </c>
      <c r="AK852" s="1759">
        <v>925</v>
      </c>
      <c r="AL852" s="1759" t="s">
        <v>2141</v>
      </c>
      <c r="AM852" s="1759">
        <v>925</v>
      </c>
      <c r="AN852" s="1759" t="s">
        <v>5393</v>
      </c>
      <c r="AO852" s="1764"/>
      <c r="AP852" s="1759" t="s">
        <v>5382</v>
      </c>
      <c r="AQ852" s="1759" t="s">
        <v>5383</v>
      </c>
      <c r="AR852" s="1759" t="s">
        <v>394</v>
      </c>
      <c r="AS852" s="1759" t="s">
        <v>395</v>
      </c>
      <c r="AT852" s="1759" t="s">
        <v>327</v>
      </c>
      <c r="AU852" s="1763"/>
      <c r="AV852" s="1763"/>
    </row>
    <row r="853" spans="1:48" ht="37.5" hidden="1">
      <c r="A853" s="1785" t="str">
        <f t="shared" si="132"/>
        <v>גמל</v>
      </c>
      <c r="B853" s="1786">
        <f t="shared" si="133"/>
        <v>924</v>
      </c>
      <c r="C853" s="1787">
        <v>28946</v>
      </c>
      <c r="D853" s="1786" t="str">
        <f t="shared" si="134"/>
        <v>מקפת החדשה קופת גמל לתגמולים ולפיצויים</v>
      </c>
      <c r="E853" s="1786" t="s">
        <v>3929</v>
      </c>
      <c r="F853" s="1786" t="s">
        <v>2958</v>
      </c>
      <c r="G853" s="1786" t="s">
        <v>2959</v>
      </c>
      <c r="H853" s="1786" t="str">
        <f t="shared" si="135"/>
        <v>לא פעיל</v>
      </c>
      <c r="I853" s="1788">
        <f t="shared" si="136"/>
        <v>37936</v>
      </c>
      <c r="J853" s="1788">
        <f t="shared" si="137"/>
        <v>40839</v>
      </c>
      <c r="K853" s="1786">
        <v>0</v>
      </c>
      <c r="L853" s="1786" t="s">
        <v>1594</v>
      </c>
      <c r="M853" s="1786" t="s">
        <v>1653</v>
      </c>
      <c r="N853" s="1786" t="s">
        <v>1653</v>
      </c>
      <c r="O853" s="1786">
        <v>0</v>
      </c>
      <c r="P853" s="1786"/>
      <c r="Q853" s="1786">
        <v>0</v>
      </c>
      <c r="R853" s="1788"/>
      <c r="S853" s="1786">
        <f t="shared" si="138"/>
        <v>924</v>
      </c>
      <c r="T853" s="1786" t="str">
        <f t="shared" si="139"/>
        <v>ד.ס.ש ייעוץ ושירותים בע"מ</v>
      </c>
      <c r="U853" s="1786" t="str">
        <f t="shared" si="140"/>
        <v>מקפת החדשה קופת גמל לתגמולים ולפיצויים</v>
      </c>
      <c r="V853" s="1786" t="str">
        <f t="shared" si="141"/>
        <v>510464803</v>
      </c>
      <c r="W853" s="1789" t="str">
        <f t="shared" si="142"/>
        <v>מגדל מקפת קרנות פנסיה וקופות גמל בע"מ</v>
      </c>
      <c r="AC853" s="1761" t="s">
        <v>1586</v>
      </c>
      <c r="AD853" s="1762">
        <v>40839</v>
      </c>
      <c r="AE853" s="1762">
        <v>37936</v>
      </c>
      <c r="AF853" s="1761" t="s">
        <v>1583</v>
      </c>
      <c r="AG853" s="1761" t="s">
        <v>1583</v>
      </c>
      <c r="AH853" s="1761" t="s">
        <v>1583</v>
      </c>
      <c r="AI853" s="1761" t="s">
        <v>3407</v>
      </c>
      <c r="AJ853" s="1761" t="s">
        <v>2140</v>
      </c>
      <c r="AK853" s="1761">
        <v>924</v>
      </c>
      <c r="AL853" s="1761" t="s">
        <v>2140</v>
      </c>
      <c r="AM853" s="1761">
        <v>924</v>
      </c>
      <c r="AN853" s="1761" t="s">
        <v>5393</v>
      </c>
      <c r="AO853" s="1764"/>
      <c r="AP853" s="1761" t="s">
        <v>5382</v>
      </c>
      <c r="AQ853" s="1761" t="s">
        <v>5383</v>
      </c>
      <c r="AR853" s="1761" t="s">
        <v>394</v>
      </c>
      <c r="AS853" s="1761" t="s">
        <v>395</v>
      </c>
      <c r="AT853" s="1761" t="s">
        <v>327</v>
      </c>
      <c r="AU853" s="1763"/>
      <c r="AV853" s="1763"/>
    </row>
    <row r="854" spans="1:48" ht="50" hidden="1">
      <c r="A854" s="1785" t="str">
        <f t="shared" si="132"/>
        <v>גמל</v>
      </c>
      <c r="B854" s="1786">
        <f t="shared" si="133"/>
        <v>922</v>
      </c>
      <c r="C854" s="1787">
        <v>28946</v>
      </c>
      <c r="D854" s="1786" t="str">
        <f t="shared" si="134"/>
        <v>קופת גמל אישית לפיצויים של הפקידים והפועלים בעיריית רמת גן</v>
      </c>
      <c r="E854" s="1786" t="s">
        <v>3929</v>
      </c>
      <c r="F854" s="1786" t="s">
        <v>2958</v>
      </c>
      <c r="G854" s="1786" t="s">
        <v>2959</v>
      </c>
      <c r="H854" s="1786" t="str">
        <f t="shared" si="135"/>
        <v>לא פעיל</v>
      </c>
      <c r="I854" s="1788">
        <f t="shared" si="136"/>
        <v>37924</v>
      </c>
      <c r="J854" s="1788">
        <f t="shared" si="137"/>
        <v>39713</v>
      </c>
      <c r="K854" s="1786">
        <v>0</v>
      </c>
      <c r="L854" s="1786" t="s">
        <v>1594</v>
      </c>
      <c r="M854" s="1786" t="s">
        <v>1653</v>
      </c>
      <c r="N854" s="1786" t="s">
        <v>1653</v>
      </c>
      <c r="O854" s="1786">
        <v>0</v>
      </c>
      <c r="P854" s="1786"/>
      <c r="Q854" s="1786">
        <v>0</v>
      </c>
      <c r="R854" s="1788"/>
      <c r="S854" s="1786">
        <f t="shared" si="138"/>
        <v>922</v>
      </c>
      <c r="T854" s="1786" t="str">
        <f t="shared" si="139"/>
        <v>אמן בע"מ</v>
      </c>
      <c r="U854" s="1786" t="str">
        <f t="shared" si="140"/>
        <v>קופת גמל אישית לפיצויים של הפקידים והפועלים בעיריית רמת גן</v>
      </c>
      <c r="V854" s="1786">
        <f t="shared" si="141"/>
        <v>0</v>
      </c>
      <c r="W854" s="1789" t="str">
        <f t="shared" si="142"/>
        <v>חברה לניהול קופות גמל של הפקידים והפועלים בעירית רמת גן בע"מ</v>
      </c>
      <c r="AC854" s="1759" t="s">
        <v>1586</v>
      </c>
      <c r="AD854" s="1760">
        <v>39713</v>
      </c>
      <c r="AE854" s="1760">
        <v>37924</v>
      </c>
      <c r="AF854" s="1759" t="s">
        <v>1583</v>
      </c>
      <c r="AG854" s="1759" t="s">
        <v>1583</v>
      </c>
      <c r="AH854" s="1759" t="s">
        <v>1583</v>
      </c>
      <c r="AI854" s="1759" t="s">
        <v>3405</v>
      </c>
      <c r="AJ854" s="1759" t="s">
        <v>2137</v>
      </c>
      <c r="AK854" s="1759">
        <v>922</v>
      </c>
      <c r="AL854" s="1759" t="s">
        <v>2137</v>
      </c>
      <c r="AM854" s="1759">
        <v>922</v>
      </c>
      <c r="AN854" s="1759" t="s">
        <v>5549</v>
      </c>
      <c r="AO854" s="1764"/>
      <c r="AP854" s="1759"/>
      <c r="AQ854" s="1759"/>
      <c r="AR854" s="1759" t="s">
        <v>2139</v>
      </c>
      <c r="AS854" s="1759" t="s">
        <v>2138</v>
      </c>
      <c r="AT854" s="1759" t="s">
        <v>327</v>
      </c>
      <c r="AU854" s="1763"/>
      <c r="AV854" s="1763"/>
    </row>
    <row r="855" spans="1:48" ht="25" hidden="1">
      <c r="A855" s="1785" t="str">
        <f t="shared" ref="A855:A918" si="143">AT855</f>
        <v>גמל</v>
      </c>
      <c r="B855" s="1786">
        <f t="shared" ref="B855:B918" si="144">AK855</f>
        <v>921</v>
      </c>
      <c r="C855" s="1787">
        <v>28946</v>
      </c>
      <c r="D855" s="1786" t="str">
        <f t="shared" ref="D855:D918" si="145">AJ855</f>
        <v>מיטבית קופת גמל לדמי מחלה</v>
      </c>
      <c r="E855" s="1786" t="s">
        <v>3929</v>
      </c>
      <c r="F855" s="1786" t="s">
        <v>2958</v>
      </c>
      <c r="G855" s="1786" t="s">
        <v>2959</v>
      </c>
      <c r="H855" s="1786" t="str">
        <f t="shared" ref="H855:H918" si="146">AC855</f>
        <v>לא פעיל</v>
      </c>
      <c r="I855" s="1788">
        <f t="shared" ref="I855:I918" si="147">IF(AE855="","",AE855)</f>
        <v>37920</v>
      </c>
      <c r="J855" s="1788">
        <f t="shared" ref="J855:J918" si="148">IF(AD855="","",AD855)</f>
        <v>38717</v>
      </c>
      <c r="K855" s="1786">
        <v>0</v>
      </c>
      <c r="L855" s="1786" t="s">
        <v>1594</v>
      </c>
      <c r="M855" s="1786" t="s">
        <v>1653</v>
      </c>
      <c r="N855" s="1786" t="s">
        <v>1653</v>
      </c>
      <c r="O855" s="1786">
        <v>0</v>
      </c>
      <c r="P855" s="1786"/>
      <c r="Q855" s="1786">
        <v>0</v>
      </c>
      <c r="R855" s="1788"/>
      <c r="S855" s="1786">
        <f t="shared" ref="S855:S918" si="149">AM855</f>
        <v>921</v>
      </c>
      <c r="T855" s="1786">
        <f t="shared" ref="T855:T918" si="150">AN855</f>
        <v>0</v>
      </c>
      <c r="U855" s="1786" t="str">
        <f t="shared" ref="U855:U918" si="151">AL855</f>
        <v>מיטבית קופת גמל לדמי מחלה</v>
      </c>
      <c r="V855" s="1786">
        <f t="shared" ref="V855:V918" si="152">AQ855</f>
        <v>0</v>
      </c>
      <c r="W855" s="1789" t="str">
        <f t="shared" ref="W855:W918" si="153">AR855</f>
        <v>מיטבית גמל (2003) בע"מ</v>
      </c>
      <c r="AC855" s="1761" t="s">
        <v>1586</v>
      </c>
      <c r="AD855" s="1762">
        <v>38717</v>
      </c>
      <c r="AE855" s="1762">
        <v>37920</v>
      </c>
      <c r="AF855" s="1761" t="s">
        <v>1583</v>
      </c>
      <c r="AG855" s="1761" t="s">
        <v>1583</v>
      </c>
      <c r="AH855" s="1761" t="s">
        <v>1583</v>
      </c>
      <c r="AI855" s="1761" t="s">
        <v>3404</v>
      </c>
      <c r="AJ855" s="1761" t="s">
        <v>2134</v>
      </c>
      <c r="AK855" s="1761">
        <v>921</v>
      </c>
      <c r="AL855" s="1761" t="s">
        <v>2134</v>
      </c>
      <c r="AM855" s="1761">
        <v>921</v>
      </c>
      <c r="AN855" s="1761"/>
      <c r="AO855" s="1764"/>
      <c r="AP855" s="1761"/>
      <c r="AQ855" s="1761"/>
      <c r="AR855" s="1761" t="s">
        <v>2136</v>
      </c>
      <c r="AS855" s="1761" t="s">
        <v>2135</v>
      </c>
      <c r="AT855" s="1761" t="s">
        <v>327</v>
      </c>
      <c r="AU855" s="1763"/>
      <c r="AV855" s="1763"/>
    </row>
    <row r="856" spans="1:48" ht="25" hidden="1">
      <c r="A856" s="1785" t="str">
        <f t="shared" si="143"/>
        <v>גמל</v>
      </c>
      <c r="B856" s="1786">
        <f t="shared" si="144"/>
        <v>920</v>
      </c>
      <c r="C856" s="1787">
        <v>28946</v>
      </c>
      <c r="D856" s="1786" t="str">
        <f t="shared" si="145"/>
        <v>הלמן אלדובי מרכזית מסלולית - מסלול כללי ב'</v>
      </c>
      <c r="E856" s="1786" t="s">
        <v>3929</v>
      </c>
      <c r="F856" s="1786" t="s">
        <v>2958</v>
      </c>
      <c r="G856" s="1786" t="s">
        <v>2959</v>
      </c>
      <c r="H856" s="1786" t="str">
        <f t="shared" si="146"/>
        <v>לא פעיל</v>
      </c>
      <c r="I856" s="1788">
        <f t="shared" si="147"/>
        <v>37915</v>
      </c>
      <c r="J856" s="1788">
        <f t="shared" si="148"/>
        <v>39078.421666666698</v>
      </c>
      <c r="K856" s="1786">
        <v>0</v>
      </c>
      <c r="L856" s="1786" t="s">
        <v>1594</v>
      </c>
      <c r="M856" s="1786" t="s">
        <v>1653</v>
      </c>
      <c r="N856" s="1786" t="s">
        <v>1653</v>
      </c>
      <c r="O856" s="1786">
        <v>0</v>
      </c>
      <c r="P856" s="1786"/>
      <c r="Q856" s="1786">
        <v>0</v>
      </c>
      <c r="R856" s="1788"/>
      <c r="S856" s="1786">
        <f t="shared" si="149"/>
        <v>920</v>
      </c>
      <c r="T856" s="1786" t="str">
        <f t="shared" si="150"/>
        <v>בנק מזרחי טפחות בע"מ</v>
      </c>
      <c r="U856" s="1786" t="str">
        <f t="shared" si="151"/>
        <v>הלמן אלדובי מרכזית מסלולית - מסלול כללי ב'</v>
      </c>
      <c r="V856" s="1786" t="str">
        <f t="shared" si="152"/>
        <v>513163105</v>
      </c>
      <c r="W856" s="1789" t="str">
        <f t="shared" si="153"/>
        <v>הלמן - אלדובי קופות גמל ופנסיה בע"מ</v>
      </c>
      <c r="AC856" s="1759" t="s">
        <v>1586</v>
      </c>
      <c r="AD856" s="1760">
        <v>39078.421666666698</v>
      </c>
      <c r="AE856" s="1760">
        <v>37915</v>
      </c>
      <c r="AF856" s="1759" t="s">
        <v>1583</v>
      </c>
      <c r="AG856" s="1759" t="s">
        <v>1583</v>
      </c>
      <c r="AH856" s="1759" t="s">
        <v>1583</v>
      </c>
      <c r="AI856" s="1759" t="s">
        <v>3403</v>
      </c>
      <c r="AJ856" s="1759" t="s">
        <v>2133</v>
      </c>
      <c r="AK856" s="1759">
        <v>920</v>
      </c>
      <c r="AL856" s="1759" t="s">
        <v>2133</v>
      </c>
      <c r="AM856" s="1759">
        <v>920</v>
      </c>
      <c r="AN856" s="1759" t="s">
        <v>5370</v>
      </c>
      <c r="AO856" s="1764"/>
      <c r="AP856" s="1759" t="s">
        <v>5371</v>
      </c>
      <c r="AQ856" s="1759" t="s">
        <v>5372</v>
      </c>
      <c r="AR856" s="1759" t="s">
        <v>354</v>
      </c>
      <c r="AS856" s="1759" t="s">
        <v>355</v>
      </c>
      <c r="AT856" s="1759" t="s">
        <v>327</v>
      </c>
      <c r="AU856" s="1763"/>
      <c r="AV856" s="1763"/>
    </row>
    <row r="857" spans="1:48" ht="25" hidden="1">
      <c r="A857" s="1785" t="str">
        <f t="shared" si="143"/>
        <v>גמל</v>
      </c>
      <c r="B857" s="1786">
        <f t="shared" si="144"/>
        <v>919</v>
      </c>
      <c r="C857" s="1787">
        <v>28946</v>
      </c>
      <c r="D857" s="1786" t="str">
        <f t="shared" si="145"/>
        <v>הלמן אלדובי מרכזית מסלולית - מסלול כללי א'</v>
      </c>
      <c r="E857" s="1786" t="s">
        <v>3929</v>
      </c>
      <c r="F857" s="1786" t="s">
        <v>2958</v>
      </c>
      <c r="G857" s="1786" t="s">
        <v>2959</v>
      </c>
      <c r="H857" s="1786" t="str">
        <f t="shared" si="146"/>
        <v>לא פעיל</v>
      </c>
      <c r="I857" s="1788">
        <f t="shared" si="147"/>
        <v>37915</v>
      </c>
      <c r="J857" s="1788">
        <f t="shared" si="148"/>
        <v>39813</v>
      </c>
      <c r="K857" s="1786">
        <v>0</v>
      </c>
      <c r="L857" s="1786" t="s">
        <v>1594</v>
      </c>
      <c r="M857" s="1786" t="s">
        <v>1653</v>
      </c>
      <c r="N857" s="1786" t="s">
        <v>1653</v>
      </c>
      <c r="O857" s="1786">
        <v>0</v>
      </c>
      <c r="P857" s="1786"/>
      <c r="Q857" s="1786">
        <v>0</v>
      </c>
      <c r="R857" s="1788"/>
      <c r="S857" s="1786">
        <f t="shared" si="149"/>
        <v>919</v>
      </c>
      <c r="T857" s="1786" t="str">
        <f t="shared" si="150"/>
        <v>בנק לאומי בע"מ</v>
      </c>
      <c r="U857" s="1786" t="str">
        <f t="shared" si="151"/>
        <v>הלמן אלדובי מרכזית מסלולית - מסלול כללי א'</v>
      </c>
      <c r="V857" s="1786" t="str">
        <f t="shared" si="152"/>
        <v>513163105</v>
      </c>
      <c r="W857" s="1789" t="str">
        <f t="shared" si="153"/>
        <v>הלמן - אלדובי קופות גמל ופנסיה בע"מ</v>
      </c>
      <c r="AC857" s="1761" t="s">
        <v>1586</v>
      </c>
      <c r="AD857" s="1762">
        <v>39813</v>
      </c>
      <c r="AE857" s="1762">
        <v>37915</v>
      </c>
      <c r="AF857" s="1761" t="s">
        <v>1583</v>
      </c>
      <c r="AG857" s="1761" t="s">
        <v>1583</v>
      </c>
      <c r="AH857" s="1761" t="s">
        <v>1583</v>
      </c>
      <c r="AI857" s="1761" t="s">
        <v>3402</v>
      </c>
      <c r="AJ857" s="1761" t="s">
        <v>2132</v>
      </c>
      <c r="AK857" s="1761">
        <v>919</v>
      </c>
      <c r="AL857" s="1761" t="s">
        <v>2132</v>
      </c>
      <c r="AM857" s="1761">
        <v>919</v>
      </c>
      <c r="AN857" s="1761" t="s">
        <v>5470</v>
      </c>
      <c r="AO857" s="1764"/>
      <c r="AP857" s="1761" t="s">
        <v>5371</v>
      </c>
      <c r="AQ857" s="1761" t="s">
        <v>5372</v>
      </c>
      <c r="AR857" s="1761" t="s">
        <v>354</v>
      </c>
      <c r="AS857" s="1761" t="s">
        <v>355</v>
      </c>
      <c r="AT857" s="1761" t="s">
        <v>327</v>
      </c>
      <c r="AU857" s="1763"/>
      <c r="AV857" s="1763"/>
    </row>
    <row r="858" spans="1:48" ht="25" hidden="1">
      <c r="A858" s="1785" t="str">
        <f t="shared" si="143"/>
        <v>גמל</v>
      </c>
      <c r="B858" s="1786">
        <f t="shared" si="144"/>
        <v>918</v>
      </c>
      <c r="C858" s="1787">
        <v>28946</v>
      </c>
      <c r="D858" s="1786" t="str">
        <f t="shared" si="145"/>
        <v>הלמן אלדובי מרכזית מסלולית - מסלול מניות</v>
      </c>
      <c r="E858" s="1786" t="s">
        <v>3929</v>
      </c>
      <c r="F858" s="1786" t="s">
        <v>2958</v>
      </c>
      <c r="G858" s="1786" t="s">
        <v>2959</v>
      </c>
      <c r="H858" s="1786" t="str">
        <f t="shared" si="146"/>
        <v>לא פעיל</v>
      </c>
      <c r="I858" s="1788">
        <f t="shared" si="147"/>
        <v>37915</v>
      </c>
      <c r="J858" s="1788">
        <f t="shared" si="148"/>
        <v>39078.4215162037</v>
      </c>
      <c r="K858" s="1786">
        <v>0</v>
      </c>
      <c r="L858" s="1786" t="s">
        <v>1594</v>
      </c>
      <c r="M858" s="1786" t="s">
        <v>1653</v>
      </c>
      <c r="N858" s="1786" t="s">
        <v>1653</v>
      </c>
      <c r="O858" s="1786">
        <v>0</v>
      </c>
      <c r="P858" s="1786"/>
      <c r="Q858" s="1786">
        <v>0</v>
      </c>
      <c r="R858" s="1788"/>
      <c r="S858" s="1786">
        <f t="shared" si="149"/>
        <v>918</v>
      </c>
      <c r="T858" s="1786" t="str">
        <f t="shared" si="150"/>
        <v>בנק לאומי בע"מ</v>
      </c>
      <c r="U858" s="1786" t="str">
        <f t="shared" si="151"/>
        <v>הלמן אלדובי מרכזית מסלולית - מסלול מניות</v>
      </c>
      <c r="V858" s="1786" t="str">
        <f t="shared" si="152"/>
        <v>513163105</v>
      </c>
      <c r="W858" s="1789" t="str">
        <f t="shared" si="153"/>
        <v>הלמן - אלדובי קופות גמל ופנסיה בע"מ</v>
      </c>
      <c r="AC858" s="1759" t="s">
        <v>1586</v>
      </c>
      <c r="AD858" s="1760">
        <v>39078.4215162037</v>
      </c>
      <c r="AE858" s="1760">
        <v>37915</v>
      </c>
      <c r="AF858" s="1759" t="s">
        <v>1595</v>
      </c>
      <c r="AG858" s="1759" t="s">
        <v>75</v>
      </c>
      <c r="AH858" s="1759" t="s">
        <v>1594</v>
      </c>
      <c r="AI858" s="1759" t="s">
        <v>3401</v>
      </c>
      <c r="AJ858" s="1759" t="s">
        <v>2131</v>
      </c>
      <c r="AK858" s="1759">
        <v>918</v>
      </c>
      <c r="AL858" s="1759" t="s">
        <v>2131</v>
      </c>
      <c r="AM858" s="1759">
        <v>918</v>
      </c>
      <c r="AN858" s="1759" t="s">
        <v>5470</v>
      </c>
      <c r="AO858" s="1764"/>
      <c r="AP858" s="1759" t="s">
        <v>5371</v>
      </c>
      <c r="AQ858" s="1759" t="s">
        <v>5372</v>
      </c>
      <c r="AR858" s="1759" t="s">
        <v>354</v>
      </c>
      <c r="AS858" s="1759" t="s">
        <v>355</v>
      </c>
      <c r="AT858" s="1759" t="s">
        <v>327</v>
      </c>
      <c r="AU858" s="1763"/>
      <c r="AV858" s="1763"/>
    </row>
    <row r="859" spans="1:48" ht="25" hidden="1">
      <c r="A859" s="1785" t="str">
        <f t="shared" si="143"/>
        <v>גמל</v>
      </c>
      <c r="B859" s="1786">
        <f t="shared" si="144"/>
        <v>917</v>
      </c>
      <c r="C859" s="1787">
        <v>28946</v>
      </c>
      <c r="D859" s="1786" t="str">
        <f t="shared" si="145"/>
        <v>הלמן אלדובי מרכזית מסלולית - מסלול שקלי</v>
      </c>
      <c r="E859" s="1786" t="s">
        <v>3929</v>
      </c>
      <c r="F859" s="1786" t="s">
        <v>2958</v>
      </c>
      <c r="G859" s="1786" t="s">
        <v>2959</v>
      </c>
      <c r="H859" s="1786" t="str">
        <f t="shared" si="146"/>
        <v>לא פעיל</v>
      </c>
      <c r="I859" s="1788">
        <f t="shared" si="147"/>
        <v>37915</v>
      </c>
      <c r="J859" s="1788">
        <f t="shared" si="148"/>
        <v>39082</v>
      </c>
      <c r="K859" s="1786">
        <v>0</v>
      </c>
      <c r="L859" s="1786" t="s">
        <v>1594</v>
      </c>
      <c r="M859" s="1786" t="s">
        <v>1653</v>
      </c>
      <c r="N859" s="1786" t="s">
        <v>1653</v>
      </c>
      <c r="O859" s="1786">
        <v>0</v>
      </c>
      <c r="P859" s="1786"/>
      <c r="Q859" s="1786">
        <v>0</v>
      </c>
      <c r="R859" s="1788"/>
      <c r="S859" s="1786">
        <f t="shared" si="149"/>
        <v>917</v>
      </c>
      <c r="T859" s="1786" t="str">
        <f t="shared" si="150"/>
        <v>בנק לאומי בע"מ</v>
      </c>
      <c r="U859" s="1786" t="str">
        <f t="shared" si="151"/>
        <v>הלמן אלדובי מרכזית מסלולית - מסלול שקלי</v>
      </c>
      <c r="V859" s="1786" t="str">
        <f t="shared" si="152"/>
        <v>513163105</v>
      </c>
      <c r="W859" s="1789" t="str">
        <f t="shared" si="153"/>
        <v>הלמן - אלדובי קופות גמל ופנסיה בע"מ</v>
      </c>
      <c r="AC859" s="1761" t="s">
        <v>1586</v>
      </c>
      <c r="AD859" s="1762">
        <v>39082</v>
      </c>
      <c r="AE859" s="1762">
        <v>37915</v>
      </c>
      <c r="AF859" s="1761" t="s">
        <v>1076</v>
      </c>
      <c r="AG859" s="1761" t="s">
        <v>1614</v>
      </c>
      <c r="AH859" s="1761" t="s">
        <v>1594</v>
      </c>
      <c r="AI859" s="1761" t="s">
        <v>3400</v>
      </c>
      <c r="AJ859" s="1761" t="s">
        <v>2130</v>
      </c>
      <c r="AK859" s="1761">
        <v>917</v>
      </c>
      <c r="AL859" s="1761" t="s">
        <v>2130</v>
      </c>
      <c r="AM859" s="1761">
        <v>917</v>
      </c>
      <c r="AN859" s="1761" t="s">
        <v>5470</v>
      </c>
      <c r="AO859" s="1764"/>
      <c r="AP859" s="1761" t="s">
        <v>5371</v>
      </c>
      <c r="AQ859" s="1761" t="s">
        <v>5372</v>
      </c>
      <c r="AR859" s="1761" t="s">
        <v>354</v>
      </c>
      <c r="AS859" s="1761" t="s">
        <v>355</v>
      </c>
      <c r="AT859" s="1761" t="s">
        <v>327</v>
      </c>
      <c r="AU859" s="1763"/>
      <c r="AV859" s="1763"/>
    </row>
    <row r="860" spans="1:48" ht="37.5" hidden="1">
      <c r="A860" s="1785" t="str">
        <f t="shared" si="143"/>
        <v>גמל</v>
      </c>
      <c r="B860" s="1786">
        <f t="shared" si="144"/>
        <v>916</v>
      </c>
      <c r="C860" s="1787">
        <v>28946</v>
      </c>
      <c r="D860" s="1786" t="str">
        <f t="shared" si="145"/>
        <v>הלמן אלדובי מרכזית מסלולית - מסלול צמוד מדד</v>
      </c>
      <c r="E860" s="1786" t="s">
        <v>3929</v>
      </c>
      <c r="F860" s="1786" t="s">
        <v>2958</v>
      </c>
      <c r="G860" s="1786" t="s">
        <v>2959</v>
      </c>
      <c r="H860" s="1786" t="str">
        <f t="shared" si="146"/>
        <v>לא פעיל</v>
      </c>
      <c r="I860" s="1788">
        <f t="shared" si="147"/>
        <v>37915</v>
      </c>
      <c r="J860" s="1788">
        <f t="shared" si="148"/>
        <v>39804.5866550926</v>
      </c>
      <c r="K860" s="1786">
        <v>0</v>
      </c>
      <c r="L860" s="1786" t="s">
        <v>1594</v>
      </c>
      <c r="M860" s="1786" t="s">
        <v>1653</v>
      </c>
      <c r="N860" s="1786" t="s">
        <v>1653</v>
      </c>
      <c r="O860" s="1786">
        <v>0</v>
      </c>
      <c r="P860" s="1786"/>
      <c r="Q860" s="1786">
        <v>0</v>
      </c>
      <c r="R860" s="1788"/>
      <c r="S860" s="1786">
        <f t="shared" si="149"/>
        <v>916</v>
      </c>
      <c r="T860" s="1786" t="str">
        <f t="shared" si="150"/>
        <v>בנק לאומי בע"מ</v>
      </c>
      <c r="U860" s="1786" t="str">
        <f t="shared" si="151"/>
        <v>הלמן אלדובי מרכזית מסלולית - מסלול צמוד מדד</v>
      </c>
      <c r="V860" s="1786" t="str">
        <f t="shared" si="152"/>
        <v>513163105</v>
      </c>
      <c r="W860" s="1789" t="str">
        <f t="shared" si="153"/>
        <v>הלמן - אלדובי קופות גמל ופנסיה בע"מ</v>
      </c>
      <c r="AC860" s="1759" t="s">
        <v>1586</v>
      </c>
      <c r="AD860" s="1760">
        <v>39804.5866550926</v>
      </c>
      <c r="AE860" s="1760">
        <v>37915</v>
      </c>
      <c r="AF860" s="1759" t="s">
        <v>1094</v>
      </c>
      <c r="AG860" s="1759" t="s">
        <v>1094</v>
      </c>
      <c r="AH860" s="1759" t="s">
        <v>1594</v>
      </c>
      <c r="AI860" s="1759" t="s">
        <v>3399</v>
      </c>
      <c r="AJ860" s="1759" t="s">
        <v>2129</v>
      </c>
      <c r="AK860" s="1759">
        <v>916</v>
      </c>
      <c r="AL860" s="1759" t="s">
        <v>2129</v>
      </c>
      <c r="AM860" s="1759">
        <v>916</v>
      </c>
      <c r="AN860" s="1759" t="s">
        <v>5470</v>
      </c>
      <c r="AO860" s="1764"/>
      <c r="AP860" s="1759" t="s">
        <v>5371</v>
      </c>
      <c r="AQ860" s="1759" t="s">
        <v>5372</v>
      </c>
      <c r="AR860" s="1759" t="s">
        <v>354</v>
      </c>
      <c r="AS860" s="1759" t="s">
        <v>355</v>
      </c>
      <c r="AT860" s="1759" t="s">
        <v>327</v>
      </c>
      <c r="AU860" s="1763"/>
      <c r="AV860" s="1763"/>
    </row>
    <row r="861" spans="1:48" ht="25" hidden="1">
      <c r="A861" s="1785" t="str">
        <f t="shared" si="143"/>
        <v>גמל</v>
      </c>
      <c r="B861" s="1786">
        <f t="shared" si="144"/>
        <v>915</v>
      </c>
      <c r="C861" s="1787">
        <v>28946</v>
      </c>
      <c r="D861" s="1786" t="str">
        <f t="shared" si="145"/>
        <v>הלמן אלדובי מרכזית מסלולית - מסלול מט"ח</v>
      </c>
      <c r="E861" s="1786" t="s">
        <v>3929</v>
      </c>
      <c r="F861" s="1786" t="s">
        <v>2958</v>
      </c>
      <c r="G861" s="1786" t="s">
        <v>2959</v>
      </c>
      <c r="H861" s="1786" t="str">
        <f t="shared" si="146"/>
        <v>לא פעיל</v>
      </c>
      <c r="I861" s="1788">
        <f t="shared" si="147"/>
        <v>37915</v>
      </c>
      <c r="J861" s="1788">
        <f t="shared" si="148"/>
        <v>39078.421354166698</v>
      </c>
      <c r="K861" s="1786">
        <v>0</v>
      </c>
      <c r="L861" s="1786" t="s">
        <v>1594</v>
      </c>
      <c r="M861" s="1786" t="s">
        <v>1653</v>
      </c>
      <c r="N861" s="1786" t="s">
        <v>1653</v>
      </c>
      <c r="O861" s="1786">
        <v>0</v>
      </c>
      <c r="P861" s="1786"/>
      <c r="Q861" s="1786">
        <v>0</v>
      </c>
      <c r="R861" s="1788"/>
      <c r="S861" s="1786">
        <f t="shared" si="149"/>
        <v>915</v>
      </c>
      <c r="T861" s="1786" t="str">
        <f t="shared" si="150"/>
        <v>בנק לאומי בע"מ</v>
      </c>
      <c r="U861" s="1786" t="str">
        <f t="shared" si="151"/>
        <v>הלמן אלדובי מרכזית מסלולית - מסלול מט"ח</v>
      </c>
      <c r="V861" s="1786" t="str">
        <f t="shared" si="152"/>
        <v>513163105</v>
      </c>
      <c r="W861" s="1789" t="str">
        <f t="shared" si="153"/>
        <v>הלמן - אלדובי קופות גמל ופנסיה בע"מ</v>
      </c>
      <c r="AC861" s="1761" t="s">
        <v>1586</v>
      </c>
      <c r="AD861" s="1762">
        <v>39078.421354166698</v>
      </c>
      <c r="AE861" s="1762">
        <v>37915</v>
      </c>
      <c r="AF861" s="1761" t="s">
        <v>1611</v>
      </c>
      <c r="AG861" s="1761" t="s">
        <v>1611</v>
      </c>
      <c r="AH861" s="1761" t="s">
        <v>1594</v>
      </c>
      <c r="AI861" s="1761" t="s">
        <v>3398</v>
      </c>
      <c r="AJ861" s="1761" t="s">
        <v>2128</v>
      </c>
      <c r="AK861" s="1761">
        <v>915</v>
      </c>
      <c r="AL861" s="1761" t="s">
        <v>2128</v>
      </c>
      <c r="AM861" s="1761">
        <v>915</v>
      </c>
      <c r="AN861" s="1761" t="s">
        <v>5470</v>
      </c>
      <c r="AO861" s="1764"/>
      <c r="AP861" s="1761" t="s">
        <v>5371</v>
      </c>
      <c r="AQ861" s="1761" t="s">
        <v>5372</v>
      </c>
      <c r="AR861" s="1761" t="s">
        <v>354</v>
      </c>
      <c r="AS861" s="1761" t="s">
        <v>355</v>
      </c>
      <c r="AT861" s="1761" t="s">
        <v>327</v>
      </c>
      <c r="AU861" s="1763"/>
      <c r="AV861" s="1763"/>
    </row>
    <row r="862" spans="1:48" ht="37.5" hidden="1">
      <c r="A862" s="1785" t="str">
        <f t="shared" si="143"/>
        <v>גמל</v>
      </c>
      <c r="B862" s="1786">
        <f t="shared" si="144"/>
        <v>914</v>
      </c>
      <c r="C862" s="1787">
        <v>28946</v>
      </c>
      <c r="D862" s="1786" t="str">
        <f t="shared" si="145"/>
        <v>הלמן אלדובי מרכזית מסלולית - מסלול כללי טווח קצר</v>
      </c>
      <c r="E862" s="1786" t="s">
        <v>3929</v>
      </c>
      <c r="F862" s="1786" t="s">
        <v>2958</v>
      </c>
      <c r="G862" s="1786" t="s">
        <v>2959</v>
      </c>
      <c r="H862" s="1786" t="str">
        <f t="shared" si="146"/>
        <v>לא פעיל</v>
      </c>
      <c r="I862" s="1788">
        <f t="shared" si="147"/>
        <v>37915</v>
      </c>
      <c r="J862" s="1788">
        <f t="shared" si="148"/>
        <v>39082</v>
      </c>
      <c r="K862" s="1786">
        <v>0</v>
      </c>
      <c r="L862" s="1786" t="s">
        <v>1594</v>
      </c>
      <c r="M862" s="1786" t="s">
        <v>1653</v>
      </c>
      <c r="N862" s="1786" t="s">
        <v>1653</v>
      </c>
      <c r="O862" s="1786">
        <v>0</v>
      </c>
      <c r="P862" s="1786"/>
      <c r="Q862" s="1786">
        <v>0</v>
      </c>
      <c r="R862" s="1788"/>
      <c r="S862" s="1786">
        <f t="shared" si="149"/>
        <v>914</v>
      </c>
      <c r="T862" s="1786" t="str">
        <f t="shared" si="150"/>
        <v>בנק לאומי בע"מ</v>
      </c>
      <c r="U862" s="1786" t="str">
        <f t="shared" si="151"/>
        <v>הלמן אלדובי מרכזית מסלולית - מסלול כללי טווח קצר</v>
      </c>
      <c r="V862" s="1786" t="str">
        <f t="shared" si="152"/>
        <v>513163105</v>
      </c>
      <c r="W862" s="1789" t="str">
        <f t="shared" si="153"/>
        <v>הלמן - אלדובי קופות גמל ופנסיה בע"מ</v>
      </c>
      <c r="AC862" s="1759" t="s">
        <v>1586</v>
      </c>
      <c r="AD862" s="1760">
        <v>39082</v>
      </c>
      <c r="AE862" s="1760">
        <v>37915</v>
      </c>
      <c r="AF862" s="1759" t="s">
        <v>1673</v>
      </c>
      <c r="AG862" s="1759" t="s">
        <v>1614</v>
      </c>
      <c r="AH862" s="1759" t="s">
        <v>1594</v>
      </c>
      <c r="AI862" s="1759" t="s">
        <v>3397</v>
      </c>
      <c r="AJ862" s="1759" t="s">
        <v>2127</v>
      </c>
      <c r="AK862" s="1759">
        <v>914</v>
      </c>
      <c r="AL862" s="1759" t="s">
        <v>2127</v>
      </c>
      <c r="AM862" s="1759">
        <v>914</v>
      </c>
      <c r="AN862" s="1759" t="s">
        <v>5470</v>
      </c>
      <c r="AO862" s="1764"/>
      <c r="AP862" s="1759" t="s">
        <v>5371</v>
      </c>
      <c r="AQ862" s="1759" t="s">
        <v>5372</v>
      </c>
      <c r="AR862" s="1759" t="s">
        <v>354</v>
      </c>
      <c r="AS862" s="1759" t="s">
        <v>355</v>
      </c>
      <c r="AT862" s="1759" t="s">
        <v>327</v>
      </c>
      <c r="AU862" s="1763"/>
      <c r="AV862" s="1763"/>
    </row>
    <row r="863" spans="1:48" ht="37.5" hidden="1">
      <c r="A863" s="1785" t="str">
        <f t="shared" si="143"/>
        <v>גמל</v>
      </c>
      <c r="B863" s="1786">
        <f t="shared" si="144"/>
        <v>913</v>
      </c>
      <c r="C863" s="1787">
        <v>28946</v>
      </c>
      <c r="D863" s="1786" t="str">
        <f t="shared" si="145"/>
        <v>הלמן אלדובי מרכזית מסלולית - מסלול כללי טווח בינוני</v>
      </c>
      <c r="E863" s="1786" t="s">
        <v>3929</v>
      </c>
      <c r="F863" s="1786" t="s">
        <v>2958</v>
      </c>
      <c r="G863" s="1786" t="s">
        <v>2959</v>
      </c>
      <c r="H863" s="1786" t="str">
        <f t="shared" si="146"/>
        <v>לא פעיל</v>
      </c>
      <c r="I863" s="1788">
        <f t="shared" si="147"/>
        <v>37915</v>
      </c>
      <c r="J863" s="1788">
        <f t="shared" si="148"/>
        <v>39078.420937499999</v>
      </c>
      <c r="K863" s="1786">
        <v>0</v>
      </c>
      <c r="L863" s="1786" t="s">
        <v>1594</v>
      </c>
      <c r="M863" s="1786" t="s">
        <v>1653</v>
      </c>
      <c r="N863" s="1786" t="s">
        <v>1653</v>
      </c>
      <c r="O863" s="1786">
        <v>0</v>
      </c>
      <c r="P863" s="1786"/>
      <c r="Q863" s="1786">
        <v>0</v>
      </c>
      <c r="R863" s="1788"/>
      <c r="S863" s="1786">
        <f t="shared" si="149"/>
        <v>913</v>
      </c>
      <c r="T863" s="1786" t="str">
        <f t="shared" si="150"/>
        <v>בנק לאומי בע"מ</v>
      </c>
      <c r="U863" s="1786" t="str">
        <f t="shared" si="151"/>
        <v>הלמן אלדובי מרכזית מסלולית - מסלול כללי טווח בינוני</v>
      </c>
      <c r="V863" s="1786" t="str">
        <f t="shared" si="152"/>
        <v>513163105</v>
      </c>
      <c r="W863" s="1789" t="str">
        <f t="shared" si="153"/>
        <v>הלמן - אלדובי קופות גמל ופנסיה בע"מ</v>
      </c>
      <c r="AC863" s="1761" t="s">
        <v>1586</v>
      </c>
      <c r="AD863" s="1762">
        <v>39078.420937499999</v>
      </c>
      <c r="AE863" s="1762">
        <v>37915</v>
      </c>
      <c r="AF863" s="1761" t="s">
        <v>1869</v>
      </c>
      <c r="AG863" s="1761" t="s">
        <v>1653</v>
      </c>
      <c r="AH863" s="1761" t="s">
        <v>1594</v>
      </c>
      <c r="AI863" s="1761" t="s">
        <v>3396</v>
      </c>
      <c r="AJ863" s="1761" t="s">
        <v>2126</v>
      </c>
      <c r="AK863" s="1761">
        <v>913</v>
      </c>
      <c r="AL863" s="1761" t="s">
        <v>2126</v>
      </c>
      <c r="AM863" s="1761">
        <v>913</v>
      </c>
      <c r="AN863" s="1761" t="s">
        <v>5470</v>
      </c>
      <c r="AO863" s="1764"/>
      <c r="AP863" s="1761" t="s">
        <v>5371</v>
      </c>
      <c r="AQ863" s="1761" t="s">
        <v>5372</v>
      </c>
      <c r="AR863" s="1761" t="s">
        <v>354</v>
      </c>
      <c r="AS863" s="1761" t="s">
        <v>355</v>
      </c>
      <c r="AT863" s="1761" t="s">
        <v>327</v>
      </c>
      <c r="AU863" s="1763"/>
      <c r="AV863" s="1763"/>
    </row>
    <row r="864" spans="1:48" ht="37.5" hidden="1">
      <c r="A864" s="1785" t="str">
        <f t="shared" si="143"/>
        <v>גמל</v>
      </c>
      <c r="B864" s="1786">
        <f t="shared" si="144"/>
        <v>912</v>
      </c>
      <c r="C864" s="1787">
        <v>28946</v>
      </c>
      <c r="D864" s="1786" t="str">
        <f t="shared" si="145"/>
        <v>הלמן אלדובי מרכזית מסלולית - מסלול כללי טווח ארוך</v>
      </c>
      <c r="E864" s="1786" t="s">
        <v>3929</v>
      </c>
      <c r="F864" s="1786" t="s">
        <v>2958</v>
      </c>
      <c r="G864" s="1786" t="s">
        <v>2959</v>
      </c>
      <c r="H864" s="1786" t="str">
        <f t="shared" si="146"/>
        <v>לא פעיל</v>
      </c>
      <c r="I864" s="1788">
        <f t="shared" si="147"/>
        <v>37915</v>
      </c>
      <c r="J864" s="1788">
        <f t="shared" si="148"/>
        <v>39078.420729166697</v>
      </c>
      <c r="K864" s="1786">
        <v>0</v>
      </c>
      <c r="L864" s="1786" t="s">
        <v>1594</v>
      </c>
      <c r="M864" s="1786" t="s">
        <v>1653</v>
      </c>
      <c r="N864" s="1786" t="s">
        <v>1653</v>
      </c>
      <c r="O864" s="1786">
        <v>0</v>
      </c>
      <c r="P864" s="1786"/>
      <c r="Q864" s="1786">
        <v>0</v>
      </c>
      <c r="R864" s="1788"/>
      <c r="S864" s="1786">
        <f t="shared" si="149"/>
        <v>912</v>
      </c>
      <c r="T864" s="1786" t="str">
        <f t="shared" si="150"/>
        <v>בנק לאומי בע"מ</v>
      </c>
      <c r="U864" s="1786" t="str">
        <f t="shared" si="151"/>
        <v>הלמן אלדובי מרכזית מסלולית - מסלול כללי טווח ארוך</v>
      </c>
      <c r="V864" s="1786" t="str">
        <f t="shared" si="152"/>
        <v>513163105</v>
      </c>
      <c r="W864" s="1789" t="str">
        <f t="shared" si="153"/>
        <v>הלמן - אלדובי קופות גמל ופנסיה בע"מ</v>
      </c>
      <c r="AC864" s="1759" t="s">
        <v>1586</v>
      </c>
      <c r="AD864" s="1760">
        <v>39078.420729166697</v>
      </c>
      <c r="AE864" s="1760">
        <v>37915</v>
      </c>
      <c r="AF864" s="1759" t="s">
        <v>1871</v>
      </c>
      <c r="AG864" s="1759" t="s">
        <v>1653</v>
      </c>
      <c r="AH864" s="1759" t="s">
        <v>1594</v>
      </c>
      <c r="AI864" s="1759" t="s">
        <v>3395</v>
      </c>
      <c r="AJ864" s="1759" t="s">
        <v>2125</v>
      </c>
      <c r="AK864" s="1759">
        <v>912</v>
      </c>
      <c r="AL864" s="1759" t="s">
        <v>2125</v>
      </c>
      <c r="AM864" s="1759">
        <v>912</v>
      </c>
      <c r="AN864" s="1759" t="s">
        <v>5470</v>
      </c>
      <c r="AO864" s="1764"/>
      <c r="AP864" s="1759" t="s">
        <v>5371</v>
      </c>
      <c r="AQ864" s="1759" t="s">
        <v>5372</v>
      </c>
      <c r="AR864" s="1759" t="s">
        <v>354</v>
      </c>
      <c r="AS864" s="1759" t="s">
        <v>355</v>
      </c>
      <c r="AT864" s="1759" t="s">
        <v>327</v>
      </c>
      <c r="AU864" s="1763"/>
      <c r="AV864" s="1763"/>
    </row>
    <row r="865" spans="1:48" ht="25" hidden="1">
      <c r="A865" s="1785" t="str">
        <f t="shared" si="143"/>
        <v>גמל</v>
      </c>
      <c r="B865" s="1786">
        <f t="shared" si="144"/>
        <v>911</v>
      </c>
      <c r="C865" s="1787">
        <v>28946</v>
      </c>
      <c r="D865" s="1786" t="str">
        <f t="shared" si="145"/>
        <v>הלמן - אלדובי השתלמות ב'</v>
      </c>
      <c r="E865" s="1786" t="s">
        <v>3929</v>
      </c>
      <c r="F865" s="1786" t="s">
        <v>2958</v>
      </c>
      <c r="G865" s="1786" t="s">
        <v>2959</v>
      </c>
      <c r="H865" s="1786" t="str">
        <f t="shared" si="146"/>
        <v>לא פעיל</v>
      </c>
      <c r="I865" s="1788">
        <f t="shared" si="147"/>
        <v>37915</v>
      </c>
      <c r="J865" s="1788">
        <f t="shared" si="148"/>
        <v>40086</v>
      </c>
      <c r="K865" s="1786">
        <v>0</v>
      </c>
      <c r="L865" s="1786" t="s">
        <v>1594</v>
      </c>
      <c r="M865" s="1786" t="s">
        <v>1653</v>
      </c>
      <c r="N865" s="1786" t="s">
        <v>1653</v>
      </c>
      <c r="O865" s="1786">
        <v>0</v>
      </c>
      <c r="P865" s="1786"/>
      <c r="Q865" s="1786">
        <v>0</v>
      </c>
      <c r="R865" s="1788"/>
      <c r="S865" s="1786">
        <f t="shared" si="149"/>
        <v>911</v>
      </c>
      <c r="T865" s="1786" t="str">
        <f t="shared" si="150"/>
        <v>בנק לאומי בע"מ</v>
      </c>
      <c r="U865" s="1786" t="str">
        <f t="shared" si="151"/>
        <v>הלמן - אלדובי השתלמות ב'</v>
      </c>
      <c r="V865" s="1786" t="str">
        <f t="shared" si="152"/>
        <v>513163105</v>
      </c>
      <c r="W865" s="1789" t="str">
        <f t="shared" si="153"/>
        <v>הלמן - אלדובי קופות גמל ופנסיה בע"מ</v>
      </c>
      <c r="AC865" s="1761" t="s">
        <v>1586</v>
      </c>
      <c r="AD865" s="1762">
        <v>40086</v>
      </c>
      <c r="AE865" s="1762">
        <v>37915</v>
      </c>
      <c r="AF865" s="1761" t="s">
        <v>1583</v>
      </c>
      <c r="AG865" s="1761" t="s">
        <v>1583</v>
      </c>
      <c r="AH865" s="1761" t="s">
        <v>1583</v>
      </c>
      <c r="AI865" s="1761" t="s">
        <v>2124</v>
      </c>
      <c r="AJ865" s="1761" t="s">
        <v>2124</v>
      </c>
      <c r="AK865" s="1761">
        <v>911</v>
      </c>
      <c r="AL865" s="1761" t="s">
        <v>2124</v>
      </c>
      <c r="AM865" s="1761">
        <v>911</v>
      </c>
      <c r="AN865" s="1761" t="s">
        <v>5470</v>
      </c>
      <c r="AO865" s="1764"/>
      <c r="AP865" s="1761" t="s">
        <v>5371</v>
      </c>
      <c r="AQ865" s="1761" t="s">
        <v>5372</v>
      </c>
      <c r="AR865" s="1761" t="s">
        <v>354</v>
      </c>
      <c r="AS865" s="1761" t="s">
        <v>355</v>
      </c>
      <c r="AT865" s="1761" t="s">
        <v>327</v>
      </c>
      <c r="AU865" s="1763"/>
      <c r="AV865" s="1763"/>
    </row>
    <row r="866" spans="1:48" ht="25" hidden="1">
      <c r="A866" s="1785" t="str">
        <f t="shared" si="143"/>
        <v>גמל</v>
      </c>
      <c r="B866" s="1786">
        <f t="shared" si="144"/>
        <v>910</v>
      </c>
      <c r="C866" s="1787">
        <v>28946</v>
      </c>
      <c r="D866" s="1786" t="str">
        <f t="shared" si="145"/>
        <v>הלמן אלדובי השתלמות מסלולית - מסלול כללי א'</v>
      </c>
      <c r="E866" s="1786" t="s">
        <v>3929</v>
      </c>
      <c r="F866" s="1786" t="s">
        <v>2958</v>
      </c>
      <c r="G866" s="1786" t="s">
        <v>2959</v>
      </c>
      <c r="H866" s="1786" t="str">
        <f t="shared" si="146"/>
        <v>לא פעיל</v>
      </c>
      <c r="I866" s="1788">
        <f t="shared" si="147"/>
        <v>37915</v>
      </c>
      <c r="J866" s="1788">
        <f t="shared" si="148"/>
        <v>39813</v>
      </c>
      <c r="K866" s="1786">
        <v>0</v>
      </c>
      <c r="L866" s="1786" t="s">
        <v>1594</v>
      </c>
      <c r="M866" s="1786" t="s">
        <v>1653</v>
      </c>
      <c r="N866" s="1786" t="s">
        <v>1653</v>
      </c>
      <c r="O866" s="1786">
        <v>0</v>
      </c>
      <c r="P866" s="1786"/>
      <c r="Q866" s="1786">
        <v>0</v>
      </c>
      <c r="R866" s="1788"/>
      <c r="S866" s="1786">
        <f t="shared" si="149"/>
        <v>910</v>
      </c>
      <c r="T866" s="1786" t="str">
        <f t="shared" si="150"/>
        <v>בנק לאומי בע"מ</v>
      </c>
      <c r="U866" s="1786" t="str">
        <f t="shared" si="151"/>
        <v>הלמן אלדובי השתלמות מסלולית - מסלול כללי א'</v>
      </c>
      <c r="V866" s="1786" t="str">
        <f t="shared" si="152"/>
        <v>513163105</v>
      </c>
      <c r="W866" s="1789" t="str">
        <f t="shared" si="153"/>
        <v>הלמן - אלדובי קופות גמל ופנסיה בע"מ</v>
      </c>
      <c r="AC866" s="1759" t="s">
        <v>1586</v>
      </c>
      <c r="AD866" s="1760">
        <v>39813</v>
      </c>
      <c r="AE866" s="1760">
        <v>37915</v>
      </c>
      <c r="AF866" s="1759" t="s">
        <v>1583</v>
      </c>
      <c r="AG866" s="1759" t="s">
        <v>1583</v>
      </c>
      <c r="AH866" s="1759" t="s">
        <v>1583</v>
      </c>
      <c r="AI866" s="1759" t="s">
        <v>3394</v>
      </c>
      <c r="AJ866" s="1759" t="s">
        <v>2123</v>
      </c>
      <c r="AK866" s="1759">
        <v>910</v>
      </c>
      <c r="AL866" s="1759" t="s">
        <v>2123</v>
      </c>
      <c r="AM866" s="1759">
        <v>910</v>
      </c>
      <c r="AN866" s="1759" t="s">
        <v>5470</v>
      </c>
      <c r="AO866" s="1764"/>
      <c r="AP866" s="1759" t="s">
        <v>5371</v>
      </c>
      <c r="AQ866" s="1759" t="s">
        <v>5372</v>
      </c>
      <c r="AR866" s="1759" t="s">
        <v>354</v>
      </c>
      <c r="AS866" s="1759" t="s">
        <v>355</v>
      </c>
      <c r="AT866" s="1759" t="s">
        <v>327</v>
      </c>
      <c r="AU866" s="1763"/>
      <c r="AV866" s="1763"/>
    </row>
    <row r="867" spans="1:48" ht="25" hidden="1">
      <c r="A867" s="1785" t="str">
        <f t="shared" si="143"/>
        <v>גמל</v>
      </c>
      <c r="B867" s="1786">
        <f t="shared" si="144"/>
        <v>909</v>
      </c>
      <c r="C867" s="1787">
        <v>28946</v>
      </c>
      <c r="D867" s="1786" t="str">
        <f t="shared" si="145"/>
        <v>הלמן אלדובי השתלמות מסלולית - מסלול מניות</v>
      </c>
      <c r="E867" s="1786" t="s">
        <v>3929</v>
      </c>
      <c r="F867" s="1786" t="s">
        <v>2958</v>
      </c>
      <c r="G867" s="1786" t="s">
        <v>2959</v>
      </c>
      <c r="H867" s="1786" t="str">
        <f t="shared" si="146"/>
        <v>לא פעיל</v>
      </c>
      <c r="I867" s="1788">
        <f t="shared" si="147"/>
        <v>37915</v>
      </c>
      <c r="J867" s="1788">
        <f t="shared" si="148"/>
        <v>39068.513912037</v>
      </c>
      <c r="K867" s="1786">
        <v>0</v>
      </c>
      <c r="L867" s="1786" t="s">
        <v>1594</v>
      </c>
      <c r="M867" s="1786" t="s">
        <v>1653</v>
      </c>
      <c r="N867" s="1786" t="s">
        <v>1653</v>
      </c>
      <c r="O867" s="1786">
        <v>0</v>
      </c>
      <c r="P867" s="1786"/>
      <c r="Q867" s="1786">
        <v>0</v>
      </c>
      <c r="R867" s="1788"/>
      <c r="S867" s="1786">
        <f t="shared" si="149"/>
        <v>909</v>
      </c>
      <c r="T867" s="1786" t="str">
        <f t="shared" si="150"/>
        <v>בנק לאומי בע"מ</v>
      </c>
      <c r="U867" s="1786" t="str">
        <f t="shared" si="151"/>
        <v>הלמן אלדובי השתלמות מסלולית - מסלול מניות</v>
      </c>
      <c r="V867" s="1786" t="str">
        <f t="shared" si="152"/>
        <v>513163105</v>
      </c>
      <c r="W867" s="1789" t="str">
        <f t="shared" si="153"/>
        <v>הלמן - אלדובי קופות גמל ופנסיה בע"מ</v>
      </c>
      <c r="AC867" s="1761" t="s">
        <v>1586</v>
      </c>
      <c r="AD867" s="1762">
        <v>39068.513912037</v>
      </c>
      <c r="AE867" s="1762">
        <v>37915</v>
      </c>
      <c r="AF867" s="1761" t="s">
        <v>1595</v>
      </c>
      <c r="AG867" s="1761" t="s">
        <v>75</v>
      </c>
      <c r="AH867" s="1761" t="s">
        <v>1594</v>
      </c>
      <c r="AI867" s="1761" t="s">
        <v>3393</v>
      </c>
      <c r="AJ867" s="1761" t="s">
        <v>2122</v>
      </c>
      <c r="AK867" s="1761">
        <v>909</v>
      </c>
      <c r="AL867" s="1761" t="s">
        <v>2122</v>
      </c>
      <c r="AM867" s="1761">
        <v>909</v>
      </c>
      <c r="AN867" s="1761" t="s">
        <v>5470</v>
      </c>
      <c r="AO867" s="1764"/>
      <c r="AP867" s="1761" t="s">
        <v>5371</v>
      </c>
      <c r="AQ867" s="1761" t="s">
        <v>5372</v>
      </c>
      <c r="AR867" s="1761" t="s">
        <v>354</v>
      </c>
      <c r="AS867" s="1761" t="s">
        <v>355</v>
      </c>
      <c r="AT867" s="1761" t="s">
        <v>327</v>
      </c>
      <c r="AU867" s="1763"/>
      <c r="AV867" s="1763"/>
    </row>
    <row r="868" spans="1:48" ht="25" hidden="1">
      <c r="A868" s="1785" t="str">
        <f t="shared" si="143"/>
        <v>גמל</v>
      </c>
      <c r="B868" s="1786">
        <f t="shared" si="144"/>
        <v>908</v>
      </c>
      <c r="C868" s="1787">
        <v>28946</v>
      </c>
      <c r="D868" s="1786" t="str">
        <f t="shared" si="145"/>
        <v>הלמן אלדובי השתלמות מסלולית - מסלול שקלי</v>
      </c>
      <c r="E868" s="1786" t="s">
        <v>3929</v>
      </c>
      <c r="F868" s="1786" t="s">
        <v>2958</v>
      </c>
      <c r="G868" s="1786" t="s">
        <v>2959</v>
      </c>
      <c r="H868" s="1786" t="str">
        <f t="shared" si="146"/>
        <v>לא פעיל</v>
      </c>
      <c r="I868" s="1788">
        <f t="shared" si="147"/>
        <v>37915</v>
      </c>
      <c r="J868" s="1788">
        <f t="shared" si="148"/>
        <v>39068.513831018499</v>
      </c>
      <c r="K868" s="1786">
        <v>0</v>
      </c>
      <c r="L868" s="1786" t="s">
        <v>1594</v>
      </c>
      <c r="M868" s="1786" t="s">
        <v>1653</v>
      </c>
      <c r="N868" s="1786" t="s">
        <v>1653</v>
      </c>
      <c r="O868" s="1786">
        <v>0</v>
      </c>
      <c r="P868" s="1786"/>
      <c r="Q868" s="1786">
        <v>0</v>
      </c>
      <c r="R868" s="1788"/>
      <c r="S868" s="1786">
        <f t="shared" si="149"/>
        <v>908</v>
      </c>
      <c r="T868" s="1786" t="str">
        <f t="shared" si="150"/>
        <v>בנק לאומי בע"מ</v>
      </c>
      <c r="U868" s="1786" t="str">
        <f t="shared" si="151"/>
        <v>הלמן אלדובי השתלמות מסלולית - מסלול שקלי</v>
      </c>
      <c r="V868" s="1786" t="str">
        <f t="shared" si="152"/>
        <v>513163105</v>
      </c>
      <c r="W868" s="1789" t="str">
        <f t="shared" si="153"/>
        <v>הלמן - אלדובי קופות גמל ופנסיה בע"מ</v>
      </c>
      <c r="AC868" s="1759" t="s">
        <v>1586</v>
      </c>
      <c r="AD868" s="1760">
        <v>39068.513831018499</v>
      </c>
      <c r="AE868" s="1760">
        <v>37915</v>
      </c>
      <c r="AF868" s="1759" t="s">
        <v>1076</v>
      </c>
      <c r="AG868" s="1759" t="s">
        <v>1614</v>
      </c>
      <c r="AH868" s="1759" t="s">
        <v>1594</v>
      </c>
      <c r="AI868" s="1759" t="s">
        <v>3392</v>
      </c>
      <c r="AJ868" s="1759" t="s">
        <v>2121</v>
      </c>
      <c r="AK868" s="1759">
        <v>908</v>
      </c>
      <c r="AL868" s="1759" t="s">
        <v>2121</v>
      </c>
      <c r="AM868" s="1759">
        <v>908</v>
      </c>
      <c r="AN868" s="1759" t="s">
        <v>5470</v>
      </c>
      <c r="AO868" s="1764"/>
      <c r="AP868" s="1759" t="s">
        <v>5371</v>
      </c>
      <c r="AQ868" s="1759" t="s">
        <v>5372</v>
      </c>
      <c r="AR868" s="1759" t="s">
        <v>354</v>
      </c>
      <c r="AS868" s="1759" t="s">
        <v>355</v>
      </c>
      <c r="AT868" s="1759" t="s">
        <v>327</v>
      </c>
      <c r="AU868" s="1763"/>
      <c r="AV868" s="1763"/>
    </row>
    <row r="869" spans="1:48" ht="37.5" hidden="1">
      <c r="A869" s="1785" t="str">
        <f t="shared" si="143"/>
        <v>גמל</v>
      </c>
      <c r="B869" s="1786">
        <f t="shared" si="144"/>
        <v>907</v>
      </c>
      <c r="C869" s="1787">
        <v>28946</v>
      </c>
      <c r="D869" s="1786" t="str">
        <f t="shared" si="145"/>
        <v>הלמן אלדובי השתלמות מסלולית - מסלול צמוד מדד</v>
      </c>
      <c r="E869" s="1786" t="s">
        <v>3929</v>
      </c>
      <c r="F869" s="1786" t="s">
        <v>2958</v>
      </c>
      <c r="G869" s="1786" t="s">
        <v>2959</v>
      </c>
      <c r="H869" s="1786" t="str">
        <f t="shared" si="146"/>
        <v>לא פעיל</v>
      </c>
      <c r="I869" s="1788">
        <f t="shared" si="147"/>
        <v>37915</v>
      </c>
      <c r="J869" s="1788">
        <f t="shared" si="148"/>
        <v>39804.586423611101</v>
      </c>
      <c r="K869" s="1786">
        <v>0</v>
      </c>
      <c r="L869" s="1786" t="s">
        <v>1594</v>
      </c>
      <c r="M869" s="1786" t="s">
        <v>1653</v>
      </c>
      <c r="N869" s="1786" t="s">
        <v>1653</v>
      </c>
      <c r="O869" s="1786">
        <v>0</v>
      </c>
      <c r="P869" s="1786"/>
      <c r="Q869" s="1786">
        <v>0</v>
      </c>
      <c r="R869" s="1788"/>
      <c r="S869" s="1786">
        <f t="shared" si="149"/>
        <v>907</v>
      </c>
      <c r="T869" s="1786" t="str">
        <f t="shared" si="150"/>
        <v>בנק לאומי בע"מ</v>
      </c>
      <c r="U869" s="1786" t="str">
        <f t="shared" si="151"/>
        <v>הלמן אלדובי השתלמות מסלולית - מסלול צמוד מדד</v>
      </c>
      <c r="V869" s="1786" t="str">
        <f t="shared" si="152"/>
        <v>513163105</v>
      </c>
      <c r="W869" s="1789" t="str">
        <f t="shared" si="153"/>
        <v>הלמן - אלדובי קופות גמל ופנסיה בע"מ</v>
      </c>
      <c r="AC869" s="1761" t="s">
        <v>1586</v>
      </c>
      <c r="AD869" s="1762">
        <v>39804.586423611101</v>
      </c>
      <c r="AE869" s="1762">
        <v>37915</v>
      </c>
      <c r="AF869" s="1761" t="s">
        <v>1094</v>
      </c>
      <c r="AG869" s="1761" t="s">
        <v>1094</v>
      </c>
      <c r="AH869" s="1761" t="s">
        <v>1594</v>
      </c>
      <c r="AI869" s="1761" t="s">
        <v>3391</v>
      </c>
      <c r="AJ869" s="1761" t="s">
        <v>2120</v>
      </c>
      <c r="AK869" s="1761">
        <v>907</v>
      </c>
      <c r="AL869" s="1761" t="s">
        <v>2120</v>
      </c>
      <c r="AM869" s="1761">
        <v>907</v>
      </c>
      <c r="AN869" s="1761" t="s">
        <v>5470</v>
      </c>
      <c r="AO869" s="1764"/>
      <c r="AP869" s="1761" t="s">
        <v>5371</v>
      </c>
      <c r="AQ869" s="1761" t="s">
        <v>5372</v>
      </c>
      <c r="AR869" s="1761" t="s">
        <v>354</v>
      </c>
      <c r="AS869" s="1761" t="s">
        <v>355</v>
      </c>
      <c r="AT869" s="1761" t="s">
        <v>327</v>
      </c>
      <c r="AU869" s="1763"/>
      <c r="AV869" s="1763"/>
    </row>
    <row r="870" spans="1:48" ht="25" hidden="1">
      <c r="A870" s="1785" t="str">
        <f t="shared" si="143"/>
        <v>גמל</v>
      </c>
      <c r="B870" s="1786">
        <f t="shared" si="144"/>
        <v>906</v>
      </c>
      <c r="C870" s="1787">
        <v>28946</v>
      </c>
      <c r="D870" s="1786" t="str">
        <f t="shared" si="145"/>
        <v>הלמן אלדובי השתלמות מסלולית - מסלול מט"ח</v>
      </c>
      <c r="E870" s="1786" t="s">
        <v>3929</v>
      </c>
      <c r="F870" s="1786" t="s">
        <v>2958</v>
      </c>
      <c r="G870" s="1786" t="s">
        <v>2959</v>
      </c>
      <c r="H870" s="1786" t="str">
        <f t="shared" si="146"/>
        <v>לא פעיל</v>
      </c>
      <c r="I870" s="1788">
        <f t="shared" si="147"/>
        <v>37915</v>
      </c>
      <c r="J870" s="1788">
        <f t="shared" si="148"/>
        <v>39082</v>
      </c>
      <c r="K870" s="1786">
        <v>0</v>
      </c>
      <c r="L870" s="1786" t="s">
        <v>1594</v>
      </c>
      <c r="M870" s="1786" t="s">
        <v>1653</v>
      </c>
      <c r="N870" s="1786" t="s">
        <v>1653</v>
      </c>
      <c r="O870" s="1786">
        <v>0</v>
      </c>
      <c r="P870" s="1786"/>
      <c r="Q870" s="1786">
        <v>0</v>
      </c>
      <c r="R870" s="1788"/>
      <c r="S870" s="1786">
        <f t="shared" si="149"/>
        <v>906</v>
      </c>
      <c r="T870" s="1786" t="str">
        <f t="shared" si="150"/>
        <v>בנק לאומי בע"מ</v>
      </c>
      <c r="U870" s="1786" t="str">
        <f t="shared" si="151"/>
        <v>הלמן אלדובי השתלמות מסלולית - מסלול מט"ח</v>
      </c>
      <c r="V870" s="1786" t="str">
        <f t="shared" si="152"/>
        <v>513163105</v>
      </c>
      <c r="W870" s="1789" t="str">
        <f t="shared" si="153"/>
        <v>הלמן - אלדובי קופות גמל ופנסיה בע"מ</v>
      </c>
      <c r="AC870" s="1759" t="s">
        <v>1586</v>
      </c>
      <c r="AD870" s="1760">
        <v>39082</v>
      </c>
      <c r="AE870" s="1760">
        <v>37915</v>
      </c>
      <c r="AF870" s="1759" t="s">
        <v>1611</v>
      </c>
      <c r="AG870" s="1759" t="s">
        <v>1611</v>
      </c>
      <c r="AH870" s="1759" t="s">
        <v>1594</v>
      </c>
      <c r="AI870" s="1759" t="s">
        <v>3390</v>
      </c>
      <c r="AJ870" s="1759" t="s">
        <v>2119</v>
      </c>
      <c r="AK870" s="1759">
        <v>906</v>
      </c>
      <c r="AL870" s="1759" t="s">
        <v>2119</v>
      </c>
      <c r="AM870" s="1759">
        <v>906</v>
      </c>
      <c r="AN870" s="1759" t="s">
        <v>5470</v>
      </c>
      <c r="AO870" s="1764"/>
      <c r="AP870" s="1759" t="s">
        <v>5371</v>
      </c>
      <c r="AQ870" s="1759" t="s">
        <v>5372</v>
      </c>
      <c r="AR870" s="1759" t="s">
        <v>354</v>
      </c>
      <c r="AS870" s="1759" t="s">
        <v>355</v>
      </c>
      <c r="AT870" s="1759" t="s">
        <v>327</v>
      </c>
      <c r="AU870" s="1763"/>
      <c r="AV870" s="1763"/>
    </row>
    <row r="871" spans="1:48" ht="37.5" hidden="1">
      <c r="A871" s="1785" t="str">
        <f t="shared" si="143"/>
        <v>גמל</v>
      </c>
      <c r="B871" s="1786">
        <f t="shared" si="144"/>
        <v>905</v>
      </c>
      <c r="C871" s="1787">
        <v>28946</v>
      </c>
      <c r="D871" s="1786" t="str">
        <f t="shared" si="145"/>
        <v>הלמן אלדובי השתלמות מסלולית - מסלול כללי טווח קצר</v>
      </c>
      <c r="E871" s="1786" t="s">
        <v>3929</v>
      </c>
      <c r="F871" s="1786" t="s">
        <v>2958</v>
      </c>
      <c r="G871" s="1786" t="s">
        <v>2959</v>
      </c>
      <c r="H871" s="1786" t="str">
        <f t="shared" si="146"/>
        <v>לא פעיל</v>
      </c>
      <c r="I871" s="1788">
        <f t="shared" si="147"/>
        <v>37915</v>
      </c>
      <c r="J871" s="1788">
        <f t="shared" si="148"/>
        <v>39082</v>
      </c>
      <c r="K871" s="1786">
        <v>0</v>
      </c>
      <c r="L871" s="1786" t="s">
        <v>1594</v>
      </c>
      <c r="M871" s="1786" t="s">
        <v>1653</v>
      </c>
      <c r="N871" s="1786" t="s">
        <v>1653</v>
      </c>
      <c r="O871" s="1786">
        <v>0</v>
      </c>
      <c r="P871" s="1786"/>
      <c r="Q871" s="1786">
        <v>0</v>
      </c>
      <c r="R871" s="1788"/>
      <c r="S871" s="1786">
        <f t="shared" si="149"/>
        <v>905</v>
      </c>
      <c r="T871" s="1786" t="str">
        <f t="shared" si="150"/>
        <v>בנק לאומי בע"מ</v>
      </c>
      <c r="U871" s="1786" t="str">
        <f t="shared" si="151"/>
        <v>הלמן אלדובי השתלמות מסלולית - מסלול כללי טווח קצר</v>
      </c>
      <c r="V871" s="1786" t="str">
        <f t="shared" si="152"/>
        <v>513163105</v>
      </c>
      <c r="W871" s="1789" t="str">
        <f t="shared" si="153"/>
        <v>הלמן - אלדובי קופות גמל ופנסיה בע"מ</v>
      </c>
      <c r="AC871" s="1761" t="s">
        <v>1586</v>
      </c>
      <c r="AD871" s="1762">
        <v>39082</v>
      </c>
      <c r="AE871" s="1762">
        <v>37915</v>
      </c>
      <c r="AF871" s="1761" t="s">
        <v>1673</v>
      </c>
      <c r="AG871" s="1761" t="s">
        <v>1614</v>
      </c>
      <c r="AH871" s="1761" t="s">
        <v>1594</v>
      </c>
      <c r="AI871" s="1761" t="s">
        <v>3389</v>
      </c>
      <c r="AJ871" s="1761" t="s">
        <v>2118</v>
      </c>
      <c r="AK871" s="1761">
        <v>905</v>
      </c>
      <c r="AL871" s="1761" t="s">
        <v>2118</v>
      </c>
      <c r="AM871" s="1761">
        <v>905</v>
      </c>
      <c r="AN871" s="1761" t="s">
        <v>5470</v>
      </c>
      <c r="AO871" s="1764"/>
      <c r="AP871" s="1761" t="s">
        <v>5371</v>
      </c>
      <c r="AQ871" s="1761" t="s">
        <v>5372</v>
      </c>
      <c r="AR871" s="1761" t="s">
        <v>354</v>
      </c>
      <c r="AS871" s="1761" t="s">
        <v>355</v>
      </c>
      <c r="AT871" s="1761" t="s">
        <v>327</v>
      </c>
      <c r="AU871" s="1763"/>
      <c r="AV871" s="1763"/>
    </row>
    <row r="872" spans="1:48" ht="37.5" hidden="1">
      <c r="A872" s="1785" t="str">
        <f t="shared" si="143"/>
        <v>גמל</v>
      </c>
      <c r="B872" s="1786">
        <f t="shared" si="144"/>
        <v>904</v>
      </c>
      <c r="C872" s="1787">
        <v>28946</v>
      </c>
      <c r="D872" s="1786" t="str">
        <f t="shared" si="145"/>
        <v>הלמן אלדובי השתלמות מסלולית - מסלול כללי טווח בינוני</v>
      </c>
      <c r="E872" s="1786" t="s">
        <v>3929</v>
      </c>
      <c r="F872" s="1786" t="s">
        <v>2958</v>
      </c>
      <c r="G872" s="1786" t="s">
        <v>2959</v>
      </c>
      <c r="H872" s="1786" t="str">
        <f t="shared" si="146"/>
        <v>לא פעיל</v>
      </c>
      <c r="I872" s="1788">
        <f t="shared" si="147"/>
        <v>37915</v>
      </c>
      <c r="J872" s="1788">
        <f t="shared" si="148"/>
        <v>39068.513715277797</v>
      </c>
      <c r="K872" s="1786">
        <v>0</v>
      </c>
      <c r="L872" s="1786" t="s">
        <v>1594</v>
      </c>
      <c r="M872" s="1786" t="s">
        <v>1653</v>
      </c>
      <c r="N872" s="1786" t="s">
        <v>1653</v>
      </c>
      <c r="O872" s="1786">
        <v>0</v>
      </c>
      <c r="P872" s="1786"/>
      <c r="Q872" s="1786">
        <v>0</v>
      </c>
      <c r="R872" s="1788"/>
      <c r="S872" s="1786">
        <f t="shared" si="149"/>
        <v>904</v>
      </c>
      <c r="T872" s="1786" t="str">
        <f t="shared" si="150"/>
        <v>בנק לאומי בע"מ</v>
      </c>
      <c r="U872" s="1786" t="str">
        <f t="shared" si="151"/>
        <v>הלמן אלדובי השתלמות מסלולית - מסלול כללי טווח בינוני</v>
      </c>
      <c r="V872" s="1786" t="str">
        <f t="shared" si="152"/>
        <v>513163105</v>
      </c>
      <c r="W872" s="1789" t="str">
        <f t="shared" si="153"/>
        <v>הלמן - אלדובי קופות גמל ופנסיה בע"מ</v>
      </c>
      <c r="AC872" s="1759" t="s">
        <v>1586</v>
      </c>
      <c r="AD872" s="1760">
        <v>39068.513715277797</v>
      </c>
      <c r="AE872" s="1760">
        <v>37915</v>
      </c>
      <c r="AF872" s="1759" t="s">
        <v>1869</v>
      </c>
      <c r="AG872" s="1759" t="s">
        <v>1653</v>
      </c>
      <c r="AH872" s="1759" t="s">
        <v>1594</v>
      </c>
      <c r="AI872" s="1759" t="s">
        <v>3388</v>
      </c>
      <c r="AJ872" s="1759" t="s">
        <v>2117</v>
      </c>
      <c r="AK872" s="1759">
        <v>904</v>
      </c>
      <c r="AL872" s="1759" t="s">
        <v>2117</v>
      </c>
      <c r="AM872" s="1759">
        <v>904</v>
      </c>
      <c r="AN872" s="1759" t="s">
        <v>5470</v>
      </c>
      <c r="AO872" s="1764"/>
      <c r="AP872" s="1759" t="s">
        <v>5371</v>
      </c>
      <c r="AQ872" s="1759" t="s">
        <v>5372</v>
      </c>
      <c r="AR872" s="1759" t="s">
        <v>354</v>
      </c>
      <c r="AS872" s="1759" t="s">
        <v>355</v>
      </c>
      <c r="AT872" s="1759" t="s">
        <v>327</v>
      </c>
      <c r="AU872" s="1763"/>
      <c r="AV872" s="1763"/>
    </row>
    <row r="873" spans="1:48" ht="37.5" hidden="1">
      <c r="A873" s="1785" t="str">
        <f t="shared" si="143"/>
        <v>גמל</v>
      </c>
      <c r="B873" s="1786">
        <f t="shared" si="144"/>
        <v>903</v>
      </c>
      <c r="C873" s="1787">
        <v>28946</v>
      </c>
      <c r="D873" s="1786" t="str">
        <f t="shared" si="145"/>
        <v>הלמן אלדובי השתלמות מסלולית - מסלול כללי טווח ארוך</v>
      </c>
      <c r="E873" s="1786" t="s">
        <v>3929</v>
      </c>
      <c r="F873" s="1786" t="s">
        <v>2958</v>
      </c>
      <c r="G873" s="1786" t="s">
        <v>2959</v>
      </c>
      <c r="H873" s="1786" t="str">
        <f t="shared" si="146"/>
        <v>לא פעיל</v>
      </c>
      <c r="I873" s="1788">
        <f t="shared" si="147"/>
        <v>37915</v>
      </c>
      <c r="J873" s="1788">
        <f t="shared" si="148"/>
        <v>39068.5136458333</v>
      </c>
      <c r="K873" s="1786">
        <v>0</v>
      </c>
      <c r="L873" s="1786" t="s">
        <v>1594</v>
      </c>
      <c r="M873" s="1786" t="s">
        <v>1653</v>
      </c>
      <c r="N873" s="1786" t="s">
        <v>1653</v>
      </c>
      <c r="O873" s="1786">
        <v>0</v>
      </c>
      <c r="P873" s="1786"/>
      <c r="Q873" s="1786">
        <v>0</v>
      </c>
      <c r="R873" s="1788"/>
      <c r="S873" s="1786">
        <f t="shared" si="149"/>
        <v>903</v>
      </c>
      <c r="T873" s="1786" t="str">
        <f t="shared" si="150"/>
        <v>בנק לאומי בע"מ</v>
      </c>
      <c r="U873" s="1786" t="str">
        <f t="shared" si="151"/>
        <v>הלמן אלדובי השתלמות מסלולית - מסלול כללי טווח ארוך</v>
      </c>
      <c r="V873" s="1786" t="str">
        <f t="shared" si="152"/>
        <v>513163105</v>
      </c>
      <c r="W873" s="1789" t="str">
        <f t="shared" si="153"/>
        <v>הלמן - אלדובי קופות גמל ופנסיה בע"מ</v>
      </c>
      <c r="AC873" s="1761" t="s">
        <v>1586</v>
      </c>
      <c r="AD873" s="1762">
        <v>39068.5136458333</v>
      </c>
      <c r="AE873" s="1762">
        <v>37915</v>
      </c>
      <c r="AF873" s="1761" t="s">
        <v>1871</v>
      </c>
      <c r="AG873" s="1761" t="s">
        <v>1653</v>
      </c>
      <c r="AH873" s="1761" t="s">
        <v>1594</v>
      </c>
      <c r="AI873" s="1761" t="s">
        <v>3387</v>
      </c>
      <c r="AJ873" s="1761" t="s">
        <v>2116</v>
      </c>
      <c r="AK873" s="1761">
        <v>903</v>
      </c>
      <c r="AL873" s="1761" t="s">
        <v>2116</v>
      </c>
      <c r="AM873" s="1761">
        <v>903</v>
      </c>
      <c r="AN873" s="1761" t="s">
        <v>5470</v>
      </c>
      <c r="AO873" s="1764"/>
      <c r="AP873" s="1761" t="s">
        <v>5371</v>
      </c>
      <c r="AQ873" s="1761" t="s">
        <v>5372</v>
      </c>
      <c r="AR873" s="1761" t="s">
        <v>354</v>
      </c>
      <c r="AS873" s="1761" t="s">
        <v>355</v>
      </c>
      <c r="AT873" s="1761" t="s">
        <v>327</v>
      </c>
      <c r="AU873" s="1763"/>
      <c r="AV873" s="1763"/>
    </row>
    <row r="874" spans="1:48" ht="25" hidden="1">
      <c r="A874" s="1785" t="str">
        <f t="shared" si="143"/>
        <v>גמל</v>
      </c>
      <c r="B874" s="1786">
        <f t="shared" si="144"/>
        <v>902</v>
      </c>
      <c r="C874" s="1787">
        <v>28946</v>
      </c>
      <c r="D874" s="1786" t="str">
        <f t="shared" si="145"/>
        <v>הלמן אלדובי  גמל מסלולית - מסלול כללי ב'</v>
      </c>
      <c r="E874" s="1786" t="s">
        <v>3929</v>
      </c>
      <c r="F874" s="1786" t="s">
        <v>2958</v>
      </c>
      <c r="G874" s="1786" t="s">
        <v>2959</v>
      </c>
      <c r="H874" s="1786" t="str">
        <f t="shared" si="146"/>
        <v>לא פעיל</v>
      </c>
      <c r="I874" s="1788">
        <f t="shared" si="147"/>
        <v>37915</v>
      </c>
      <c r="J874" s="1788">
        <f t="shared" si="148"/>
        <v>39068.513437499998</v>
      </c>
      <c r="K874" s="1786">
        <v>0</v>
      </c>
      <c r="L874" s="1786" t="s">
        <v>1594</v>
      </c>
      <c r="M874" s="1786" t="s">
        <v>1653</v>
      </c>
      <c r="N874" s="1786" t="s">
        <v>1653</v>
      </c>
      <c r="O874" s="1786">
        <v>0</v>
      </c>
      <c r="P874" s="1786"/>
      <c r="Q874" s="1786">
        <v>0</v>
      </c>
      <c r="R874" s="1788"/>
      <c r="S874" s="1786">
        <f t="shared" si="149"/>
        <v>902</v>
      </c>
      <c r="T874" s="1786" t="str">
        <f t="shared" si="150"/>
        <v>בנק לאומי בע"מ</v>
      </c>
      <c r="U874" s="1786" t="str">
        <f t="shared" si="151"/>
        <v>הלמן אלדובי  גמל מסלולית - מסלול כללי ב'</v>
      </c>
      <c r="V874" s="1786" t="str">
        <f t="shared" si="152"/>
        <v>513163105</v>
      </c>
      <c r="W874" s="1789" t="str">
        <f t="shared" si="153"/>
        <v>הלמן - אלדובי קופות גמל ופנסיה בע"מ</v>
      </c>
      <c r="AC874" s="1759" t="s">
        <v>1586</v>
      </c>
      <c r="AD874" s="1760">
        <v>39068.513437499998</v>
      </c>
      <c r="AE874" s="1760">
        <v>37915</v>
      </c>
      <c r="AF874" s="1759" t="s">
        <v>1583</v>
      </c>
      <c r="AG874" s="1759" t="s">
        <v>1583</v>
      </c>
      <c r="AH874" s="1759" t="s">
        <v>1583</v>
      </c>
      <c r="AI874" s="1759" t="s">
        <v>3386</v>
      </c>
      <c r="AJ874" s="1759" t="s">
        <v>2115</v>
      </c>
      <c r="AK874" s="1759">
        <v>902</v>
      </c>
      <c r="AL874" s="1759" t="s">
        <v>2115</v>
      </c>
      <c r="AM874" s="1759">
        <v>902</v>
      </c>
      <c r="AN874" s="1759" t="s">
        <v>5470</v>
      </c>
      <c r="AO874" s="1764"/>
      <c r="AP874" s="1759" t="s">
        <v>5371</v>
      </c>
      <c r="AQ874" s="1759" t="s">
        <v>5372</v>
      </c>
      <c r="AR874" s="1759" t="s">
        <v>354</v>
      </c>
      <c r="AS874" s="1759" t="s">
        <v>355</v>
      </c>
      <c r="AT874" s="1759" t="s">
        <v>327</v>
      </c>
      <c r="AU874" s="1763"/>
      <c r="AV874" s="1763"/>
    </row>
    <row r="875" spans="1:48" ht="25" hidden="1">
      <c r="A875" s="1785" t="str">
        <f t="shared" si="143"/>
        <v>גמל</v>
      </c>
      <c r="B875" s="1786">
        <f t="shared" si="144"/>
        <v>901</v>
      </c>
      <c r="C875" s="1787">
        <v>28946</v>
      </c>
      <c r="D875" s="1786" t="str">
        <f t="shared" si="145"/>
        <v>הלמן-אלדובי  - גמל ב'</v>
      </c>
      <c r="E875" s="1786" t="s">
        <v>3929</v>
      </c>
      <c r="F875" s="1786" t="s">
        <v>2958</v>
      </c>
      <c r="G875" s="1786" t="s">
        <v>2959</v>
      </c>
      <c r="H875" s="1786" t="str">
        <f t="shared" si="146"/>
        <v>לא פעיל</v>
      </c>
      <c r="I875" s="1788">
        <f t="shared" si="147"/>
        <v>37914</v>
      </c>
      <c r="J875" s="1788">
        <f t="shared" si="148"/>
        <v>40086</v>
      </c>
      <c r="K875" s="1786">
        <v>0</v>
      </c>
      <c r="L875" s="1786" t="s">
        <v>1594</v>
      </c>
      <c r="M875" s="1786" t="s">
        <v>1653</v>
      </c>
      <c r="N875" s="1786" t="s">
        <v>1653</v>
      </c>
      <c r="O875" s="1786">
        <v>0</v>
      </c>
      <c r="P875" s="1786"/>
      <c r="Q875" s="1786">
        <v>0</v>
      </c>
      <c r="R875" s="1788"/>
      <c r="S875" s="1786">
        <f t="shared" si="149"/>
        <v>901</v>
      </c>
      <c r="T875" s="1786" t="str">
        <f t="shared" si="150"/>
        <v>בנק לאומי בע"מ</v>
      </c>
      <c r="U875" s="1786" t="str">
        <f t="shared" si="151"/>
        <v>הלמן-אלדובי  - גמל ב'</v>
      </c>
      <c r="V875" s="1786" t="str">
        <f t="shared" si="152"/>
        <v>513163105</v>
      </c>
      <c r="W875" s="1789" t="str">
        <f t="shared" si="153"/>
        <v>הלמן - אלדובי קופות גמל ופנסיה בע"מ</v>
      </c>
      <c r="AC875" s="1761" t="s">
        <v>1586</v>
      </c>
      <c r="AD875" s="1762">
        <v>40086</v>
      </c>
      <c r="AE875" s="1762">
        <v>37914</v>
      </c>
      <c r="AF875" s="1761" t="s">
        <v>1583</v>
      </c>
      <c r="AG875" s="1761" t="s">
        <v>1583</v>
      </c>
      <c r="AH875" s="1761" t="s">
        <v>1583</v>
      </c>
      <c r="AI875" s="1761" t="s">
        <v>3385</v>
      </c>
      <c r="AJ875" s="1761" t="s">
        <v>2114</v>
      </c>
      <c r="AK875" s="1761">
        <v>901</v>
      </c>
      <c r="AL875" s="1761" t="s">
        <v>2114</v>
      </c>
      <c r="AM875" s="1761">
        <v>901</v>
      </c>
      <c r="AN875" s="1761" t="s">
        <v>5470</v>
      </c>
      <c r="AO875" s="1764"/>
      <c r="AP875" s="1761" t="s">
        <v>5371</v>
      </c>
      <c r="AQ875" s="1761" t="s">
        <v>5372</v>
      </c>
      <c r="AR875" s="1761" t="s">
        <v>354</v>
      </c>
      <c r="AS875" s="1761" t="s">
        <v>355</v>
      </c>
      <c r="AT875" s="1761" t="s">
        <v>327</v>
      </c>
      <c r="AU875" s="1763"/>
      <c r="AV875" s="1763"/>
    </row>
    <row r="876" spans="1:48" ht="25" hidden="1">
      <c r="A876" s="1785" t="str">
        <f t="shared" si="143"/>
        <v>גמל</v>
      </c>
      <c r="B876" s="1786">
        <f t="shared" si="144"/>
        <v>900</v>
      </c>
      <c r="C876" s="1787">
        <v>28946</v>
      </c>
      <c r="D876" s="1786" t="str">
        <f t="shared" si="145"/>
        <v>הלמן אלדובי גמל מסלולית - מסלול מניות</v>
      </c>
      <c r="E876" s="1786" t="s">
        <v>3929</v>
      </c>
      <c r="F876" s="1786" t="s">
        <v>2958</v>
      </c>
      <c r="G876" s="1786" t="s">
        <v>2959</v>
      </c>
      <c r="H876" s="1786" t="str">
        <f t="shared" si="146"/>
        <v>לא פעיל</v>
      </c>
      <c r="I876" s="1788">
        <f t="shared" si="147"/>
        <v>37914</v>
      </c>
      <c r="J876" s="1788">
        <f t="shared" si="148"/>
        <v>39068.513356481497</v>
      </c>
      <c r="K876" s="1786">
        <v>0</v>
      </c>
      <c r="L876" s="1786" t="s">
        <v>1594</v>
      </c>
      <c r="M876" s="1786" t="s">
        <v>1653</v>
      </c>
      <c r="N876" s="1786" t="s">
        <v>1653</v>
      </c>
      <c r="O876" s="1786">
        <v>0</v>
      </c>
      <c r="P876" s="1786"/>
      <c r="Q876" s="1786">
        <v>0</v>
      </c>
      <c r="R876" s="1788"/>
      <c r="S876" s="1786">
        <f t="shared" si="149"/>
        <v>900</v>
      </c>
      <c r="T876" s="1786" t="str">
        <f t="shared" si="150"/>
        <v>בנק לאומי בע"מ</v>
      </c>
      <c r="U876" s="1786" t="str">
        <f t="shared" si="151"/>
        <v>הלמן אלדובי גמל מסלולית - מסלול מניות</v>
      </c>
      <c r="V876" s="1786" t="str">
        <f t="shared" si="152"/>
        <v>513163105</v>
      </c>
      <c r="W876" s="1789" t="str">
        <f t="shared" si="153"/>
        <v>הלמן - אלדובי קופות גמל ופנסיה בע"מ</v>
      </c>
      <c r="AC876" s="1759" t="s">
        <v>1586</v>
      </c>
      <c r="AD876" s="1760">
        <v>39068.513356481497</v>
      </c>
      <c r="AE876" s="1760">
        <v>37914</v>
      </c>
      <c r="AF876" s="1759" t="s">
        <v>1595</v>
      </c>
      <c r="AG876" s="1759" t="s">
        <v>75</v>
      </c>
      <c r="AH876" s="1759" t="s">
        <v>1594</v>
      </c>
      <c r="AI876" s="1759" t="s">
        <v>3384</v>
      </c>
      <c r="AJ876" s="1759" t="s">
        <v>2113</v>
      </c>
      <c r="AK876" s="1759">
        <v>900</v>
      </c>
      <c r="AL876" s="1759" t="s">
        <v>2113</v>
      </c>
      <c r="AM876" s="1759">
        <v>900</v>
      </c>
      <c r="AN876" s="1759" t="s">
        <v>5470</v>
      </c>
      <c r="AO876" s="1764"/>
      <c r="AP876" s="1759" t="s">
        <v>5371</v>
      </c>
      <c r="AQ876" s="1759" t="s">
        <v>5372</v>
      </c>
      <c r="AR876" s="1759" t="s">
        <v>354</v>
      </c>
      <c r="AS876" s="1759" t="s">
        <v>355</v>
      </c>
      <c r="AT876" s="1759" t="s">
        <v>327</v>
      </c>
      <c r="AU876" s="1763"/>
      <c r="AV876" s="1763"/>
    </row>
    <row r="877" spans="1:48" ht="25" hidden="1">
      <c r="A877" s="1785" t="str">
        <f t="shared" si="143"/>
        <v>גמל</v>
      </c>
      <c r="B877" s="1786">
        <f t="shared" si="144"/>
        <v>899</v>
      </c>
      <c r="C877" s="1787">
        <v>28946</v>
      </c>
      <c r="D877" s="1786" t="str">
        <f t="shared" si="145"/>
        <v>הלמן אלדובי גמל מסלולית - מסלול שקלי</v>
      </c>
      <c r="E877" s="1786" t="s">
        <v>3929</v>
      </c>
      <c r="F877" s="1786" t="s">
        <v>2958</v>
      </c>
      <c r="G877" s="1786" t="s">
        <v>2959</v>
      </c>
      <c r="H877" s="1786" t="str">
        <f t="shared" si="146"/>
        <v>לא פעיל</v>
      </c>
      <c r="I877" s="1788">
        <f t="shared" si="147"/>
        <v>37914</v>
      </c>
      <c r="J877" s="1788">
        <f t="shared" si="148"/>
        <v>39068.513252314799</v>
      </c>
      <c r="K877" s="1786">
        <v>0</v>
      </c>
      <c r="L877" s="1786" t="s">
        <v>1594</v>
      </c>
      <c r="M877" s="1786" t="s">
        <v>1653</v>
      </c>
      <c r="N877" s="1786" t="s">
        <v>1653</v>
      </c>
      <c r="O877" s="1786">
        <v>0</v>
      </c>
      <c r="P877" s="1786"/>
      <c r="Q877" s="1786">
        <v>0</v>
      </c>
      <c r="R877" s="1788"/>
      <c r="S877" s="1786">
        <f t="shared" si="149"/>
        <v>899</v>
      </c>
      <c r="T877" s="1786" t="str">
        <f t="shared" si="150"/>
        <v>בנק לאומי בע"מ</v>
      </c>
      <c r="U877" s="1786" t="str">
        <f t="shared" si="151"/>
        <v>הלמן אלדובי גמל מסלולית - מסלול שקלי</v>
      </c>
      <c r="V877" s="1786" t="str">
        <f t="shared" si="152"/>
        <v>513163105</v>
      </c>
      <c r="W877" s="1789" t="str">
        <f t="shared" si="153"/>
        <v>הלמן - אלדובי קופות גמל ופנסיה בע"מ</v>
      </c>
      <c r="AC877" s="1761" t="s">
        <v>1586</v>
      </c>
      <c r="AD877" s="1762">
        <v>39068.513252314799</v>
      </c>
      <c r="AE877" s="1762">
        <v>37914</v>
      </c>
      <c r="AF877" s="1761" t="s">
        <v>1076</v>
      </c>
      <c r="AG877" s="1761" t="s">
        <v>1614</v>
      </c>
      <c r="AH877" s="1761" t="s">
        <v>1594</v>
      </c>
      <c r="AI877" s="1761" t="s">
        <v>3383</v>
      </c>
      <c r="AJ877" s="1761" t="s">
        <v>2112</v>
      </c>
      <c r="AK877" s="1761">
        <v>899</v>
      </c>
      <c r="AL877" s="1761" t="s">
        <v>2112</v>
      </c>
      <c r="AM877" s="1761">
        <v>899</v>
      </c>
      <c r="AN877" s="1761" t="s">
        <v>5470</v>
      </c>
      <c r="AO877" s="1764"/>
      <c r="AP877" s="1761" t="s">
        <v>5371</v>
      </c>
      <c r="AQ877" s="1761" t="s">
        <v>5372</v>
      </c>
      <c r="AR877" s="1761" t="s">
        <v>354</v>
      </c>
      <c r="AS877" s="1761" t="s">
        <v>355</v>
      </c>
      <c r="AT877" s="1761" t="s">
        <v>327</v>
      </c>
      <c r="AU877" s="1763"/>
      <c r="AV877" s="1763"/>
    </row>
    <row r="878" spans="1:48" ht="25" hidden="1">
      <c r="A878" s="1785" t="str">
        <f t="shared" si="143"/>
        <v>גמל</v>
      </c>
      <c r="B878" s="1786">
        <f t="shared" si="144"/>
        <v>898</v>
      </c>
      <c r="C878" s="1787">
        <v>28946</v>
      </c>
      <c r="D878" s="1786" t="str">
        <f t="shared" si="145"/>
        <v>הלמן אלדובי גמל מסלולית - מסלול צמוד מדד</v>
      </c>
      <c r="E878" s="1786" t="s">
        <v>3929</v>
      </c>
      <c r="F878" s="1786" t="s">
        <v>2958</v>
      </c>
      <c r="G878" s="1786" t="s">
        <v>2959</v>
      </c>
      <c r="H878" s="1786" t="str">
        <f t="shared" si="146"/>
        <v>לא פעיל</v>
      </c>
      <c r="I878" s="1788">
        <f t="shared" si="147"/>
        <v>37914</v>
      </c>
      <c r="J878" s="1788">
        <f t="shared" si="148"/>
        <v>39804.586180555598</v>
      </c>
      <c r="K878" s="1786">
        <v>0</v>
      </c>
      <c r="L878" s="1786" t="s">
        <v>1594</v>
      </c>
      <c r="M878" s="1786" t="s">
        <v>1653</v>
      </c>
      <c r="N878" s="1786" t="s">
        <v>1653</v>
      </c>
      <c r="O878" s="1786">
        <v>0</v>
      </c>
      <c r="P878" s="1786"/>
      <c r="Q878" s="1786">
        <v>0</v>
      </c>
      <c r="R878" s="1788"/>
      <c r="S878" s="1786">
        <f t="shared" si="149"/>
        <v>898</v>
      </c>
      <c r="T878" s="1786" t="str">
        <f t="shared" si="150"/>
        <v>בנק לאומי בע"מ</v>
      </c>
      <c r="U878" s="1786" t="str">
        <f t="shared" si="151"/>
        <v>הלמן אלדובי גמל מסלולית - מסלול צמוד מדד</v>
      </c>
      <c r="V878" s="1786" t="str">
        <f t="shared" si="152"/>
        <v>513163105</v>
      </c>
      <c r="W878" s="1789" t="str">
        <f t="shared" si="153"/>
        <v>הלמן - אלדובי קופות גמל ופנסיה בע"מ</v>
      </c>
      <c r="AC878" s="1759" t="s">
        <v>1586</v>
      </c>
      <c r="AD878" s="1760">
        <v>39804.586180555598</v>
      </c>
      <c r="AE878" s="1760">
        <v>37914</v>
      </c>
      <c r="AF878" s="1759" t="s">
        <v>1094</v>
      </c>
      <c r="AG878" s="1759" t="s">
        <v>1094</v>
      </c>
      <c r="AH878" s="1759" t="s">
        <v>1594</v>
      </c>
      <c r="AI878" s="1759" t="s">
        <v>3382</v>
      </c>
      <c r="AJ878" s="1759" t="s">
        <v>2111</v>
      </c>
      <c r="AK878" s="1759">
        <v>898</v>
      </c>
      <c r="AL878" s="1759" t="s">
        <v>2111</v>
      </c>
      <c r="AM878" s="1759">
        <v>898</v>
      </c>
      <c r="AN878" s="1759" t="s">
        <v>5470</v>
      </c>
      <c r="AO878" s="1764"/>
      <c r="AP878" s="1759" t="s">
        <v>5371</v>
      </c>
      <c r="AQ878" s="1759" t="s">
        <v>5372</v>
      </c>
      <c r="AR878" s="1759" t="s">
        <v>354</v>
      </c>
      <c r="AS878" s="1759" t="s">
        <v>355</v>
      </c>
      <c r="AT878" s="1759" t="s">
        <v>327</v>
      </c>
      <c r="AU878" s="1763"/>
      <c r="AV878" s="1763"/>
    </row>
    <row r="879" spans="1:48" ht="25" hidden="1">
      <c r="A879" s="1785" t="str">
        <f t="shared" si="143"/>
        <v>גמל</v>
      </c>
      <c r="B879" s="1786">
        <f t="shared" si="144"/>
        <v>897</v>
      </c>
      <c r="C879" s="1787">
        <v>28946</v>
      </c>
      <c r="D879" s="1786" t="str">
        <f t="shared" si="145"/>
        <v>הלמן אלדובי גמל מסלולית - מסלול מט"ח</v>
      </c>
      <c r="E879" s="1786" t="s">
        <v>3929</v>
      </c>
      <c r="F879" s="1786" t="s">
        <v>2958</v>
      </c>
      <c r="G879" s="1786" t="s">
        <v>2959</v>
      </c>
      <c r="H879" s="1786" t="str">
        <f t="shared" si="146"/>
        <v>לא פעיל</v>
      </c>
      <c r="I879" s="1788">
        <f t="shared" si="147"/>
        <v>37914</v>
      </c>
      <c r="J879" s="1788">
        <f t="shared" si="148"/>
        <v>39082</v>
      </c>
      <c r="K879" s="1786">
        <v>0</v>
      </c>
      <c r="L879" s="1786" t="s">
        <v>1594</v>
      </c>
      <c r="M879" s="1786" t="s">
        <v>1653</v>
      </c>
      <c r="N879" s="1786" t="s">
        <v>1653</v>
      </c>
      <c r="O879" s="1786">
        <v>0</v>
      </c>
      <c r="P879" s="1786"/>
      <c r="Q879" s="1786">
        <v>0</v>
      </c>
      <c r="R879" s="1788"/>
      <c r="S879" s="1786">
        <f t="shared" si="149"/>
        <v>897</v>
      </c>
      <c r="T879" s="1786" t="str">
        <f t="shared" si="150"/>
        <v>בנק לאומי בע"מ</v>
      </c>
      <c r="U879" s="1786" t="str">
        <f t="shared" si="151"/>
        <v>הלמן אלדובי גמל מסלולית - מסלול מט"ח</v>
      </c>
      <c r="V879" s="1786" t="str">
        <f t="shared" si="152"/>
        <v>513163105</v>
      </c>
      <c r="W879" s="1789" t="str">
        <f t="shared" si="153"/>
        <v>הלמן - אלדובי קופות גמל ופנסיה בע"מ</v>
      </c>
      <c r="AC879" s="1761" t="s">
        <v>1586</v>
      </c>
      <c r="AD879" s="1762">
        <v>39082</v>
      </c>
      <c r="AE879" s="1762">
        <v>37914</v>
      </c>
      <c r="AF879" s="1761" t="s">
        <v>1611</v>
      </c>
      <c r="AG879" s="1761" t="s">
        <v>1611</v>
      </c>
      <c r="AH879" s="1761" t="s">
        <v>1594</v>
      </c>
      <c r="AI879" s="1761" t="s">
        <v>2022</v>
      </c>
      <c r="AJ879" s="1761" t="s">
        <v>2110</v>
      </c>
      <c r="AK879" s="1761">
        <v>897</v>
      </c>
      <c r="AL879" s="1761" t="s">
        <v>2110</v>
      </c>
      <c r="AM879" s="1761">
        <v>897</v>
      </c>
      <c r="AN879" s="1761" t="s">
        <v>5470</v>
      </c>
      <c r="AO879" s="1764"/>
      <c r="AP879" s="1761" t="s">
        <v>5371</v>
      </c>
      <c r="AQ879" s="1761" t="s">
        <v>5372</v>
      </c>
      <c r="AR879" s="1761" t="s">
        <v>354</v>
      </c>
      <c r="AS879" s="1761" t="s">
        <v>355</v>
      </c>
      <c r="AT879" s="1761" t="s">
        <v>327</v>
      </c>
      <c r="AU879" s="1763"/>
      <c r="AV879" s="1763"/>
    </row>
    <row r="880" spans="1:48" ht="25" hidden="1">
      <c r="A880" s="1785" t="str">
        <f t="shared" si="143"/>
        <v>גמל</v>
      </c>
      <c r="B880" s="1786">
        <f t="shared" si="144"/>
        <v>896</v>
      </c>
      <c r="C880" s="1787">
        <v>28946</v>
      </c>
      <c r="D880" s="1786" t="str">
        <f t="shared" si="145"/>
        <v>הלמן אלדובי גמל מסלולית - מסלול כללי טווח קצר</v>
      </c>
      <c r="E880" s="1786" t="s">
        <v>3929</v>
      </c>
      <c r="F880" s="1786" t="s">
        <v>2958</v>
      </c>
      <c r="G880" s="1786" t="s">
        <v>2959</v>
      </c>
      <c r="H880" s="1786" t="str">
        <f t="shared" si="146"/>
        <v>לא פעיל</v>
      </c>
      <c r="I880" s="1788">
        <f t="shared" si="147"/>
        <v>37914</v>
      </c>
      <c r="J880" s="1788">
        <f t="shared" si="148"/>
        <v>39082</v>
      </c>
      <c r="K880" s="1786">
        <v>0</v>
      </c>
      <c r="L880" s="1786" t="s">
        <v>1594</v>
      </c>
      <c r="M880" s="1786" t="s">
        <v>1653</v>
      </c>
      <c r="N880" s="1786" t="s">
        <v>1653</v>
      </c>
      <c r="O880" s="1786">
        <v>0</v>
      </c>
      <c r="P880" s="1786"/>
      <c r="Q880" s="1786">
        <v>0</v>
      </c>
      <c r="R880" s="1788"/>
      <c r="S880" s="1786">
        <f t="shared" si="149"/>
        <v>896</v>
      </c>
      <c r="T880" s="1786" t="str">
        <f t="shared" si="150"/>
        <v>בנק לאומי בע"מ</v>
      </c>
      <c r="U880" s="1786" t="str">
        <f t="shared" si="151"/>
        <v>הלמן אלדובי גמל מסלולית - מסלול כללי טווח קצר</v>
      </c>
      <c r="V880" s="1786" t="str">
        <f t="shared" si="152"/>
        <v>513163105</v>
      </c>
      <c r="W880" s="1789" t="str">
        <f t="shared" si="153"/>
        <v>הלמן - אלדובי קופות גמל ופנסיה בע"מ</v>
      </c>
      <c r="AC880" s="1759" t="s">
        <v>1586</v>
      </c>
      <c r="AD880" s="1760">
        <v>39082</v>
      </c>
      <c r="AE880" s="1760">
        <v>37914</v>
      </c>
      <c r="AF880" s="1759" t="s">
        <v>1673</v>
      </c>
      <c r="AG880" s="1759" t="s">
        <v>1614</v>
      </c>
      <c r="AH880" s="1759" t="s">
        <v>1594</v>
      </c>
      <c r="AI880" s="1759" t="s">
        <v>3381</v>
      </c>
      <c r="AJ880" s="1759" t="s">
        <v>2109</v>
      </c>
      <c r="AK880" s="1759">
        <v>896</v>
      </c>
      <c r="AL880" s="1759" t="s">
        <v>2109</v>
      </c>
      <c r="AM880" s="1759">
        <v>896</v>
      </c>
      <c r="AN880" s="1759" t="s">
        <v>5470</v>
      </c>
      <c r="AO880" s="1764"/>
      <c r="AP880" s="1759" t="s">
        <v>5371</v>
      </c>
      <c r="AQ880" s="1759" t="s">
        <v>5372</v>
      </c>
      <c r="AR880" s="1759" t="s">
        <v>354</v>
      </c>
      <c r="AS880" s="1759" t="s">
        <v>355</v>
      </c>
      <c r="AT880" s="1759" t="s">
        <v>327</v>
      </c>
      <c r="AU880" s="1763"/>
      <c r="AV880" s="1763"/>
    </row>
    <row r="881" spans="1:48" ht="25" hidden="1">
      <c r="A881" s="1785" t="str">
        <f t="shared" si="143"/>
        <v>גמל</v>
      </c>
      <c r="B881" s="1786">
        <f t="shared" si="144"/>
        <v>895</v>
      </c>
      <c r="C881" s="1787">
        <v>28946</v>
      </c>
      <c r="D881" s="1786" t="str">
        <f t="shared" si="145"/>
        <v>הלמן אלדובי גמל מסלולית - מסלול כללי טווח בינוני</v>
      </c>
      <c r="E881" s="1786" t="s">
        <v>3929</v>
      </c>
      <c r="F881" s="1786" t="s">
        <v>2958</v>
      </c>
      <c r="G881" s="1786" t="s">
        <v>2959</v>
      </c>
      <c r="H881" s="1786" t="str">
        <f t="shared" si="146"/>
        <v>לא פעיל</v>
      </c>
      <c r="I881" s="1788">
        <f t="shared" si="147"/>
        <v>37914</v>
      </c>
      <c r="J881" s="1788">
        <f t="shared" si="148"/>
        <v>39068.513113425899</v>
      </c>
      <c r="K881" s="1786">
        <v>0</v>
      </c>
      <c r="L881" s="1786" t="s">
        <v>1594</v>
      </c>
      <c r="M881" s="1786" t="s">
        <v>1653</v>
      </c>
      <c r="N881" s="1786" t="s">
        <v>1653</v>
      </c>
      <c r="O881" s="1786">
        <v>0</v>
      </c>
      <c r="P881" s="1786"/>
      <c r="Q881" s="1786">
        <v>0</v>
      </c>
      <c r="R881" s="1788"/>
      <c r="S881" s="1786">
        <f t="shared" si="149"/>
        <v>895</v>
      </c>
      <c r="T881" s="1786" t="str">
        <f t="shared" si="150"/>
        <v>בנק לאומי בע"מ</v>
      </c>
      <c r="U881" s="1786" t="str">
        <f t="shared" si="151"/>
        <v>הלמן אלדובי גמל מסלולית - מסלול כללי טווח בינוני</v>
      </c>
      <c r="V881" s="1786" t="str">
        <f t="shared" si="152"/>
        <v>513163105</v>
      </c>
      <c r="W881" s="1789" t="str">
        <f t="shared" si="153"/>
        <v>הלמן - אלדובי קופות גמל ופנסיה בע"מ</v>
      </c>
      <c r="AC881" s="1761" t="s">
        <v>1586</v>
      </c>
      <c r="AD881" s="1762">
        <v>39068.513113425899</v>
      </c>
      <c r="AE881" s="1762">
        <v>37914</v>
      </c>
      <c r="AF881" s="1761" t="s">
        <v>1869</v>
      </c>
      <c r="AG881" s="1761" t="s">
        <v>1653</v>
      </c>
      <c r="AH881" s="1761" t="s">
        <v>1594</v>
      </c>
      <c r="AI881" s="1761" t="s">
        <v>3380</v>
      </c>
      <c r="AJ881" s="1761" t="s">
        <v>2108</v>
      </c>
      <c r="AK881" s="1761">
        <v>895</v>
      </c>
      <c r="AL881" s="1761" t="s">
        <v>2108</v>
      </c>
      <c r="AM881" s="1761">
        <v>895</v>
      </c>
      <c r="AN881" s="1761" t="s">
        <v>5470</v>
      </c>
      <c r="AO881" s="1764"/>
      <c r="AP881" s="1761" t="s">
        <v>5371</v>
      </c>
      <c r="AQ881" s="1761" t="s">
        <v>5372</v>
      </c>
      <c r="AR881" s="1761" t="s">
        <v>354</v>
      </c>
      <c r="AS881" s="1761" t="s">
        <v>355</v>
      </c>
      <c r="AT881" s="1761" t="s">
        <v>327</v>
      </c>
      <c r="AU881" s="1763"/>
      <c r="AV881" s="1763"/>
    </row>
    <row r="882" spans="1:48" ht="14.15" hidden="1" customHeight="1">
      <c r="A882" s="1785" t="str">
        <f t="shared" si="143"/>
        <v>גמל</v>
      </c>
      <c r="B882" s="1786">
        <f t="shared" si="144"/>
        <v>894</v>
      </c>
      <c r="C882" s="1787">
        <v>28946</v>
      </c>
      <c r="D882" s="1786" t="str">
        <f t="shared" si="145"/>
        <v>הלמן אלדובי גמל מסלולית - מסלול כללי טווח ארוך</v>
      </c>
      <c r="E882" s="1786" t="s">
        <v>3929</v>
      </c>
      <c r="F882" s="1786" t="s">
        <v>2958</v>
      </c>
      <c r="G882" s="1786" t="s">
        <v>2959</v>
      </c>
      <c r="H882" s="1786" t="str">
        <f t="shared" si="146"/>
        <v>לא פעיל</v>
      </c>
      <c r="I882" s="1788">
        <f t="shared" si="147"/>
        <v>37914</v>
      </c>
      <c r="J882" s="1788">
        <f t="shared" si="148"/>
        <v>39068.512824074103</v>
      </c>
      <c r="K882" s="1786">
        <v>0</v>
      </c>
      <c r="L882" s="1786" t="s">
        <v>1594</v>
      </c>
      <c r="M882" s="1786" t="s">
        <v>1653</v>
      </c>
      <c r="N882" s="1786" t="s">
        <v>1653</v>
      </c>
      <c r="O882" s="1786">
        <v>0</v>
      </c>
      <c r="P882" s="1786"/>
      <c r="Q882" s="1786">
        <v>0</v>
      </c>
      <c r="R882" s="1788"/>
      <c r="S882" s="1786">
        <f t="shared" si="149"/>
        <v>894</v>
      </c>
      <c r="T882" s="1786" t="str">
        <f t="shared" si="150"/>
        <v>בנק לאומי בע"מ</v>
      </c>
      <c r="U882" s="1786" t="str">
        <f t="shared" si="151"/>
        <v>הלמן אלדובי גמל מסלולית - מסלול כללי טווח ארוך</v>
      </c>
      <c r="V882" s="1786" t="str">
        <f t="shared" si="152"/>
        <v>513163105</v>
      </c>
      <c r="W882" s="1789" t="str">
        <f t="shared" si="153"/>
        <v>הלמן - אלדובי קופות גמל ופנסיה בע"מ</v>
      </c>
      <c r="AC882" s="1759" t="s">
        <v>1586</v>
      </c>
      <c r="AD882" s="1760">
        <v>39068.512824074103</v>
      </c>
      <c r="AE882" s="1760">
        <v>37914</v>
      </c>
      <c r="AF882" s="1759" t="s">
        <v>1871</v>
      </c>
      <c r="AG882" s="1759" t="s">
        <v>1653</v>
      </c>
      <c r="AH882" s="1759" t="s">
        <v>1594</v>
      </c>
      <c r="AI882" s="1759" t="s">
        <v>3379</v>
      </c>
      <c r="AJ882" s="1759" t="s">
        <v>2107</v>
      </c>
      <c r="AK882" s="1759">
        <v>894</v>
      </c>
      <c r="AL882" s="1759" t="s">
        <v>2107</v>
      </c>
      <c r="AM882" s="1759">
        <v>894</v>
      </c>
      <c r="AN882" s="1759" t="s">
        <v>5470</v>
      </c>
      <c r="AO882" s="1764"/>
      <c r="AP882" s="1759" t="s">
        <v>5371</v>
      </c>
      <c r="AQ882" s="1759" t="s">
        <v>5372</v>
      </c>
      <c r="AR882" s="1759" t="s">
        <v>354</v>
      </c>
      <c r="AS882" s="1759" t="s">
        <v>355</v>
      </c>
      <c r="AT882" s="1759" t="s">
        <v>327</v>
      </c>
      <c r="AU882" s="1763"/>
      <c r="AV882" s="1763"/>
    </row>
    <row r="883" spans="1:48" ht="25" hidden="1">
      <c r="A883" s="1785" t="str">
        <f t="shared" si="143"/>
        <v>גמל</v>
      </c>
      <c r="B883" s="1786">
        <f t="shared" si="144"/>
        <v>893</v>
      </c>
      <c r="C883" s="1787">
        <v>28946</v>
      </c>
      <c r="D883" s="1786" t="str">
        <f t="shared" si="145"/>
        <v>גאון דמי מחלה</v>
      </c>
      <c r="E883" s="1786" t="s">
        <v>3929</v>
      </c>
      <c r="F883" s="1786" t="s">
        <v>2958</v>
      </c>
      <c r="G883" s="1786" t="s">
        <v>2959</v>
      </c>
      <c r="H883" s="1786" t="str">
        <f t="shared" si="146"/>
        <v>לא פעיל</v>
      </c>
      <c r="I883" s="1788">
        <f t="shared" si="147"/>
        <v>37914</v>
      </c>
      <c r="J883" s="1788">
        <f t="shared" si="148"/>
        <v>39082.459328703699</v>
      </c>
      <c r="K883" s="1786">
        <v>0</v>
      </c>
      <c r="L883" s="1786" t="s">
        <v>1594</v>
      </c>
      <c r="M883" s="1786" t="s">
        <v>1653</v>
      </c>
      <c r="N883" s="1786" t="s">
        <v>1653</v>
      </c>
      <c r="O883" s="1786">
        <v>0</v>
      </c>
      <c r="P883" s="1786"/>
      <c r="Q883" s="1786">
        <v>0</v>
      </c>
      <c r="R883" s="1788"/>
      <c r="S883" s="1786">
        <f t="shared" si="149"/>
        <v>893</v>
      </c>
      <c r="T883" s="1786" t="str">
        <f t="shared" si="150"/>
        <v>בנק הפועלים בע"מ</v>
      </c>
      <c r="U883" s="1786" t="str">
        <f t="shared" si="151"/>
        <v>גאון דמי מחלה</v>
      </c>
      <c r="V883" s="1786">
        <f t="shared" si="152"/>
        <v>0</v>
      </c>
      <c r="W883" s="1789" t="str">
        <f t="shared" si="153"/>
        <v>גאון גמל בע"מ</v>
      </c>
      <c r="AC883" s="1761" t="s">
        <v>1586</v>
      </c>
      <c r="AD883" s="1762">
        <v>39082.459328703699</v>
      </c>
      <c r="AE883" s="1762">
        <v>37914</v>
      </c>
      <c r="AF883" s="1761" t="s">
        <v>1583</v>
      </c>
      <c r="AG883" s="1761" t="s">
        <v>1583</v>
      </c>
      <c r="AH883" s="1761" t="s">
        <v>1583</v>
      </c>
      <c r="AI883" s="1761" t="s">
        <v>2106</v>
      </c>
      <c r="AJ883" s="1761" t="s">
        <v>2106</v>
      </c>
      <c r="AK883" s="1761">
        <v>893</v>
      </c>
      <c r="AL883" s="1761" t="s">
        <v>2106</v>
      </c>
      <c r="AM883" s="1761">
        <v>893</v>
      </c>
      <c r="AN883" s="1761" t="s">
        <v>1695</v>
      </c>
      <c r="AO883" s="1764"/>
      <c r="AP883" s="1761"/>
      <c r="AQ883" s="1761"/>
      <c r="AR883" s="1761" t="s">
        <v>1848</v>
      </c>
      <c r="AS883" s="1761" t="s">
        <v>1847</v>
      </c>
      <c r="AT883" s="1761" t="s">
        <v>327</v>
      </c>
      <c r="AU883" s="1763"/>
      <c r="AV883" s="1763"/>
    </row>
    <row r="884" spans="1:48" ht="25" hidden="1">
      <c r="A884" s="1785" t="str">
        <f t="shared" si="143"/>
        <v>גמל</v>
      </c>
      <c r="B884" s="1786">
        <f t="shared" si="144"/>
        <v>892</v>
      </c>
      <c r="C884" s="1787">
        <v>28946</v>
      </c>
      <c r="D884" s="1786" t="str">
        <f t="shared" si="145"/>
        <v>כלל מרכזית לדמי מחלה</v>
      </c>
      <c r="E884" s="1786" t="s">
        <v>3929</v>
      </c>
      <c r="F884" s="1786" t="s">
        <v>2958</v>
      </c>
      <c r="G884" s="1786" t="s">
        <v>2959</v>
      </c>
      <c r="H884" s="1786" t="str">
        <f t="shared" si="146"/>
        <v>פעיל</v>
      </c>
      <c r="I884" s="1788">
        <f t="shared" si="147"/>
        <v>37895</v>
      </c>
      <c r="J884" s="1788" t="str">
        <f t="shared" si="148"/>
        <v/>
      </c>
      <c r="K884" s="1786">
        <v>0</v>
      </c>
      <c r="L884" s="1786" t="s">
        <v>1594</v>
      </c>
      <c r="M884" s="1786" t="s">
        <v>1653</v>
      </c>
      <c r="N884" s="1786" t="s">
        <v>1653</v>
      </c>
      <c r="O884" s="1786">
        <v>0</v>
      </c>
      <c r="P884" s="1786"/>
      <c r="Q884" s="1786">
        <v>0</v>
      </c>
      <c r="R884" s="1788"/>
      <c r="S884" s="1786">
        <f t="shared" si="149"/>
        <v>892</v>
      </c>
      <c r="T884" s="1786" t="str">
        <f t="shared" si="150"/>
        <v>ד.ס.ש ייעוץ ושירותים בע"מ</v>
      </c>
      <c r="U884" s="1786" t="str">
        <f t="shared" si="151"/>
        <v>כלל מרכזית לדמי מחלה</v>
      </c>
      <c r="V884" s="1786">
        <f t="shared" si="152"/>
        <v>0</v>
      </c>
      <c r="W884" s="1789" t="str">
        <f t="shared" si="153"/>
        <v>כלל פנסיה וגמל בע"מ</v>
      </c>
      <c r="AC884" s="1759" t="s">
        <v>346</v>
      </c>
      <c r="AD884" s="1759"/>
      <c r="AE884" s="1760">
        <v>37895</v>
      </c>
      <c r="AF884" s="1759" t="s">
        <v>1583</v>
      </c>
      <c r="AG884" s="1759" t="s">
        <v>1583</v>
      </c>
      <c r="AH884" s="1759" t="s">
        <v>1583</v>
      </c>
      <c r="AI884" s="1759" t="s">
        <v>3378</v>
      </c>
      <c r="AJ884" s="1759" t="s">
        <v>630</v>
      </c>
      <c r="AK884" s="1759">
        <v>892</v>
      </c>
      <c r="AL884" s="1759" t="s">
        <v>630</v>
      </c>
      <c r="AM884" s="1759">
        <v>892</v>
      </c>
      <c r="AN884" s="1759" t="s">
        <v>5393</v>
      </c>
      <c r="AO884" s="1764"/>
      <c r="AP884" s="1759"/>
      <c r="AQ884" s="1759"/>
      <c r="AR884" s="1759" t="s">
        <v>378</v>
      </c>
      <c r="AS884" s="1759" t="s">
        <v>379</v>
      </c>
      <c r="AT884" s="1759" t="s">
        <v>327</v>
      </c>
      <c r="AU884" s="1763"/>
      <c r="AV884" s="1763"/>
    </row>
    <row r="885" spans="1:48" ht="50" hidden="1">
      <c r="A885" s="1785" t="str">
        <f t="shared" si="143"/>
        <v>גמל</v>
      </c>
      <c r="B885" s="1786">
        <f t="shared" si="144"/>
        <v>1480</v>
      </c>
      <c r="C885" s="1787">
        <v>28946</v>
      </c>
      <c r="D885" s="1786" t="str">
        <f t="shared" si="145"/>
        <v>קופת גמל אישית לפיצויים של העובדים בעיריית תל אביב-יפו - מסלול שחר</v>
      </c>
      <c r="E885" s="1786" t="s">
        <v>3929</v>
      </c>
      <c r="F885" s="1786" t="s">
        <v>2958</v>
      </c>
      <c r="G885" s="1786" t="s">
        <v>2959</v>
      </c>
      <c r="H885" s="1786" t="str">
        <f t="shared" si="146"/>
        <v>לא פעיל</v>
      </c>
      <c r="I885" s="1788">
        <f t="shared" si="147"/>
        <v>37889</v>
      </c>
      <c r="J885" s="1788">
        <f t="shared" si="148"/>
        <v>42359.832210648201</v>
      </c>
      <c r="K885" s="1786">
        <v>0</v>
      </c>
      <c r="L885" s="1786" t="s">
        <v>1594</v>
      </c>
      <c r="M885" s="1786" t="s">
        <v>1653</v>
      </c>
      <c r="N885" s="1786" t="s">
        <v>1653</v>
      </c>
      <c r="O885" s="1786">
        <v>0</v>
      </c>
      <c r="P885" s="1786"/>
      <c r="Q885" s="1786">
        <v>0</v>
      </c>
      <c r="R885" s="1788"/>
      <c r="S885" s="1786">
        <f t="shared" si="149"/>
        <v>891</v>
      </c>
      <c r="T885" s="1786" t="str">
        <f t="shared" si="150"/>
        <v>ניהול  עצמי</v>
      </c>
      <c r="U885" s="1786" t="str">
        <f t="shared" si="151"/>
        <v>קופת גמל אישית לפיצויים של העובדים בעיריית תל-אביב יפו - מסלול צבר</v>
      </c>
      <c r="V885" s="1786">
        <f t="shared" si="152"/>
        <v>0</v>
      </c>
      <c r="W885" s="1789" t="str">
        <f t="shared" si="153"/>
        <v>חברה לניהול קופות גמל של העובדים בעיריית תל - אביב יפו בע"מ</v>
      </c>
      <c r="AC885" s="1761" t="s">
        <v>1586</v>
      </c>
      <c r="AD885" s="1762">
        <v>42359.832210648201</v>
      </c>
      <c r="AE885" s="1762">
        <v>37889</v>
      </c>
      <c r="AF885" s="1761" t="s">
        <v>2025</v>
      </c>
      <c r="AG885" s="1761" t="s">
        <v>1583</v>
      </c>
      <c r="AH885" s="1761" t="s">
        <v>1583</v>
      </c>
      <c r="AI885" s="1761" t="s">
        <v>3655</v>
      </c>
      <c r="AJ885" s="1761" t="s">
        <v>2491</v>
      </c>
      <c r="AK885" s="1761">
        <v>1480</v>
      </c>
      <c r="AL885" s="1761" t="s">
        <v>629</v>
      </c>
      <c r="AM885" s="1761">
        <v>891</v>
      </c>
      <c r="AN885" s="1761" t="s">
        <v>5524</v>
      </c>
      <c r="AO885" s="1764"/>
      <c r="AP885" s="1761"/>
      <c r="AQ885" s="1761"/>
      <c r="AR885" s="1761" t="s">
        <v>627</v>
      </c>
      <c r="AS885" s="1761" t="s">
        <v>628</v>
      </c>
      <c r="AT885" s="1761" t="s">
        <v>327</v>
      </c>
      <c r="AU885" s="1763"/>
      <c r="AV885" s="1763"/>
    </row>
    <row r="886" spans="1:48" ht="50" hidden="1">
      <c r="A886" s="1785" t="str">
        <f t="shared" si="143"/>
        <v>גמל</v>
      </c>
      <c r="B886" s="1786">
        <f t="shared" si="144"/>
        <v>1481</v>
      </c>
      <c r="C886" s="1787">
        <v>28946</v>
      </c>
      <c r="D886" s="1786" t="str">
        <f t="shared" si="145"/>
        <v>קופת גמל אישית לפיצויים של העובדים בעיריית ת"א-יפו - מסלול סער מניות</v>
      </c>
      <c r="E886" s="1786" t="s">
        <v>3929</v>
      </c>
      <c r="F886" s="1786" t="s">
        <v>2958</v>
      </c>
      <c r="G886" s="1786" t="s">
        <v>2959</v>
      </c>
      <c r="H886" s="1786" t="str">
        <f t="shared" si="146"/>
        <v>לא פעיל</v>
      </c>
      <c r="I886" s="1788">
        <f t="shared" si="147"/>
        <v>37889</v>
      </c>
      <c r="J886" s="1788">
        <f t="shared" si="148"/>
        <v>42359.832210648201</v>
      </c>
      <c r="K886" s="1786">
        <v>0</v>
      </c>
      <c r="L886" s="1786" t="s">
        <v>1594</v>
      </c>
      <c r="M886" s="1786" t="s">
        <v>1653</v>
      </c>
      <c r="N886" s="1786" t="s">
        <v>1653</v>
      </c>
      <c r="O886" s="1786">
        <v>0</v>
      </c>
      <c r="P886" s="1786"/>
      <c r="Q886" s="1786">
        <v>0</v>
      </c>
      <c r="R886" s="1788"/>
      <c r="S886" s="1786">
        <f t="shared" si="149"/>
        <v>891</v>
      </c>
      <c r="T886" s="1786" t="str">
        <f t="shared" si="150"/>
        <v>ניהול  עצמי</v>
      </c>
      <c r="U886" s="1786" t="str">
        <f t="shared" si="151"/>
        <v>קופת גמל אישית לפיצויים של העובדים בעיריית תל-אביב יפו - מסלול צבר</v>
      </c>
      <c r="V886" s="1786">
        <f t="shared" si="152"/>
        <v>0</v>
      </c>
      <c r="W886" s="1789" t="str">
        <f t="shared" si="153"/>
        <v>חברה לניהול קופות גמל של העובדים בעיריית תל - אביב יפו בע"מ</v>
      </c>
      <c r="AC886" s="1759" t="s">
        <v>1586</v>
      </c>
      <c r="AD886" s="1760">
        <v>42359.832210648201</v>
      </c>
      <c r="AE886" s="1760">
        <v>37889</v>
      </c>
      <c r="AF886" s="1759" t="s">
        <v>1595</v>
      </c>
      <c r="AG886" s="1759" t="s">
        <v>75</v>
      </c>
      <c r="AH886" s="1759" t="s">
        <v>1594</v>
      </c>
      <c r="AI886" s="1759" t="s">
        <v>3656</v>
      </c>
      <c r="AJ886" s="1759" t="s">
        <v>2492</v>
      </c>
      <c r="AK886" s="1759">
        <v>1481</v>
      </c>
      <c r="AL886" s="1759" t="s">
        <v>629</v>
      </c>
      <c r="AM886" s="1759">
        <v>891</v>
      </c>
      <c r="AN886" s="1759" t="s">
        <v>5524</v>
      </c>
      <c r="AO886" s="1764"/>
      <c r="AP886" s="1759"/>
      <c r="AQ886" s="1759"/>
      <c r="AR886" s="1759" t="s">
        <v>627</v>
      </c>
      <c r="AS886" s="1759" t="s">
        <v>628</v>
      </c>
      <c r="AT886" s="1759" t="s">
        <v>327</v>
      </c>
      <c r="AU886" s="1763"/>
      <c r="AV886" s="1763"/>
    </row>
    <row r="887" spans="1:48" ht="50" hidden="1">
      <c r="A887" s="1785" t="str">
        <f t="shared" si="143"/>
        <v>גמל</v>
      </c>
      <c r="B887" s="1786">
        <f t="shared" si="144"/>
        <v>9958</v>
      </c>
      <c r="C887" s="1787">
        <v>28946</v>
      </c>
      <c r="D887" s="1786" t="str">
        <f t="shared" si="145"/>
        <v>קופת גמל אישית לפיצויים של העובדים בעיריית תל-אביב יפו - מסלול  60 ומעלה</v>
      </c>
      <c r="E887" s="1786" t="s">
        <v>3929</v>
      </c>
      <c r="F887" s="1786" t="s">
        <v>2958</v>
      </c>
      <c r="G887" s="1786" t="s">
        <v>2959</v>
      </c>
      <c r="H887" s="1786" t="str">
        <f t="shared" si="146"/>
        <v>פעיל</v>
      </c>
      <c r="I887" s="1788">
        <f t="shared" si="147"/>
        <v>37889</v>
      </c>
      <c r="J887" s="1788" t="str">
        <f t="shared" si="148"/>
        <v/>
      </c>
      <c r="K887" s="1786">
        <v>0</v>
      </c>
      <c r="L887" s="1786" t="s">
        <v>1594</v>
      </c>
      <c r="M887" s="1786" t="s">
        <v>1653</v>
      </c>
      <c r="N887" s="1786" t="s">
        <v>1653</v>
      </c>
      <c r="O887" s="1786">
        <v>0</v>
      </c>
      <c r="P887" s="1786"/>
      <c r="Q887" s="1786">
        <v>0</v>
      </c>
      <c r="R887" s="1788"/>
      <c r="S887" s="1786">
        <f t="shared" si="149"/>
        <v>891</v>
      </c>
      <c r="T887" s="1786" t="str">
        <f t="shared" si="150"/>
        <v>ניהול  עצמי</v>
      </c>
      <c r="U887" s="1786" t="str">
        <f t="shared" si="151"/>
        <v>קופת גמל אישית לפיצויים של העובדים בעיריית תל-אביב יפו - מסלול צבר</v>
      </c>
      <c r="V887" s="1786">
        <f t="shared" si="152"/>
        <v>0</v>
      </c>
      <c r="W887" s="1789" t="str">
        <f t="shared" si="153"/>
        <v>חברה לניהול קופות גמל של העובדים בעיריית תל - אביב יפו בע"מ</v>
      </c>
      <c r="AC887" s="1761" t="s">
        <v>346</v>
      </c>
      <c r="AD887" s="1761"/>
      <c r="AE887" s="1762">
        <v>37889</v>
      </c>
      <c r="AF887" s="1761" t="s">
        <v>3963</v>
      </c>
      <c r="AG887" s="1761" t="s">
        <v>3931</v>
      </c>
      <c r="AH887" s="1761" t="s">
        <v>3658</v>
      </c>
      <c r="AI887" s="1761" t="s">
        <v>4495</v>
      </c>
      <c r="AJ887" s="1761" t="s">
        <v>4494</v>
      </c>
      <c r="AK887" s="1761">
        <v>9958</v>
      </c>
      <c r="AL887" s="1761" t="s">
        <v>629</v>
      </c>
      <c r="AM887" s="1761">
        <v>891</v>
      </c>
      <c r="AN887" s="1761" t="s">
        <v>5524</v>
      </c>
      <c r="AO887" s="1764"/>
      <c r="AP887" s="1761"/>
      <c r="AQ887" s="1761"/>
      <c r="AR887" s="1761" t="s">
        <v>627</v>
      </c>
      <c r="AS887" s="1761" t="s">
        <v>628</v>
      </c>
      <c r="AT887" s="1761" t="s">
        <v>327</v>
      </c>
      <c r="AU887" s="1763"/>
      <c r="AV887" s="1763"/>
    </row>
    <row r="888" spans="1:48" ht="50" hidden="1">
      <c r="A888" s="1785" t="str">
        <f t="shared" si="143"/>
        <v>גמל</v>
      </c>
      <c r="B888" s="1786">
        <f t="shared" si="144"/>
        <v>9957</v>
      </c>
      <c r="C888" s="1787">
        <v>28946</v>
      </c>
      <c r="D888" s="1786" t="str">
        <f t="shared" si="145"/>
        <v>קופת גמל אישית לפיצויים של העובדים בעיריית תל-אביב יפו - מסלול לבני 50-60</v>
      </c>
      <c r="E888" s="1786" t="s">
        <v>3929</v>
      </c>
      <c r="F888" s="1786" t="s">
        <v>2958</v>
      </c>
      <c r="G888" s="1786" t="s">
        <v>2959</v>
      </c>
      <c r="H888" s="1786" t="str">
        <f t="shared" si="146"/>
        <v>פעיל</v>
      </c>
      <c r="I888" s="1788">
        <f t="shared" si="147"/>
        <v>37889</v>
      </c>
      <c r="J888" s="1788" t="str">
        <f t="shared" si="148"/>
        <v/>
      </c>
      <c r="K888" s="1786">
        <v>0</v>
      </c>
      <c r="L888" s="1786" t="s">
        <v>1594</v>
      </c>
      <c r="M888" s="1786" t="s">
        <v>1653</v>
      </c>
      <c r="N888" s="1786" t="s">
        <v>1653</v>
      </c>
      <c r="O888" s="1786">
        <v>0</v>
      </c>
      <c r="P888" s="1786"/>
      <c r="Q888" s="1786">
        <v>0</v>
      </c>
      <c r="R888" s="1788"/>
      <c r="S888" s="1786">
        <f t="shared" si="149"/>
        <v>891</v>
      </c>
      <c r="T888" s="1786" t="str">
        <f t="shared" si="150"/>
        <v>ניהול  עצמי</v>
      </c>
      <c r="U888" s="1786" t="str">
        <f t="shared" si="151"/>
        <v>קופת גמל אישית לפיצויים של העובדים בעיריית תל-אביב יפו - מסלול צבר</v>
      </c>
      <c r="V888" s="1786">
        <f t="shared" si="152"/>
        <v>0</v>
      </c>
      <c r="W888" s="1789" t="str">
        <f t="shared" si="153"/>
        <v>חברה לניהול קופות גמל של העובדים בעיריית תל - אביב יפו בע"מ</v>
      </c>
      <c r="AC888" s="1759" t="s">
        <v>346</v>
      </c>
      <c r="AD888" s="1759"/>
      <c r="AE888" s="1760">
        <v>37889</v>
      </c>
      <c r="AF888" s="1759" t="s">
        <v>3932</v>
      </c>
      <c r="AG888" s="1759" t="s">
        <v>3931</v>
      </c>
      <c r="AH888" s="1759" t="s">
        <v>3658</v>
      </c>
      <c r="AI888" s="1759" t="s">
        <v>4493</v>
      </c>
      <c r="AJ888" s="1759" t="s">
        <v>4492</v>
      </c>
      <c r="AK888" s="1759">
        <v>9957</v>
      </c>
      <c r="AL888" s="1759" t="s">
        <v>629</v>
      </c>
      <c r="AM888" s="1759">
        <v>891</v>
      </c>
      <c r="AN888" s="1759" t="s">
        <v>5524</v>
      </c>
      <c r="AO888" s="1764"/>
      <c r="AP888" s="1759"/>
      <c r="AQ888" s="1759"/>
      <c r="AR888" s="1759" t="s">
        <v>627</v>
      </c>
      <c r="AS888" s="1759" t="s">
        <v>628</v>
      </c>
      <c r="AT888" s="1759" t="s">
        <v>327</v>
      </c>
      <c r="AU888" s="1763"/>
      <c r="AV888" s="1763"/>
    </row>
    <row r="889" spans="1:48" ht="50" hidden="1">
      <c r="A889" s="1785" t="str">
        <f t="shared" si="143"/>
        <v>גמל</v>
      </c>
      <c r="B889" s="1786">
        <f t="shared" si="144"/>
        <v>9956</v>
      </c>
      <c r="C889" s="1787">
        <v>28946</v>
      </c>
      <c r="D889" s="1786" t="str">
        <f t="shared" si="145"/>
        <v>קופת גמל אישית לפיצויים של העובדים בעיריית תל-אביב יפו - מסלול לבני 50 ומטה</v>
      </c>
      <c r="E889" s="1786" t="s">
        <v>3929</v>
      </c>
      <c r="F889" s="1786" t="s">
        <v>2958</v>
      </c>
      <c r="G889" s="1786" t="s">
        <v>2959</v>
      </c>
      <c r="H889" s="1786" t="str">
        <f t="shared" si="146"/>
        <v>פעיל</v>
      </c>
      <c r="I889" s="1788">
        <f t="shared" si="147"/>
        <v>37889</v>
      </c>
      <c r="J889" s="1788" t="str">
        <f t="shared" si="148"/>
        <v/>
      </c>
      <c r="K889" s="1786">
        <v>0</v>
      </c>
      <c r="L889" s="1786" t="s">
        <v>1594</v>
      </c>
      <c r="M889" s="1786" t="s">
        <v>1653</v>
      </c>
      <c r="N889" s="1786" t="s">
        <v>1653</v>
      </c>
      <c r="O889" s="1786">
        <v>0</v>
      </c>
      <c r="P889" s="1786"/>
      <c r="Q889" s="1786">
        <v>0</v>
      </c>
      <c r="R889" s="1788"/>
      <c r="S889" s="1786">
        <f t="shared" si="149"/>
        <v>891</v>
      </c>
      <c r="T889" s="1786" t="str">
        <f t="shared" si="150"/>
        <v>ניהול  עצמי</v>
      </c>
      <c r="U889" s="1786" t="str">
        <f t="shared" si="151"/>
        <v>קופת גמל אישית לפיצויים של העובדים בעיריית תל-אביב יפו - מסלול צבר</v>
      </c>
      <c r="V889" s="1786">
        <f t="shared" si="152"/>
        <v>0</v>
      </c>
      <c r="W889" s="1789" t="str">
        <f t="shared" si="153"/>
        <v>חברה לניהול קופות גמל של העובדים בעיריית תל - אביב יפו בע"מ</v>
      </c>
      <c r="AC889" s="1761" t="s">
        <v>346</v>
      </c>
      <c r="AD889" s="1761"/>
      <c r="AE889" s="1762">
        <v>37889</v>
      </c>
      <c r="AF889" s="1761" t="s">
        <v>4151</v>
      </c>
      <c r="AG889" s="1761" t="s">
        <v>3931</v>
      </c>
      <c r="AH889" s="1761" t="s">
        <v>3658</v>
      </c>
      <c r="AI889" s="1761" t="s">
        <v>4491</v>
      </c>
      <c r="AJ889" s="1761" t="s">
        <v>4490</v>
      </c>
      <c r="AK889" s="1761">
        <v>9956</v>
      </c>
      <c r="AL889" s="1761" t="s">
        <v>629</v>
      </c>
      <c r="AM889" s="1761">
        <v>891</v>
      </c>
      <c r="AN889" s="1761" t="s">
        <v>5524</v>
      </c>
      <c r="AO889" s="1764"/>
      <c r="AP889" s="1761"/>
      <c r="AQ889" s="1761"/>
      <c r="AR889" s="1761" t="s">
        <v>627</v>
      </c>
      <c r="AS889" s="1761" t="s">
        <v>628</v>
      </c>
      <c r="AT889" s="1761" t="s">
        <v>327</v>
      </c>
      <c r="AU889" s="1763"/>
      <c r="AV889" s="1763"/>
    </row>
    <row r="890" spans="1:48" ht="50" hidden="1">
      <c r="A890" s="1785" t="str">
        <f t="shared" si="143"/>
        <v>גמל</v>
      </c>
      <c r="B890" s="1786">
        <f t="shared" si="144"/>
        <v>891</v>
      </c>
      <c r="C890" s="1787">
        <v>28946</v>
      </c>
      <c r="D890" s="1786" t="str">
        <f t="shared" si="145"/>
        <v>קופת גמל אישית לפיצויים של העובדים בעיריית תל-אביב יפו - מסלול צבר</v>
      </c>
      <c r="E890" s="1786" t="s">
        <v>3929</v>
      </c>
      <c r="F890" s="1786" t="s">
        <v>2958</v>
      </c>
      <c r="G890" s="1786" t="s">
        <v>2959</v>
      </c>
      <c r="H890" s="1786" t="str">
        <f t="shared" si="146"/>
        <v>לא פעיל</v>
      </c>
      <c r="I890" s="1788">
        <f t="shared" si="147"/>
        <v>37889</v>
      </c>
      <c r="J890" s="1788">
        <f t="shared" si="148"/>
        <v>42370.778599537</v>
      </c>
      <c r="K890" s="1786">
        <v>0</v>
      </c>
      <c r="L890" s="1786" t="s">
        <v>1594</v>
      </c>
      <c r="M890" s="1786" t="s">
        <v>1653</v>
      </c>
      <c r="N890" s="1786" t="s">
        <v>1653</v>
      </c>
      <c r="O890" s="1786">
        <v>0</v>
      </c>
      <c r="P890" s="1786"/>
      <c r="Q890" s="1786">
        <v>0</v>
      </c>
      <c r="R890" s="1788"/>
      <c r="S890" s="1786">
        <f t="shared" si="149"/>
        <v>891</v>
      </c>
      <c r="T890" s="1786" t="str">
        <f t="shared" si="150"/>
        <v>ניהול  עצמי</v>
      </c>
      <c r="U890" s="1786" t="str">
        <f t="shared" si="151"/>
        <v>קופת גמל אישית לפיצויים של העובדים בעיריית תל-אביב יפו - מסלול צבר</v>
      </c>
      <c r="V890" s="1786">
        <f t="shared" si="152"/>
        <v>0</v>
      </c>
      <c r="W890" s="1789" t="str">
        <f t="shared" si="153"/>
        <v>חברה לניהול קופות גמל של העובדים בעיריית תל - אביב יפו בע"מ</v>
      </c>
      <c r="AC890" s="1759" t="s">
        <v>1586</v>
      </c>
      <c r="AD890" s="1760">
        <v>42370.778599537</v>
      </c>
      <c r="AE890" s="1760">
        <v>37889</v>
      </c>
      <c r="AF890" s="1759" t="s">
        <v>1583</v>
      </c>
      <c r="AG890" s="1759" t="s">
        <v>1583</v>
      </c>
      <c r="AH890" s="1759" t="s">
        <v>1583</v>
      </c>
      <c r="AI890" s="1759" t="s">
        <v>3377</v>
      </c>
      <c r="AJ890" s="1759" t="s">
        <v>629</v>
      </c>
      <c r="AK890" s="1759">
        <v>891</v>
      </c>
      <c r="AL890" s="1759" t="s">
        <v>629</v>
      </c>
      <c r="AM890" s="1759">
        <v>891</v>
      </c>
      <c r="AN890" s="1759" t="s">
        <v>5524</v>
      </c>
      <c r="AO890" s="1764"/>
      <c r="AP890" s="1759"/>
      <c r="AQ890" s="1759"/>
      <c r="AR890" s="1759" t="s">
        <v>627</v>
      </c>
      <c r="AS890" s="1759" t="s">
        <v>628</v>
      </c>
      <c r="AT890" s="1759" t="s">
        <v>327</v>
      </c>
      <c r="AU890" s="1763"/>
      <c r="AV890" s="1763"/>
    </row>
    <row r="891" spans="1:48" ht="25" hidden="1">
      <c r="A891" s="1785" t="str">
        <f t="shared" si="143"/>
        <v>גמל</v>
      </c>
      <c r="B891" s="1786">
        <f t="shared" si="144"/>
        <v>890</v>
      </c>
      <c r="C891" s="1787">
        <v>28946</v>
      </c>
      <c r="D891" s="1786" t="str">
        <f t="shared" si="145"/>
        <v>מיטב מרכזית לפיצויים מסלול מט"ח</v>
      </c>
      <c r="E891" s="1786" t="s">
        <v>3929</v>
      </c>
      <c r="F891" s="1786" t="s">
        <v>2958</v>
      </c>
      <c r="G891" s="1786" t="s">
        <v>2959</v>
      </c>
      <c r="H891" s="1786" t="str">
        <f t="shared" si="146"/>
        <v>לא פעיל</v>
      </c>
      <c r="I891" s="1788">
        <f t="shared" si="147"/>
        <v>37885</v>
      </c>
      <c r="J891" s="1788">
        <f t="shared" si="148"/>
        <v>39082.500798611101</v>
      </c>
      <c r="K891" s="1786">
        <v>0</v>
      </c>
      <c r="L891" s="1786" t="s">
        <v>1594</v>
      </c>
      <c r="M891" s="1786" t="s">
        <v>1653</v>
      </c>
      <c r="N891" s="1786" t="s">
        <v>1653</v>
      </c>
      <c r="O891" s="1786">
        <v>0</v>
      </c>
      <c r="P891" s="1786"/>
      <c r="Q891" s="1786">
        <v>0</v>
      </c>
      <c r="R891" s="1788"/>
      <c r="S891" s="1786">
        <f t="shared" si="149"/>
        <v>890</v>
      </c>
      <c r="T891" s="1786" t="str">
        <f t="shared" si="150"/>
        <v>בנק לאומי בע"מ</v>
      </c>
      <c r="U891" s="1786" t="str">
        <f t="shared" si="151"/>
        <v>מיטב מרכזית לפיצויים מסלול מט"ח</v>
      </c>
      <c r="V891" s="1786">
        <f t="shared" si="152"/>
        <v>0</v>
      </c>
      <c r="W891" s="1789" t="str">
        <f t="shared" si="153"/>
        <v>מיטב גמל ופנסיה בע"מ</v>
      </c>
      <c r="AC891" s="1761" t="s">
        <v>1586</v>
      </c>
      <c r="AD891" s="1762">
        <v>39082.500798611101</v>
      </c>
      <c r="AE891" s="1762">
        <v>37885</v>
      </c>
      <c r="AF891" s="1761" t="s">
        <v>1611</v>
      </c>
      <c r="AG891" s="1761" t="s">
        <v>1611</v>
      </c>
      <c r="AH891" s="1761" t="s">
        <v>1594</v>
      </c>
      <c r="AI891" s="1761" t="s">
        <v>3376</v>
      </c>
      <c r="AJ891" s="1761" t="s">
        <v>2105</v>
      </c>
      <c r="AK891" s="1761">
        <v>890</v>
      </c>
      <c r="AL891" s="1761" t="s">
        <v>2105</v>
      </c>
      <c r="AM891" s="1761">
        <v>890</v>
      </c>
      <c r="AN891" s="1761" t="s">
        <v>5470</v>
      </c>
      <c r="AO891" s="1764"/>
      <c r="AP891" s="1761"/>
      <c r="AQ891" s="1761"/>
      <c r="AR891" s="1761" t="s">
        <v>365</v>
      </c>
      <c r="AS891" s="1761" t="s">
        <v>366</v>
      </c>
      <c r="AT891" s="1761" t="s">
        <v>327</v>
      </c>
      <c r="AU891" s="1763"/>
      <c r="AV891" s="1763"/>
    </row>
    <row r="892" spans="1:48" ht="25" hidden="1">
      <c r="A892" s="1785" t="str">
        <f t="shared" si="143"/>
        <v>גמל</v>
      </c>
      <c r="B892" s="1786">
        <f t="shared" si="144"/>
        <v>889</v>
      </c>
      <c r="C892" s="1787">
        <v>28946</v>
      </c>
      <c r="D892" s="1786" t="str">
        <f t="shared" si="145"/>
        <v>מיטב מרכזית לפיצוים מסלול מניות</v>
      </c>
      <c r="E892" s="1786" t="s">
        <v>3929</v>
      </c>
      <c r="F892" s="1786" t="s">
        <v>2958</v>
      </c>
      <c r="G892" s="1786" t="s">
        <v>2959</v>
      </c>
      <c r="H892" s="1786" t="str">
        <f t="shared" si="146"/>
        <v>לא פעיל</v>
      </c>
      <c r="I892" s="1788">
        <f t="shared" si="147"/>
        <v>37885</v>
      </c>
      <c r="J892" s="1788">
        <f t="shared" si="148"/>
        <v>39082.5007175926</v>
      </c>
      <c r="K892" s="1786">
        <v>0</v>
      </c>
      <c r="L892" s="1786" t="s">
        <v>1594</v>
      </c>
      <c r="M892" s="1786" t="s">
        <v>1653</v>
      </c>
      <c r="N892" s="1786" t="s">
        <v>1653</v>
      </c>
      <c r="O892" s="1786">
        <v>0</v>
      </c>
      <c r="P892" s="1786"/>
      <c r="Q892" s="1786">
        <v>0</v>
      </c>
      <c r="R892" s="1788"/>
      <c r="S892" s="1786">
        <f t="shared" si="149"/>
        <v>889</v>
      </c>
      <c r="T892" s="1786" t="str">
        <f t="shared" si="150"/>
        <v>בנק לאומי בע"מ</v>
      </c>
      <c r="U892" s="1786" t="str">
        <f t="shared" si="151"/>
        <v>מיטב מרכזית לפיצוים מסלול מניות</v>
      </c>
      <c r="V892" s="1786">
        <f t="shared" si="152"/>
        <v>0</v>
      </c>
      <c r="W892" s="1789" t="str">
        <f t="shared" si="153"/>
        <v>מיטב גמל ופנסיה בע"מ</v>
      </c>
      <c r="AC892" s="1759" t="s">
        <v>1586</v>
      </c>
      <c r="AD892" s="1760">
        <v>39082.5007175926</v>
      </c>
      <c r="AE892" s="1760">
        <v>37885</v>
      </c>
      <c r="AF892" s="1759" t="s">
        <v>1595</v>
      </c>
      <c r="AG892" s="1759" t="s">
        <v>75</v>
      </c>
      <c r="AH892" s="1759" t="s">
        <v>1594</v>
      </c>
      <c r="AI892" s="1759" t="s">
        <v>3375</v>
      </c>
      <c r="AJ892" s="1759" t="s">
        <v>2104</v>
      </c>
      <c r="AK892" s="1759">
        <v>889</v>
      </c>
      <c r="AL892" s="1759" t="s">
        <v>2104</v>
      </c>
      <c r="AM892" s="1759">
        <v>889</v>
      </c>
      <c r="AN892" s="1759" t="s">
        <v>5470</v>
      </c>
      <c r="AO892" s="1764"/>
      <c r="AP892" s="1759"/>
      <c r="AQ892" s="1759"/>
      <c r="AR892" s="1759" t="s">
        <v>365</v>
      </c>
      <c r="AS892" s="1759" t="s">
        <v>366</v>
      </c>
      <c r="AT892" s="1759" t="s">
        <v>327</v>
      </c>
      <c r="AU892" s="1763"/>
      <c r="AV892" s="1763"/>
    </row>
    <row r="893" spans="1:48" ht="25" hidden="1">
      <c r="A893" s="1785" t="str">
        <f t="shared" si="143"/>
        <v>גמל</v>
      </c>
      <c r="B893" s="1786">
        <f t="shared" si="144"/>
        <v>888</v>
      </c>
      <c r="C893" s="1787">
        <v>28946</v>
      </c>
      <c r="D893" s="1786" t="str">
        <f t="shared" si="145"/>
        <v>מיטב מרכזית לפיצויים מסלול שקלי</v>
      </c>
      <c r="E893" s="1786" t="s">
        <v>3929</v>
      </c>
      <c r="F893" s="1786" t="s">
        <v>2958</v>
      </c>
      <c r="G893" s="1786" t="s">
        <v>2959</v>
      </c>
      <c r="H893" s="1786" t="str">
        <f t="shared" si="146"/>
        <v>לא פעיל</v>
      </c>
      <c r="I893" s="1788">
        <f t="shared" si="147"/>
        <v>37885</v>
      </c>
      <c r="J893" s="1788">
        <f t="shared" si="148"/>
        <v>39082.500648148103</v>
      </c>
      <c r="K893" s="1786">
        <v>0</v>
      </c>
      <c r="L893" s="1786" t="s">
        <v>1594</v>
      </c>
      <c r="M893" s="1786" t="s">
        <v>1653</v>
      </c>
      <c r="N893" s="1786" t="s">
        <v>1653</v>
      </c>
      <c r="O893" s="1786">
        <v>0</v>
      </c>
      <c r="P893" s="1786"/>
      <c r="Q893" s="1786">
        <v>0</v>
      </c>
      <c r="R893" s="1788"/>
      <c r="S893" s="1786">
        <f t="shared" si="149"/>
        <v>888</v>
      </c>
      <c r="T893" s="1786" t="str">
        <f t="shared" si="150"/>
        <v>בנק לאומי בע"מ</v>
      </c>
      <c r="U893" s="1786" t="str">
        <f t="shared" si="151"/>
        <v>מיטב מרכזית לפיצויים מסלול שקלי</v>
      </c>
      <c r="V893" s="1786">
        <f t="shared" si="152"/>
        <v>0</v>
      </c>
      <c r="W893" s="1789" t="str">
        <f t="shared" si="153"/>
        <v>מיטב גמל ופנסיה בע"מ</v>
      </c>
      <c r="AC893" s="1761" t="s">
        <v>1586</v>
      </c>
      <c r="AD893" s="1762">
        <v>39082.500648148103</v>
      </c>
      <c r="AE893" s="1762">
        <v>37885</v>
      </c>
      <c r="AF893" s="1761" t="s">
        <v>1076</v>
      </c>
      <c r="AG893" s="1761" t="s">
        <v>1614</v>
      </c>
      <c r="AH893" s="1761" t="s">
        <v>1594</v>
      </c>
      <c r="AI893" s="1761" t="s">
        <v>3374</v>
      </c>
      <c r="AJ893" s="1761" t="s">
        <v>2103</v>
      </c>
      <c r="AK893" s="1761">
        <v>888</v>
      </c>
      <c r="AL893" s="1761" t="s">
        <v>2103</v>
      </c>
      <c r="AM893" s="1761">
        <v>888</v>
      </c>
      <c r="AN893" s="1761" t="s">
        <v>5470</v>
      </c>
      <c r="AO893" s="1764"/>
      <c r="AP893" s="1761"/>
      <c r="AQ893" s="1761"/>
      <c r="AR893" s="1761" t="s">
        <v>365</v>
      </c>
      <c r="AS893" s="1761" t="s">
        <v>366</v>
      </c>
      <c r="AT893" s="1761" t="s">
        <v>327</v>
      </c>
      <c r="AU893" s="1763"/>
      <c r="AV893" s="1763"/>
    </row>
    <row r="894" spans="1:48" ht="25" hidden="1">
      <c r="A894" s="1785" t="str">
        <f t="shared" si="143"/>
        <v>גמל</v>
      </c>
      <c r="B894" s="1786">
        <f t="shared" si="144"/>
        <v>887</v>
      </c>
      <c r="C894" s="1787">
        <v>28946</v>
      </c>
      <c r="D894" s="1786" t="str">
        <f t="shared" si="145"/>
        <v>מיטב מרכזית לפיצויים מסלול מדדי</v>
      </c>
      <c r="E894" s="1786" t="s">
        <v>3929</v>
      </c>
      <c r="F894" s="1786" t="s">
        <v>2958</v>
      </c>
      <c r="G894" s="1786" t="s">
        <v>2959</v>
      </c>
      <c r="H894" s="1786" t="str">
        <f t="shared" si="146"/>
        <v>לא פעיל</v>
      </c>
      <c r="I894" s="1788">
        <f t="shared" si="147"/>
        <v>37885</v>
      </c>
      <c r="J894" s="1788">
        <f t="shared" si="148"/>
        <v>39082.5005439815</v>
      </c>
      <c r="K894" s="1786">
        <v>0</v>
      </c>
      <c r="L894" s="1786" t="s">
        <v>1594</v>
      </c>
      <c r="M894" s="1786" t="s">
        <v>1653</v>
      </c>
      <c r="N894" s="1786" t="s">
        <v>1653</v>
      </c>
      <c r="O894" s="1786">
        <v>0</v>
      </c>
      <c r="P894" s="1786"/>
      <c r="Q894" s="1786">
        <v>0</v>
      </c>
      <c r="R894" s="1788"/>
      <c r="S894" s="1786">
        <f t="shared" si="149"/>
        <v>887</v>
      </c>
      <c r="T894" s="1786" t="str">
        <f t="shared" si="150"/>
        <v>בנק לאומי בע"מ</v>
      </c>
      <c r="U894" s="1786" t="str">
        <f t="shared" si="151"/>
        <v>מיטב מרכזית לפיצויים מסלול מדדי</v>
      </c>
      <c r="V894" s="1786">
        <f t="shared" si="152"/>
        <v>0</v>
      </c>
      <c r="W894" s="1789" t="str">
        <f t="shared" si="153"/>
        <v>מיטב גמל ופנסיה בע"מ</v>
      </c>
      <c r="AC894" s="1759" t="s">
        <v>1586</v>
      </c>
      <c r="AD894" s="1760">
        <v>39082.5005439815</v>
      </c>
      <c r="AE894" s="1760">
        <v>37885</v>
      </c>
      <c r="AF894" s="1759" t="s">
        <v>1094</v>
      </c>
      <c r="AG894" s="1759" t="s">
        <v>1094</v>
      </c>
      <c r="AH894" s="1759" t="s">
        <v>1594</v>
      </c>
      <c r="AI894" s="1759" t="s">
        <v>3373</v>
      </c>
      <c r="AJ894" s="1759" t="s">
        <v>2102</v>
      </c>
      <c r="AK894" s="1759">
        <v>887</v>
      </c>
      <c r="AL894" s="1759" t="s">
        <v>2102</v>
      </c>
      <c r="AM894" s="1759">
        <v>887</v>
      </c>
      <c r="AN894" s="1759" t="s">
        <v>5470</v>
      </c>
      <c r="AO894" s="1764"/>
      <c r="AP894" s="1759"/>
      <c r="AQ894" s="1759"/>
      <c r="AR894" s="1759" t="s">
        <v>365</v>
      </c>
      <c r="AS894" s="1759" t="s">
        <v>366</v>
      </c>
      <c r="AT894" s="1759" t="s">
        <v>327</v>
      </c>
      <c r="AU894" s="1763"/>
      <c r="AV894" s="1763"/>
    </row>
    <row r="895" spans="1:48" ht="25" hidden="1">
      <c r="A895" s="1785" t="str">
        <f t="shared" si="143"/>
        <v>גמל</v>
      </c>
      <c r="B895" s="1786">
        <f t="shared" si="144"/>
        <v>1372</v>
      </c>
      <c r="C895" s="1787">
        <v>28946</v>
      </c>
      <c r="D895" s="1786" t="str">
        <f t="shared" si="145"/>
        <v>מיטב דש פיצויים  - טווח קצר</v>
      </c>
      <c r="E895" s="1786" t="s">
        <v>3929</v>
      </c>
      <c r="F895" s="1786" t="s">
        <v>2958</v>
      </c>
      <c r="G895" s="1786" t="s">
        <v>2959</v>
      </c>
      <c r="H895" s="1786" t="str">
        <f t="shared" si="146"/>
        <v>פעיל</v>
      </c>
      <c r="I895" s="1788">
        <f t="shared" si="147"/>
        <v>37885</v>
      </c>
      <c r="J895" s="1788" t="str">
        <f t="shared" si="148"/>
        <v/>
      </c>
      <c r="K895" s="1786">
        <v>0</v>
      </c>
      <c r="L895" s="1786" t="s">
        <v>1594</v>
      </c>
      <c r="M895" s="1786" t="s">
        <v>1653</v>
      </c>
      <c r="N895" s="1786" t="s">
        <v>1653</v>
      </c>
      <c r="O895" s="1786">
        <v>0</v>
      </c>
      <c r="P895" s="1786"/>
      <c r="Q895" s="1786">
        <v>0</v>
      </c>
      <c r="R895" s="1788"/>
      <c r="S895" s="1786">
        <f t="shared" si="149"/>
        <v>885</v>
      </c>
      <c r="T895" s="1786" t="str">
        <f t="shared" si="150"/>
        <v>ד.ס.ש ייעוץ ושירותים בע"מ</v>
      </c>
      <c r="U895" s="1786" t="str">
        <f t="shared" si="151"/>
        <v>מיטב דש פיצויים</v>
      </c>
      <c r="V895" s="1786" t="str">
        <f t="shared" si="152"/>
        <v>520043795</v>
      </c>
      <c r="W895" s="1789" t="str">
        <f t="shared" si="153"/>
        <v>מיטב דש גמל ופנסיה בע"מ</v>
      </c>
      <c r="AC895" s="1761" t="s">
        <v>346</v>
      </c>
      <c r="AD895" s="1761"/>
      <c r="AE895" s="1762">
        <v>37885</v>
      </c>
      <c r="AF895" s="1761" t="s">
        <v>1681</v>
      </c>
      <c r="AG895" s="1761" t="s">
        <v>1583</v>
      </c>
      <c r="AH895" s="1761" t="s">
        <v>1583</v>
      </c>
      <c r="AI895" s="1761" t="s">
        <v>3620</v>
      </c>
      <c r="AJ895" s="1761" t="s">
        <v>3620</v>
      </c>
      <c r="AK895" s="1761">
        <v>1372</v>
      </c>
      <c r="AL895" s="1761" t="s">
        <v>3298</v>
      </c>
      <c r="AM895" s="1761">
        <v>885</v>
      </c>
      <c r="AN895" s="1761" t="s">
        <v>5393</v>
      </c>
      <c r="AO895" s="1764"/>
      <c r="AP895" s="1761" t="s">
        <v>5373</v>
      </c>
      <c r="AQ895" s="1761" t="s">
        <v>5374</v>
      </c>
      <c r="AR895" s="1761" t="s">
        <v>2899</v>
      </c>
      <c r="AS895" s="1761" t="s">
        <v>349</v>
      </c>
      <c r="AT895" s="1761" t="s">
        <v>327</v>
      </c>
      <c r="AU895" s="1763"/>
      <c r="AV895" s="1763"/>
    </row>
    <row r="896" spans="1:48" ht="25" hidden="1">
      <c r="A896" s="1785" t="str">
        <f t="shared" si="143"/>
        <v>גמל</v>
      </c>
      <c r="B896" s="1786">
        <f t="shared" si="144"/>
        <v>1372</v>
      </c>
      <c r="C896" s="1787">
        <v>28946</v>
      </c>
      <c r="D896" s="1786" t="str">
        <f t="shared" si="145"/>
        <v>מיטב דש פיצויים  - טווח קצר</v>
      </c>
      <c r="E896" s="1786" t="s">
        <v>3929</v>
      </c>
      <c r="F896" s="1786" t="s">
        <v>2958</v>
      </c>
      <c r="G896" s="1786" t="s">
        <v>2959</v>
      </c>
      <c r="H896" s="1786" t="str">
        <f t="shared" si="146"/>
        <v>פעיל</v>
      </c>
      <c r="I896" s="1788">
        <f t="shared" si="147"/>
        <v>37885</v>
      </c>
      <c r="J896" s="1788" t="str">
        <f t="shared" si="148"/>
        <v/>
      </c>
      <c r="K896" s="1786">
        <v>0</v>
      </c>
      <c r="L896" s="1786" t="s">
        <v>1594</v>
      </c>
      <c r="M896" s="1786" t="s">
        <v>1653</v>
      </c>
      <c r="N896" s="1786" t="s">
        <v>1653</v>
      </c>
      <c r="O896" s="1786">
        <v>0</v>
      </c>
      <c r="P896" s="1786"/>
      <c r="Q896" s="1786">
        <v>0</v>
      </c>
      <c r="R896" s="1788"/>
      <c r="S896" s="1786">
        <f t="shared" si="149"/>
        <v>885</v>
      </c>
      <c r="T896" s="1786" t="str">
        <f t="shared" si="150"/>
        <v>ד.ס.ש ייעוץ ושירותים בע"מ</v>
      </c>
      <c r="U896" s="1786" t="str">
        <f t="shared" si="151"/>
        <v>מיטב דש פיצויים</v>
      </c>
      <c r="V896" s="1786" t="str">
        <f t="shared" si="152"/>
        <v>520043795</v>
      </c>
      <c r="W896" s="1789" t="str">
        <f t="shared" si="153"/>
        <v>מיטב דש גמל ופנסיה בע"מ</v>
      </c>
      <c r="AC896" s="1759" t="s">
        <v>346</v>
      </c>
      <c r="AD896" s="1759"/>
      <c r="AE896" s="1760">
        <v>37885</v>
      </c>
      <c r="AF896" s="1759" t="s">
        <v>1681</v>
      </c>
      <c r="AG896" s="1759" t="s">
        <v>1583</v>
      </c>
      <c r="AH896" s="1759" t="s">
        <v>1583</v>
      </c>
      <c r="AI896" s="1759" t="s">
        <v>3620</v>
      </c>
      <c r="AJ896" s="1759" t="s">
        <v>3620</v>
      </c>
      <c r="AK896" s="1759">
        <v>1372</v>
      </c>
      <c r="AL896" s="1759" t="s">
        <v>3298</v>
      </c>
      <c r="AM896" s="1759">
        <v>885</v>
      </c>
      <c r="AN896" s="1759" t="s">
        <v>5393</v>
      </c>
      <c r="AO896" s="1764"/>
      <c r="AP896" s="1759" t="s">
        <v>5373</v>
      </c>
      <c r="AQ896" s="1759" t="s">
        <v>5374</v>
      </c>
      <c r="AR896" s="1759" t="s">
        <v>2899</v>
      </c>
      <c r="AS896" s="1759" t="s">
        <v>349</v>
      </c>
      <c r="AT896" s="1759" t="s">
        <v>327</v>
      </c>
      <c r="AU896" s="1763"/>
      <c r="AV896" s="1763"/>
    </row>
    <row r="897" spans="1:48" ht="25" hidden="1">
      <c r="A897" s="1785" t="str">
        <f t="shared" si="143"/>
        <v>גמל</v>
      </c>
      <c r="B897" s="1786">
        <f t="shared" si="144"/>
        <v>1276</v>
      </c>
      <c r="C897" s="1787">
        <v>28946</v>
      </c>
      <c r="D897" s="1786" t="str">
        <f t="shared" si="145"/>
        <v>מיטב דש פיצויים סלע</v>
      </c>
      <c r="E897" s="1786" t="s">
        <v>3929</v>
      </c>
      <c r="F897" s="1786" t="s">
        <v>2958</v>
      </c>
      <c r="G897" s="1786" t="s">
        <v>2959</v>
      </c>
      <c r="H897" s="1786" t="str">
        <f t="shared" si="146"/>
        <v>פעיל</v>
      </c>
      <c r="I897" s="1788">
        <f t="shared" si="147"/>
        <v>37885</v>
      </c>
      <c r="J897" s="1788" t="str">
        <f t="shared" si="148"/>
        <v/>
      </c>
      <c r="K897" s="1786">
        <v>0</v>
      </c>
      <c r="L897" s="1786" t="s">
        <v>1594</v>
      </c>
      <c r="M897" s="1786" t="s">
        <v>1653</v>
      </c>
      <c r="N897" s="1786" t="s">
        <v>1653</v>
      </c>
      <c r="O897" s="1786">
        <v>0</v>
      </c>
      <c r="P897" s="1786"/>
      <c r="Q897" s="1786">
        <v>0</v>
      </c>
      <c r="R897" s="1788"/>
      <c r="S897" s="1786">
        <f t="shared" si="149"/>
        <v>885</v>
      </c>
      <c r="T897" s="1786" t="str">
        <f t="shared" si="150"/>
        <v>ד.ס.ש ייעוץ ושירותים בע"מ</v>
      </c>
      <c r="U897" s="1786" t="str">
        <f t="shared" si="151"/>
        <v>מיטב דש פיצויים</v>
      </c>
      <c r="V897" s="1786" t="str">
        <f t="shared" si="152"/>
        <v>520043795</v>
      </c>
      <c r="W897" s="1789" t="str">
        <f t="shared" si="153"/>
        <v>מיטב דש גמל ופנסיה בע"מ</v>
      </c>
      <c r="AC897" s="1761" t="s">
        <v>346</v>
      </c>
      <c r="AD897" s="1761"/>
      <c r="AE897" s="1762">
        <v>37885</v>
      </c>
      <c r="AF897" s="1761" t="s">
        <v>2025</v>
      </c>
      <c r="AG897" s="1761" t="s">
        <v>1583</v>
      </c>
      <c r="AH897" s="1761" t="s">
        <v>1583</v>
      </c>
      <c r="AI897" s="1761" t="s">
        <v>3584</v>
      </c>
      <c r="AJ897" s="1761" t="s">
        <v>3584</v>
      </c>
      <c r="AK897" s="1761">
        <v>1276</v>
      </c>
      <c r="AL897" s="1761" t="s">
        <v>3298</v>
      </c>
      <c r="AM897" s="1761">
        <v>885</v>
      </c>
      <c r="AN897" s="1761" t="s">
        <v>5393</v>
      </c>
      <c r="AO897" s="1764"/>
      <c r="AP897" s="1761" t="s">
        <v>5373</v>
      </c>
      <c r="AQ897" s="1761" t="s">
        <v>5374</v>
      </c>
      <c r="AR897" s="1761" t="s">
        <v>2899</v>
      </c>
      <c r="AS897" s="1761" t="s">
        <v>349</v>
      </c>
      <c r="AT897" s="1761" t="s">
        <v>327</v>
      </c>
      <c r="AU897" s="1763"/>
      <c r="AV897" s="1763"/>
    </row>
    <row r="898" spans="1:48" ht="25" hidden="1">
      <c r="A898" s="1785" t="str">
        <f t="shared" si="143"/>
        <v>גמל</v>
      </c>
      <c r="B898" s="1786">
        <f t="shared" si="144"/>
        <v>1276</v>
      </c>
      <c r="C898" s="1787">
        <v>28946</v>
      </c>
      <c r="D898" s="1786" t="str">
        <f t="shared" si="145"/>
        <v>מיטב דש פיצויים סלע</v>
      </c>
      <c r="E898" s="1786" t="s">
        <v>3929</v>
      </c>
      <c r="F898" s="1786" t="s">
        <v>2958</v>
      </c>
      <c r="G898" s="1786" t="s">
        <v>2959</v>
      </c>
      <c r="H898" s="1786" t="str">
        <f t="shared" si="146"/>
        <v>פעיל</v>
      </c>
      <c r="I898" s="1788">
        <f t="shared" si="147"/>
        <v>37885</v>
      </c>
      <c r="J898" s="1788" t="str">
        <f t="shared" si="148"/>
        <v/>
      </c>
      <c r="K898" s="1786">
        <v>0</v>
      </c>
      <c r="L898" s="1786" t="s">
        <v>1594</v>
      </c>
      <c r="M898" s="1786" t="s">
        <v>1653</v>
      </c>
      <c r="N898" s="1786" t="s">
        <v>1653</v>
      </c>
      <c r="O898" s="1786">
        <v>0</v>
      </c>
      <c r="P898" s="1786"/>
      <c r="Q898" s="1786">
        <v>0</v>
      </c>
      <c r="R898" s="1788"/>
      <c r="S898" s="1786">
        <f t="shared" si="149"/>
        <v>885</v>
      </c>
      <c r="T898" s="1786" t="str">
        <f t="shared" si="150"/>
        <v>ד.ס.ש ייעוץ ושירותים בע"מ</v>
      </c>
      <c r="U898" s="1786" t="str">
        <f t="shared" si="151"/>
        <v>מיטב דש פיצויים</v>
      </c>
      <c r="V898" s="1786" t="str">
        <f t="shared" si="152"/>
        <v>520043795</v>
      </c>
      <c r="W898" s="1789" t="str">
        <f t="shared" si="153"/>
        <v>מיטב דש גמל ופנסיה בע"מ</v>
      </c>
      <c r="AC898" s="1759" t="s">
        <v>346</v>
      </c>
      <c r="AD898" s="1759"/>
      <c r="AE898" s="1760">
        <v>37885</v>
      </c>
      <c r="AF898" s="1759" t="s">
        <v>2025</v>
      </c>
      <c r="AG898" s="1759" t="s">
        <v>1583</v>
      </c>
      <c r="AH898" s="1759" t="s">
        <v>1583</v>
      </c>
      <c r="AI898" s="1759" t="s">
        <v>3584</v>
      </c>
      <c r="AJ898" s="1759" t="s">
        <v>3584</v>
      </c>
      <c r="AK898" s="1759">
        <v>1276</v>
      </c>
      <c r="AL898" s="1759" t="s">
        <v>3298</v>
      </c>
      <c r="AM898" s="1759">
        <v>885</v>
      </c>
      <c r="AN898" s="1759" t="s">
        <v>5393</v>
      </c>
      <c r="AO898" s="1764"/>
      <c r="AP898" s="1759" t="s">
        <v>5373</v>
      </c>
      <c r="AQ898" s="1759" t="s">
        <v>5374</v>
      </c>
      <c r="AR898" s="1759" t="s">
        <v>2899</v>
      </c>
      <c r="AS898" s="1759" t="s">
        <v>349</v>
      </c>
      <c r="AT898" s="1759" t="s">
        <v>327</v>
      </c>
      <c r="AU898" s="1763"/>
      <c r="AV898" s="1763"/>
    </row>
    <row r="899" spans="1:48" ht="25" hidden="1">
      <c r="A899" s="1785" t="str">
        <f t="shared" si="143"/>
        <v>גמל</v>
      </c>
      <c r="B899" s="1786">
        <f t="shared" si="144"/>
        <v>1107</v>
      </c>
      <c r="C899" s="1787">
        <v>28946</v>
      </c>
      <c r="D899" s="1786" t="str">
        <f t="shared" si="145"/>
        <v>מיטב דש פיצויים - אג"ח ללא מניות</v>
      </c>
      <c r="E899" s="1786" t="s">
        <v>3929</v>
      </c>
      <c r="F899" s="1786" t="s">
        <v>2958</v>
      </c>
      <c r="G899" s="1786" t="s">
        <v>2959</v>
      </c>
      <c r="H899" s="1786" t="str">
        <f t="shared" si="146"/>
        <v>פעיל</v>
      </c>
      <c r="I899" s="1788">
        <f t="shared" si="147"/>
        <v>37885</v>
      </c>
      <c r="J899" s="1788" t="str">
        <f t="shared" si="148"/>
        <v/>
      </c>
      <c r="K899" s="1786">
        <v>0</v>
      </c>
      <c r="L899" s="1786" t="s">
        <v>1594</v>
      </c>
      <c r="M899" s="1786" t="s">
        <v>1653</v>
      </c>
      <c r="N899" s="1786" t="s">
        <v>1653</v>
      </c>
      <c r="O899" s="1786">
        <v>0</v>
      </c>
      <c r="P899" s="1786"/>
      <c r="Q899" s="1786">
        <v>0</v>
      </c>
      <c r="R899" s="1788"/>
      <c r="S899" s="1786">
        <f t="shared" si="149"/>
        <v>885</v>
      </c>
      <c r="T899" s="1786" t="str">
        <f t="shared" si="150"/>
        <v>ד.ס.ש ייעוץ ושירותים בע"מ</v>
      </c>
      <c r="U899" s="1786" t="str">
        <f t="shared" si="151"/>
        <v>מיטב דש פיצויים</v>
      </c>
      <c r="V899" s="1786" t="str">
        <f t="shared" si="152"/>
        <v>520043795</v>
      </c>
      <c r="W899" s="1789" t="str">
        <f t="shared" si="153"/>
        <v>מיטב דש גמל ופנסיה בע"מ</v>
      </c>
      <c r="AC899" s="1761" t="s">
        <v>346</v>
      </c>
      <c r="AD899" s="1761"/>
      <c r="AE899" s="1762">
        <v>37885</v>
      </c>
      <c r="AF899" s="1761" t="s">
        <v>1653</v>
      </c>
      <c r="AG899" s="1761" t="s">
        <v>1653</v>
      </c>
      <c r="AH899" s="1761" t="s">
        <v>1594</v>
      </c>
      <c r="AI899" s="1761" t="s">
        <v>3529</v>
      </c>
      <c r="AJ899" s="1761" t="s">
        <v>3528</v>
      </c>
      <c r="AK899" s="1761">
        <v>1107</v>
      </c>
      <c r="AL899" s="1761" t="s">
        <v>3298</v>
      </c>
      <c r="AM899" s="1761">
        <v>885</v>
      </c>
      <c r="AN899" s="1761" t="s">
        <v>5393</v>
      </c>
      <c r="AO899" s="1764"/>
      <c r="AP899" s="1761" t="s">
        <v>5373</v>
      </c>
      <c r="AQ899" s="1761" t="s">
        <v>5374</v>
      </c>
      <c r="AR899" s="1761" t="s">
        <v>2899</v>
      </c>
      <c r="AS899" s="1761" t="s">
        <v>349</v>
      </c>
      <c r="AT899" s="1761" t="s">
        <v>327</v>
      </c>
      <c r="AU899" s="1763"/>
      <c r="AV899" s="1763"/>
    </row>
    <row r="900" spans="1:48" ht="25" hidden="1">
      <c r="A900" s="1785" t="str">
        <f t="shared" si="143"/>
        <v>גמל</v>
      </c>
      <c r="B900" s="1786">
        <f t="shared" si="144"/>
        <v>1107</v>
      </c>
      <c r="C900" s="1787">
        <v>28946</v>
      </c>
      <c r="D900" s="1786" t="str">
        <f t="shared" si="145"/>
        <v>מיטב דש פיצויים - אג"ח ללא מניות</v>
      </c>
      <c r="E900" s="1786" t="s">
        <v>3929</v>
      </c>
      <c r="F900" s="1786" t="s">
        <v>2958</v>
      </c>
      <c r="G900" s="1786" t="s">
        <v>2959</v>
      </c>
      <c r="H900" s="1786" t="str">
        <f t="shared" si="146"/>
        <v>פעיל</v>
      </c>
      <c r="I900" s="1788">
        <f t="shared" si="147"/>
        <v>37885</v>
      </c>
      <c r="J900" s="1788" t="str">
        <f t="shared" si="148"/>
        <v/>
      </c>
      <c r="K900" s="1786">
        <v>0</v>
      </c>
      <c r="L900" s="1786" t="s">
        <v>1594</v>
      </c>
      <c r="M900" s="1786" t="s">
        <v>1653</v>
      </c>
      <c r="N900" s="1786" t="s">
        <v>1653</v>
      </c>
      <c r="O900" s="1786">
        <v>0</v>
      </c>
      <c r="P900" s="1786"/>
      <c r="Q900" s="1786">
        <v>0</v>
      </c>
      <c r="R900" s="1788"/>
      <c r="S900" s="1786">
        <f t="shared" si="149"/>
        <v>885</v>
      </c>
      <c r="T900" s="1786" t="str">
        <f t="shared" si="150"/>
        <v>ד.ס.ש ייעוץ ושירותים בע"מ</v>
      </c>
      <c r="U900" s="1786" t="str">
        <f t="shared" si="151"/>
        <v>מיטב דש פיצויים</v>
      </c>
      <c r="V900" s="1786" t="str">
        <f t="shared" si="152"/>
        <v>520043795</v>
      </c>
      <c r="W900" s="1789" t="str">
        <f t="shared" si="153"/>
        <v>מיטב דש גמל ופנסיה בע"מ</v>
      </c>
      <c r="AC900" s="1759" t="s">
        <v>346</v>
      </c>
      <c r="AD900" s="1759"/>
      <c r="AE900" s="1760">
        <v>37885</v>
      </c>
      <c r="AF900" s="1759" t="s">
        <v>1653</v>
      </c>
      <c r="AG900" s="1759" t="s">
        <v>1653</v>
      </c>
      <c r="AH900" s="1759" t="s">
        <v>1594</v>
      </c>
      <c r="AI900" s="1759" t="s">
        <v>3529</v>
      </c>
      <c r="AJ900" s="1759" t="s">
        <v>3528</v>
      </c>
      <c r="AK900" s="1759">
        <v>1107</v>
      </c>
      <c r="AL900" s="1759" t="s">
        <v>3298</v>
      </c>
      <c r="AM900" s="1759">
        <v>885</v>
      </c>
      <c r="AN900" s="1759" t="s">
        <v>5393</v>
      </c>
      <c r="AO900" s="1764"/>
      <c r="AP900" s="1759" t="s">
        <v>5373</v>
      </c>
      <c r="AQ900" s="1759" t="s">
        <v>5374</v>
      </c>
      <c r="AR900" s="1759" t="s">
        <v>2899</v>
      </c>
      <c r="AS900" s="1759" t="s">
        <v>349</v>
      </c>
      <c r="AT900" s="1759" t="s">
        <v>327</v>
      </c>
      <c r="AU900" s="1763"/>
      <c r="AV900" s="1763"/>
    </row>
    <row r="901" spans="1:48" ht="25" hidden="1">
      <c r="A901" s="1785" t="str">
        <f t="shared" si="143"/>
        <v>גמל</v>
      </c>
      <c r="B901" s="1786">
        <f t="shared" si="144"/>
        <v>950</v>
      </c>
      <c r="C901" s="1787">
        <v>28946</v>
      </c>
      <c r="D901" s="1786" t="str">
        <f t="shared" si="145"/>
        <v>מיטב מסלולית לפיצויים - מסלול צמוד מדד</v>
      </c>
      <c r="E901" s="1786" t="s">
        <v>3929</v>
      </c>
      <c r="F901" s="1786" t="s">
        <v>2958</v>
      </c>
      <c r="G901" s="1786" t="s">
        <v>2959</v>
      </c>
      <c r="H901" s="1786" t="str">
        <f t="shared" si="146"/>
        <v>לא פעיל</v>
      </c>
      <c r="I901" s="1788">
        <f t="shared" si="147"/>
        <v>37885</v>
      </c>
      <c r="J901" s="1788">
        <f t="shared" si="148"/>
        <v>41001.472233796303</v>
      </c>
      <c r="K901" s="1786">
        <v>0</v>
      </c>
      <c r="L901" s="1786" t="s">
        <v>1594</v>
      </c>
      <c r="M901" s="1786" t="s">
        <v>1653</v>
      </c>
      <c r="N901" s="1786" t="s">
        <v>1653</v>
      </c>
      <c r="O901" s="1786">
        <v>0</v>
      </c>
      <c r="P901" s="1786"/>
      <c r="Q901" s="1786">
        <v>0</v>
      </c>
      <c r="R901" s="1788"/>
      <c r="S901" s="1786">
        <f t="shared" si="149"/>
        <v>885</v>
      </c>
      <c r="T901" s="1786" t="str">
        <f t="shared" si="150"/>
        <v>ד.ס.ש ייעוץ ושירותים בע"מ</v>
      </c>
      <c r="U901" s="1786" t="str">
        <f t="shared" si="151"/>
        <v>מיטב מסלולית לפיצויים - רבת מסלולים</v>
      </c>
      <c r="V901" s="1786">
        <f t="shared" si="152"/>
        <v>0</v>
      </c>
      <c r="W901" s="1789" t="str">
        <f t="shared" si="153"/>
        <v>מיטב גמל ופנסיה בע"מ</v>
      </c>
      <c r="AC901" s="1761" t="s">
        <v>1586</v>
      </c>
      <c r="AD901" s="1762">
        <v>41001.472233796303</v>
      </c>
      <c r="AE901" s="1762">
        <v>37885</v>
      </c>
      <c r="AF901" s="1761" t="s">
        <v>1094</v>
      </c>
      <c r="AG901" s="1761" t="s">
        <v>1094</v>
      </c>
      <c r="AH901" s="1761" t="s">
        <v>1594</v>
      </c>
      <c r="AI901" s="1761" t="s">
        <v>3430</v>
      </c>
      <c r="AJ901" s="1761" t="s">
        <v>2169</v>
      </c>
      <c r="AK901" s="1761">
        <v>950</v>
      </c>
      <c r="AL901" s="1761" t="s">
        <v>626</v>
      </c>
      <c r="AM901" s="1761">
        <v>885</v>
      </c>
      <c r="AN901" s="1761" t="s">
        <v>5393</v>
      </c>
      <c r="AO901" s="1764"/>
      <c r="AP901" s="1761"/>
      <c r="AQ901" s="1761"/>
      <c r="AR901" s="1761" t="s">
        <v>365</v>
      </c>
      <c r="AS901" s="1761" t="s">
        <v>366</v>
      </c>
      <c r="AT901" s="1761" t="s">
        <v>327</v>
      </c>
      <c r="AU901" s="1763"/>
      <c r="AV901" s="1763"/>
    </row>
    <row r="902" spans="1:48" ht="25" hidden="1">
      <c r="A902" s="1785" t="str">
        <f t="shared" si="143"/>
        <v>גמל</v>
      </c>
      <c r="B902" s="1786">
        <f t="shared" si="144"/>
        <v>1528</v>
      </c>
      <c r="C902" s="1787">
        <v>28946</v>
      </c>
      <c r="D902" s="1786" t="str">
        <f t="shared" si="145"/>
        <v>מיטב דש פיצויים שקלי</v>
      </c>
      <c r="E902" s="1786" t="s">
        <v>3929</v>
      </c>
      <c r="F902" s="1786" t="s">
        <v>2958</v>
      </c>
      <c r="G902" s="1786" t="s">
        <v>2959</v>
      </c>
      <c r="H902" s="1786" t="str">
        <f t="shared" si="146"/>
        <v>פעיל</v>
      </c>
      <c r="I902" s="1788">
        <f t="shared" si="147"/>
        <v>37885</v>
      </c>
      <c r="J902" s="1788" t="str">
        <f t="shared" si="148"/>
        <v/>
      </c>
      <c r="K902" s="1786">
        <v>0</v>
      </c>
      <c r="L902" s="1786" t="s">
        <v>1594</v>
      </c>
      <c r="M902" s="1786" t="s">
        <v>1653</v>
      </c>
      <c r="N902" s="1786" t="s">
        <v>1653</v>
      </c>
      <c r="O902" s="1786">
        <v>0</v>
      </c>
      <c r="P902" s="1786"/>
      <c r="Q902" s="1786">
        <v>0</v>
      </c>
      <c r="R902" s="1788"/>
      <c r="S902" s="1786">
        <f t="shared" si="149"/>
        <v>885</v>
      </c>
      <c r="T902" s="1786" t="str">
        <f t="shared" si="150"/>
        <v>ד.ס.ש ייעוץ ושירותים בע"מ</v>
      </c>
      <c r="U902" s="1786" t="str">
        <f t="shared" si="151"/>
        <v>מיטב דש פיצויים</v>
      </c>
      <c r="V902" s="1786" t="str">
        <f t="shared" si="152"/>
        <v>520043795</v>
      </c>
      <c r="W902" s="1789" t="str">
        <f t="shared" si="153"/>
        <v>מיטב דש גמל ופנסיה בע"מ</v>
      </c>
      <c r="AC902" s="1759" t="s">
        <v>346</v>
      </c>
      <c r="AD902" s="1759"/>
      <c r="AE902" s="1760">
        <v>37885</v>
      </c>
      <c r="AF902" s="1759" t="s">
        <v>1076</v>
      </c>
      <c r="AG902" s="1759" t="s">
        <v>1614</v>
      </c>
      <c r="AH902" s="1759" t="s">
        <v>1594</v>
      </c>
      <c r="AI902" s="1759" t="s">
        <v>3675</v>
      </c>
      <c r="AJ902" s="1759" t="s">
        <v>3675</v>
      </c>
      <c r="AK902" s="1759">
        <v>1528</v>
      </c>
      <c r="AL902" s="1759" t="s">
        <v>3298</v>
      </c>
      <c r="AM902" s="1759">
        <v>885</v>
      </c>
      <c r="AN902" s="1759" t="s">
        <v>5393</v>
      </c>
      <c r="AO902" s="1764"/>
      <c r="AP902" s="1759" t="s">
        <v>5373</v>
      </c>
      <c r="AQ902" s="1759" t="s">
        <v>5374</v>
      </c>
      <c r="AR902" s="1759" t="s">
        <v>2899</v>
      </c>
      <c r="AS902" s="1759" t="s">
        <v>349</v>
      </c>
      <c r="AT902" s="1759" t="s">
        <v>327</v>
      </c>
      <c r="AU902" s="1763"/>
      <c r="AV902" s="1763"/>
    </row>
    <row r="903" spans="1:48" ht="25" hidden="1">
      <c r="A903" s="1785" t="str">
        <f t="shared" si="143"/>
        <v>גמל</v>
      </c>
      <c r="B903" s="1786">
        <f t="shared" si="144"/>
        <v>886</v>
      </c>
      <c r="C903" s="1787">
        <v>28946</v>
      </c>
      <c r="D903" s="1786" t="str">
        <f t="shared" si="145"/>
        <v>מיטב דש פיצויים - כללי</v>
      </c>
      <c r="E903" s="1786" t="s">
        <v>3929</v>
      </c>
      <c r="F903" s="1786" t="s">
        <v>2958</v>
      </c>
      <c r="G903" s="1786" t="s">
        <v>2959</v>
      </c>
      <c r="H903" s="1786" t="str">
        <f t="shared" si="146"/>
        <v>פעיל</v>
      </c>
      <c r="I903" s="1788">
        <f t="shared" si="147"/>
        <v>37885</v>
      </c>
      <c r="J903" s="1788" t="str">
        <f t="shared" si="148"/>
        <v/>
      </c>
      <c r="K903" s="1786">
        <v>0</v>
      </c>
      <c r="L903" s="1786" t="s">
        <v>1594</v>
      </c>
      <c r="M903" s="1786" t="s">
        <v>1653</v>
      </c>
      <c r="N903" s="1786" t="s">
        <v>1653</v>
      </c>
      <c r="O903" s="1786">
        <v>0</v>
      </c>
      <c r="P903" s="1786"/>
      <c r="Q903" s="1786">
        <v>0</v>
      </c>
      <c r="R903" s="1788"/>
      <c r="S903" s="1786">
        <f t="shared" si="149"/>
        <v>885</v>
      </c>
      <c r="T903" s="1786" t="str">
        <f t="shared" si="150"/>
        <v>ד.ס.ש ייעוץ ושירותים בע"מ</v>
      </c>
      <c r="U903" s="1786" t="str">
        <f t="shared" si="151"/>
        <v>מיטב דש פיצויים</v>
      </c>
      <c r="V903" s="1786" t="str">
        <f t="shared" si="152"/>
        <v>520043795</v>
      </c>
      <c r="W903" s="1789" t="str">
        <f t="shared" si="153"/>
        <v>מיטב דש גמל ופנסיה בע"מ</v>
      </c>
      <c r="AC903" s="1761" t="s">
        <v>346</v>
      </c>
      <c r="AD903" s="1759"/>
      <c r="AE903" s="1762">
        <v>37885</v>
      </c>
      <c r="AF903" s="1761" t="s">
        <v>1583</v>
      </c>
      <c r="AG903" s="1761" t="s">
        <v>1583</v>
      </c>
      <c r="AH903" s="1761" t="s">
        <v>1583</v>
      </c>
      <c r="AI903" s="1761" t="s">
        <v>3372</v>
      </c>
      <c r="AJ903" s="1761" t="s">
        <v>3372</v>
      </c>
      <c r="AK903" s="1761">
        <v>886</v>
      </c>
      <c r="AL903" s="1761" t="s">
        <v>3298</v>
      </c>
      <c r="AM903" s="1761">
        <v>885</v>
      </c>
      <c r="AN903" s="1761" t="s">
        <v>5393</v>
      </c>
      <c r="AO903" s="1764"/>
      <c r="AP903" s="1761" t="s">
        <v>5373</v>
      </c>
      <c r="AQ903" s="1761" t="s">
        <v>5374</v>
      </c>
      <c r="AR903" s="1761" t="s">
        <v>2899</v>
      </c>
      <c r="AS903" s="1761" t="s">
        <v>349</v>
      </c>
      <c r="AT903" s="1761" t="s">
        <v>327</v>
      </c>
      <c r="AU903" s="1763"/>
      <c r="AV903" s="1763"/>
    </row>
    <row r="904" spans="1:48" ht="25" hidden="1">
      <c r="A904" s="1785" t="str">
        <f t="shared" si="143"/>
        <v>גמל</v>
      </c>
      <c r="B904" s="1786">
        <f t="shared" si="144"/>
        <v>1528</v>
      </c>
      <c r="C904" s="1787">
        <v>28946</v>
      </c>
      <c r="D904" s="1786" t="str">
        <f t="shared" si="145"/>
        <v>מיטב דש פיצויים שקלי</v>
      </c>
      <c r="E904" s="1786" t="s">
        <v>3929</v>
      </c>
      <c r="F904" s="1786" t="s">
        <v>2958</v>
      </c>
      <c r="G904" s="1786" t="s">
        <v>2959</v>
      </c>
      <c r="H904" s="1786" t="str">
        <f t="shared" si="146"/>
        <v>פעיל</v>
      </c>
      <c r="I904" s="1788">
        <f t="shared" si="147"/>
        <v>37885</v>
      </c>
      <c r="J904" s="1788" t="str">
        <f t="shared" si="148"/>
        <v/>
      </c>
      <c r="K904" s="1786">
        <v>0</v>
      </c>
      <c r="L904" s="1786" t="s">
        <v>1594</v>
      </c>
      <c r="M904" s="1786" t="s">
        <v>1653</v>
      </c>
      <c r="N904" s="1786" t="s">
        <v>1653</v>
      </c>
      <c r="O904" s="1786">
        <v>0</v>
      </c>
      <c r="P904" s="1786"/>
      <c r="Q904" s="1786">
        <v>0</v>
      </c>
      <c r="R904" s="1788"/>
      <c r="S904" s="1786">
        <f t="shared" si="149"/>
        <v>885</v>
      </c>
      <c r="T904" s="1786" t="str">
        <f t="shared" si="150"/>
        <v>ד.ס.ש ייעוץ ושירותים בע"מ</v>
      </c>
      <c r="U904" s="1786" t="str">
        <f t="shared" si="151"/>
        <v>מיטב דש פיצויים</v>
      </c>
      <c r="V904" s="1786" t="str">
        <f t="shared" si="152"/>
        <v>520043795</v>
      </c>
      <c r="W904" s="1789" t="str">
        <f t="shared" si="153"/>
        <v>מיטב דש גמל ופנסיה בע"מ</v>
      </c>
      <c r="AC904" s="1759" t="s">
        <v>346</v>
      </c>
      <c r="AD904" s="1759"/>
      <c r="AE904" s="1760">
        <v>37885</v>
      </c>
      <c r="AF904" s="1759" t="s">
        <v>1076</v>
      </c>
      <c r="AG904" s="1759" t="s">
        <v>1614</v>
      </c>
      <c r="AH904" s="1759" t="s">
        <v>1594</v>
      </c>
      <c r="AI904" s="1759" t="s">
        <v>3675</v>
      </c>
      <c r="AJ904" s="1759" t="s">
        <v>3675</v>
      </c>
      <c r="AK904" s="1759">
        <v>1528</v>
      </c>
      <c r="AL904" s="1759" t="s">
        <v>3298</v>
      </c>
      <c r="AM904" s="1759">
        <v>885</v>
      </c>
      <c r="AN904" s="1759" t="s">
        <v>5393</v>
      </c>
      <c r="AO904" s="1764"/>
      <c r="AP904" s="1759" t="s">
        <v>5373</v>
      </c>
      <c r="AQ904" s="1759" t="s">
        <v>5374</v>
      </c>
      <c r="AR904" s="1759" t="s">
        <v>2899</v>
      </c>
      <c r="AS904" s="1759" t="s">
        <v>349</v>
      </c>
      <c r="AT904" s="1759" t="s">
        <v>327</v>
      </c>
      <c r="AU904" s="1763"/>
      <c r="AV904" s="1763"/>
    </row>
    <row r="905" spans="1:48" ht="25" hidden="1">
      <c r="A905" s="1785" t="str">
        <f t="shared" si="143"/>
        <v>גמל</v>
      </c>
      <c r="B905" s="1786">
        <f t="shared" si="144"/>
        <v>769</v>
      </c>
      <c r="C905" s="1787">
        <v>28946</v>
      </c>
      <c r="D905" s="1786" t="str">
        <f t="shared" si="145"/>
        <v>מיטב דש פיצויים שוהם כהלכה</v>
      </c>
      <c r="E905" s="1786" t="s">
        <v>3929</v>
      </c>
      <c r="F905" s="1786" t="s">
        <v>2958</v>
      </c>
      <c r="G905" s="1786" t="s">
        <v>2959</v>
      </c>
      <c r="H905" s="1786" t="str">
        <f t="shared" si="146"/>
        <v>פעיל</v>
      </c>
      <c r="I905" s="1788">
        <f t="shared" si="147"/>
        <v>37885</v>
      </c>
      <c r="J905" s="1788" t="str">
        <f t="shared" si="148"/>
        <v/>
      </c>
      <c r="K905" s="1786">
        <v>0</v>
      </c>
      <c r="L905" s="1786" t="s">
        <v>1594</v>
      </c>
      <c r="M905" s="1786" t="s">
        <v>1653</v>
      </c>
      <c r="N905" s="1786" t="s">
        <v>1653</v>
      </c>
      <c r="O905" s="1786">
        <v>0</v>
      </c>
      <c r="P905" s="1786"/>
      <c r="Q905" s="1786">
        <v>0</v>
      </c>
      <c r="R905" s="1788"/>
      <c r="S905" s="1786">
        <f t="shared" si="149"/>
        <v>885</v>
      </c>
      <c r="T905" s="1786" t="str">
        <f t="shared" si="150"/>
        <v>ד.ס.ש ייעוץ ושירותים בע"מ</v>
      </c>
      <c r="U905" s="1786" t="str">
        <f t="shared" si="151"/>
        <v>מיטב דש פיצויים</v>
      </c>
      <c r="V905" s="1786" t="str">
        <f t="shared" si="152"/>
        <v>520043795</v>
      </c>
      <c r="W905" s="1789" t="str">
        <f t="shared" si="153"/>
        <v>מיטב דש גמל ופנסיה בע"מ</v>
      </c>
      <c r="AC905" s="1761" t="s">
        <v>346</v>
      </c>
      <c r="AD905" s="1761"/>
      <c r="AE905" s="1762">
        <v>37885</v>
      </c>
      <c r="AF905" s="1761" t="s">
        <v>4603</v>
      </c>
      <c r="AG905" s="1761" t="s">
        <v>2029</v>
      </c>
      <c r="AH905" s="1761" t="s">
        <v>2028</v>
      </c>
      <c r="AI905" s="1761" t="s">
        <v>3297</v>
      </c>
      <c r="AJ905" s="1761" t="s">
        <v>3297</v>
      </c>
      <c r="AK905" s="1761">
        <v>769</v>
      </c>
      <c r="AL905" s="1761" t="s">
        <v>3298</v>
      </c>
      <c r="AM905" s="1761">
        <v>885</v>
      </c>
      <c r="AN905" s="1761" t="s">
        <v>5393</v>
      </c>
      <c r="AO905" s="1764"/>
      <c r="AP905" s="1761" t="s">
        <v>5373</v>
      </c>
      <c r="AQ905" s="1761" t="s">
        <v>5374</v>
      </c>
      <c r="AR905" s="1761" t="s">
        <v>2899</v>
      </c>
      <c r="AS905" s="1761" t="s">
        <v>349</v>
      </c>
      <c r="AT905" s="1761" t="s">
        <v>327</v>
      </c>
      <c r="AU905" s="1763"/>
      <c r="AV905" s="1763"/>
    </row>
    <row r="906" spans="1:48" ht="25" hidden="1">
      <c r="A906" s="1785" t="str">
        <f t="shared" si="143"/>
        <v>גמל</v>
      </c>
      <c r="B906" s="1786">
        <f t="shared" si="144"/>
        <v>769</v>
      </c>
      <c r="C906" s="1787">
        <v>28946</v>
      </c>
      <c r="D906" s="1786" t="str">
        <f t="shared" si="145"/>
        <v>מיטב דש פיצויים שוהם כהלכה</v>
      </c>
      <c r="E906" s="1786" t="s">
        <v>3929</v>
      </c>
      <c r="F906" s="1786" t="s">
        <v>2958</v>
      </c>
      <c r="G906" s="1786" t="s">
        <v>2959</v>
      </c>
      <c r="H906" s="1786" t="str">
        <f t="shared" si="146"/>
        <v>פעיל</v>
      </c>
      <c r="I906" s="1788">
        <f t="shared" si="147"/>
        <v>37885</v>
      </c>
      <c r="J906" s="1788" t="str">
        <f t="shared" si="148"/>
        <v/>
      </c>
      <c r="K906" s="1786">
        <v>0</v>
      </c>
      <c r="L906" s="1786" t="s">
        <v>1594</v>
      </c>
      <c r="M906" s="1786" t="s">
        <v>1653</v>
      </c>
      <c r="N906" s="1786" t="s">
        <v>1653</v>
      </c>
      <c r="O906" s="1786">
        <v>0</v>
      </c>
      <c r="P906" s="1786"/>
      <c r="Q906" s="1786">
        <v>0</v>
      </c>
      <c r="R906" s="1788"/>
      <c r="S906" s="1786">
        <f t="shared" si="149"/>
        <v>885</v>
      </c>
      <c r="T906" s="1786" t="str">
        <f t="shared" si="150"/>
        <v>ד.ס.ש ייעוץ ושירותים בע"מ</v>
      </c>
      <c r="U906" s="1786" t="str">
        <f t="shared" si="151"/>
        <v>מיטב דש פיצויים</v>
      </c>
      <c r="V906" s="1786" t="str">
        <f t="shared" si="152"/>
        <v>520043795</v>
      </c>
      <c r="W906" s="1789" t="str">
        <f t="shared" si="153"/>
        <v>מיטב דש גמל ופנסיה בע"מ</v>
      </c>
      <c r="AC906" s="1759" t="s">
        <v>346</v>
      </c>
      <c r="AD906" s="1759"/>
      <c r="AE906" s="1760">
        <v>37885</v>
      </c>
      <c r="AF906" s="1759" t="s">
        <v>4603</v>
      </c>
      <c r="AG906" s="1759" t="s">
        <v>2029</v>
      </c>
      <c r="AH906" s="1759" t="s">
        <v>2028</v>
      </c>
      <c r="AI906" s="1759" t="s">
        <v>3297</v>
      </c>
      <c r="AJ906" s="1759" t="s">
        <v>3297</v>
      </c>
      <c r="AK906" s="1759">
        <v>769</v>
      </c>
      <c r="AL906" s="1759" t="s">
        <v>3298</v>
      </c>
      <c r="AM906" s="1759">
        <v>885</v>
      </c>
      <c r="AN906" s="1759" t="s">
        <v>5393</v>
      </c>
      <c r="AO906" s="1764"/>
      <c r="AP906" s="1759" t="s">
        <v>5373</v>
      </c>
      <c r="AQ906" s="1759" t="s">
        <v>5374</v>
      </c>
      <c r="AR906" s="1759" t="s">
        <v>2899</v>
      </c>
      <c r="AS906" s="1759" t="s">
        <v>349</v>
      </c>
      <c r="AT906" s="1759" t="s">
        <v>327</v>
      </c>
      <c r="AU906" s="1763"/>
      <c r="AV906" s="1763"/>
    </row>
    <row r="907" spans="1:48" ht="25" hidden="1">
      <c r="A907" s="1785" t="str">
        <f t="shared" si="143"/>
        <v>גמל</v>
      </c>
      <c r="B907" s="1786">
        <f t="shared" si="144"/>
        <v>885</v>
      </c>
      <c r="C907" s="1787">
        <v>28946</v>
      </c>
      <c r="D907" s="1786" t="str">
        <f t="shared" si="145"/>
        <v>מיטב דש פיצויים - רבת מסלולים</v>
      </c>
      <c r="E907" s="1786" t="s">
        <v>3929</v>
      </c>
      <c r="F907" s="1786" t="s">
        <v>2958</v>
      </c>
      <c r="G907" s="1786" t="s">
        <v>2959</v>
      </c>
      <c r="H907" s="1786" t="str">
        <f t="shared" si="146"/>
        <v>פעיל</v>
      </c>
      <c r="I907" s="1788">
        <f t="shared" si="147"/>
        <v>37885</v>
      </c>
      <c r="J907" s="1788" t="str">
        <f t="shared" si="148"/>
        <v/>
      </c>
      <c r="K907" s="1786">
        <v>0</v>
      </c>
      <c r="L907" s="1786" t="s">
        <v>1594</v>
      </c>
      <c r="M907" s="1786" t="s">
        <v>1653</v>
      </c>
      <c r="N907" s="1786" t="s">
        <v>1653</v>
      </c>
      <c r="O907" s="1786">
        <v>0</v>
      </c>
      <c r="P907" s="1786"/>
      <c r="Q907" s="1786">
        <v>0</v>
      </c>
      <c r="R907" s="1788"/>
      <c r="S907" s="1786">
        <f t="shared" si="149"/>
        <v>885</v>
      </c>
      <c r="T907" s="1786" t="str">
        <f t="shared" si="150"/>
        <v>ד.ס.ש ייעוץ ושירותים בע"מ</v>
      </c>
      <c r="U907" s="1786" t="str">
        <f t="shared" si="151"/>
        <v>מיטב דש פיצויים</v>
      </c>
      <c r="V907" s="1786" t="str">
        <f t="shared" si="152"/>
        <v>520043795</v>
      </c>
      <c r="W907" s="1789" t="str">
        <f t="shared" si="153"/>
        <v>מיטב דש גמל ופנסיה בע"מ</v>
      </c>
      <c r="AC907" s="1761" t="s">
        <v>346</v>
      </c>
      <c r="AD907" s="1761"/>
      <c r="AE907" s="1762">
        <v>37885</v>
      </c>
      <c r="AF907" s="1761"/>
      <c r="AG907" s="1761"/>
      <c r="AH907" s="1761" t="s">
        <v>1812</v>
      </c>
      <c r="AI907" s="1761" t="s">
        <v>3371</v>
      </c>
      <c r="AJ907" s="1761" t="s">
        <v>3371</v>
      </c>
      <c r="AK907" s="1761">
        <v>885</v>
      </c>
      <c r="AL907" s="1761" t="s">
        <v>3298</v>
      </c>
      <c r="AM907" s="1761">
        <v>885</v>
      </c>
      <c r="AN907" s="1761" t="s">
        <v>5393</v>
      </c>
      <c r="AO907" s="1764"/>
      <c r="AP907" s="1761" t="s">
        <v>5373</v>
      </c>
      <c r="AQ907" s="1761" t="s">
        <v>5374</v>
      </c>
      <c r="AR907" s="1761" t="s">
        <v>2899</v>
      </c>
      <c r="AS907" s="1761" t="s">
        <v>349</v>
      </c>
      <c r="AT907" s="1761" t="s">
        <v>327</v>
      </c>
      <c r="AU907" s="1763"/>
      <c r="AV907" s="1763"/>
    </row>
    <row r="908" spans="1:48" ht="25" hidden="1">
      <c r="A908" s="1785" t="str">
        <f t="shared" si="143"/>
        <v>גמל</v>
      </c>
      <c r="B908" s="1786">
        <f t="shared" si="144"/>
        <v>886</v>
      </c>
      <c r="C908" s="1787">
        <v>28946</v>
      </c>
      <c r="D908" s="1786" t="str">
        <f t="shared" si="145"/>
        <v>מיטב דש פיצויים - כללי</v>
      </c>
      <c r="E908" s="1786" t="s">
        <v>3929</v>
      </c>
      <c r="F908" s="1786" t="s">
        <v>2958</v>
      </c>
      <c r="G908" s="1786" t="s">
        <v>2959</v>
      </c>
      <c r="H908" s="1786" t="str">
        <f t="shared" si="146"/>
        <v>פעיל</v>
      </c>
      <c r="I908" s="1788">
        <f t="shared" si="147"/>
        <v>37885</v>
      </c>
      <c r="J908" s="1788" t="str">
        <f t="shared" si="148"/>
        <v/>
      </c>
      <c r="K908" s="1786">
        <v>0</v>
      </c>
      <c r="L908" s="1786" t="s">
        <v>1594</v>
      </c>
      <c r="M908" s="1786" t="s">
        <v>1653</v>
      </c>
      <c r="N908" s="1786" t="s">
        <v>1653</v>
      </c>
      <c r="O908" s="1786">
        <v>0</v>
      </c>
      <c r="P908" s="1786"/>
      <c r="Q908" s="1786">
        <v>0</v>
      </c>
      <c r="R908" s="1788"/>
      <c r="S908" s="1786">
        <f t="shared" si="149"/>
        <v>885</v>
      </c>
      <c r="T908" s="1786" t="str">
        <f t="shared" si="150"/>
        <v>ד.ס.ש ייעוץ ושירותים בע"מ</v>
      </c>
      <c r="U908" s="1786" t="str">
        <f t="shared" si="151"/>
        <v>מיטב דש פיצויים</v>
      </c>
      <c r="V908" s="1786" t="str">
        <f t="shared" si="152"/>
        <v>520043795</v>
      </c>
      <c r="W908" s="1789" t="str">
        <f t="shared" si="153"/>
        <v>מיטב דש גמל ופנסיה בע"מ</v>
      </c>
      <c r="AC908" s="1759" t="s">
        <v>346</v>
      </c>
      <c r="AD908" s="1759"/>
      <c r="AE908" s="1760">
        <v>37885</v>
      </c>
      <c r="AF908" s="1759" t="s">
        <v>1583</v>
      </c>
      <c r="AG908" s="1759" t="s">
        <v>1583</v>
      </c>
      <c r="AH908" s="1759" t="s">
        <v>1583</v>
      </c>
      <c r="AI908" s="1759" t="s">
        <v>3372</v>
      </c>
      <c r="AJ908" s="1759" t="s">
        <v>3372</v>
      </c>
      <c r="AK908" s="1759">
        <v>886</v>
      </c>
      <c r="AL908" s="1759" t="s">
        <v>3298</v>
      </c>
      <c r="AM908" s="1759">
        <v>885</v>
      </c>
      <c r="AN908" s="1759" t="s">
        <v>5393</v>
      </c>
      <c r="AO908" s="1764"/>
      <c r="AP908" s="1759" t="s">
        <v>5373</v>
      </c>
      <c r="AQ908" s="1759" t="s">
        <v>5374</v>
      </c>
      <c r="AR908" s="1759" t="s">
        <v>2899</v>
      </c>
      <c r="AS908" s="1759" t="s">
        <v>349</v>
      </c>
      <c r="AT908" s="1759" t="s">
        <v>327</v>
      </c>
      <c r="AU908" s="1763"/>
      <c r="AV908" s="1763"/>
    </row>
    <row r="909" spans="1:48" ht="25" hidden="1">
      <c r="A909" s="1785" t="str">
        <f t="shared" si="143"/>
        <v>גמל</v>
      </c>
      <c r="B909" s="1786">
        <f t="shared" si="144"/>
        <v>885</v>
      </c>
      <c r="C909" s="1787">
        <v>28946</v>
      </c>
      <c r="D909" s="1786" t="str">
        <f t="shared" si="145"/>
        <v>מיטב דש פיצויים - רבת מסלולים</v>
      </c>
      <c r="E909" s="1786" t="s">
        <v>3929</v>
      </c>
      <c r="F909" s="1786" t="s">
        <v>2958</v>
      </c>
      <c r="G909" s="1786" t="s">
        <v>2959</v>
      </c>
      <c r="H909" s="1786" t="str">
        <f t="shared" si="146"/>
        <v>פעיל</v>
      </c>
      <c r="I909" s="1788">
        <f t="shared" si="147"/>
        <v>37885</v>
      </c>
      <c r="J909" s="1788" t="str">
        <f t="shared" si="148"/>
        <v/>
      </c>
      <c r="K909" s="1786">
        <v>0</v>
      </c>
      <c r="L909" s="1786" t="s">
        <v>1594</v>
      </c>
      <c r="M909" s="1786" t="s">
        <v>1653</v>
      </c>
      <c r="N909" s="1786" t="s">
        <v>1653</v>
      </c>
      <c r="O909" s="1786">
        <v>0</v>
      </c>
      <c r="P909" s="1786"/>
      <c r="Q909" s="1786">
        <v>0</v>
      </c>
      <c r="R909" s="1788"/>
      <c r="S909" s="1786">
        <f t="shared" si="149"/>
        <v>885</v>
      </c>
      <c r="T909" s="1786" t="str">
        <f t="shared" si="150"/>
        <v>ד.ס.ש ייעוץ ושירותים בע"מ</v>
      </c>
      <c r="U909" s="1786" t="str">
        <f t="shared" si="151"/>
        <v>מיטב דש פיצויים</v>
      </c>
      <c r="V909" s="1786" t="str">
        <f t="shared" si="152"/>
        <v>520043795</v>
      </c>
      <c r="W909" s="1789" t="str">
        <f t="shared" si="153"/>
        <v>מיטב דש גמל ופנסיה בע"מ</v>
      </c>
      <c r="AC909" s="1761" t="s">
        <v>346</v>
      </c>
      <c r="AD909" s="1761"/>
      <c r="AE909" s="1762">
        <v>37885</v>
      </c>
      <c r="AF909" s="1761"/>
      <c r="AG909" s="1761"/>
      <c r="AH909" s="1761" t="s">
        <v>1812</v>
      </c>
      <c r="AI909" s="1761" t="s">
        <v>3371</v>
      </c>
      <c r="AJ909" s="1761" t="s">
        <v>3371</v>
      </c>
      <c r="AK909" s="1761">
        <v>885</v>
      </c>
      <c r="AL909" s="1761" t="s">
        <v>3298</v>
      </c>
      <c r="AM909" s="1761">
        <v>885</v>
      </c>
      <c r="AN909" s="1761" t="s">
        <v>5393</v>
      </c>
      <c r="AO909" s="1764"/>
      <c r="AP909" s="1761" t="s">
        <v>5373</v>
      </c>
      <c r="AQ909" s="1761" t="s">
        <v>5374</v>
      </c>
      <c r="AR909" s="1761" t="s">
        <v>2899</v>
      </c>
      <c r="AS909" s="1761" t="s">
        <v>349</v>
      </c>
      <c r="AT909" s="1761" t="s">
        <v>327</v>
      </c>
      <c r="AU909" s="1763"/>
      <c r="AV909" s="1763"/>
    </row>
    <row r="910" spans="1:48" ht="25" hidden="1">
      <c r="A910" s="1785" t="str">
        <f t="shared" si="143"/>
        <v>גמל</v>
      </c>
      <c r="B910" s="1786">
        <f t="shared" si="144"/>
        <v>768</v>
      </c>
      <c r="C910" s="1787">
        <v>28946</v>
      </c>
      <c r="D910" s="1786" t="str">
        <f t="shared" si="145"/>
        <v>מיטב דש השתלמות הלכה</v>
      </c>
      <c r="E910" s="1786" t="s">
        <v>3929</v>
      </c>
      <c r="F910" s="1786" t="s">
        <v>2958</v>
      </c>
      <c r="G910" s="1786" t="s">
        <v>2959</v>
      </c>
      <c r="H910" s="1786" t="str">
        <f t="shared" si="146"/>
        <v>פעיל</v>
      </c>
      <c r="I910" s="1788">
        <f t="shared" si="147"/>
        <v>37885</v>
      </c>
      <c r="J910" s="1788" t="str">
        <f t="shared" si="148"/>
        <v/>
      </c>
      <c r="K910" s="1786">
        <v>0</v>
      </c>
      <c r="L910" s="1786" t="s">
        <v>1594</v>
      </c>
      <c r="M910" s="1786" t="s">
        <v>1653</v>
      </c>
      <c r="N910" s="1786" t="s">
        <v>1653</v>
      </c>
      <c r="O910" s="1786">
        <v>0</v>
      </c>
      <c r="P910" s="1786"/>
      <c r="Q910" s="1786">
        <v>0</v>
      </c>
      <c r="R910" s="1788"/>
      <c r="S910" s="1786">
        <f t="shared" si="149"/>
        <v>880</v>
      </c>
      <c r="T910" s="1786" t="str">
        <f t="shared" si="150"/>
        <v>בנק מזרחי טפחות בע"מ</v>
      </c>
      <c r="U910" s="1786" t="str">
        <f t="shared" si="151"/>
        <v xml:space="preserve">מיטב דש השתלמות </v>
      </c>
      <c r="V910" s="1786" t="str">
        <f t="shared" si="152"/>
        <v>520043795</v>
      </c>
      <c r="W910" s="1789" t="str">
        <f t="shared" si="153"/>
        <v>מיטב דש גמל ופנסיה בע"מ</v>
      </c>
      <c r="AC910" s="1759" t="s">
        <v>346</v>
      </c>
      <c r="AD910" s="1759"/>
      <c r="AE910" s="1760">
        <v>37885</v>
      </c>
      <c r="AF910" s="1759" t="s">
        <v>4603</v>
      </c>
      <c r="AG910" s="1759" t="s">
        <v>2029</v>
      </c>
      <c r="AH910" s="1759" t="s">
        <v>2028</v>
      </c>
      <c r="AI910" s="1759" t="s">
        <v>3989</v>
      </c>
      <c r="AJ910" s="1759" t="s">
        <v>3988</v>
      </c>
      <c r="AK910" s="1759">
        <v>768</v>
      </c>
      <c r="AL910" s="1759" t="s">
        <v>3960</v>
      </c>
      <c r="AM910" s="1759">
        <v>880</v>
      </c>
      <c r="AN910" s="1759" t="s">
        <v>5370</v>
      </c>
      <c r="AO910" s="1764"/>
      <c r="AP910" s="1759" t="s">
        <v>5373</v>
      </c>
      <c r="AQ910" s="1759" t="s">
        <v>5374</v>
      </c>
      <c r="AR910" s="1759" t="s">
        <v>2899</v>
      </c>
      <c r="AS910" s="1759" t="s">
        <v>349</v>
      </c>
      <c r="AT910" s="1759" t="s">
        <v>327</v>
      </c>
      <c r="AU910" s="1763"/>
      <c r="AV910" s="1763"/>
    </row>
    <row r="911" spans="1:48" ht="25" hidden="1">
      <c r="A911" s="1785" t="str">
        <f t="shared" si="143"/>
        <v>גמל</v>
      </c>
      <c r="B911" s="1786">
        <f t="shared" si="144"/>
        <v>768</v>
      </c>
      <c r="C911" s="1787">
        <v>28946</v>
      </c>
      <c r="D911" s="1786" t="str">
        <f t="shared" si="145"/>
        <v>מיטב דש השתלמות הלכה</v>
      </c>
      <c r="E911" s="1786" t="s">
        <v>3929</v>
      </c>
      <c r="F911" s="1786" t="s">
        <v>2958</v>
      </c>
      <c r="G911" s="1786" t="s">
        <v>2959</v>
      </c>
      <c r="H911" s="1786" t="str">
        <f t="shared" si="146"/>
        <v>פעיל</v>
      </c>
      <c r="I911" s="1788">
        <f t="shared" si="147"/>
        <v>37885</v>
      </c>
      <c r="J911" s="1788" t="str">
        <f t="shared" si="148"/>
        <v/>
      </c>
      <c r="K911" s="1786">
        <v>0</v>
      </c>
      <c r="L911" s="1786" t="s">
        <v>1594</v>
      </c>
      <c r="M911" s="1786" t="s">
        <v>1653</v>
      </c>
      <c r="N911" s="1786" t="s">
        <v>1653</v>
      </c>
      <c r="O911" s="1786">
        <v>0</v>
      </c>
      <c r="P911" s="1786"/>
      <c r="Q911" s="1786">
        <v>0</v>
      </c>
      <c r="R911" s="1788"/>
      <c r="S911" s="1786">
        <f t="shared" si="149"/>
        <v>880</v>
      </c>
      <c r="T911" s="1786" t="str">
        <f t="shared" si="150"/>
        <v>בנק מזרחי טפחות בע"מ</v>
      </c>
      <c r="U911" s="1786" t="str">
        <f t="shared" si="151"/>
        <v xml:space="preserve">מיטב דש השתלמות </v>
      </c>
      <c r="V911" s="1786" t="str">
        <f t="shared" si="152"/>
        <v>520043795</v>
      </c>
      <c r="W911" s="1789" t="str">
        <f t="shared" si="153"/>
        <v>מיטב דש גמל ופנסיה בע"מ</v>
      </c>
      <c r="AC911" s="1761" t="s">
        <v>346</v>
      </c>
      <c r="AD911" s="1761"/>
      <c r="AE911" s="1762">
        <v>37885</v>
      </c>
      <c r="AF911" s="1761" t="s">
        <v>4603</v>
      </c>
      <c r="AG911" s="1761" t="s">
        <v>2029</v>
      </c>
      <c r="AH911" s="1761" t="s">
        <v>2028</v>
      </c>
      <c r="AI911" s="1761" t="s">
        <v>3989</v>
      </c>
      <c r="AJ911" s="1761" t="s">
        <v>3988</v>
      </c>
      <c r="AK911" s="1761">
        <v>768</v>
      </c>
      <c r="AL911" s="1761" t="s">
        <v>3960</v>
      </c>
      <c r="AM911" s="1761">
        <v>880</v>
      </c>
      <c r="AN911" s="1761" t="s">
        <v>5370</v>
      </c>
      <c r="AO911" s="1764"/>
      <c r="AP911" s="1761" t="s">
        <v>5373</v>
      </c>
      <c r="AQ911" s="1761" t="s">
        <v>5374</v>
      </c>
      <c r="AR911" s="1761" t="s">
        <v>2899</v>
      </c>
      <c r="AS911" s="1761" t="s">
        <v>349</v>
      </c>
      <c r="AT911" s="1761" t="s">
        <v>327</v>
      </c>
      <c r="AU911" s="1763"/>
      <c r="AV911" s="1763"/>
    </row>
    <row r="912" spans="1:48" ht="25" hidden="1">
      <c r="A912" s="1785" t="str">
        <f t="shared" si="143"/>
        <v>גמל</v>
      </c>
      <c r="B912" s="1786">
        <f t="shared" si="144"/>
        <v>643</v>
      </c>
      <c r="C912" s="1787">
        <v>28946</v>
      </c>
      <c r="D912" s="1786" t="str">
        <f t="shared" si="145"/>
        <v>מיטב דש השתלמות חכם עד 3 שנות וותק</v>
      </c>
      <c r="E912" s="1786" t="s">
        <v>3929</v>
      </c>
      <c r="F912" s="1786" t="s">
        <v>2958</v>
      </c>
      <c r="G912" s="1786" t="s">
        <v>2959</v>
      </c>
      <c r="H912" s="1786" t="str">
        <f t="shared" si="146"/>
        <v>לא פעיל</v>
      </c>
      <c r="I912" s="1788">
        <f t="shared" si="147"/>
        <v>37885</v>
      </c>
      <c r="J912" s="1788">
        <f t="shared" si="148"/>
        <v>42379.3585185185</v>
      </c>
      <c r="K912" s="1786">
        <v>0</v>
      </c>
      <c r="L912" s="1786" t="s">
        <v>1594</v>
      </c>
      <c r="M912" s="1786" t="s">
        <v>1653</v>
      </c>
      <c r="N912" s="1786" t="s">
        <v>1653</v>
      </c>
      <c r="O912" s="1786">
        <v>0</v>
      </c>
      <c r="P912" s="1786"/>
      <c r="Q912" s="1786">
        <v>0</v>
      </c>
      <c r="R912" s="1788"/>
      <c r="S912" s="1786">
        <f t="shared" si="149"/>
        <v>880</v>
      </c>
      <c r="T912" s="1786" t="str">
        <f t="shared" si="150"/>
        <v>בנק מזרחי טפחות בע"מ</v>
      </c>
      <c r="U912" s="1786" t="str">
        <f t="shared" si="151"/>
        <v xml:space="preserve">מיטב דש השתלמות </v>
      </c>
      <c r="V912" s="1786" t="str">
        <f t="shared" si="152"/>
        <v>520043795</v>
      </c>
      <c r="W912" s="1789" t="str">
        <f t="shared" si="153"/>
        <v>מיטב דש גמל ופנסיה בע"מ</v>
      </c>
      <c r="AC912" s="1759" t="s">
        <v>1586</v>
      </c>
      <c r="AD912" s="1760">
        <v>42379.3585185185</v>
      </c>
      <c r="AE912" s="1760">
        <v>37885</v>
      </c>
      <c r="AF912" s="1759" t="s">
        <v>1583</v>
      </c>
      <c r="AG912" s="1759" t="s">
        <v>1583</v>
      </c>
      <c r="AH912" s="1759" t="s">
        <v>1583</v>
      </c>
      <c r="AI912" s="1759" t="s">
        <v>3229</v>
      </c>
      <c r="AJ912" s="1759" t="s">
        <v>3229</v>
      </c>
      <c r="AK912" s="1759">
        <v>643</v>
      </c>
      <c r="AL912" s="1759" t="s">
        <v>3960</v>
      </c>
      <c r="AM912" s="1759">
        <v>880</v>
      </c>
      <c r="AN912" s="1759" t="s">
        <v>5370</v>
      </c>
      <c r="AO912" s="1764"/>
      <c r="AP912" s="1759" t="s">
        <v>5373</v>
      </c>
      <c r="AQ912" s="1759" t="s">
        <v>5374</v>
      </c>
      <c r="AR912" s="1759" t="s">
        <v>2899</v>
      </c>
      <c r="AS912" s="1759" t="s">
        <v>349</v>
      </c>
      <c r="AT912" s="1759" t="s">
        <v>327</v>
      </c>
      <c r="AU912" s="1763"/>
      <c r="AV912" s="1763"/>
    </row>
    <row r="913" spans="1:48" ht="25" hidden="1">
      <c r="A913" s="1785" t="str">
        <f t="shared" si="143"/>
        <v>גמל</v>
      </c>
      <c r="B913" s="1786">
        <f t="shared" si="144"/>
        <v>643</v>
      </c>
      <c r="C913" s="1787">
        <v>28946</v>
      </c>
      <c r="D913" s="1786" t="str">
        <f t="shared" si="145"/>
        <v>מיטב דש השתלמות חכם עד 3 שנות וותק</v>
      </c>
      <c r="E913" s="1786" t="s">
        <v>3929</v>
      </c>
      <c r="F913" s="1786" t="s">
        <v>2958</v>
      </c>
      <c r="G913" s="1786" t="s">
        <v>2959</v>
      </c>
      <c r="H913" s="1786" t="str">
        <f t="shared" si="146"/>
        <v>לא פעיל</v>
      </c>
      <c r="I913" s="1788">
        <f t="shared" si="147"/>
        <v>37885</v>
      </c>
      <c r="J913" s="1788">
        <f t="shared" si="148"/>
        <v>42379.3585185185</v>
      </c>
      <c r="K913" s="1786">
        <v>0</v>
      </c>
      <c r="L913" s="1786" t="s">
        <v>1594</v>
      </c>
      <c r="M913" s="1786" t="s">
        <v>1653</v>
      </c>
      <c r="N913" s="1786" t="s">
        <v>1653</v>
      </c>
      <c r="O913" s="1786">
        <v>0</v>
      </c>
      <c r="P913" s="1786"/>
      <c r="Q913" s="1786">
        <v>0</v>
      </c>
      <c r="R913" s="1788"/>
      <c r="S913" s="1786">
        <f t="shared" si="149"/>
        <v>880</v>
      </c>
      <c r="T913" s="1786" t="str">
        <f t="shared" si="150"/>
        <v>בנק מזרחי טפחות בע"מ</v>
      </c>
      <c r="U913" s="1786" t="str">
        <f t="shared" si="151"/>
        <v xml:space="preserve">מיטב דש השתלמות </v>
      </c>
      <c r="V913" s="1786" t="str">
        <f t="shared" si="152"/>
        <v>520043795</v>
      </c>
      <c r="W913" s="1789" t="str">
        <f t="shared" si="153"/>
        <v>מיטב דש גמל ופנסיה בע"מ</v>
      </c>
      <c r="AC913" s="1761" t="s">
        <v>1586</v>
      </c>
      <c r="AD913" s="1762">
        <v>42379.3585185185</v>
      </c>
      <c r="AE913" s="1762">
        <v>37885</v>
      </c>
      <c r="AF913" s="1761" t="s">
        <v>1583</v>
      </c>
      <c r="AG913" s="1761" t="s">
        <v>1583</v>
      </c>
      <c r="AH913" s="1761" t="s">
        <v>1583</v>
      </c>
      <c r="AI913" s="1761" t="s">
        <v>3229</v>
      </c>
      <c r="AJ913" s="1761" t="s">
        <v>3229</v>
      </c>
      <c r="AK913" s="1761">
        <v>643</v>
      </c>
      <c r="AL913" s="1761" t="s">
        <v>3960</v>
      </c>
      <c r="AM913" s="1761">
        <v>880</v>
      </c>
      <c r="AN913" s="1761" t="s">
        <v>5370</v>
      </c>
      <c r="AO913" s="1764"/>
      <c r="AP913" s="1761" t="s">
        <v>5373</v>
      </c>
      <c r="AQ913" s="1761" t="s">
        <v>5374</v>
      </c>
      <c r="AR913" s="1761" t="s">
        <v>2899</v>
      </c>
      <c r="AS913" s="1761" t="s">
        <v>349</v>
      </c>
      <c r="AT913" s="1761" t="s">
        <v>327</v>
      </c>
      <c r="AU913" s="1763"/>
      <c r="AV913" s="1763"/>
    </row>
    <row r="914" spans="1:48" ht="25" hidden="1">
      <c r="A914" s="1785" t="str">
        <f t="shared" si="143"/>
        <v>גמל</v>
      </c>
      <c r="B914" s="1786">
        <f t="shared" si="144"/>
        <v>554</v>
      </c>
      <c r="C914" s="1787">
        <v>28946</v>
      </c>
      <c r="D914" s="1786" t="str">
        <f t="shared" si="145"/>
        <v>מיטב דש השתלמות עד 6 שנות וותק</v>
      </c>
      <c r="E914" s="1786" t="s">
        <v>3929</v>
      </c>
      <c r="F914" s="1786" t="s">
        <v>2958</v>
      </c>
      <c r="G914" s="1786" t="s">
        <v>2959</v>
      </c>
      <c r="H914" s="1786" t="str">
        <f t="shared" si="146"/>
        <v>פעיל</v>
      </c>
      <c r="I914" s="1788">
        <f t="shared" si="147"/>
        <v>37885</v>
      </c>
      <c r="J914" s="1788" t="str">
        <f t="shared" si="148"/>
        <v/>
      </c>
      <c r="K914" s="1786">
        <v>0</v>
      </c>
      <c r="L914" s="1786" t="s">
        <v>1594</v>
      </c>
      <c r="M914" s="1786" t="s">
        <v>1653</v>
      </c>
      <c r="N914" s="1786" t="s">
        <v>1653</v>
      </c>
      <c r="O914" s="1786">
        <v>0</v>
      </c>
      <c r="P914" s="1786"/>
      <c r="Q914" s="1786">
        <v>0</v>
      </c>
      <c r="R914" s="1788"/>
      <c r="S914" s="1786">
        <f t="shared" si="149"/>
        <v>880</v>
      </c>
      <c r="T914" s="1786" t="str">
        <f t="shared" si="150"/>
        <v>בנק מזרחי טפחות בע"מ</v>
      </c>
      <c r="U914" s="1786" t="str">
        <f t="shared" si="151"/>
        <v xml:space="preserve">מיטב דש השתלמות </v>
      </c>
      <c r="V914" s="1786" t="str">
        <f t="shared" si="152"/>
        <v>520043795</v>
      </c>
      <c r="W914" s="1789" t="str">
        <f t="shared" si="153"/>
        <v>מיטב דש גמל ופנסיה בע"מ</v>
      </c>
      <c r="AC914" s="1759" t="s">
        <v>346</v>
      </c>
      <c r="AD914" s="1759"/>
      <c r="AE914" s="1760">
        <v>37885</v>
      </c>
      <c r="AF914" s="1759" t="s">
        <v>3956</v>
      </c>
      <c r="AG914" s="1759" t="s">
        <v>70</v>
      </c>
      <c r="AH914" s="1759" t="s">
        <v>1594</v>
      </c>
      <c r="AI914" s="1759" t="s">
        <v>3964</v>
      </c>
      <c r="AJ914" s="1759" t="s">
        <v>3964</v>
      </c>
      <c r="AK914" s="1759">
        <v>554</v>
      </c>
      <c r="AL914" s="1759" t="s">
        <v>3960</v>
      </c>
      <c r="AM914" s="1759">
        <v>880</v>
      </c>
      <c r="AN914" s="1759" t="s">
        <v>5370</v>
      </c>
      <c r="AO914" s="1764"/>
      <c r="AP914" s="1759" t="s">
        <v>5373</v>
      </c>
      <c r="AQ914" s="1759" t="s">
        <v>5374</v>
      </c>
      <c r="AR914" s="1759" t="s">
        <v>2899</v>
      </c>
      <c r="AS914" s="1759" t="s">
        <v>349</v>
      </c>
      <c r="AT914" s="1759" t="s">
        <v>327</v>
      </c>
      <c r="AU914" s="1763"/>
      <c r="AV914" s="1763"/>
    </row>
    <row r="915" spans="1:48" ht="25" hidden="1">
      <c r="A915" s="1785" t="str">
        <f t="shared" si="143"/>
        <v>גמל</v>
      </c>
      <c r="B915" s="1786">
        <f t="shared" si="144"/>
        <v>554</v>
      </c>
      <c r="C915" s="1787">
        <v>28946</v>
      </c>
      <c r="D915" s="1786" t="str">
        <f t="shared" si="145"/>
        <v>מיטב דש השתלמות עד 6 שנות וותק</v>
      </c>
      <c r="E915" s="1786" t="s">
        <v>3929</v>
      </c>
      <c r="F915" s="1786" t="s">
        <v>2958</v>
      </c>
      <c r="G915" s="1786" t="s">
        <v>2959</v>
      </c>
      <c r="H915" s="1786" t="str">
        <f t="shared" si="146"/>
        <v>פעיל</v>
      </c>
      <c r="I915" s="1788">
        <f t="shared" si="147"/>
        <v>37885</v>
      </c>
      <c r="J915" s="1788" t="str">
        <f t="shared" si="148"/>
        <v/>
      </c>
      <c r="K915" s="1786">
        <v>0</v>
      </c>
      <c r="L915" s="1786" t="s">
        <v>1594</v>
      </c>
      <c r="M915" s="1786" t="s">
        <v>1653</v>
      </c>
      <c r="N915" s="1786" t="s">
        <v>1653</v>
      </c>
      <c r="O915" s="1786">
        <v>0</v>
      </c>
      <c r="P915" s="1786"/>
      <c r="Q915" s="1786">
        <v>0</v>
      </c>
      <c r="R915" s="1788"/>
      <c r="S915" s="1786">
        <f t="shared" si="149"/>
        <v>880</v>
      </c>
      <c r="T915" s="1786" t="str">
        <f t="shared" si="150"/>
        <v>בנק מזרחי טפחות בע"מ</v>
      </c>
      <c r="U915" s="1786" t="str">
        <f t="shared" si="151"/>
        <v xml:space="preserve">מיטב דש השתלמות </v>
      </c>
      <c r="V915" s="1786" t="str">
        <f t="shared" si="152"/>
        <v>520043795</v>
      </c>
      <c r="W915" s="1789" t="str">
        <f t="shared" si="153"/>
        <v>מיטב דש גמל ופנסיה בע"מ</v>
      </c>
      <c r="AC915" s="1761" t="s">
        <v>346</v>
      </c>
      <c r="AD915" s="1759"/>
      <c r="AE915" s="1762">
        <v>37885</v>
      </c>
      <c r="AF915" s="1761" t="s">
        <v>3956</v>
      </c>
      <c r="AG915" s="1761" t="s">
        <v>70</v>
      </c>
      <c r="AH915" s="1761" t="s">
        <v>1594</v>
      </c>
      <c r="AI915" s="1761" t="s">
        <v>3964</v>
      </c>
      <c r="AJ915" s="1761" t="s">
        <v>3964</v>
      </c>
      <c r="AK915" s="1761">
        <v>554</v>
      </c>
      <c r="AL915" s="1761" t="s">
        <v>3960</v>
      </c>
      <c r="AM915" s="1761">
        <v>880</v>
      </c>
      <c r="AN915" s="1761" t="s">
        <v>5370</v>
      </c>
      <c r="AO915" s="1764"/>
      <c r="AP915" s="1761" t="s">
        <v>5373</v>
      </c>
      <c r="AQ915" s="1761" t="s">
        <v>5374</v>
      </c>
      <c r="AR915" s="1761" t="s">
        <v>2899</v>
      </c>
      <c r="AS915" s="1761" t="s">
        <v>349</v>
      </c>
      <c r="AT915" s="1761" t="s">
        <v>327</v>
      </c>
      <c r="AU915" s="1763"/>
      <c r="AV915" s="1763"/>
    </row>
    <row r="916" spans="1:48" ht="25" hidden="1">
      <c r="A916" s="1785" t="str">
        <f t="shared" si="143"/>
        <v>גמל</v>
      </c>
      <c r="B916" s="1786">
        <f t="shared" si="144"/>
        <v>1387</v>
      </c>
      <c r="C916" s="1787">
        <v>28946</v>
      </c>
      <c r="D916" s="1786" t="str">
        <f t="shared" si="145"/>
        <v>מיטב דש השתלמות אג"ח ממשלת ישראל</v>
      </c>
      <c r="E916" s="1786" t="s">
        <v>3929</v>
      </c>
      <c r="F916" s="1786" t="s">
        <v>2958</v>
      </c>
      <c r="G916" s="1786" t="s">
        <v>2959</v>
      </c>
      <c r="H916" s="1786" t="str">
        <f t="shared" si="146"/>
        <v>פעיל</v>
      </c>
      <c r="I916" s="1788">
        <f t="shared" si="147"/>
        <v>37885</v>
      </c>
      <c r="J916" s="1788" t="str">
        <f t="shared" si="148"/>
        <v/>
      </c>
      <c r="K916" s="1786">
        <v>0</v>
      </c>
      <c r="L916" s="1786" t="s">
        <v>1594</v>
      </c>
      <c r="M916" s="1786" t="s">
        <v>1653</v>
      </c>
      <c r="N916" s="1786" t="s">
        <v>1653</v>
      </c>
      <c r="O916" s="1786">
        <v>0</v>
      </c>
      <c r="P916" s="1786"/>
      <c r="Q916" s="1786">
        <v>0</v>
      </c>
      <c r="R916" s="1788"/>
      <c r="S916" s="1786">
        <f t="shared" si="149"/>
        <v>880</v>
      </c>
      <c r="T916" s="1786" t="str">
        <f t="shared" si="150"/>
        <v>בנק מזרחי טפחות בע"מ</v>
      </c>
      <c r="U916" s="1786" t="str">
        <f t="shared" si="151"/>
        <v xml:space="preserve">מיטב דש השתלמות </v>
      </c>
      <c r="V916" s="1786" t="str">
        <f t="shared" si="152"/>
        <v>520043795</v>
      </c>
      <c r="W916" s="1789" t="str">
        <f t="shared" si="153"/>
        <v>מיטב דש גמל ופנסיה בע"מ</v>
      </c>
      <c r="AC916" s="1759" t="s">
        <v>346</v>
      </c>
      <c r="AD916" s="1759"/>
      <c r="AE916" s="1760">
        <v>37885</v>
      </c>
      <c r="AF916" s="1759" t="s">
        <v>2009</v>
      </c>
      <c r="AG916" s="1759" t="s">
        <v>1653</v>
      </c>
      <c r="AH916" s="1759" t="s">
        <v>1594</v>
      </c>
      <c r="AI916" s="1759" t="s">
        <v>4082</v>
      </c>
      <c r="AJ916" s="1759" t="s">
        <v>4082</v>
      </c>
      <c r="AK916" s="1759">
        <v>1387</v>
      </c>
      <c r="AL916" s="1759" t="s">
        <v>3960</v>
      </c>
      <c r="AM916" s="1759">
        <v>880</v>
      </c>
      <c r="AN916" s="1759" t="s">
        <v>5370</v>
      </c>
      <c r="AO916" s="1764"/>
      <c r="AP916" s="1759" t="s">
        <v>5373</v>
      </c>
      <c r="AQ916" s="1759" t="s">
        <v>5374</v>
      </c>
      <c r="AR916" s="1759" t="s">
        <v>2899</v>
      </c>
      <c r="AS916" s="1759" t="s">
        <v>349</v>
      </c>
      <c r="AT916" s="1759" t="s">
        <v>327</v>
      </c>
      <c r="AU916" s="1763"/>
      <c r="AV916" s="1763"/>
    </row>
    <row r="917" spans="1:48" ht="25" hidden="1">
      <c r="A917" s="1785" t="str">
        <f t="shared" si="143"/>
        <v>גמל</v>
      </c>
      <c r="B917" s="1786">
        <f t="shared" si="144"/>
        <v>1387</v>
      </c>
      <c r="C917" s="1787">
        <v>28946</v>
      </c>
      <c r="D917" s="1786" t="str">
        <f t="shared" si="145"/>
        <v>מיטב דש השתלמות אג"ח ממשלת ישראל</v>
      </c>
      <c r="E917" s="1786" t="s">
        <v>3929</v>
      </c>
      <c r="F917" s="1786" t="s">
        <v>2958</v>
      </c>
      <c r="G917" s="1786" t="s">
        <v>2959</v>
      </c>
      <c r="H917" s="1786" t="str">
        <f t="shared" si="146"/>
        <v>פעיל</v>
      </c>
      <c r="I917" s="1788">
        <f t="shared" si="147"/>
        <v>37885</v>
      </c>
      <c r="J917" s="1788" t="str">
        <f t="shared" si="148"/>
        <v/>
      </c>
      <c r="K917" s="1786">
        <v>0</v>
      </c>
      <c r="L917" s="1786" t="s">
        <v>1594</v>
      </c>
      <c r="M917" s="1786" t="s">
        <v>1653</v>
      </c>
      <c r="N917" s="1786" t="s">
        <v>1653</v>
      </c>
      <c r="O917" s="1786">
        <v>0</v>
      </c>
      <c r="P917" s="1786"/>
      <c r="Q917" s="1786">
        <v>0</v>
      </c>
      <c r="R917" s="1788"/>
      <c r="S917" s="1786">
        <f t="shared" si="149"/>
        <v>880</v>
      </c>
      <c r="T917" s="1786" t="str">
        <f t="shared" si="150"/>
        <v>בנק מזרחי טפחות בע"מ</v>
      </c>
      <c r="U917" s="1786" t="str">
        <f t="shared" si="151"/>
        <v xml:space="preserve">מיטב דש השתלמות </v>
      </c>
      <c r="V917" s="1786" t="str">
        <f t="shared" si="152"/>
        <v>520043795</v>
      </c>
      <c r="W917" s="1789" t="str">
        <f t="shared" si="153"/>
        <v>מיטב דש גמל ופנסיה בע"מ</v>
      </c>
      <c r="AC917" s="1761" t="s">
        <v>346</v>
      </c>
      <c r="AD917" s="1761"/>
      <c r="AE917" s="1762">
        <v>37885</v>
      </c>
      <c r="AF917" s="1761" t="s">
        <v>2009</v>
      </c>
      <c r="AG917" s="1761" t="s">
        <v>1653</v>
      </c>
      <c r="AH917" s="1761" t="s">
        <v>1594</v>
      </c>
      <c r="AI917" s="1761" t="s">
        <v>4082</v>
      </c>
      <c r="AJ917" s="1761" t="s">
        <v>4082</v>
      </c>
      <c r="AK917" s="1761">
        <v>1387</v>
      </c>
      <c r="AL917" s="1761" t="s">
        <v>3960</v>
      </c>
      <c r="AM917" s="1761">
        <v>880</v>
      </c>
      <c r="AN917" s="1761" t="s">
        <v>5370</v>
      </c>
      <c r="AO917" s="1764"/>
      <c r="AP917" s="1761" t="s">
        <v>5373</v>
      </c>
      <c r="AQ917" s="1761" t="s">
        <v>5374</v>
      </c>
      <c r="AR917" s="1761" t="s">
        <v>2899</v>
      </c>
      <c r="AS917" s="1761" t="s">
        <v>349</v>
      </c>
      <c r="AT917" s="1761" t="s">
        <v>327</v>
      </c>
      <c r="AU917" s="1763"/>
      <c r="AV917" s="1763"/>
    </row>
    <row r="918" spans="1:48" ht="25" hidden="1">
      <c r="A918" s="1785" t="str">
        <f t="shared" si="143"/>
        <v>גמל</v>
      </c>
      <c r="B918" s="1786">
        <f t="shared" si="144"/>
        <v>1240</v>
      </c>
      <c r="C918" s="1787">
        <v>28946</v>
      </c>
      <c r="D918" s="1786" t="str">
        <f t="shared" si="145"/>
        <v>מיטב דש השתלמות אג"ח ללא מניות</v>
      </c>
      <c r="E918" s="1786" t="s">
        <v>3929</v>
      </c>
      <c r="F918" s="1786" t="s">
        <v>2958</v>
      </c>
      <c r="G918" s="1786" t="s">
        <v>2959</v>
      </c>
      <c r="H918" s="1786" t="str">
        <f t="shared" si="146"/>
        <v>פעיל</v>
      </c>
      <c r="I918" s="1788">
        <f t="shared" si="147"/>
        <v>37885</v>
      </c>
      <c r="J918" s="1788" t="str">
        <f t="shared" si="148"/>
        <v/>
      </c>
      <c r="K918" s="1786">
        <v>0</v>
      </c>
      <c r="L918" s="1786" t="s">
        <v>1594</v>
      </c>
      <c r="M918" s="1786" t="s">
        <v>1653</v>
      </c>
      <c r="N918" s="1786" t="s">
        <v>1653</v>
      </c>
      <c r="O918" s="1786">
        <v>0</v>
      </c>
      <c r="P918" s="1786"/>
      <c r="Q918" s="1786">
        <v>0</v>
      </c>
      <c r="R918" s="1788"/>
      <c r="S918" s="1786">
        <f t="shared" si="149"/>
        <v>880</v>
      </c>
      <c r="T918" s="1786" t="str">
        <f t="shared" si="150"/>
        <v>בנק מזרחי טפחות בע"מ</v>
      </c>
      <c r="U918" s="1786" t="str">
        <f t="shared" si="151"/>
        <v xml:space="preserve">מיטב דש השתלמות </v>
      </c>
      <c r="V918" s="1786" t="str">
        <f t="shared" si="152"/>
        <v>520043795</v>
      </c>
      <c r="W918" s="1789" t="str">
        <f t="shared" si="153"/>
        <v>מיטב דש גמל ופנסיה בע"מ</v>
      </c>
      <c r="AC918" s="1759" t="s">
        <v>346</v>
      </c>
      <c r="AD918" s="1759"/>
      <c r="AE918" s="1760">
        <v>37885</v>
      </c>
      <c r="AF918" s="1759" t="s">
        <v>1681</v>
      </c>
      <c r="AG918" s="1759" t="s">
        <v>1653</v>
      </c>
      <c r="AH918" s="1759" t="s">
        <v>1594</v>
      </c>
      <c r="AI918" s="1759" t="s">
        <v>3568</v>
      </c>
      <c r="AJ918" s="1759" t="s">
        <v>3568</v>
      </c>
      <c r="AK918" s="1759">
        <v>1240</v>
      </c>
      <c r="AL918" s="1759" t="s">
        <v>3960</v>
      </c>
      <c r="AM918" s="1759">
        <v>880</v>
      </c>
      <c r="AN918" s="1759" t="s">
        <v>5370</v>
      </c>
      <c r="AO918" s="1764"/>
      <c r="AP918" s="1759" t="s">
        <v>5373</v>
      </c>
      <c r="AQ918" s="1759" t="s">
        <v>5374</v>
      </c>
      <c r="AR918" s="1759" t="s">
        <v>2899</v>
      </c>
      <c r="AS918" s="1759" t="s">
        <v>349</v>
      </c>
      <c r="AT918" s="1759" t="s">
        <v>327</v>
      </c>
      <c r="AU918" s="1763"/>
      <c r="AV918" s="1763"/>
    </row>
    <row r="919" spans="1:48" ht="25" hidden="1">
      <c r="A919" s="1785" t="str">
        <f t="shared" ref="A919:A982" si="154">AT919</f>
        <v>גמל</v>
      </c>
      <c r="B919" s="1786">
        <f t="shared" ref="B919:B982" si="155">AK919</f>
        <v>1240</v>
      </c>
      <c r="C919" s="1787">
        <v>28946</v>
      </c>
      <c r="D919" s="1786" t="str">
        <f t="shared" ref="D919:D982" si="156">AJ919</f>
        <v>מיטב דש השתלמות אג"ח ללא מניות</v>
      </c>
      <c r="E919" s="1786" t="s">
        <v>3929</v>
      </c>
      <c r="F919" s="1786" t="s">
        <v>2958</v>
      </c>
      <c r="G919" s="1786" t="s">
        <v>2959</v>
      </c>
      <c r="H919" s="1786" t="str">
        <f t="shared" ref="H919:H982" si="157">AC919</f>
        <v>פעיל</v>
      </c>
      <c r="I919" s="1788">
        <f t="shared" ref="I919:I982" si="158">IF(AE919="","",AE919)</f>
        <v>37885</v>
      </c>
      <c r="J919" s="1788" t="str">
        <f t="shared" ref="J919:J982" si="159">IF(AD919="","",AD919)</f>
        <v/>
      </c>
      <c r="K919" s="1786">
        <v>0</v>
      </c>
      <c r="L919" s="1786" t="s">
        <v>1594</v>
      </c>
      <c r="M919" s="1786" t="s">
        <v>1653</v>
      </c>
      <c r="N919" s="1786" t="s">
        <v>1653</v>
      </c>
      <c r="O919" s="1786">
        <v>0</v>
      </c>
      <c r="P919" s="1786"/>
      <c r="Q919" s="1786">
        <v>0</v>
      </c>
      <c r="R919" s="1788"/>
      <c r="S919" s="1786">
        <f t="shared" ref="S919:S982" si="160">AM919</f>
        <v>880</v>
      </c>
      <c r="T919" s="1786" t="str">
        <f t="shared" ref="T919:T982" si="161">AN919</f>
        <v>בנק מזרחי טפחות בע"מ</v>
      </c>
      <c r="U919" s="1786" t="str">
        <f t="shared" ref="U919:U982" si="162">AL919</f>
        <v xml:space="preserve">מיטב דש השתלמות </v>
      </c>
      <c r="V919" s="1786" t="str">
        <f t="shared" ref="V919:V982" si="163">AQ919</f>
        <v>520043795</v>
      </c>
      <c r="W919" s="1789" t="str">
        <f t="shared" ref="W919:W982" si="164">AR919</f>
        <v>מיטב דש גמל ופנסיה בע"מ</v>
      </c>
      <c r="AC919" s="1761" t="s">
        <v>346</v>
      </c>
      <c r="AD919" s="1761"/>
      <c r="AE919" s="1762">
        <v>37885</v>
      </c>
      <c r="AF919" s="1761" t="s">
        <v>1681</v>
      </c>
      <c r="AG919" s="1761" t="s">
        <v>1653</v>
      </c>
      <c r="AH919" s="1761" t="s">
        <v>1594</v>
      </c>
      <c r="AI919" s="1761" t="s">
        <v>3568</v>
      </c>
      <c r="AJ919" s="1761" t="s">
        <v>3568</v>
      </c>
      <c r="AK919" s="1761">
        <v>1240</v>
      </c>
      <c r="AL919" s="1761" t="s">
        <v>3960</v>
      </c>
      <c r="AM919" s="1761">
        <v>880</v>
      </c>
      <c r="AN919" s="1761" t="s">
        <v>5370</v>
      </c>
      <c r="AO919" s="1764"/>
      <c r="AP919" s="1761" t="s">
        <v>5373</v>
      </c>
      <c r="AQ919" s="1761" t="s">
        <v>5374</v>
      </c>
      <c r="AR919" s="1761" t="s">
        <v>2899</v>
      </c>
      <c r="AS919" s="1761" t="s">
        <v>349</v>
      </c>
      <c r="AT919" s="1761" t="s">
        <v>327</v>
      </c>
      <c r="AU919" s="1763"/>
      <c r="AV919" s="1763"/>
    </row>
    <row r="920" spans="1:48" ht="25" hidden="1">
      <c r="A920" s="1785" t="str">
        <f t="shared" si="154"/>
        <v>גמל</v>
      </c>
      <c r="B920" s="1786">
        <f t="shared" si="155"/>
        <v>1241</v>
      </c>
      <c r="C920" s="1787">
        <v>28946</v>
      </c>
      <c r="D920" s="1786" t="str">
        <f t="shared" si="156"/>
        <v>מיטב השתלמות אג"ח 85</v>
      </c>
      <c r="E920" s="1786" t="s">
        <v>3929</v>
      </c>
      <c r="F920" s="1786" t="s">
        <v>2958</v>
      </c>
      <c r="G920" s="1786" t="s">
        <v>2959</v>
      </c>
      <c r="H920" s="1786" t="str">
        <f t="shared" si="157"/>
        <v>לא פעיל</v>
      </c>
      <c r="I920" s="1788">
        <f t="shared" si="158"/>
        <v>37885</v>
      </c>
      <c r="J920" s="1788">
        <f t="shared" si="159"/>
        <v>41751.430428240703</v>
      </c>
      <c r="K920" s="1786">
        <v>0</v>
      </c>
      <c r="L920" s="1786" t="s">
        <v>1594</v>
      </c>
      <c r="M920" s="1786" t="s">
        <v>1653</v>
      </c>
      <c r="N920" s="1786" t="s">
        <v>1653</v>
      </c>
      <c r="O920" s="1786">
        <v>0</v>
      </c>
      <c r="P920" s="1786"/>
      <c r="Q920" s="1786">
        <v>0</v>
      </c>
      <c r="R920" s="1788"/>
      <c r="S920" s="1786">
        <f t="shared" si="160"/>
        <v>880</v>
      </c>
      <c r="T920" s="1786" t="str">
        <f t="shared" si="161"/>
        <v>בנק מזרחי טפחות בע"מ</v>
      </c>
      <c r="U920" s="1786" t="str">
        <f t="shared" si="162"/>
        <v xml:space="preserve">מיטב דש השתלמות </v>
      </c>
      <c r="V920" s="1786" t="str">
        <f t="shared" si="163"/>
        <v>520043795</v>
      </c>
      <c r="W920" s="1789" t="str">
        <f t="shared" si="164"/>
        <v>מיטב דש גמל ופנסיה בע"מ</v>
      </c>
      <c r="AC920" s="1759" t="s">
        <v>1586</v>
      </c>
      <c r="AD920" s="1760">
        <v>41751.430428240703</v>
      </c>
      <c r="AE920" s="1760">
        <v>37885</v>
      </c>
      <c r="AF920" s="1759" t="s">
        <v>1653</v>
      </c>
      <c r="AG920" s="1759" t="s">
        <v>1653</v>
      </c>
      <c r="AH920" s="1759" t="s">
        <v>1594</v>
      </c>
      <c r="AI920" s="1759" t="s">
        <v>2354</v>
      </c>
      <c r="AJ920" s="1759" t="s">
        <v>2354</v>
      </c>
      <c r="AK920" s="1759">
        <v>1241</v>
      </c>
      <c r="AL920" s="1759" t="s">
        <v>3960</v>
      </c>
      <c r="AM920" s="1759">
        <v>880</v>
      </c>
      <c r="AN920" s="1759" t="s">
        <v>5370</v>
      </c>
      <c r="AO920" s="1764"/>
      <c r="AP920" s="1759" t="s">
        <v>5373</v>
      </c>
      <c r="AQ920" s="1759" t="s">
        <v>5374</v>
      </c>
      <c r="AR920" s="1759" t="s">
        <v>2899</v>
      </c>
      <c r="AS920" s="1759" t="s">
        <v>349</v>
      </c>
      <c r="AT920" s="1759" t="s">
        <v>327</v>
      </c>
      <c r="AU920" s="1763"/>
      <c r="AV920" s="1763"/>
    </row>
    <row r="921" spans="1:48" ht="25" hidden="1">
      <c r="A921" s="1785" t="str">
        <f t="shared" si="154"/>
        <v>גמל</v>
      </c>
      <c r="B921" s="1786">
        <f t="shared" si="155"/>
        <v>1241</v>
      </c>
      <c r="C921" s="1787">
        <v>28946</v>
      </c>
      <c r="D921" s="1786" t="str">
        <f t="shared" si="156"/>
        <v>מיטב השתלמות אג"ח 85</v>
      </c>
      <c r="E921" s="1786" t="s">
        <v>3929</v>
      </c>
      <c r="F921" s="1786" t="s">
        <v>2958</v>
      </c>
      <c r="G921" s="1786" t="s">
        <v>2959</v>
      </c>
      <c r="H921" s="1786" t="str">
        <f t="shared" si="157"/>
        <v>לא פעיל</v>
      </c>
      <c r="I921" s="1788">
        <f t="shared" si="158"/>
        <v>37885</v>
      </c>
      <c r="J921" s="1788">
        <f t="shared" si="159"/>
        <v>41751.430428240703</v>
      </c>
      <c r="K921" s="1786">
        <v>0</v>
      </c>
      <c r="L921" s="1786" t="s">
        <v>1594</v>
      </c>
      <c r="M921" s="1786" t="s">
        <v>1653</v>
      </c>
      <c r="N921" s="1786" t="s">
        <v>1653</v>
      </c>
      <c r="O921" s="1786">
        <v>0</v>
      </c>
      <c r="P921" s="1786"/>
      <c r="Q921" s="1786">
        <v>0</v>
      </c>
      <c r="R921" s="1788"/>
      <c r="S921" s="1786">
        <f t="shared" si="160"/>
        <v>880</v>
      </c>
      <c r="T921" s="1786" t="str">
        <f t="shared" si="161"/>
        <v>בנק מזרחי טפחות בע"מ</v>
      </c>
      <c r="U921" s="1786" t="str">
        <f t="shared" si="162"/>
        <v xml:space="preserve">מיטב דש השתלמות </v>
      </c>
      <c r="V921" s="1786" t="str">
        <f t="shared" si="163"/>
        <v>520043795</v>
      </c>
      <c r="W921" s="1789" t="str">
        <f t="shared" si="164"/>
        <v>מיטב דש גמל ופנסיה בע"מ</v>
      </c>
      <c r="AC921" s="1761" t="s">
        <v>1586</v>
      </c>
      <c r="AD921" s="1762">
        <v>41751.430428240703</v>
      </c>
      <c r="AE921" s="1762">
        <v>37885</v>
      </c>
      <c r="AF921" s="1761" t="s">
        <v>1653</v>
      </c>
      <c r="AG921" s="1761" t="s">
        <v>1653</v>
      </c>
      <c r="AH921" s="1761" t="s">
        <v>1594</v>
      </c>
      <c r="AI921" s="1761" t="s">
        <v>2354</v>
      </c>
      <c r="AJ921" s="1761" t="s">
        <v>2354</v>
      </c>
      <c r="AK921" s="1761">
        <v>1241</v>
      </c>
      <c r="AL921" s="1761" t="s">
        <v>3960</v>
      </c>
      <c r="AM921" s="1761">
        <v>880</v>
      </c>
      <c r="AN921" s="1761" t="s">
        <v>5370</v>
      </c>
      <c r="AO921" s="1764"/>
      <c r="AP921" s="1761" t="s">
        <v>5373</v>
      </c>
      <c r="AQ921" s="1761" t="s">
        <v>5374</v>
      </c>
      <c r="AR921" s="1761" t="s">
        <v>2899</v>
      </c>
      <c r="AS921" s="1761" t="s">
        <v>349</v>
      </c>
      <c r="AT921" s="1761" t="s">
        <v>327</v>
      </c>
      <c r="AU921" s="1763"/>
      <c r="AV921" s="1763"/>
    </row>
    <row r="922" spans="1:48" ht="25" hidden="1">
      <c r="A922" s="1785" t="str">
        <f t="shared" si="154"/>
        <v>גמל</v>
      </c>
      <c r="B922" s="1786">
        <f t="shared" si="155"/>
        <v>1098</v>
      </c>
      <c r="C922" s="1787">
        <v>28946</v>
      </c>
      <c r="D922" s="1786" t="str">
        <f t="shared" si="156"/>
        <v>מיטב השתלמות מסלול אג"ח</v>
      </c>
      <c r="E922" s="1786" t="s">
        <v>3929</v>
      </c>
      <c r="F922" s="1786" t="s">
        <v>2958</v>
      </c>
      <c r="G922" s="1786" t="s">
        <v>2959</v>
      </c>
      <c r="H922" s="1786" t="str">
        <f t="shared" si="157"/>
        <v>לא פעיל</v>
      </c>
      <c r="I922" s="1788">
        <f t="shared" si="158"/>
        <v>37885</v>
      </c>
      <c r="J922" s="1788">
        <f t="shared" si="159"/>
        <v>41554.443113425899</v>
      </c>
      <c r="K922" s="1786">
        <v>0</v>
      </c>
      <c r="L922" s="1786" t="s">
        <v>1594</v>
      </c>
      <c r="M922" s="1786" t="s">
        <v>1653</v>
      </c>
      <c r="N922" s="1786" t="s">
        <v>1653</v>
      </c>
      <c r="O922" s="1786">
        <v>0</v>
      </c>
      <c r="P922" s="1786"/>
      <c r="Q922" s="1786">
        <v>0</v>
      </c>
      <c r="R922" s="1788"/>
      <c r="S922" s="1786">
        <f t="shared" si="160"/>
        <v>880</v>
      </c>
      <c r="T922" s="1786" t="str">
        <f t="shared" si="161"/>
        <v>בנק לאומי בע"מ</v>
      </c>
      <c r="U922" s="1786" t="str">
        <f t="shared" si="162"/>
        <v>מיטב השתלמות מסלול כללי</v>
      </c>
      <c r="V922" s="1786">
        <f t="shared" si="163"/>
        <v>0</v>
      </c>
      <c r="W922" s="1789" t="str">
        <f t="shared" si="164"/>
        <v>מיטב גמל ופנסיה בע"מ</v>
      </c>
      <c r="AC922" s="1759" t="s">
        <v>1586</v>
      </c>
      <c r="AD922" s="1760">
        <v>41554.443113425899</v>
      </c>
      <c r="AE922" s="1760">
        <v>37885</v>
      </c>
      <c r="AF922" s="1759" t="s">
        <v>1653</v>
      </c>
      <c r="AG922" s="1759" t="s">
        <v>1653</v>
      </c>
      <c r="AH922" s="1759" t="s">
        <v>1594</v>
      </c>
      <c r="AI922" s="1759" t="s">
        <v>3519</v>
      </c>
      <c r="AJ922" s="1759" t="s">
        <v>2266</v>
      </c>
      <c r="AK922" s="1759">
        <v>1098</v>
      </c>
      <c r="AL922" s="1759" t="s">
        <v>625</v>
      </c>
      <c r="AM922" s="1759">
        <v>880</v>
      </c>
      <c r="AN922" s="1759" t="s">
        <v>5470</v>
      </c>
      <c r="AO922" s="1764"/>
      <c r="AP922" s="1759"/>
      <c r="AQ922" s="1759"/>
      <c r="AR922" s="1759" t="s">
        <v>365</v>
      </c>
      <c r="AS922" s="1759" t="s">
        <v>366</v>
      </c>
      <c r="AT922" s="1759" t="s">
        <v>327</v>
      </c>
      <c r="AU922" s="1763"/>
      <c r="AV922" s="1763"/>
    </row>
    <row r="923" spans="1:48" ht="25" hidden="1">
      <c r="A923" s="1785" t="str">
        <f t="shared" si="154"/>
        <v>גמל</v>
      </c>
      <c r="B923" s="1786">
        <f t="shared" si="155"/>
        <v>880</v>
      </c>
      <c r="C923" s="1787">
        <v>28946</v>
      </c>
      <c r="D923" s="1786" t="str">
        <f t="shared" si="156"/>
        <v>מיטב דש השתלמות כללי</v>
      </c>
      <c r="E923" s="1786" t="s">
        <v>3929</v>
      </c>
      <c r="F923" s="1786" t="s">
        <v>2958</v>
      </c>
      <c r="G923" s="1786" t="s">
        <v>2959</v>
      </c>
      <c r="H923" s="1786" t="str">
        <f t="shared" si="157"/>
        <v>פעיל</v>
      </c>
      <c r="I923" s="1788">
        <f t="shared" si="158"/>
        <v>37885</v>
      </c>
      <c r="J923" s="1788" t="str">
        <f t="shared" si="159"/>
        <v/>
      </c>
      <c r="K923" s="1786">
        <v>0</v>
      </c>
      <c r="L923" s="1786" t="s">
        <v>1594</v>
      </c>
      <c r="M923" s="1786" t="s">
        <v>1653</v>
      </c>
      <c r="N923" s="1786" t="s">
        <v>1653</v>
      </c>
      <c r="O923" s="1786">
        <v>0</v>
      </c>
      <c r="P923" s="1786"/>
      <c r="Q923" s="1786">
        <v>0</v>
      </c>
      <c r="R923" s="1788"/>
      <c r="S923" s="1786">
        <f t="shared" si="160"/>
        <v>880</v>
      </c>
      <c r="T923" s="1786" t="str">
        <f t="shared" si="161"/>
        <v>בנק מזרחי טפחות בע"מ</v>
      </c>
      <c r="U923" s="1786" t="str">
        <f t="shared" si="162"/>
        <v xml:space="preserve">מיטב דש השתלמות </v>
      </c>
      <c r="V923" s="1786" t="str">
        <f t="shared" si="163"/>
        <v>520043795</v>
      </c>
      <c r="W923" s="1789" t="str">
        <f t="shared" si="164"/>
        <v>מיטב דש גמל ופנסיה בע"מ</v>
      </c>
      <c r="AC923" s="1761" t="s">
        <v>346</v>
      </c>
      <c r="AD923" s="1761"/>
      <c r="AE923" s="1762">
        <v>37885</v>
      </c>
      <c r="AF923" s="1761" t="s">
        <v>1583</v>
      </c>
      <c r="AG923" s="1761" t="s">
        <v>1583</v>
      </c>
      <c r="AH923" s="1761" t="s">
        <v>1583</v>
      </c>
      <c r="AI923" s="1761" t="s">
        <v>3367</v>
      </c>
      <c r="AJ923" s="1761" t="s">
        <v>3367</v>
      </c>
      <c r="AK923" s="1761">
        <v>880</v>
      </c>
      <c r="AL923" s="1761" t="s">
        <v>3960</v>
      </c>
      <c r="AM923" s="1761">
        <v>880</v>
      </c>
      <c r="AN923" s="1761" t="s">
        <v>5370</v>
      </c>
      <c r="AO923" s="1764"/>
      <c r="AP923" s="1761" t="s">
        <v>5373</v>
      </c>
      <c r="AQ923" s="1761" t="s">
        <v>5374</v>
      </c>
      <c r="AR923" s="1761" t="s">
        <v>2899</v>
      </c>
      <c r="AS923" s="1761" t="s">
        <v>349</v>
      </c>
      <c r="AT923" s="1761" t="s">
        <v>327</v>
      </c>
      <c r="AU923" s="1763"/>
      <c r="AV923" s="1763"/>
    </row>
    <row r="924" spans="1:48" ht="25" hidden="1">
      <c r="A924" s="1785" t="str">
        <f t="shared" si="154"/>
        <v>גמל</v>
      </c>
      <c r="B924" s="1786">
        <f t="shared" si="155"/>
        <v>880</v>
      </c>
      <c r="C924" s="1787">
        <v>28946</v>
      </c>
      <c r="D924" s="1786" t="str">
        <f t="shared" si="156"/>
        <v>מיטב דש השתלמות כללי</v>
      </c>
      <c r="E924" s="1786" t="s">
        <v>3929</v>
      </c>
      <c r="F924" s="1786" t="s">
        <v>2958</v>
      </c>
      <c r="G924" s="1786" t="s">
        <v>2959</v>
      </c>
      <c r="H924" s="1786" t="str">
        <f t="shared" si="157"/>
        <v>פעיל</v>
      </c>
      <c r="I924" s="1788">
        <f t="shared" si="158"/>
        <v>37885</v>
      </c>
      <c r="J924" s="1788" t="str">
        <f t="shared" si="159"/>
        <v/>
      </c>
      <c r="K924" s="1786">
        <v>0</v>
      </c>
      <c r="L924" s="1786" t="s">
        <v>1594</v>
      </c>
      <c r="M924" s="1786" t="s">
        <v>1653</v>
      </c>
      <c r="N924" s="1786" t="s">
        <v>1653</v>
      </c>
      <c r="O924" s="1786">
        <v>0</v>
      </c>
      <c r="P924" s="1786"/>
      <c r="Q924" s="1786">
        <v>0</v>
      </c>
      <c r="R924" s="1788"/>
      <c r="S924" s="1786">
        <f t="shared" si="160"/>
        <v>880</v>
      </c>
      <c r="T924" s="1786" t="str">
        <f t="shared" si="161"/>
        <v>בנק מזרחי טפחות בע"מ</v>
      </c>
      <c r="U924" s="1786" t="str">
        <f t="shared" si="162"/>
        <v xml:space="preserve">מיטב דש השתלמות </v>
      </c>
      <c r="V924" s="1786" t="str">
        <f t="shared" si="163"/>
        <v>520043795</v>
      </c>
      <c r="W924" s="1789" t="str">
        <f t="shared" si="164"/>
        <v>מיטב דש גמל ופנסיה בע"מ</v>
      </c>
      <c r="AC924" s="1759" t="s">
        <v>346</v>
      </c>
      <c r="AD924" s="1759"/>
      <c r="AE924" s="1760">
        <v>37885</v>
      </c>
      <c r="AF924" s="1759" t="s">
        <v>1583</v>
      </c>
      <c r="AG924" s="1759" t="s">
        <v>1583</v>
      </c>
      <c r="AH924" s="1759" t="s">
        <v>1583</v>
      </c>
      <c r="AI924" s="1759" t="s">
        <v>3367</v>
      </c>
      <c r="AJ924" s="1759" t="s">
        <v>3367</v>
      </c>
      <c r="AK924" s="1759">
        <v>880</v>
      </c>
      <c r="AL924" s="1759" t="s">
        <v>3960</v>
      </c>
      <c r="AM924" s="1759">
        <v>880</v>
      </c>
      <c r="AN924" s="1759" t="s">
        <v>5370</v>
      </c>
      <c r="AO924" s="1764"/>
      <c r="AP924" s="1759" t="s">
        <v>5373</v>
      </c>
      <c r="AQ924" s="1759" t="s">
        <v>5374</v>
      </c>
      <c r="AR924" s="1759" t="s">
        <v>2899</v>
      </c>
      <c r="AS924" s="1759" t="s">
        <v>349</v>
      </c>
      <c r="AT924" s="1759" t="s">
        <v>327</v>
      </c>
      <c r="AU924" s="1763"/>
      <c r="AV924" s="1763"/>
    </row>
    <row r="925" spans="1:48" ht="25" hidden="1">
      <c r="A925" s="1785" t="str">
        <f t="shared" si="154"/>
        <v>גמל</v>
      </c>
      <c r="B925" s="1786">
        <f t="shared" si="155"/>
        <v>881</v>
      </c>
      <c r="C925" s="1787">
        <v>28946</v>
      </c>
      <c r="D925" s="1786" t="str">
        <f t="shared" si="156"/>
        <v>מיטב דש השתלמות אג"ח צמוד מדד</v>
      </c>
      <c r="E925" s="1786" t="s">
        <v>3929</v>
      </c>
      <c r="F925" s="1786" t="s">
        <v>2958</v>
      </c>
      <c r="G925" s="1786" t="s">
        <v>2959</v>
      </c>
      <c r="H925" s="1786" t="str">
        <f t="shared" si="157"/>
        <v>פעיל</v>
      </c>
      <c r="I925" s="1788">
        <f t="shared" si="158"/>
        <v>37885</v>
      </c>
      <c r="J925" s="1788" t="str">
        <f t="shared" si="159"/>
        <v/>
      </c>
      <c r="K925" s="1786">
        <v>0</v>
      </c>
      <c r="L925" s="1786" t="s">
        <v>1594</v>
      </c>
      <c r="M925" s="1786" t="s">
        <v>1653</v>
      </c>
      <c r="N925" s="1786" t="s">
        <v>1653</v>
      </c>
      <c r="O925" s="1786">
        <v>0</v>
      </c>
      <c r="P925" s="1786"/>
      <c r="Q925" s="1786">
        <v>0</v>
      </c>
      <c r="R925" s="1788"/>
      <c r="S925" s="1786">
        <f t="shared" si="160"/>
        <v>880</v>
      </c>
      <c r="T925" s="1786" t="str">
        <f t="shared" si="161"/>
        <v>בנק מזרחי טפחות בע"מ</v>
      </c>
      <c r="U925" s="1786" t="str">
        <f t="shared" si="162"/>
        <v xml:space="preserve">מיטב דש השתלמות </v>
      </c>
      <c r="V925" s="1786" t="str">
        <f t="shared" si="163"/>
        <v>520043795</v>
      </c>
      <c r="W925" s="1789" t="str">
        <f t="shared" si="164"/>
        <v>מיטב דש גמל ופנסיה בע"מ</v>
      </c>
      <c r="AC925" s="1761" t="s">
        <v>346</v>
      </c>
      <c r="AD925" s="1761"/>
      <c r="AE925" s="1762">
        <v>37885</v>
      </c>
      <c r="AF925" s="1761" t="s">
        <v>71</v>
      </c>
      <c r="AG925" s="1761" t="s">
        <v>1653</v>
      </c>
      <c r="AH925" s="1761" t="s">
        <v>1594</v>
      </c>
      <c r="AI925" s="1761" t="s">
        <v>4013</v>
      </c>
      <c r="AJ925" s="1761" t="s">
        <v>4013</v>
      </c>
      <c r="AK925" s="1761">
        <v>881</v>
      </c>
      <c r="AL925" s="1761" t="s">
        <v>3960</v>
      </c>
      <c r="AM925" s="1761">
        <v>880</v>
      </c>
      <c r="AN925" s="1761" t="s">
        <v>5370</v>
      </c>
      <c r="AO925" s="1764"/>
      <c r="AP925" s="1761" t="s">
        <v>5373</v>
      </c>
      <c r="AQ925" s="1761" t="s">
        <v>5374</v>
      </c>
      <c r="AR925" s="1761" t="s">
        <v>2899</v>
      </c>
      <c r="AS925" s="1761" t="s">
        <v>349</v>
      </c>
      <c r="AT925" s="1761" t="s">
        <v>327</v>
      </c>
      <c r="AU925" s="1763"/>
      <c r="AV925" s="1763"/>
    </row>
    <row r="926" spans="1:48" ht="25" hidden="1">
      <c r="A926" s="1785" t="str">
        <f t="shared" si="154"/>
        <v>גמל</v>
      </c>
      <c r="B926" s="1786">
        <f t="shared" si="155"/>
        <v>881</v>
      </c>
      <c r="C926" s="1787">
        <v>28946</v>
      </c>
      <c r="D926" s="1786" t="str">
        <f t="shared" si="156"/>
        <v>מיטב דש השתלמות אג"ח צמוד מדד</v>
      </c>
      <c r="E926" s="1786" t="s">
        <v>3929</v>
      </c>
      <c r="F926" s="1786" t="s">
        <v>2958</v>
      </c>
      <c r="G926" s="1786" t="s">
        <v>2959</v>
      </c>
      <c r="H926" s="1786" t="str">
        <f t="shared" si="157"/>
        <v>פעיל</v>
      </c>
      <c r="I926" s="1788">
        <f t="shared" si="158"/>
        <v>37885</v>
      </c>
      <c r="J926" s="1788" t="str">
        <f t="shared" si="159"/>
        <v/>
      </c>
      <c r="K926" s="1786">
        <v>0</v>
      </c>
      <c r="L926" s="1786" t="s">
        <v>1594</v>
      </c>
      <c r="M926" s="1786" t="s">
        <v>1653</v>
      </c>
      <c r="N926" s="1786" t="s">
        <v>1653</v>
      </c>
      <c r="O926" s="1786">
        <v>0</v>
      </c>
      <c r="P926" s="1786"/>
      <c r="Q926" s="1786">
        <v>0</v>
      </c>
      <c r="R926" s="1788"/>
      <c r="S926" s="1786">
        <f t="shared" si="160"/>
        <v>880</v>
      </c>
      <c r="T926" s="1786" t="str">
        <f t="shared" si="161"/>
        <v>בנק מזרחי טפחות בע"מ</v>
      </c>
      <c r="U926" s="1786" t="str">
        <f t="shared" si="162"/>
        <v xml:space="preserve">מיטב דש השתלמות </v>
      </c>
      <c r="V926" s="1786" t="str">
        <f t="shared" si="163"/>
        <v>520043795</v>
      </c>
      <c r="W926" s="1789" t="str">
        <f t="shared" si="164"/>
        <v>מיטב דש גמל ופנסיה בע"מ</v>
      </c>
      <c r="AC926" s="1759" t="s">
        <v>346</v>
      </c>
      <c r="AD926" s="1759"/>
      <c r="AE926" s="1760">
        <v>37885</v>
      </c>
      <c r="AF926" s="1759" t="s">
        <v>71</v>
      </c>
      <c r="AG926" s="1759" t="s">
        <v>1653</v>
      </c>
      <c r="AH926" s="1759" t="s">
        <v>1594</v>
      </c>
      <c r="AI926" s="1759" t="s">
        <v>4013</v>
      </c>
      <c r="AJ926" s="1759" t="s">
        <v>4013</v>
      </c>
      <c r="AK926" s="1759">
        <v>881</v>
      </c>
      <c r="AL926" s="1759" t="s">
        <v>3960</v>
      </c>
      <c r="AM926" s="1759">
        <v>880</v>
      </c>
      <c r="AN926" s="1759" t="s">
        <v>5370</v>
      </c>
      <c r="AO926" s="1764"/>
      <c r="AP926" s="1759" t="s">
        <v>5373</v>
      </c>
      <c r="AQ926" s="1759" t="s">
        <v>5374</v>
      </c>
      <c r="AR926" s="1759" t="s">
        <v>2899</v>
      </c>
      <c r="AS926" s="1759" t="s">
        <v>349</v>
      </c>
      <c r="AT926" s="1759" t="s">
        <v>327</v>
      </c>
      <c r="AU926" s="1763"/>
      <c r="AV926" s="1763"/>
    </row>
    <row r="927" spans="1:48" ht="25" hidden="1">
      <c r="A927" s="1785" t="str">
        <f t="shared" si="154"/>
        <v>גמל</v>
      </c>
      <c r="B927" s="1786">
        <f t="shared" si="155"/>
        <v>882</v>
      </c>
      <c r="C927" s="1787">
        <v>28946</v>
      </c>
      <c r="D927" s="1786" t="str">
        <f t="shared" si="156"/>
        <v>מיטב דש השתלמות מסלול שקלי</v>
      </c>
      <c r="E927" s="1786" t="s">
        <v>3929</v>
      </c>
      <c r="F927" s="1786" t="s">
        <v>2958</v>
      </c>
      <c r="G927" s="1786" t="s">
        <v>2959</v>
      </c>
      <c r="H927" s="1786" t="str">
        <f t="shared" si="157"/>
        <v>לא פעיל</v>
      </c>
      <c r="I927" s="1788">
        <f t="shared" si="158"/>
        <v>37885</v>
      </c>
      <c r="J927" s="1788">
        <f t="shared" si="159"/>
        <v>42379.3585185185</v>
      </c>
      <c r="K927" s="1786">
        <v>0</v>
      </c>
      <c r="L927" s="1786" t="s">
        <v>1594</v>
      </c>
      <c r="M927" s="1786" t="s">
        <v>1653</v>
      </c>
      <c r="N927" s="1786" t="s">
        <v>1653</v>
      </c>
      <c r="O927" s="1786">
        <v>0</v>
      </c>
      <c r="P927" s="1786"/>
      <c r="Q927" s="1786">
        <v>0</v>
      </c>
      <c r="R927" s="1788"/>
      <c r="S927" s="1786">
        <f t="shared" si="160"/>
        <v>880</v>
      </c>
      <c r="T927" s="1786" t="str">
        <f t="shared" si="161"/>
        <v>בנק מזרחי טפחות בע"מ</v>
      </c>
      <c r="U927" s="1786" t="str">
        <f t="shared" si="162"/>
        <v xml:space="preserve">מיטב דש השתלמות </v>
      </c>
      <c r="V927" s="1786" t="str">
        <f t="shared" si="163"/>
        <v>520043795</v>
      </c>
      <c r="W927" s="1789" t="str">
        <f t="shared" si="164"/>
        <v>מיטב דש גמל ופנסיה בע"מ</v>
      </c>
      <c r="AC927" s="1761" t="s">
        <v>1586</v>
      </c>
      <c r="AD927" s="1762">
        <v>42379.3585185185</v>
      </c>
      <c r="AE927" s="1762">
        <v>37885</v>
      </c>
      <c r="AF927" s="1761" t="s">
        <v>1076</v>
      </c>
      <c r="AG927" s="1761" t="s">
        <v>1614</v>
      </c>
      <c r="AH927" s="1761" t="s">
        <v>1594</v>
      </c>
      <c r="AI927" s="1761" t="s">
        <v>3369</v>
      </c>
      <c r="AJ927" s="1761" t="s">
        <v>3368</v>
      </c>
      <c r="AK927" s="1761">
        <v>882</v>
      </c>
      <c r="AL927" s="1761" t="s">
        <v>3960</v>
      </c>
      <c r="AM927" s="1761">
        <v>880</v>
      </c>
      <c r="AN927" s="1761" t="s">
        <v>5370</v>
      </c>
      <c r="AO927" s="1764"/>
      <c r="AP927" s="1761" t="s">
        <v>5373</v>
      </c>
      <c r="AQ927" s="1761" t="s">
        <v>5374</v>
      </c>
      <c r="AR927" s="1761" t="s">
        <v>2899</v>
      </c>
      <c r="AS927" s="1761" t="s">
        <v>349</v>
      </c>
      <c r="AT927" s="1761" t="s">
        <v>327</v>
      </c>
      <c r="AU927" s="1763"/>
      <c r="AV927" s="1763"/>
    </row>
    <row r="928" spans="1:48" ht="25" hidden="1">
      <c r="A928" s="1785" t="str">
        <f t="shared" si="154"/>
        <v>גמל</v>
      </c>
      <c r="B928" s="1786">
        <f t="shared" si="155"/>
        <v>882</v>
      </c>
      <c r="C928" s="1787">
        <v>28946</v>
      </c>
      <c r="D928" s="1786" t="str">
        <f t="shared" si="156"/>
        <v>מיטב דש השתלמות מסלול שקלי</v>
      </c>
      <c r="E928" s="1786" t="s">
        <v>3929</v>
      </c>
      <c r="F928" s="1786" t="s">
        <v>2958</v>
      </c>
      <c r="G928" s="1786" t="s">
        <v>2959</v>
      </c>
      <c r="H928" s="1786" t="str">
        <f t="shared" si="157"/>
        <v>לא פעיל</v>
      </c>
      <c r="I928" s="1788">
        <f t="shared" si="158"/>
        <v>37885</v>
      </c>
      <c r="J928" s="1788">
        <f t="shared" si="159"/>
        <v>42379.3585185185</v>
      </c>
      <c r="K928" s="1786">
        <v>0</v>
      </c>
      <c r="L928" s="1786" t="s">
        <v>1594</v>
      </c>
      <c r="M928" s="1786" t="s">
        <v>1653</v>
      </c>
      <c r="N928" s="1786" t="s">
        <v>1653</v>
      </c>
      <c r="O928" s="1786">
        <v>0</v>
      </c>
      <c r="P928" s="1786"/>
      <c r="Q928" s="1786">
        <v>0</v>
      </c>
      <c r="R928" s="1788"/>
      <c r="S928" s="1786">
        <f t="shared" si="160"/>
        <v>880</v>
      </c>
      <c r="T928" s="1786" t="str">
        <f t="shared" si="161"/>
        <v>בנק מזרחי טפחות בע"מ</v>
      </c>
      <c r="U928" s="1786" t="str">
        <f t="shared" si="162"/>
        <v xml:space="preserve">מיטב דש השתלמות </v>
      </c>
      <c r="V928" s="1786" t="str">
        <f t="shared" si="163"/>
        <v>520043795</v>
      </c>
      <c r="W928" s="1789" t="str">
        <f t="shared" si="164"/>
        <v>מיטב דש גמל ופנסיה בע"מ</v>
      </c>
      <c r="AC928" s="1759" t="s">
        <v>1586</v>
      </c>
      <c r="AD928" s="1760">
        <v>42379.3585185185</v>
      </c>
      <c r="AE928" s="1760">
        <v>37885</v>
      </c>
      <c r="AF928" s="1759" t="s">
        <v>1076</v>
      </c>
      <c r="AG928" s="1759" t="s">
        <v>1614</v>
      </c>
      <c r="AH928" s="1759" t="s">
        <v>1594</v>
      </c>
      <c r="AI928" s="1759" t="s">
        <v>3369</v>
      </c>
      <c r="AJ928" s="1759" t="s">
        <v>3368</v>
      </c>
      <c r="AK928" s="1759">
        <v>882</v>
      </c>
      <c r="AL928" s="1759" t="s">
        <v>3960</v>
      </c>
      <c r="AM928" s="1759">
        <v>880</v>
      </c>
      <c r="AN928" s="1759" t="s">
        <v>5370</v>
      </c>
      <c r="AO928" s="1764"/>
      <c r="AP928" s="1759" t="s">
        <v>5373</v>
      </c>
      <c r="AQ928" s="1759" t="s">
        <v>5374</v>
      </c>
      <c r="AR928" s="1759" t="s">
        <v>2899</v>
      </c>
      <c r="AS928" s="1759" t="s">
        <v>349</v>
      </c>
      <c r="AT928" s="1759" t="s">
        <v>327</v>
      </c>
      <c r="AU928" s="1763"/>
      <c r="AV928" s="1763"/>
    </row>
    <row r="929" spans="1:48" ht="25" hidden="1">
      <c r="A929" s="1785" t="str">
        <f t="shared" si="154"/>
        <v>גמל</v>
      </c>
      <c r="B929" s="1786">
        <f t="shared" si="155"/>
        <v>883</v>
      </c>
      <c r="C929" s="1787">
        <v>28946</v>
      </c>
      <c r="D929" s="1786" t="str">
        <f t="shared" si="156"/>
        <v>מיטב דש השתלמות מניות</v>
      </c>
      <c r="E929" s="1786" t="s">
        <v>3929</v>
      </c>
      <c r="F929" s="1786" t="s">
        <v>2958</v>
      </c>
      <c r="G929" s="1786" t="s">
        <v>2959</v>
      </c>
      <c r="H929" s="1786" t="str">
        <f t="shared" si="157"/>
        <v>פעיל</v>
      </c>
      <c r="I929" s="1788">
        <f t="shared" si="158"/>
        <v>37885</v>
      </c>
      <c r="J929" s="1788" t="str">
        <f t="shared" si="159"/>
        <v/>
      </c>
      <c r="K929" s="1786">
        <v>0</v>
      </c>
      <c r="L929" s="1786" t="s">
        <v>1594</v>
      </c>
      <c r="M929" s="1786" t="s">
        <v>1653</v>
      </c>
      <c r="N929" s="1786" t="s">
        <v>1653</v>
      </c>
      <c r="O929" s="1786">
        <v>0</v>
      </c>
      <c r="P929" s="1786"/>
      <c r="Q929" s="1786">
        <v>0</v>
      </c>
      <c r="R929" s="1788"/>
      <c r="S929" s="1786">
        <f t="shared" si="160"/>
        <v>880</v>
      </c>
      <c r="T929" s="1786" t="str">
        <f t="shared" si="161"/>
        <v>בנק מזרחי טפחות בע"מ</v>
      </c>
      <c r="U929" s="1786" t="str">
        <f t="shared" si="162"/>
        <v xml:space="preserve">מיטב דש השתלמות </v>
      </c>
      <c r="V929" s="1786" t="str">
        <f t="shared" si="163"/>
        <v>520043795</v>
      </c>
      <c r="W929" s="1789" t="str">
        <f t="shared" si="164"/>
        <v>מיטב דש גמל ופנסיה בע"מ</v>
      </c>
      <c r="AC929" s="1761" t="s">
        <v>346</v>
      </c>
      <c r="AD929" s="1761"/>
      <c r="AE929" s="1762">
        <v>37885</v>
      </c>
      <c r="AF929" s="1761" t="s">
        <v>1595</v>
      </c>
      <c r="AG929" s="1761" t="s">
        <v>75</v>
      </c>
      <c r="AH929" s="1761" t="s">
        <v>1594</v>
      </c>
      <c r="AI929" s="1761" t="s">
        <v>4014</v>
      </c>
      <c r="AJ929" s="1761" t="s">
        <v>4014</v>
      </c>
      <c r="AK929" s="1761">
        <v>883</v>
      </c>
      <c r="AL929" s="1761" t="s">
        <v>3960</v>
      </c>
      <c r="AM929" s="1761">
        <v>880</v>
      </c>
      <c r="AN929" s="1761" t="s">
        <v>5370</v>
      </c>
      <c r="AO929" s="1764"/>
      <c r="AP929" s="1761" t="s">
        <v>5373</v>
      </c>
      <c r="AQ929" s="1761" t="s">
        <v>5374</v>
      </c>
      <c r="AR929" s="1761" t="s">
        <v>2899</v>
      </c>
      <c r="AS929" s="1761" t="s">
        <v>349</v>
      </c>
      <c r="AT929" s="1761" t="s">
        <v>327</v>
      </c>
      <c r="AU929" s="1763"/>
      <c r="AV929" s="1763"/>
    </row>
    <row r="930" spans="1:48" ht="25" hidden="1">
      <c r="A930" s="1785" t="str">
        <f t="shared" si="154"/>
        <v>גמל</v>
      </c>
      <c r="B930" s="1786">
        <f t="shared" si="155"/>
        <v>883</v>
      </c>
      <c r="C930" s="1787">
        <v>28946</v>
      </c>
      <c r="D930" s="1786" t="str">
        <f t="shared" si="156"/>
        <v>מיטב דש השתלמות מניות</v>
      </c>
      <c r="E930" s="1786" t="s">
        <v>3929</v>
      </c>
      <c r="F930" s="1786" t="s">
        <v>2958</v>
      </c>
      <c r="G930" s="1786" t="s">
        <v>2959</v>
      </c>
      <c r="H930" s="1786" t="str">
        <f t="shared" si="157"/>
        <v>פעיל</v>
      </c>
      <c r="I930" s="1788">
        <f t="shared" si="158"/>
        <v>37885</v>
      </c>
      <c r="J930" s="1788" t="str">
        <f t="shared" si="159"/>
        <v/>
      </c>
      <c r="K930" s="1786">
        <v>0</v>
      </c>
      <c r="L930" s="1786" t="s">
        <v>1594</v>
      </c>
      <c r="M930" s="1786" t="s">
        <v>1653</v>
      </c>
      <c r="N930" s="1786" t="s">
        <v>1653</v>
      </c>
      <c r="O930" s="1786">
        <v>0</v>
      </c>
      <c r="P930" s="1786"/>
      <c r="Q930" s="1786">
        <v>0</v>
      </c>
      <c r="R930" s="1788"/>
      <c r="S930" s="1786">
        <f t="shared" si="160"/>
        <v>880</v>
      </c>
      <c r="T930" s="1786" t="str">
        <f t="shared" si="161"/>
        <v>בנק מזרחי טפחות בע"מ</v>
      </c>
      <c r="U930" s="1786" t="str">
        <f t="shared" si="162"/>
        <v xml:space="preserve">מיטב דש השתלמות </v>
      </c>
      <c r="V930" s="1786" t="str">
        <f t="shared" si="163"/>
        <v>520043795</v>
      </c>
      <c r="W930" s="1789" t="str">
        <f t="shared" si="164"/>
        <v>מיטב דש גמל ופנסיה בע"מ</v>
      </c>
      <c r="AC930" s="1759" t="s">
        <v>346</v>
      </c>
      <c r="AD930" s="1759"/>
      <c r="AE930" s="1760">
        <v>37885</v>
      </c>
      <c r="AF930" s="1759" t="s">
        <v>1595</v>
      </c>
      <c r="AG930" s="1759" t="s">
        <v>75</v>
      </c>
      <c r="AH930" s="1759" t="s">
        <v>1594</v>
      </c>
      <c r="AI930" s="1759" t="s">
        <v>4014</v>
      </c>
      <c r="AJ930" s="1759" t="s">
        <v>4014</v>
      </c>
      <c r="AK930" s="1759">
        <v>883</v>
      </c>
      <c r="AL930" s="1759" t="s">
        <v>3960</v>
      </c>
      <c r="AM930" s="1759">
        <v>880</v>
      </c>
      <c r="AN930" s="1759" t="s">
        <v>5370</v>
      </c>
      <c r="AO930" s="1764"/>
      <c r="AP930" s="1759" t="s">
        <v>5373</v>
      </c>
      <c r="AQ930" s="1759" t="s">
        <v>5374</v>
      </c>
      <c r="AR930" s="1759" t="s">
        <v>2899</v>
      </c>
      <c r="AS930" s="1759" t="s">
        <v>349</v>
      </c>
      <c r="AT930" s="1759" t="s">
        <v>327</v>
      </c>
      <c r="AU930" s="1763"/>
      <c r="AV930" s="1763"/>
    </row>
    <row r="931" spans="1:48" ht="25" hidden="1">
      <c r="A931" s="1785" t="str">
        <f t="shared" si="154"/>
        <v>גמל</v>
      </c>
      <c r="B931" s="1786">
        <f t="shared" si="155"/>
        <v>884</v>
      </c>
      <c r="C931" s="1787">
        <v>28946</v>
      </c>
      <c r="D931" s="1786" t="str">
        <f t="shared" si="156"/>
        <v>מיטב השתלמות מסלול מט"ח</v>
      </c>
      <c r="E931" s="1786" t="s">
        <v>3929</v>
      </c>
      <c r="F931" s="1786" t="s">
        <v>2958</v>
      </c>
      <c r="G931" s="1786" t="s">
        <v>2959</v>
      </c>
      <c r="H931" s="1786" t="str">
        <f t="shared" si="157"/>
        <v>לא פעיל</v>
      </c>
      <c r="I931" s="1788">
        <f t="shared" si="158"/>
        <v>37885</v>
      </c>
      <c r="J931" s="1788">
        <f t="shared" si="159"/>
        <v>39078.402986111098</v>
      </c>
      <c r="K931" s="1786">
        <v>0</v>
      </c>
      <c r="L931" s="1786" t="s">
        <v>1594</v>
      </c>
      <c r="M931" s="1786" t="s">
        <v>1653</v>
      </c>
      <c r="N931" s="1786" t="s">
        <v>1653</v>
      </c>
      <c r="O931" s="1786">
        <v>0</v>
      </c>
      <c r="P931" s="1786"/>
      <c r="Q931" s="1786">
        <v>0</v>
      </c>
      <c r="R931" s="1788"/>
      <c r="S931" s="1786">
        <f t="shared" si="160"/>
        <v>880</v>
      </c>
      <c r="T931" s="1786" t="str">
        <f t="shared" si="161"/>
        <v>בנק לאומי בע"מ</v>
      </c>
      <c r="U931" s="1786" t="str">
        <f t="shared" si="162"/>
        <v>מיטב השתלמות מסלול כללי</v>
      </c>
      <c r="V931" s="1786">
        <f t="shared" si="163"/>
        <v>0</v>
      </c>
      <c r="W931" s="1789" t="str">
        <f t="shared" si="164"/>
        <v>מיטב גמל ופנסיה בע"מ</v>
      </c>
      <c r="AC931" s="1761" t="s">
        <v>1586</v>
      </c>
      <c r="AD931" s="1762">
        <v>39078.402986111098</v>
      </c>
      <c r="AE931" s="1762">
        <v>37885</v>
      </c>
      <c r="AF931" s="1761" t="s">
        <v>1611</v>
      </c>
      <c r="AG931" s="1761" t="s">
        <v>1611</v>
      </c>
      <c r="AH931" s="1761" t="s">
        <v>1594</v>
      </c>
      <c r="AI931" s="1761" t="s">
        <v>3370</v>
      </c>
      <c r="AJ931" s="1761" t="s">
        <v>2101</v>
      </c>
      <c r="AK931" s="1761">
        <v>884</v>
      </c>
      <c r="AL931" s="1761" t="s">
        <v>625</v>
      </c>
      <c r="AM931" s="1761">
        <v>880</v>
      </c>
      <c r="AN931" s="1761" t="s">
        <v>5470</v>
      </c>
      <c r="AO931" s="1764"/>
      <c r="AP931" s="1761"/>
      <c r="AQ931" s="1761"/>
      <c r="AR931" s="1761" t="s">
        <v>365</v>
      </c>
      <c r="AS931" s="1761" t="s">
        <v>366</v>
      </c>
      <c r="AT931" s="1761" t="s">
        <v>327</v>
      </c>
      <c r="AU931" s="1763"/>
      <c r="AV931" s="1763"/>
    </row>
    <row r="932" spans="1:48" ht="25" hidden="1">
      <c r="A932" s="1785" t="str">
        <f t="shared" si="154"/>
        <v>גמל</v>
      </c>
      <c r="B932" s="1786">
        <f t="shared" si="155"/>
        <v>13245</v>
      </c>
      <c r="C932" s="1787">
        <v>28946</v>
      </c>
      <c r="D932" s="1786" t="str">
        <f t="shared" si="156"/>
        <v>מיטב דש השתלמות מחקה מדד S&amp;P500</v>
      </c>
      <c r="E932" s="1786" t="s">
        <v>3929</v>
      </c>
      <c r="F932" s="1786" t="s">
        <v>2958</v>
      </c>
      <c r="G932" s="1786" t="s">
        <v>2959</v>
      </c>
      <c r="H932" s="1786" t="str">
        <f t="shared" si="157"/>
        <v>פעיל</v>
      </c>
      <c r="I932" s="1788">
        <f t="shared" si="158"/>
        <v>37885</v>
      </c>
      <c r="J932" s="1788" t="str">
        <f t="shared" si="159"/>
        <v/>
      </c>
      <c r="K932" s="1786">
        <v>0</v>
      </c>
      <c r="L932" s="1786" t="s">
        <v>1594</v>
      </c>
      <c r="M932" s="1786" t="s">
        <v>1653</v>
      </c>
      <c r="N932" s="1786" t="s">
        <v>1653</v>
      </c>
      <c r="O932" s="1786">
        <v>0</v>
      </c>
      <c r="P932" s="1786"/>
      <c r="Q932" s="1786">
        <v>0</v>
      </c>
      <c r="R932" s="1788"/>
      <c r="S932" s="1786">
        <f t="shared" si="160"/>
        <v>880</v>
      </c>
      <c r="T932" s="1786" t="str">
        <f t="shared" si="161"/>
        <v>בנק מזרחי טפחות בע"מ</v>
      </c>
      <c r="U932" s="1786" t="str">
        <f t="shared" si="162"/>
        <v xml:space="preserve">מיטב דש השתלמות </v>
      </c>
      <c r="V932" s="1786" t="str">
        <f t="shared" si="163"/>
        <v>520043795</v>
      </c>
      <c r="W932" s="1789" t="str">
        <f t="shared" si="164"/>
        <v>מיטב דש גמל ופנסיה בע"מ</v>
      </c>
      <c r="AC932" s="1759" t="s">
        <v>346</v>
      </c>
      <c r="AD932" s="1759"/>
      <c r="AE932" s="1760">
        <v>37885</v>
      </c>
      <c r="AF932" s="1759" t="s">
        <v>1094</v>
      </c>
      <c r="AG932" s="1759" t="s">
        <v>1094</v>
      </c>
      <c r="AH932" s="1759" t="s">
        <v>1594</v>
      </c>
      <c r="AI932" s="1759" t="s">
        <v>5550</v>
      </c>
      <c r="AJ932" s="1759" t="s">
        <v>5550</v>
      </c>
      <c r="AK932" s="1759">
        <v>13245</v>
      </c>
      <c r="AL932" s="1759" t="s">
        <v>3960</v>
      </c>
      <c r="AM932" s="1759">
        <v>880</v>
      </c>
      <c r="AN932" s="1759" t="s">
        <v>5370</v>
      </c>
      <c r="AO932" s="1764"/>
      <c r="AP932" s="1759" t="s">
        <v>5373</v>
      </c>
      <c r="AQ932" s="1759" t="s">
        <v>5374</v>
      </c>
      <c r="AR932" s="1759" t="s">
        <v>2899</v>
      </c>
      <c r="AS932" s="1759" t="s">
        <v>349</v>
      </c>
      <c r="AT932" s="1759" t="s">
        <v>327</v>
      </c>
      <c r="AU932" s="1763"/>
      <c r="AV932" s="1763"/>
    </row>
    <row r="933" spans="1:48" ht="25" hidden="1">
      <c r="A933" s="1785" t="str">
        <f t="shared" si="154"/>
        <v>גמל</v>
      </c>
      <c r="B933" s="1786">
        <f t="shared" si="155"/>
        <v>13245</v>
      </c>
      <c r="C933" s="1787">
        <v>28946</v>
      </c>
      <c r="D933" s="1786" t="str">
        <f t="shared" si="156"/>
        <v>מיטב דש השתלמות מחקה מדד S&amp;P500</v>
      </c>
      <c r="E933" s="1786" t="s">
        <v>3929</v>
      </c>
      <c r="F933" s="1786" t="s">
        <v>2958</v>
      </c>
      <c r="G933" s="1786" t="s">
        <v>2959</v>
      </c>
      <c r="H933" s="1786" t="str">
        <f t="shared" si="157"/>
        <v>פעיל</v>
      </c>
      <c r="I933" s="1788">
        <f t="shared" si="158"/>
        <v>37885</v>
      </c>
      <c r="J933" s="1788" t="str">
        <f t="shared" si="159"/>
        <v/>
      </c>
      <c r="K933" s="1786">
        <v>0</v>
      </c>
      <c r="L933" s="1786" t="s">
        <v>1594</v>
      </c>
      <c r="M933" s="1786" t="s">
        <v>1653</v>
      </c>
      <c r="N933" s="1786" t="s">
        <v>1653</v>
      </c>
      <c r="O933" s="1786">
        <v>0</v>
      </c>
      <c r="P933" s="1786"/>
      <c r="Q933" s="1786">
        <v>0</v>
      </c>
      <c r="R933" s="1788"/>
      <c r="S933" s="1786">
        <f t="shared" si="160"/>
        <v>880</v>
      </c>
      <c r="T933" s="1786" t="str">
        <f t="shared" si="161"/>
        <v>בנק מזרחי טפחות בע"מ</v>
      </c>
      <c r="U933" s="1786" t="str">
        <f t="shared" si="162"/>
        <v xml:space="preserve">מיטב דש השתלמות </v>
      </c>
      <c r="V933" s="1786" t="str">
        <f t="shared" si="163"/>
        <v>520043795</v>
      </c>
      <c r="W933" s="1789" t="str">
        <f t="shared" si="164"/>
        <v>מיטב דש גמל ופנסיה בע"מ</v>
      </c>
      <c r="AC933" s="1761" t="s">
        <v>346</v>
      </c>
      <c r="AD933" s="1759"/>
      <c r="AE933" s="1762">
        <v>37885</v>
      </c>
      <c r="AF933" s="1761" t="s">
        <v>1094</v>
      </c>
      <c r="AG933" s="1761" t="s">
        <v>1094</v>
      </c>
      <c r="AH933" s="1761" t="s">
        <v>1594</v>
      </c>
      <c r="AI933" s="1761" t="s">
        <v>5550</v>
      </c>
      <c r="AJ933" s="1761" t="s">
        <v>5550</v>
      </c>
      <c r="AK933" s="1761">
        <v>13245</v>
      </c>
      <c r="AL933" s="1761" t="s">
        <v>3960</v>
      </c>
      <c r="AM933" s="1761">
        <v>880</v>
      </c>
      <c r="AN933" s="1761" t="s">
        <v>5370</v>
      </c>
      <c r="AO933" s="1764"/>
      <c r="AP933" s="1761" t="s">
        <v>5373</v>
      </c>
      <c r="AQ933" s="1761" t="s">
        <v>5374</v>
      </c>
      <c r="AR933" s="1761" t="s">
        <v>2899</v>
      </c>
      <c r="AS933" s="1761" t="s">
        <v>349</v>
      </c>
      <c r="AT933" s="1761" t="s">
        <v>327</v>
      </c>
      <c r="AU933" s="1763"/>
      <c r="AV933" s="1763"/>
    </row>
    <row r="934" spans="1:48" ht="25" hidden="1">
      <c r="A934" s="1785" t="str">
        <f t="shared" si="154"/>
        <v>גמל</v>
      </c>
      <c r="B934" s="1786">
        <f t="shared" si="155"/>
        <v>481</v>
      </c>
      <c r="C934" s="1787">
        <v>28946</v>
      </c>
      <c r="D934" s="1786" t="str">
        <f t="shared" si="156"/>
        <v>מיטב דש השתלמות  כללי פאסיבי</v>
      </c>
      <c r="E934" s="1786" t="s">
        <v>3929</v>
      </c>
      <c r="F934" s="1786" t="s">
        <v>2958</v>
      </c>
      <c r="G934" s="1786" t="s">
        <v>2959</v>
      </c>
      <c r="H934" s="1786" t="str">
        <f t="shared" si="157"/>
        <v>פעיל</v>
      </c>
      <c r="I934" s="1788">
        <f t="shared" si="158"/>
        <v>37885</v>
      </c>
      <c r="J934" s="1788" t="str">
        <f t="shared" si="159"/>
        <v/>
      </c>
      <c r="K934" s="1786">
        <v>0</v>
      </c>
      <c r="L934" s="1786" t="s">
        <v>1594</v>
      </c>
      <c r="M934" s="1786" t="s">
        <v>1653</v>
      </c>
      <c r="N934" s="1786" t="s">
        <v>1653</v>
      </c>
      <c r="O934" s="1786">
        <v>0</v>
      </c>
      <c r="P934" s="1786"/>
      <c r="Q934" s="1786">
        <v>0</v>
      </c>
      <c r="R934" s="1788"/>
      <c r="S934" s="1786">
        <f t="shared" si="160"/>
        <v>880</v>
      </c>
      <c r="T934" s="1786" t="str">
        <f t="shared" si="161"/>
        <v>בנק מזרחי טפחות בע"מ</v>
      </c>
      <c r="U934" s="1786" t="str">
        <f t="shared" si="162"/>
        <v xml:space="preserve">מיטב דש השתלמות </v>
      </c>
      <c r="V934" s="1786" t="str">
        <f t="shared" si="163"/>
        <v>520043795</v>
      </c>
      <c r="W934" s="1789" t="str">
        <f t="shared" si="164"/>
        <v>מיטב דש גמל ופנסיה בע"מ</v>
      </c>
      <c r="AC934" s="1759" t="s">
        <v>346</v>
      </c>
      <c r="AD934" s="1759"/>
      <c r="AE934" s="1760">
        <v>37885</v>
      </c>
      <c r="AF934" s="1759" t="s">
        <v>3959</v>
      </c>
      <c r="AG934" s="1759" t="s">
        <v>1583</v>
      </c>
      <c r="AH934" s="1759" t="s">
        <v>1583</v>
      </c>
      <c r="AI934" s="1759" t="s">
        <v>3958</v>
      </c>
      <c r="AJ934" s="1759" t="s">
        <v>3958</v>
      </c>
      <c r="AK934" s="1759">
        <v>481</v>
      </c>
      <c r="AL934" s="1759" t="s">
        <v>3960</v>
      </c>
      <c r="AM934" s="1759">
        <v>880</v>
      </c>
      <c r="AN934" s="1759" t="s">
        <v>5370</v>
      </c>
      <c r="AO934" s="1764"/>
      <c r="AP934" s="1759" t="s">
        <v>5373</v>
      </c>
      <c r="AQ934" s="1759" t="s">
        <v>5374</v>
      </c>
      <c r="AR934" s="1759" t="s">
        <v>2899</v>
      </c>
      <c r="AS934" s="1759" t="s">
        <v>349</v>
      </c>
      <c r="AT934" s="1759" t="s">
        <v>327</v>
      </c>
      <c r="AU934" s="1763"/>
      <c r="AV934" s="1763"/>
    </row>
    <row r="935" spans="1:48" ht="25" hidden="1">
      <c r="A935" s="1785" t="str">
        <f t="shared" si="154"/>
        <v>גמל</v>
      </c>
      <c r="B935" s="1786">
        <f t="shared" si="155"/>
        <v>481</v>
      </c>
      <c r="C935" s="1787">
        <v>28946</v>
      </c>
      <c r="D935" s="1786" t="str">
        <f t="shared" si="156"/>
        <v>מיטב דש השתלמות  כללי פאסיבי</v>
      </c>
      <c r="E935" s="1786" t="s">
        <v>3929</v>
      </c>
      <c r="F935" s="1786" t="s">
        <v>2958</v>
      </c>
      <c r="G935" s="1786" t="s">
        <v>2959</v>
      </c>
      <c r="H935" s="1786" t="str">
        <f t="shared" si="157"/>
        <v>פעיל</v>
      </c>
      <c r="I935" s="1788">
        <f t="shared" si="158"/>
        <v>37885</v>
      </c>
      <c r="J935" s="1788" t="str">
        <f t="shared" si="159"/>
        <v/>
      </c>
      <c r="K935" s="1786">
        <v>0</v>
      </c>
      <c r="L935" s="1786" t="s">
        <v>1594</v>
      </c>
      <c r="M935" s="1786" t="s">
        <v>1653</v>
      </c>
      <c r="N935" s="1786" t="s">
        <v>1653</v>
      </c>
      <c r="O935" s="1786">
        <v>0</v>
      </c>
      <c r="P935" s="1786"/>
      <c r="Q935" s="1786">
        <v>0</v>
      </c>
      <c r="R935" s="1788"/>
      <c r="S935" s="1786">
        <f t="shared" si="160"/>
        <v>880</v>
      </c>
      <c r="T935" s="1786" t="str">
        <f t="shared" si="161"/>
        <v>בנק מזרחי טפחות בע"מ</v>
      </c>
      <c r="U935" s="1786" t="str">
        <f t="shared" si="162"/>
        <v xml:space="preserve">מיטב דש השתלמות </v>
      </c>
      <c r="V935" s="1786" t="str">
        <f t="shared" si="163"/>
        <v>520043795</v>
      </c>
      <c r="W935" s="1789" t="str">
        <f t="shared" si="164"/>
        <v>מיטב דש גמל ופנסיה בע"מ</v>
      </c>
      <c r="AC935" s="1761" t="s">
        <v>346</v>
      </c>
      <c r="AD935" s="1761"/>
      <c r="AE935" s="1762">
        <v>37885</v>
      </c>
      <c r="AF935" s="1761" t="s">
        <v>3959</v>
      </c>
      <c r="AG935" s="1761" t="s">
        <v>1583</v>
      </c>
      <c r="AH935" s="1761" t="s">
        <v>1583</v>
      </c>
      <c r="AI935" s="1761" t="s">
        <v>3958</v>
      </c>
      <c r="AJ935" s="1761" t="s">
        <v>3958</v>
      </c>
      <c r="AK935" s="1761">
        <v>481</v>
      </c>
      <c r="AL935" s="1761" t="s">
        <v>3960</v>
      </c>
      <c r="AM935" s="1761">
        <v>880</v>
      </c>
      <c r="AN935" s="1761" t="s">
        <v>5370</v>
      </c>
      <c r="AO935" s="1764"/>
      <c r="AP935" s="1761" t="s">
        <v>5373</v>
      </c>
      <c r="AQ935" s="1761" t="s">
        <v>5374</v>
      </c>
      <c r="AR935" s="1761" t="s">
        <v>2899</v>
      </c>
      <c r="AS935" s="1761" t="s">
        <v>349</v>
      </c>
      <c r="AT935" s="1761" t="s">
        <v>327</v>
      </c>
      <c r="AU935" s="1763"/>
      <c r="AV935" s="1763"/>
    </row>
    <row r="936" spans="1:48" ht="25" hidden="1">
      <c r="A936" s="1785" t="str">
        <f t="shared" si="154"/>
        <v>גמל</v>
      </c>
      <c r="B936" s="1786">
        <f t="shared" si="155"/>
        <v>8885</v>
      </c>
      <c r="C936" s="1787">
        <v>28946</v>
      </c>
      <c r="D936" s="1786" t="str">
        <f t="shared" si="156"/>
        <v>מיטב דש השתלמות אג"ח עד 25% במניות</v>
      </c>
      <c r="E936" s="1786" t="s">
        <v>3929</v>
      </c>
      <c r="F936" s="1786" t="s">
        <v>2958</v>
      </c>
      <c r="G936" s="1786" t="s">
        <v>2959</v>
      </c>
      <c r="H936" s="1786" t="str">
        <f t="shared" si="157"/>
        <v>פעיל</v>
      </c>
      <c r="I936" s="1788">
        <f t="shared" si="158"/>
        <v>37885</v>
      </c>
      <c r="J936" s="1788" t="str">
        <f t="shared" si="159"/>
        <v/>
      </c>
      <c r="K936" s="1786">
        <v>0</v>
      </c>
      <c r="L936" s="1786" t="s">
        <v>1594</v>
      </c>
      <c r="M936" s="1786" t="s">
        <v>1653</v>
      </c>
      <c r="N936" s="1786" t="s">
        <v>1653</v>
      </c>
      <c r="O936" s="1786">
        <v>0</v>
      </c>
      <c r="P936" s="1786"/>
      <c r="Q936" s="1786">
        <v>0</v>
      </c>
      <c r="R936" s="1788"/>
      <c r="S936" s="1786">
        <f t="shared" si="160"/>
        <v>880</v>
      </c>
      <c r="T936" s="1786" t="str">
        <f t="shared" si="161"/>
        <v>בנק מזרחי טפחות בע"מ</v>
      </c>
      <c r="U936" s="1786" t="str">
        <f t="shared" si="162"/>
        <v xml:space="preserve">מיטב דש השתלמות </v>
      </c>
      <c r="V936" s="1786" t="str">
        <f t="shared" si="163"/>
        <v>520043795</v>
      </c>
      <c r="W936" s="1789" t="str">
        <f t="shared" si="164"/>
        <v>מיטב דש גמל ופנסיה בע"מ</v>
      </c>
      <c r="AC936" s="1759" t="s">
        <v>346</v>
      </c>
      <c r="AD936" s="1759"/>
      <c r="AE936" s="1760">
        <v>37885</v>
      </c>
      <c r="AF936" s="1759" t="s">
        <v>3934</v>
      </c>
      <c r="AG936" s="1759" t="s">
        <v>1653</v>
      </c>
      <c r="AH936" s="1759" t="s">
        <v>1594</v>
      </c>
      <c r="AI936" s="1759" t="s">
        <v>3748</v>
      </c>
      <c r="AJ936" s="1759" t="s">
        <v>3748</v>
      </c>
      <c r="AK936" s="1759">
        <v>8885</v>
      </c>
      <c r="AL936" s="1759" t="s">
        <v>3960</v>
      </c>
      <c r="AM936" s="1759">
        <v>880</v>
      </c>
      <c r="AN936" s="1759" t="s">
        <v>5370</v>
      </c>
      <c r="AO936" s="1764"/>
      <c r="AP936" s="1759" t="s">
        <v>5373</v>
      </c>
      <c r="AQ936" s="1759" t="s">
        <v>5374</v>
      </c>
      <c r="AR936" s="1759" t="s">
        <v>2899</v>
      </c>
      <c r="AS936" s="1759" t="s">
        <v>349</v>
      </c>
      <c r="AT936" s="1759" t="s">
        <v>327</v>
      </c>
      <c r="AU936" s="1763"/>
      <c r="AV936" s="1763"/>
    </row>
    <row r="937" spans="1:48" ht="25" hidden="1">
      <c r="A937" s="1785" t="str">
        <f t="shared" si="154"/>
        <v>גמל</v>
      </c>
      <c r="B937" s="1786">
        <f t="shared" si="155"/>
        <v>8885</v>
      </c>
      <c r="C937" s="1787">
        <v>28946</v>
      </c>
      <c r="D937" s="1786" t="str">
        <f t="shared" si="156"/>
        <v>מיטב דש השתלמות אג"ח עד 25% במניות</v>
      </c>
      <c r="E937" s="1786" t="s">
        <v>3929</v>
      </c>
      <c r="F937" s="1786" t="s">
        <v>2958</v>
      </c>
      <c r="G937" s="1786" t="s">
        <v>2959</v>
      </c>
      <c r="H937" s="1786" t="str">
        <f t="shared" si="157"/>
        <v>פעיל</v>
      </c>
      <c r="I937" s="1788">
        <f t="shared" si="158"/>
        <v>37885</v>
      </c>
      <c r="J937" s="1788" t="str">
        <f t="shared" si="159"/>
        <v/>
      </c>
      <c r="K937" s="1786">
        <v>0</v>
      </c>
      <c r="L937" s="1786" t="s">
        <v>1594</v>
      </c>
      <c r="M937" s="1786" t="s">
        <v>1653</v>
      </c>
      <c r="N937" s="1786" t="s">
        <v>1653</v>
      </c>
      <c r="O937" s="1786">
        <v>0</v>
      </c>
      <c r="P937" s="1786"/>
      <c r="Q937" s="1786">
        <v>0</v>
      </c>
      <c r="R937" s="1788"/>
      <c r="S937" s="1786">
        <f t="shared" si="160"/>
        <v>880</v>
      </c>
      <c r="T937" s="1786" t="str">
        <f t="shared" si="161"/>
        <v>בנק מזרחי טפחות בע"מ</v>
      </c>
      <c r="U937" s="1786" t="str">
        <f t="shared" si="162"/>
        <v xml:space="preserve">מיטב דש השתלמות </v>
      </c>
      <c r="V937" s="1786" t="str">
        <f t="shared" si="163"/>
        <v>520043795</v>
      </c>
      <c r="W937" s="1789" t="str">
        <f t="shared" si="164"/>
        <v>מיטב דש גמל ופנסיה בע"מ</v>
      </c>
      <c r="AC937" s="1761" t="s">
        <v>346</v>
      </c>
      <c r="AD937" s="1761"/>
      <c r="AE937" s="1762">
        <v>37885</v>
      </c>
      <c r="AF937" s="1761" t="s">
        <v>3934</v>
      </c>
      <c r="AG937" s="1761" t="s">
        <v>1653</v>
      </c>
      <c r="AH937" s="1761" t="s">
        <v>1594</v>
      </c>
      <c r="AI937" s="1761" t="s">
        <v>3748</v>
      </c>
      <c r="AJ937" s="1761" t="s">
        <v>3748</v>
      </c>
      <c r="AK937" s="1761">
        <v>8885</v>
      </c>
      <c r="AL937" s="1761" t="s">
        <v>3960</v>
      </c>
      <c r="AM937" s="1761">
        <v>880</v>
      </c>
      <c r="AN937" s="1761" t="s">
        <v>5370</v>
      </c>
      <c r="AO937" s="1764"/>
      <c r="AP937" s="1761" t="s">
        <v>5373</v>
      </c>
      <c r="AQ937" s="1761" t="s">
        <v>5374</v>
      </c>
      <c r="AR937" s="1761" t="s">
        <v>2899</v>
      </c>
      <c r="AS937" s="1761" t="s">
        <v>349</v>
      </c>
      <c r="AT937" s="1761" t="s">
        <v>327</v>
      </c>
      <c r="AU937" s="1763"/>
      <c r="AV937" s="1763"/>
    </row>
    <row r="938" spans="1:48" ht="25" hidden="1">
      <c r="A938" s="1785" t="str">
        <f t="shared" si="154"/>
        <v>גמל</v>
      </c>
      <c r="B938" s="1786">
        <f t="shared" si="155"/>
        <v>2055</v>
      </c>
      <c r="C938" s="1787">
        <v>28946</v>
      </c>
      <c r="D938" s="1786" t="str">
        <f t="shared" si="156"/>
        <v>מיטב דש השתלמות חו"ל</v>
      </c>
      <c r="E938" s="1786" t="s">
        <v>3929</v>
      </c>
      <c r="F938" s="1786" t="s">
        <v>2958</v>
      </c>
      <c r="G938" s="1786" t="s">
        <v>2959</v>
      </c>
      <c r="H938" s="1786" t="str">
        <f t="shared" si="157"/>
        <v>פעיל</v>
      </c>
      <c r="I938" s="1788">
        <f t="shared" si="158"/>
        <v>37885</v>
      </c>
      <c r="J938" s="1788" t="str">
        <f t="shared" si="159"/>
        <v/>
      </c>
      <c r="K938" s="1786">
        <v>0</v>
      </c>
      <c r="L938" s="1786" t="s">
        <v>1594</v>
      </c>
      <c r="M938" s="1786" t="s">
        <v>1653</v>
      </c>
      <c r="N938" s="1786" t="s">
        <v>1653</v>
      </c>
      <c r="O938" s="1786">
        <v>0</v>
      </c>
      <c r="P938" s="1786"/>
      <c r="Q938" s="1786">
        <v>0</v>
      </c>
      <c r="R938" s="1788"/>
      <c r="S938" s="1786">
        <f t="shared" si="160"/>
        <v>880</v>
      </c>
      <c r="T938" s="1786" t="str">
        <f t="shared" si="161"/>
        <v>בנק מזרחי טפחות בע"מ</v>
      </c>
      <c r="U938" s="1786" t="str">
        <f t="shared" si="162"/>
        <v xml:space="preserve">מיטב דש השתלמות </v>
      </c>
      <c r="V938" s="1786" t="str">
        <f t="shared" si="163"/>
        <v>520043795</v>
      </c>
      <c r="W938" s="1789" t="str">
        <f t="shared" si="164"/>
        <v>מיטב דש גמל ופנסיה בע"מ</v>
      </c>
      <c r="AC938" s="1759" t="s">
        <v>346</v>
      </c>
      <c r="AD938" s="1759"/>
      <c r="AE938" s="1760">
        <v>37885</v>
      </c>
      <c r="AF938" s="1759" t="s">
        <v>1948</v>
      </c>
      <c r="AG938" s="1759" t="s">
        <v>1947</v>
      </c>
      <c r="AH938" s="1759" t="s">
        <v>1594</v>
      </c>
      <c r="AI938" s="1759" t="s">
        <v>3692</v>
      </c>
      <c r="AJ938" s="1759" t="s">
        <v>3692</v>
      </c>
      <c r="AK938" s="1759">
        <v>2055</v>
      </c>
      <c r="AL938" s="1759" t="s">
        <v>3960</v>
      </c>
      <c r="AM938" s="1759">
        <v>880</v>
      </c>
      <c r="AN938" s="1759" t="s">
        <v>5370</v>
      </c>
      <c r="AO938" s="1764"/>
      <c r="AP938" s="1759" t="s">
        <v>5373</v>
      </c>
      <c r="AQ938" s="1759" t="s">
        <v>5374</v>
      </c>
      <c r="AR938" s="1759" t="s">
        <v>2899</v>
      </c>
      <c r="AS938" s="1759" t="s">
        <v>349</v>
      </c>
      <c r="AT938" s="1759" t="s">
        <v>327</v>
      </c>
      <c r="AU938" s="1763"/>
      <c r="AV938" s="1763"/>
    </row>
    <row r="939" spans="1:48" ht="25" hidden="1">
      <c r="A939" s="1785" t="str">
        <f t="shared" si="154"/>
        <v>גמל</v>
      </c>
      <c r="B939" s="1786">
        <f t="shared" si="155"/>
        <v>2055</v>
      </c>
      <c r="C939" s="1787">
        <v>28946</v>
      </c>
      <c r="D939" s="1786" t="str">
        <f t="shared" si="156"/>
        <v>מיטב דש השתלמות חו"ל</v>
      </c>
      <c r="E939" s="1786" t="s">
        <v>3929</v>
      </c>
      <c r="F939" s="1786" t="s">
        <v>2958</v>
      </c>
      <c r="G939" s="1786" t="s">
        <v>2959</v>
      </c>
      <c r="H939" s="1786" t="str">
        <f t="shared" si="157"/>
        <v>פעיל</v>
      </c>
      <c r="I939" s="1788">
        <f t="shared" si="158"/>
        <v>37885</v>
      </c>
      <c r="J939" s="1788" t="str">
        <f t="shared" si="159"/>
        <v/>
      </c>
      <c r="K939" s="1786">
        <v>0</v>
      </c>
      <c r="L939" s="1786" t="s">
        <v>1594</v>
      </c>
      <c r="M939" s="1786" t="s">
        <v>1653</v>
      </c>
      <c r="N939" s="1786" t="s">
        <v>1653</v>
      </c>
      <c r="O939" s="1786">
        <v>0</v>
      </c>
      <c r="P939" s="1786"/>
      <c r="Q939" s="1786">
        <v>0</v>
      </c>
      <c r="R939" s="1788"/>
      <c r="S939" s="1786">
        <f t="shared" si="160"/>
        <v>880</v>
      </c>
      <c r="T939" s="1786" t="str">
        <f t="shared" si="161"/>
        <v>בנק מזרחי טפחות בע"מ</v>
      </c>
      <c r="U939" s="1786" t="str">
        <f t="shared" si="162"/>
        <v xml:space="preserve">מיטב דש השתלמות </v>
      </c>
      <c r="V939" s="1786" t="str">
        <f t="shared" si="163"/>
        <v>520043795</v>
      </c>
      <c r="W939" s="1789" t="str">
        <f t="shared" si="164"/>
        <v>מיטב דש גמל ופנסיה בע"מ</v>
      </c>
      <c r="AC939" s="1761" t="s">
        <v>346</v>
      </c>
      <c r="AD939" s="1761"/>
      <c r="AE939" s="1762">
        <v>37885</v>
      </c>
      <c r="AF939" s="1761" t="s">
        <v>1948</v>
      </c>
      <c r="AG939" s="1761" t="s">
        <v>1947</v>
      </c>
      <c r="AH939" s="1761" t="s">
        <v>1594</v>
      </c>
      <c r="AI939" s="1761" t="s">
        <v>3692</v>
      </c>
      <c r="AJ939" s="1761" t="s">
        <v>3692</v>
      </c>
      <c r="AK939" s="1761">
        <v>2055</v>
      </c>
      <c r="AL939" s="1761" t="s">
        <v>3960</v>
      </c>
      <c r="AM939" s="1761">
        <v>880</v>
      </c>
      <c r="AN939" s="1761" t="s">
        <v>5370</v>
      </c>
      <c r="AO939" s="1764"/>
      <c r="AP939" s="1761" t="s">
        <v>5373</v>
      </c>
      <c r="AQ939" s="1761" t="s">
        <v>5374</v>
      </c>
      <c r="AR939" s="1761" t="s">
        <v>2899</v>
      </c>
      <c r="AS939" s="1761" t="s">
        <v>349</v>
      </c>
      <c r="AT939" s="1761" t="s">
        <v>327</v>
      </c>
      <c r="AU939" s="1763"/>
      <c r="AV939" s="1763"/>
    </row>
    <row r="940" spans="1:48" ht="25" hidden="1">
      <c r="A940" s="1785" t="str">
        <f t="shared" si="154"/>
        <v>גמל</v>
      </c>
      <c r="B940" s="1786">
        <f t="shared" si="155"/>
        <v>1353</v>
      </c>
      <c r="C940" s="1787">
        <v>28946</v>
      </c>
      <c r="D940" s="1786" t="str">
        <f t="shared" si="156"/>
        <v xml:space="preserve">מיטב דש השתלמות מעל 6 שנות וותק </v>
      </c>
      <c r="E940" s="1786" t="s">
        <v>3929</v>
      </c>
      <c r="F940" s="1786" t="s">
        <v>2958</v>
      </c>
      <c r="G940" s="1786" t="s">
        <v>2959</v>
      </c>
      <c r="H940" s="1786" t="str">
        <f t="shared" si="157"/>
        <v>פעיל</v>
      </c>
      <c r="I940" s="1788">
        <f t="shared" si="158"/>
        <v>37885</v>
      </c>
      <c r="J940" s="1788" t="str">
        <f t="shared" si="159"/>
        <v/>
      </c>
      <c r="K940" s="1786">
        <v>0</v>
      </c>
      <c r="L940" s="1786" t="s">
        <v>1594</v>
      </c>
      <c r="M940" s="1786" t="s">
        <v>1653</v>
      </c>
      <c r="N940" s="1786" t="s">
        <v>1653</v>
      </c>
      <c r="O940" s="1786">
        <v>0</v>
      </c>
      <c r="P940" s="1786"/>
      <c r="Q940" s="1786">
        <v>0</v>
      </c>
      <c r="R940" s="1788"/>
      <c r="S940" s="1786">
        <f t="shared" si="160"/>
        <v>880</v>
      </c>
      <c r="T940" s="1786" t="str">
        <f t="shared" si="161"/>
        <v>בנק מזרחי טפחות בע"מ</v>
      </c>
      <c r="U940" s="1786" t="str">
        <f t="shared" si="162"/>
        <v xml:space="preserve">מיטב דש השתלמות </v>
      </c>
      <c r="V940" s="1786" t="str">
        <f t="shared" si="163"/>
        <v>520043795</v>
      </c>
      <c r="W940" s="1789" t="str">
        <f t="shared" si="164"/>
        <v>מיטב דש גמל ופנסיה בע"מ</v>
      </c>
      <c r="AC940" s="1759" t="s">
        <v>346</v>
      </c>
      <c r="AD940" s="1759"/>
      <c r="AE940" s="1760">
        <v>37885</v>
      </c>
      <c r="AF940" s="1759" t="s">
        <v>3956</v>
      </c>
      <c r="AG940" s="1759" t="s">
        <v>70</v>
      </c>
      <c r="AH940" s="1759" t="s">
        <v>1594</v>
      </c>
      <c r="AI940" s="1759" t="s">
        <v>4066</v>
      </c>
      <c r="AJ940" s="1759" t="s">
        <v>4066</v>
      </c>
      <c r="AK940" s="1759">
        <v>1353</v>
      </c>
      <c r="AL940" s="1759" t="s">
        <v>3960</v>
      </c>
      <c r="AM940" s="1759">
        <v>880</v>
      </c>
      <c r="AN940" s="1759" t="s">
        <v>5370</v>
      </c>
      <c r="AO940" s="1764"/>
      <c r="AP940" s="1759" t="s">
        <v>5373</v>
      </c>
      <c r="AQ940" s="1759" t="s">
        <v>5374</v>
      </c>
      <c r="AR940" s="1759" t="s">
        <v>2899</v>
      </c>
      <c r="AS940" s="1759" t="s">
        <v>349</v>
      </c>
      <c r="AT940" s="1759" t="s">
        <v>327</v>
      </c>
      <c r="AU940" s="1763"/>
      <c r="AV940" s="1763"/>
    </row>
    <row r="941" spans="1:48" ht="25" hidden="1">
      <c r="A941" s="1785" t="str">
        <f t="shared" si="154"/>
        <v>גמל</v>
      </c>
      <c r="B941" s="1786">
        <f t="shared" si="155"/>
        <v>1353</v>
      </c>
      <c r="C941" s="1787">
        <v>28946</v>
      </c>
      <c r="D941" s="1786" t="str">
        <f t="shared" si="156"/>
        <v xml:space="preserve">מיטב דש השתלמות מעל 6 שנות וותק </v>
      </c>
      <c r="E941" s="1786" t="s">
        <v>3929</v>
      </c>
      <c r="F941" s="1786" t="s">
        <v>2958</v>
      </c>
      <c r="G941" s="1786" t="s">
        <v>2959</v>
      </c>
      <c r="H941" s="1786" t="str">
        <f t="shared" si="157"/>
        <v>פעיל</v>
      </c>
      <c r="I941" s="1788">
        <f t="shared" si="158"/>
        <v>37885</v>
      </c>
      <c r="J941" s="1788" t="str">
        <f t="shared" si="159"/>
        <v/>
      </c>
      <c r="K941" s="1786">
        <v>0</v>
      </c>
      <c r="L941" s="1786" t="s">
        <v>1594</v>
      </c>
      <c r="M941" s="1786" t="s">
        <v>1653</v>
      </c>
      <c r="N941" s="1786" t="s">
        <v>1653</v>
      </c>
      <c r="O941" s="1786">
        <v>0</v>
      </c>
      <c r="P941" s="1786"/>
      <c r="Q941" s="1786">
        <v>0</v>
      </c>
      <c r="R941" s="1788"/>
      <c r="S941" s="1786">
        <f t="shared" si="160"/>
        <v>880</v>
      </c>
      <c r="T941" s="1786" t="str">
        <f t="shared" si="161"/>
        <v>בנק מזרחי טפחות בע"מ</v>
      </c>
      <c r="U941" s="1786" t="str">
        <f t="shared" si="162"/>
        <v xml:space="preserve">מיטב דש השתלמות </v>
      </c>
      <c r="V941" s="1786" t="str">
        <f t="shared" si="163"/>
        <v>520043795</v>
      </c>
      <c r="W941" s="1789" t="str">
        <f t="shared" si="164"/>
        <v>מיטב דש גמל ופנסיה בע"מ</v>
      </c>
      <c r="AC941" s="1761" t="s">
        <v>346</v>
      </c>
      <c r="AD941" s="1761"/>
      <c r="AE941" s="1762">
        <v>37885</v>
      </c>
      <c r="AF941" s="1761" t="s">
        <v>3956</v>
      </c>
      <c r="AG941" s="1761" t="s">
        <v>70</v>
      </c>
      <c r="AH941" s="1761" t="s">
        <v>1594</v>
      </c>
      <c r="AI941" s="1761" t="s">
        <v>4066</v>
      </c>
      <c r="AJ941" s="1761" t="s">
        <v>4066</v>
      </c>
      <c r="AK941" s="1761">
        <v>1353</v>
      </c>
      <c r="AL941" s="1761" t="s">
        <v>3960</v>
      </c>
      <c r="AM941" s="1761">
        <v>880</v>
      </c>
      <c r="AN941" s="1761" t="s">
        <v>5370</v>
      </c>
      <c r="AO941" s="1764"/>
      <c r="AP941" s="1761" t="s">
        <v>5373</v>
      </c>
      <c r="AQ941" s="1761" t="s">
        <v>5374</v>
      </c>
      <c r="AR941" s="1761" t="s">
        <v>2899</v>
      </c>
      <c r="AS941" s="1761" t="s">
        <v>349</v>
      </c>
      <c r="AT941" s="1761" t="s">
        <v>327</v>
      </c>
      <c r="AU941" s="1763"/>
      <c r="AV941" s="1763"/>
    </row>
    <row r="942" spans="1:48" ht="25" hidden="1">
      <c r="A942" s="1785" t="str">
        <f t="shared" si="154"/>
        <v>גמל</v>
      </c>
      <c r="B942" s="1786">
        <f t="shared" si="155"/>
        <v>1370</v>
      </c>
      <c r="C942" s="1787">
        <v>28946</v>
      </c>
      <c r="D942" s="1786" t="str">
        <f t="shared" si="156"/>
        <v>מיטב דש השתלמות שקלי טווח קצר</v>
      </c>
      <c r="E942" s="1786" t="s">
        <v>3929</v>
      </c>
      <c r="F942" s="1786" t="s">
        <v>2958</v>
      </c>
      <c r="G942" s="1786" t="s">
        <v>2959</v>
      </c>
      <c r="H942" s="1786" t="str">
        <f t="shared" si="157"/>
        <v>פעיל</v>
      </c>
      <c r="I942" s="1788">
        <f t="shared" si="158"/>
        <v>37885</v>
      </c>
      <c r="J942" s="1788" t="str">
        <f t="shared" si="159"/>
        <v/>
      </c>
      <c r="K942" s="1786">
        <v>0</v>
      </c>
      <c r="L942" s="1786" t="s">
        <v>1594</v>
      </c>
      <c r="M942" s="1786" t="s">
        <v>1653</v>
      </c>
      <c r="N942" s="1786" t="s">
        <v>1653</v>
      </c>
      <c r="O942" s="1786">
        <v>0</v>
      </c>
      <c r="P942" s="1786"/>
      <c r="Q942" s="1786">
        <v>0</v>
      </c>
      <c r="R942" s="1788"/>
      <c r="S942" s="1786">
        <f t="shared" si="160"/>
        <v>880</v>
      </c>
      <c r="T942" s="1786" t="str">
        <f t="shared" si="161"/>
        <v>בנק מזרחי טפחות בע"מ</v>
      </c>
      <c r="U942" s="1786" t="str">
        <f t="shared" si="162"/>
        <v xml:space="preserve">מיטב דש השתלמות </v>
      </c>
      <c r="V942" s="1786" t="str">
        <f t="shared" si="163"/>
        <v>520043795</v>
      </c>
      <c r="W942" s="1789" t="str">
        <f t="shared" si="164"/>
        <v>מיטב דש גמל ופנסיה בע"מ</v>
      </c>
      <c r="AC942" s="1759" t="s">
        <v>346</v>
      </c>
      <c r="AD942" s="1759"/>
      <c r="AE942" s="1760">
        <v>37885</v>
      </c>
      <c r="AF942" s="1759" t="s">
        <v>1673</v>
      </c>
      <c r="AG942" s="1759" t="s">
        <v>1614</v>
      </c>
      <c r="AH942" s="1759" t="s">
        <v>1594</v>
      </c>
      <c r="AI942" s="1759" t="s">
        <v>4073</v>
      </c>
      <c r="AJ942" s="1759" t="s">
        <v>4073</v>
      </c>
      <c r="AK942" s="1759">
        <v>1370</v>
      </c>
      <c r="AL942" s="1759" t="s">
        <v>3960</v>
      </c>
      <c r="AM942" s="1759">
        <v>880</v>
      </c>
      <c r="AN942" s="1759" t="s">
        <v>5370</v>
      </c>
      <c r="AO942" s="1764"/>
      <c r="AP942" s="1759" t="s">
        <v>5373</v>
      </c>
      <c r="AQ942" s="1759" t="s">
        <v>5374</v>
      </c>
      <c r="AR942" s="1759" t="s">
        <v>2899</v>
      </c>
      <c r="AS942" s="1759" t="s">
        <v>349</v>
      </c>
      <c r="AT942" s="1759" t="s">
        <v>327</v>
      </c>
      <c r="AU942" s="1763"/>
      <c r="AV942" s="1763"/>
    </row>
    <row r="943" spans="1:48" ht="25" hidden="1">
      <c r="A943" s="1785" t="str">
        <f t="shared" si="154"/>
        <v>גמל</v>
      </c>
      <c r="B943" s="1786">
        <f t="shared" si="155"/>
        <v>1370</v>
      </c>
      <c r="C943" s="1787">
        <v>28946</v>
      </c>
      <c r="D943" s="1786" t="str">
        <f t="shared" si="156"/>
        <v>מיטב דש השתלמות שקלי טווח קצר</v>
      </c>
      <c r="E943" s="1786" t="s">
        <v>3929</v>
      </c>
      <c r="F943" s="1786" t="s">
        <v>2958</v>
      </c>
      <c r="G943" s="1786" t="s">
        <v>2959</v>
      </c>
      <c r="H943" s="1786" t="str">
        <f t="shared" si="157"/>
        <v>פעיל</v>
      </c>
      <c r="I943" s="1788">
        <f t="shared" si="158"/>
        <v>37885</v>
      </c>
      <c r="J943" s="1788" t="str">
        <f t="shared" si="159"/>
        <v/>
      </c>
      <c r="K943" s="1786">
        <v>0</v>
      </c>
      <c r="L943" s="1786" t="s">
        <v>1594</v>
      </c>
      <c r="M943" s="1786" t="s">
        <v>1653</v>
      </c>
      <c r="N943" s="1786" t="s">
        <v>1653</v>
      </c>
      <c r="O943" s="1786">
        <v>0</v>
      </c>
      <c r="P943" s="1786"/>
      <c r="Q943" s="1786">
        <v>0</v>
      </c>
      <c r="R943" s="1788"/>
      <c r="S943" s="1786">
        <f t="shared" si="160"/>
        <v>880</v>
      </c>
      <c r="T943" s="1786" t="str">
        <f t="shared" si="161"/>
        <v>בנק מזרחי טפחות בע"מ</v>
      </c>
      <c r="U943" s="1786" t="str">
        <f t="shared" si="162"/>
        <v xml:space="preserve">מיטב דש השתלמות </v>
      </c>
      <c r="V943" s="1786" t="str">
        <f t="shared" si="163"/>
        <v>520043795</v>
      </c>
      <c r="W943" s="1789" t="str">
        <f t="shared" si="164"/>
        <v>מיטב דש גמל ופנסיה בע"מ</v>
      </c>
      <c r="AC943" s="1761" t="s">
        <v>346</v>
      </c>
      <c r="AD943" s="1761"/>
      <c r="AE943" s="1762">
        <v>37885</v>
      </c>
      <c r="AF943" s="1761" t="s">
        <v>1673</v>
      </c>
      <c r="AG943" s="1761" t="s">
        <v>1614</v>
      </c>
      <c r="AH943" s="1761" t="s">
        <v>1594</v>
      </c>
      <c r="AI943" s="1761" t="s">
        <v>4073</v>
      </c>
      <c r="AJ943" s="1761" t="s">
        <v>4073</v>
      </c>
      <c r="AK943" s="1761">
        <v>1370</v>
      </c>
      <c r="AL943" s="1761" t="s">
        <v>3960</v>
      </c>
      <c r="AM943" s="1761">
        <v>880</v>
      </c>
      <c r="AN943" s="1761" t="s">
        <v>5370</v>
      </c>
      <c r="AO943" s="1764"/>
      <c r="AP943" s="1761" t="s">
        <v>5373</v>
      </c>
      <c r="AQ943" s="1761" t="s">
        <v>5374</v>
      </c>
      <c r="AR943" s="1761" t="s">
        <v>2899</v>
      </c>
      <c r="AS943" s="1761" t="s">
        <v>349</v>
      </c>
      <c r="AT943" s="1761" t="s">
        <v>327</v>
      </c>
      <c r="AU943" s="1763"/>
      <c r="AV943" s="1763"/>
    </row>
    <row r="944" spans="1:48" ht="25" hidden="1">
      <c r="A944" s="1785" t="str">
        <f t="shared" si="154"/>
        <v>גמל</v>
      </c>
      <c r="B944" s="1786">
        <f t="shared" si="155"/>
        <v>600</v>
      </c>
      <c r="C944" s="1787">
        <v>28946</v>
      </c>
      <c r="D944" s="1786" t="str">
        <f t="shared" si="156"/>
        <v>מיטב דש גמל חכם לבני 40-50</v>
      </c>
      <c r="E944" s="1786" t="s">
        <v>3929</v>
      </c>
      <c r="F944" s="1786" t="s">
        <v>2958</v>
      </c>
      <c r="G944" s="1786" t="s">
        <v>2959</v>
      </c>
      <c r="H944" s="1786" t="str">
        <f t="shared" si="157"/>
        <v>לא פעיל</v>
      </c>
      <c r="I944" s="1788">
        <f t="shared" si="158"/>
        <v>37885</v>
      </c>
      <c r="J944" s="1788">
        <f t="shared" si="159"/>
        <v>42370.7878009259</v>
      </c>
      <c r="K944" s="1786">
        <v>0</v>
      </c>
      <c r="L944" s="1786" t="s">
        <v>1594</v>
      </c>
      <c r="M944" s="1786" t="s">
        <v>1653</v>
      </c>
      <c r="N944" s="1786" t="s">
        <v>1653</v>
      </c>
      <c r="O944" s="1786">
        <v>0</v>
      </c>
      <c r="P944" s="1786"/>
      <c r="Q944" s="1786">
        <v>0</v>
      </c>
      <c r="R944" s="1788"/>
      <c r="S944" s="1786">
        <f t="shared" si="160"/>
        <v>874</v>
      </c>
      <c r="T944" s="1786" t="str">
        <f t="shared" si="161"/>
        <v>בנק מזרחי טפחות בע"מ</v>
      </c>
      <c r="U944" s="1786" t="str">
        <f t="shared" si="162"/>
        <v xml:space="preserve">מיטב דש גמל </v>
      </c>
      <c r="V944" s="1786" t="str">
        <f t="shared" si="163"/>
        <v>520043795</v>
      </c>
      <c r="W944" s="1789" t="str">
        <f t="shared" si="164"/>
        <v>מיטב דש גמל ופנסיה בע"מ</v>
      </c>
      <c r="AC944" s="1759" t="s">
        <v>1586</v>
      </c>
      <c r="AD944" s="1760">
        <v>42370.7878009259</v>
      </c>
      <c r="AE944" s="1760">
        <v>37885</v>
      </c>
      <c r="AF944" s="1759" t="s">
        <v>1583</v>
      </c>
      <c r="AG944" s="1759" t="s">
        <v>1583</v>
      </c>
      <c r="AH944" s="1759" t="s">
        <v>1583</v>
      </c>
      <c r="AI944" s="1759" t="s">
        <v>4522</v>
      </c>
      <c r="AJ944" s="1759" t="s">
        <v>4522</v>
      </c>
      <c r="AK944" s="1759">
        <v>600</v>
      </c>
      <c r="AL944" s="1759" t="s">
        <v>3933</v>
      </c>
      <c r="AM944" s="1759">
        <v>874</v>
      </c>
      <c r="AN944" s="1759" t="s">
        <v>5370</v>
      </c>
      <c r="AO944" s="1764"/>
      <c r="AP944" s="1759" t="s">
        <v>5373</v>
      </c>
      <c r="AQ944" s="1759" t="s">
        <v>5374</v>
      </c>
      <c r="AR944" s="1759" t="s">
        <v>2899</v>
      </c>
      <c r="AS944" s="1759" t="s">
        <v>349</v>
      </c>
      <c r="AT944" s="1759" t="s">
        <v>327</v>
      </c>
      <c r="AU944" s="1763"/>
      <c r="AV944" s="1763"/>
    </row>
    <row r="945" spans="1:48" ht="25" hidden="1">
      <c r="A945" s="1785" t="str">
        <f t="shared" si="154"/>
        <v>גמל</v>
      </c>
      <c r="B945" s="1786">
        <f t="shared" si="155"/>
        <v>2051</v>
      </c>
      <c r="C945" s="1787">
        <v>28946</v>
      </c>
      <c r="D945" s="1786" t="str">
        <f t="shared" si="156"/>
        <v>מיטב דש גמל חו"ל</v>
      </c>
      <c r="E945" s="1786" t="s">
        <v>3929</v>
      </c>
      <c r="F945" s="1786" t="s">
        <v>2958</v>
      </c>
      <c r="G945" s="1786" t="s">
        <v>2959</v>
      </c>
      <c r="H945" s="1786" t="str">
        <f t="shared" si="157"/>
        <v>פעיל</v>
      </c>
      <c r="I945" s="1788">
        <f t="shared" si="158"/>
        <v>37885</v>
      </c>
      <c r="J945" s="1788" t="str">
        <f t="shared" si="159"/>
        <v/>
      </c>
      <c r="K945" s="1786">
        <v>0</v>
      </c>
      <c r="L945" s="1786" t="s">
        <v>1594</v>
      </c>
      <c r="M945" s="1786" t="s">
        <v>1653</v>
      </c>
      <c r="N945" s="1786" t="s">
        <v>1653</v>
      </c>
      <c r="O945" s="1786">
        <v>0</v>
      </c>
      <c r="P945" s="1786"/>
      <c r="Q945" s="1786">
        <v>0</v>
      </c>
      <c r="R945" s="1788"/>
      <c r="S945" s="1786">
        <f t="shared" si="160"/>
        <v>874</v>
      </c>
      <c r="T945" s="1786" t="str">
        <f t="shared" si="161"/>
        <v>בנק מזרחי טפחות בע"מ</v>
      </c>
      <c r="U945" s="1786" t="str">
        <f t="shared" si="162"/>
        <v xml:space="preserve">מיטב דש גמל </v>
      </c>
      <c r="V945" s="1786" t="str">
        <f t="shared" si="163"/>
        <v>520043795</v>
      </c>
      <c r="W945" s="1789" t="str">
        <f t="shared" si="164"/>
        <v>מיטב דש גמל ופנסיה בע"מ</v>
      </c>
      <c r="AC945" s="1761" t="s">
        <v>346</v>
      </c>
      <c r="AD945" s="1761"/>
      <c r="AE945" s="1762">
        <v>37885</v>
      </c>
      <c r="AF945" s="1761" t="s">
        <v>1948</v>
      </c>
      <c r="AG945" s="1761" t="s">
        <v>1947</v>
      </c>
      <c r="AH945" s="1761" t="s">
        <v>1594</v>
      </c>
      <c r="AI945" s="1761" t="s">
        <v>3691</v>
      </c>
      <c r="AJ945" s="1761" t="s">
        <v>3691</v>
      </c>
      <c r="AK945" s="1761">
        <v>2051</v>
      </c>
      <c r="AL945" s="1761" t="s">
        <v>3933</v>
      </c>
      <c r="AM945" s="1761">
        <v>874</v>
      </c>
      <c r="AN945" s="1761" t="s">
        <v>5370</v>
      </c>
      <c r="AO945" s="1764"/>
      <c r="AP945" s="1761" t="s">
        <v>5373</v>
      </c>
      <c r="AQ945" s="1761" t="s">
        <v>5374</v>
      </c>
      <c r="AR945" s="1761" t="s">
        <v>2899</v>
      </c>
      <c r="AS945" s="1761" t="s">
        <v>349</v>
      </c>
      <c r="AT945" s="1761" t="s">
        <v>327</v>
      </c>
      <c r="AU945" s="1763"/>
      <c r="AV945" s="1763"/>
    </row>
    <row r="946" spans="1:48" ht="25" hidden="1">
      <c r="A946" s="1785" t="str">
        <f t="shared" si="154"/>
        <v>גמל</v>
      </c>
      <c r="B946" s="1786">
        <f t="shared" si="155"/>
        <v>551</v>
      </c>
      <c r="C946" s="1787">
        <v>28946</v>
      </c>
      <c r="D946" s="1786" t="str">
        <f t="shared" si="156"/>
        <v>מיטב דש גמל לבני 60 ומעלה</v>
      </c>
      <c r="E946" s="1786" t="s">
        <v>3929</v>
      </c>
      <c r="F946" s="1786" t="s">
        <v>2958</v>
      </c>
      <c r="G946" s="1786" t="s">
        <v>2959</v>
      </c>
      <c r="H946" s="1786" t="str">
        <f t="shared" si="157"/>
        <v>פעיל</v>
      </c>
      <c r="I946" s="1788">
        <f t="shared" si="158"/>
        <v>37885</v>
      </c>
      <c r="J946" s="1788" t="str">
        <f t="shared" si="159"/>
        <v/>
      </c>
      <c r="K946" s="1786">
        <v>0</v>
      </c>
      <c r="L946" s="1786" t="s">
        <v>1594</v>
      </c>
      <c r="M946" s="1786" t="s">
        <v>1653</v>
      </c>
      <c r="N946" s="1786" t="s">
        <v>1653</v>
      </c>
      <c r="O946" s="1786">
        <v>0</v>
      </c>
      <c r="P946" s="1786"/>
      <c r="Q946" s="1786">
        <v>0</v>
      </c>
      <c r="R946" s="1788"/>
      <c r="S946" s="1786">
        <f t="shared" si="160"/>
        <v>874</v>
      </c>
      <c r="T946" s="1786" t="str">
        <f t="shared" si="161"/>
        <v>בנק מזרחי טפחות בע"מ</v>
      </c>
      <c r="U946" s="1786" t="str">
        <f t="shared" si="162"/>
        <v xml:space="preserve">מיטב דש גמל </v>
      </c>
      <c r="V946" s="1786" t="str">
        <f t="shared" si="163"/>
        <v>520043795</v>
      </c>
      <c r="W946" s="1789" t="str">
        <f t="shared" si="164"/>
        <v>מיטב דש גמל ופנסיה בע"מ</v>
      </c>
      <c r="AC946" s="1759" t="s">
        <v>346</v>
      </c>
      <c r="AD946" s="1759"/>
      <c r="AE946" s="1760">
        <v>37885</v>
      </c>
      <c r="AF946" s="1759" t="s">
        <v>3963</v>
      </c>
      <c r="AG946" s="1759" t="s">
        <v>3931</v>
      </c>
      <c r="AH946" s="1759" t="s">
        <v>3658</v>
      </c>
      <c r="AI946" s="1759" t="s">
        <v>3962</v>
      </c>
      <c r="AJ946" s="1759" t="s">
        <v>3962</v>
      </c>
      <c r="AK946" s="1759">
        <v>551</v>
      </c>
      <c r="AL946" s="1759" t="s">
        <v>3933</v>
      </c>
      <c r="AM946" s="1759">
        <v>874</v>
      </c>
      <c r="AN946" s="1759" t="s">
        <v>5370</v>
      </c>
      <c r="AO946" s="1764"/>
      <c r="AP946" s="1759" t="s">
        <v>5373</v>
      </c>
      <c r="AQ946" s="1759" t="s">
        <v>5374</v>
      </c>
      <c r="AR946" s="1759" t="s">
        <v>2899</v>
      </c>
      <c r="AS946" s="1759" t="s">
        <v>349</v>
      </c>
      <c r="AT946" s="1759" t="s">
        <v>327</v>
      </c>
      <c r="AU946" s="1763"/>
      <c r="AV946" s="1763"/>
    </row>
    <row r="947" spans="1:48" ht="25" hidden="1">
      <c r="A947" s="1785" t="str">
        <f t="shared" si="154"/>
        <v>גמל</v>
      </c>
      <c r="B947" s="1786">
        <f t="shared" si="155"/>
        <v>551</v>
      </c>
      <c r="C947" s="1787">
        <v>28946</v>
      </c>
      <c r="D947" s="1786" t="str">
        <f t="shared" si="156"/>
        <v>מיטב דש גמל לבני 60 ומעלה</v>
      </c>
      <c r="E947" s="1786" t="s">
        <v>3929</v>
      </c>
      <c r="F947" s="1786" t="s">
        <v>2958</v>
      </c>
      <c r="G947" s="1786" t="s">
        <v>2959</v>
      </c>
      <c r="H947" s="1786" t="str">
        <f t="shared" si="157"/>
        <v>פעיל</v>
      </c>
      <c r="I947" s="1788">
        <f t="shared" si="158"/>
        <v>37885</v>
      </c>
      <c r="J947" s="1788" t="str">
        <f t="shared" si="159"/>
        <v/>
      </c>
      <c r="K947" s="1786">
        <v>0</v>
      </c>
      <c r="L947" s="1786" t="s">
        <v>1594</v>
      </c>
      <c r="M947" s="1786" t="s">
        <v>1653</v>
      </c>
      <c r="N947" s="1786" t="s">
        <v>1653</v>
      </c>
      <c r="O947" s="1786">
        <v>0</v>
      </c>
      <c r="P947" s="1786"/>
      <c r="Q947" s="1786">
        <v>0</v>
      </c>
      <c r="R947" s="1788"/>
      <c r="S947" s="1786">
        <f t="shared" si="160"/>
        <v>874</v>
      </c>
      <c r="T947" s="1786" t="str">
        <f t="shared" si="161"/>
        <v>בנק מזרחי טפחות בע"מ</v>
      </c>
      <c r="U947" s="1786" t="str">
        <f t="shared" si="162"/>
        <v xml:space="preserve">מיטב דש גמל </v>
      </c>
      <c r="V947" s="1786" t="str">
        <f t="shared" si="163"/>
        <v>520043795</v>
      </c>
      <c r="W947" s="1789" t="str">
        <f t="shared" si="164"/>
        <v>מיטב דש גמל ופנסיה בע"מ</v>
      </c>
      <c r="AC947" s="1761" t="s">
        <v>346</v>
      </c>
      <c r="AD947" s="1761"/>
      <c r="AE947" s="1762">
        <v>37885</v>
      </c>
      <c r="AF947" s="1761" t="s">
        <v>3963</v>
      </c>
      <c r="AG947" s="1761" t="s">
        <v>3931</v>
      </c>
      <c r="AH947" s="1761" t="s">
        <v>3658</v>
      </c>
      <c r="AI947" s="1761" t="s">
        <v>3962</v>
      </c>
      <c r="AJ947" s="1761" t="s">
        <v>3962</v>
      </c>
      <c r="AK947" s="1761">
        <v>551</v>
      </c>
      <c r="AL947" s="1761" t="s">
        <v>3933</v>
      </c>
      <c r="AM947" s="1761">
        <v>874</v>
      </c>
      <c r="AN947" s="1761" t="s">
        <v>5370</v>
      </c>
      <c r="AO947" s="1764"/>
      <c r="AP947" s="1761" t="s">
        <v>5373</v>
      </c>
      <c r="AQ947" s="1761" t="s">
        <v>5374</v>
      </c>
      <c r="AR947" s="1761" t="s">
        <v>2899</v>
      </c>
      <c r="AS947" s="1761" t="s">
        <v>349</v>
      </c>
      <c r="AT947" s="1761" t="s">
        <v>327</v>
      </c>
      <c r="AU947" s="1763"/>
      <c r="AV947" s="1763"/>
    </row>
    <row r="948" spans="1:48" ht="25" hidden="1">
      <c r="A948" s="1785" t="str">
        <f t="shared" si="154"/>
        <v>גמל</v>
      </c>
      <c r="B948" s="1786">
        <f t="shared" si="155"/>
        <v>103</v>
      </c>
      <c r="C948" s="1787">
        <v>28946</v>
      </c>
      <c r="D948" s="1786" t="str">
        <f t="shared" si="156"/>
        <v>מיטב דש גמל לבני  50-60</v>
      </c>
      <c r="E948" s="1786" t="s">
        <v>3929</v>
      </c>
      <c r="F948" s="1786" t="s">
        <v>2958</v>
      </c>
      <c r="G948" s="1786" t="s">
        <v>2959</v>
      </c>
      <c r="H948" s="1786" t="str">
        <f t="shared" si="157"/>
        <v>פעיל</v>
      </c>
      <c r="I948" s="1788">
        <f t="shared" si="158"/>
        <v>37885</v>
      </c>
      <c r="J948" s="1788" t="str">
        <f t="shared" si="159"/>
        <v/>
      </c>
      <c r="K948" s="1786">
        <v>0</v>
      </c>
      <c r="L948" s="1786" t="s">
        <v>1594</v>
      </c>
      <c r="M948" s="1786" t="s">
        <v>1653</v>
      </c>
      <c r="N948" s="1786" t="s">
        <v>1653</v>
      </c>
      <c r="O948" s="1786">
        <v>0</v>
      </c>
      <c r="P948" s="1786"/>
      <c r="Q948" s="1786">
        <v>0</v>
      </c>
      <c r="R948" s="1788"/>
      <c r="S948" s="1786">
        <f t="shared" si="160"/>
        <v>874</v>
      </c>
      <c r="T948" s="1786" t="str">
        <f t="shared" si="161"/>
        <v>בנק מזרחי טפחות בע"מ</v>
      </c>
      <c r="U948" s="1786" t="str">
        <f t="shared" si="162"/>
        <v xml:space="preserve">מיטב דש גמל </v>
      </c>
      <c r="V948" s="1786" t="str">
        <f t="shared" si="163"/>
        <v>520043795</v>
      </c>
      <c r="W948" s="1789" t="str">
        <f t="shared" si="164"/>
        <v>מיטב דש גמל ופנסיה בע"מ</v>
      </c>
      <c r="AC948" s="1759" t="s">
        <v>346</v>
      </c>
      <c r="AD948" s="1759"/>
      <c r="AE948" s="1760">
        <v>37885</v>
      </c>
      <c r="AF948" s="1759" t="s">
        <v>3932</v>
      </c>
      <c r="AG948" s="1759" t="s">
        <v>3931</v>
      </c>
      <c r="AH948" s="1759" t="s">
        <v>3658</v>
      </c>
      <c r="AI948" s="1759" t="s">
        <v>3930</v>
      </c>
      <c r="AJ948" s="1759" t="s">
        <v>3930</v>
      </c>
      <c r="AK948" s="1759">
        <v>103</v>
      </c>
      <c r="AL948" s="1759" t="s">
        <v>3933</v>
      </c>
      <c r="AM948" s="1759">
        <v>874</v>
      </c>
      <c r="AN948" s="1759" t="s">
        <v>5370</v>
      </c>
      <c r="AO948" s="1764"/>
      <c r="AP948" s="1759" t="s">
        <v>5373</v>
      </c>
      <c r="AQ948" s="1759" t="s">
        <v>5374</v>
      </c>
      <c r="AR948" s="1759" t="s">
        <v>2899</v>
      </c>
      <c r="AS948" s="1759" t="s">
        <v>349</v>
      </c>
      <c r="AT948" s="1759" t="s">
        <v>327</v>
      </c>
      <c r="AU948" s="1763"/>
      <c r="AV948" s="1763"/>
    </row>
    <row r="949" spans="1:48" ht="25" hidden="1">
      <c r="A949" s="1785" t="str">
        <f t="shared" si="154"/>
        <v>גמל</v>
      </c>
      <c r="B949" s="1786">
        <f t="shared" si="155"/>
        <v>103</v>
      </c>
      <c r="C949" s="1787">
        <v>28946</v>
      </c>
      <c r="D949" s="1786" t="str">
        <f t="shared" si="156"/>
        <v>מיטב דש גמל לבני  50-60</v>
      </c>
      <c r="E949" s="1786" t="s">
        <v>3929</v>
      </c>
      <c r="F949" s="1786" t="s">
        <v>2958</v>
      </c>
      <c r="G949" s="1786" t="s">
        <v>2959</v>
      </c>
      <c r="H949" s="1786" t="str">
        <f t="shared" si="157"/>
        <v>פעיל</v>
      </c>
      <c r="I949" s="1788">
        <f t="shared" si="158"/>
        <v>37885</v>
      </c>
      <c r="J949" s="1788" t="str">
        <f t="shared" si="159"/>
        <v/>
      </c>
      <c r="K949" s="1786">
        <v>0</v>
      </c>
      <c r="L949" s="1786" t="s">
        <v>1594</v>
      </c>
      <c r="M949" s="1786" t="s">
        <v>1653</v>
      </c>
      <c r="N949" s="1786" t="s">
        <v>1653</v>
      </c>
      <c r="O949" s="1786">
        <v>0</v>
      </c>
      <c r="P949" s="1786"/>
      <c r="Q949" s="1786">
        <v>0</v>
      </c>
      <c r="R949" s="1788"/>
      <c r="S949" s="1786">
        <f t="shared" si="160"/>
        <v>874</v>
      </c>
      <c r="T949" s="1786" t="str">
        <f t="shared" si="161"/>
        <v>בנק מזרחי טפחות בע"מ</v>
      </c>
      <c r="U949" s="1786" t="str">
        <f t="shared" si="162"/>
        <v xml:space="preserve">מיטב דש גמל </v>
      </c>
      <c r="V949" s="1786" t="str">
        <f t="shared" si="163"/>
        <v>520043795</v>
      </c>
      <c r="W949" s="1789" t="str">
        <f t="shared" si="164"/>
        <v>מיטב דש גמל ופנסיה בע"מ</v>
      </c>
      <c r="AC949" s="1761" t="s">
        <v>346</v>
      </c>
      <c r="AD949" s="1761"/>
      <c r="AE949" s="1762">
        <v>37885</v>
      </c>
      <c r="AF949" s="1761" t="s">
        <v>3932</v>
      </c>
      <c r="AG949" s="1761" t="s">
        <v>3931</v>
      </c>
      <c r="AH949" s="1761" t="s">
        <v>3658</v>
      </c>
      <c r="AI949" s="1761" t="s">
        <v>3930</v>
      </c>
      <c r="AJ949" s="1761" t="s">
        <v>3930</v>
      </c>
      <c r="AK949" s="1761">
        <v>103</v>
      </c>
      <c r="AL949" s="1761" t="s">
        <v>3933</v>
      </c>
      <c r="AM949" s="1761">
        <v>874</v>
      </c>
      <c r="AN949" s="1761" t="s">
        <v>5370</v>
      </c>
      <c r="AO949" s="1764"/>
      <c r="AP949" s="1761" t="s">
        <v>5373</v>
      </c>
      <c r="AQ949" s="1761" t="s">
        <v>5374</v>
      </c>
      <c r="AR949" s="1761" t="s">
        <v>2899</v>
      </c>
      <c r="AS949" s="1761" t="s">
        <v>349</v>
      </c>
      <c r="AT949" s="1761" t="s">
        <v>327</v>
      </c>
      <c r="AU949" s="1763"/>
      <c r="AV949" s="1763"/>
    </row>
    <row r="950" spans="1:48" ht="25" hidden="1">
      <c r="A950" s="1785" t="str">
        <f t="shared" si="154"/>
        <v>גמל</v>
      </c>
      <c r="B950" s="1786">
        <f t="shared" si="155"/>
        <v>223</v>
      </c>
      <c r="C950" s="1787">
        <v>28946</v>
      </c>
      <c r="D950" s="1786" t="str">
        <f t="shared" si="156"/>
        <v>מיטב דש גמל אג"ח ללא מניות</v>
      </c>
      <c r="E950" s="1786" t="s">
        <v>3929</v>
      </c>
      <c r="F950" s="1786" t="s">
        <v>2958</v>
      </c>
      <c r="G950" s="1786" t="s">
        <v>2959</v>
      </c>
      <c r="H950" s="1786" t="str">
        <f t="shared" si="157"/>
        <v>פעיל</v>
      </c>
      <c r="I950" s="1788">
        <f t="shared" si="158"/>
        <v>37885</v>
      </c>
      <c r="J950" s="1788" t="str">
        <f t="shared" si="159"/>
        <v/>
      </c>
      <c r="K950" s="1786">
        <v>0</v>
      </c>
      <c r="L950" s="1786" t="s">
        <v>1594</v>
      </c>
      <c r="M950" s="1786" t="s">
        <v>1653</v>
      </c>
      <c r="N950" s="1786" t="s">
        <v>1653</v>
      </c>
      <c r="O950" s="1786">
        <v>0</v>
      </c>
      <c r="P950" s="1786"/>
      <c r="Q950" s="1786">
        <v>0</v>
      </c>
      <c r="R950" s="1788"/>
      <c r="S950" s="1786">
        <f t="shared" si="160"/>
        <v>874</v>
      </c>
      <c r="T950" s="1786" t="str">
        <f t="shared" si="161"/>
        <v>בנק מזרחי טפחות בע"מ</v>
      </c>
      <c r="U950" s="1786" t="str">
        <f t="shared" si="162"/>
        <v xml:space="preserve">מיטב דש גמל </v>
      </c>
      <c r="V950" s="1786" t="str">
        <f t="shared" si="163"/>
        <v>520043795</v>
      </c>
      <c r="W950" s="1789" t="str">
        <f t="shared" si="164"/>
        <v>מיטב דש גמל ופנסיה בע"מ</v>
      </c>
      <c r="AC950" s="1759" t="s">
        <v>346</v>
      </c>
      <c r="AD950" s="1759"/>
      <c r="AE950" s="1760">
        <v>37885</v>
      </c>
      <c r="AF950" s="1759" t="s">
        <v>1681</v>
      </c>
      <c r="AG950" s="1759" t="s">
        <v>1653</v>
      </c>
      <c r="AH950" s="1759" t="s">
        <v>1594</v>
      </c>
      <c r="AI950" s="1759" t="s">
        <v>3019</v>
      </c>
      <c r="AJ950" s="1759" t="s">
        <v>3019</v>
      </c>
      <c r="AK950" s="1759">
        <v>223</v>
      </c>
      <c r="AL950" s="1759" t="s">
        <v>3933</v>
      </c>
      <c r="AM950" s="1759">
        <v>874</v>
      </c>
      <c r="AN950" s="1759" t="s">
        <v>5370</v>
      </c>
      <c r="AO950" s="1764"/>
      <c r="AP950" s="1759" t="s">
        <v>5373</v>
      </c>
      <c r="AQ950" s="1759" t="s">
        <v>5374</v>
      </c>
      <c r="AR950" s="1759" t="s">
        <v>2899</v>
      </c>
      <c r="AS950" s="1759" t="s">
        <v>349</v>
      </c>
      <c r="AT950" s="1759" t="s">
        <v>327</v>
      </c>
      <c r="AU950" s="1763"/>
      <c r="AV950" s="1763"/>
    </row>
    <row r="951" spans="1:48" ht="25" hidden="1">
      <c r="A951" s="1785" t="str">
        <f t="shared" si="154"/>
        <v>גמל</v>
      </c>
      <c r="B951" s="1786">
        <f t="shared" si="155"/>
        <v>223</v>
      </c>
      <c r="C951" s="1787">
        <v>28946</v>
      </c>
      <c r="D951" s="1786" t="str">
        <f t="shared" si="156"/>
        <v>מיטב דש גמל אג"ח ללא מניות</v>
      </c>
      <c r="E951" s="1786" t="s">
        <v>3929</v>
      </c>
      <c r="F951" s="1786" t="s">
        <v>2958</v>
      </c>
      <c r="G951" s="1786" t="s">
        <v>2959</v>
      </c>
      <c r="H951" s="1786" t="str">
        <f t="shared" si="157"/>
        <v>פעיל</v>
      </c>
      <c r="I951" s="1788">
        <f t="shared" si="158"/>
        <v>37885</v>
      </c>
      <c r="J951" s="1788" t="str">
        <f t="shared" si="159"/>
        <v/>
      </c>
      <c r="K951" s="1786">
        <v>0</v>
      </c>
      <c r="L951" s="1786" t="s">
        <v>1594</v>
      </c>
      <c r="M951" s="1786" t="s">
        <v>1653</v>
      </c>
      <c r="N951" s="1786" t="s">
        <v>1653</v>
      </c>
      <c r="O951" s="1786">
        <v>0</v>
      </c>
      <c r="P951" s="1786"/>
      <c r="Q951" s="1786">
        <v>0</v>
      </c>
      <c r="R951" s="1788"/>
      <c r="S951" s="1786">
        <f t="shared" si="160"/>
        <v>874</v>
      </c>
      <c r="T951" s="1786" t="str">
        <f t="shared" si="161"/>
        <v>בנק מזרחי טפחות בע"מ</v>
      </c>
      <c r="U951" s="1786" t="str">
        <f t="shared" si="162"/>
        <v xml:space="preserve">מיטב דש גמל </v>
      </c>
      <c r="V951" s="1786" t="str">
        <f t="shared" si="163"/>
        <v>520043795</v>
      </c>
      <c r="W951" s="1789" t="str">
        <f t="shared" si="164"/>
        <v>מיטב דש גמל ופנסיה בע"מ</v>
      </c>
      <c r="AC951" s="1761" t="s">
        <v>346</v>
      </c>
      <c r="AD951" s="1761"/>
      <c r="AE951" s="1762">
        <v>37885</v>
      </c>
      <c r="AF951" s="1761" t="s">
        <v>1681</v>
      </c>
      <c r="AG951" s="1761" t="s">
        <v>1653</v>
      </c>
      <c r="AH951" s="1761" t="s">
        <v>1594</v>
      </c>
      <c r="AI951" s="1761" t="s">
        <v>3019</v>
      </c>
      <c r="AJ951" s="1761" t="s">
        <v>3019</v>
      </c>
      <c r="AK951" s="1761">
        <v>223</v>
      </c>
      <c r="AL951" s="1761" t="s">
        <v>3933</v>
      </c>
      <c r="AM951" s="1761">
        <v>874</v>
      </c>
      <c r="AN951" s="1761" t="s">
        <v>5370</v>
      </c>
      <c r="AO951" s="1764"/>
      <c r="AP951" s="1761" t="s">
        <v>5373</v>
      </c>
      <c r="AQ951" s="1761" t="s">
        <v>5374</v>
      </c>
      <c r="AR951" s="1761" t="s">
        <v>2899</v>
      </c>
      <c r="AS951" s="1761" t="s">
        <v>349</v>
      </c>
      <c r="AT951" s="1761" t="s">
        <v>327</v>
      </c>
      <c r="AU951" s="1763"/>
      <c r="AV951" s="1763"/>
    </row>
    <row r="952" spans="1:48" ht="25" hidden="1">
      <c r="A952" s="1785" t="str">
        <f t="shared" si="154"/>
        <v>גמל</v>
      </c>
      <c r="B952" s="1786">
        <f t="shared" si="155"/>
        <v>767</v>
      </c>
      <c r="C952" s="1787">
        <v>28946</v>
      </c>
      <c r="D952" s="1786" t="str">
        <f t="shared" si="156"/>
        <v>מיטב דש גמל הלכה</v>
      </c>
      <c r="E952" s="1786" t="s">
        <v>3929</v>
      </c>
      <c r="F952" s="1786" t="s">
        <v>2958</v>
      </c>
      <c r="G952" s="1786" t="s">
        <v>2959</v>
      </c>
      <c r="H952" s="1786" t="str">
        <f t="shared" si="157"/>
        <v>פעיל</v>
      </c>
      <c r="I952" s="1788">
        <f t="shared" si="158"/>
        <v>37885</v>
      </c>
      <c r="J952" s="1788" t="str">
        <f t="shared" si="159"/>
        <v/>
      </c>
      <c r="K952" s="1786">
        <v>0</v>
      </c>
      <c r="L952" s="1786" t="s">
        <v>1594</v>
      </c>
      <c r="M952" s="1786" t="s">
        <v>1653</v>
      </c>
      <c r="N952" s="1786" t="s">
        <v>1653</v>
      </c>
      <c r="O952" s="1786">
        <v>0</v>
      </c>
      <c r="P952" s="1786"/>
      <c r="Q952" s="1786">
        <v>0</v>
      </c>
      <c r="R952" s="1788"/>
      <c r="S952" s="1786">
        <f t="shared" si="160"/>
        <v>874</v>
      </c>
      <c r="T952" s="1786" t="str">
        <f t="shared" si="161"/>
        <v>בנק מזרחי טפחות בע"מ</v>
      </c>
      <c r="U952" s="1786" t="str">
        <f t="shared" si="162"/>
        <v xml:space="preserve">מיטב דש גמל </v>
      </c>
      <c r="V952" s="1786" t="str">
        <f t="shared" si="163"/>
        <v>520043795</v>
      </c>
      <c r="W952" s="1789" t="str">
        <f t="shared" si="164"/>
        <v>מיטב דש גמל ופנסיה בע"מ</v>
      </c>
      <c r="AC952" s="1759" t="s">
        <v>346</v>
      </c>
      <c r="AD952" s="1759"/>
      <c r="AE952" s="1760">
        <v>37885</v>
      </c>
      <c r="AF952" s="1759" t="s">
        <v>4603</v>
      </c>
      <c r="AG952" s="1759" t="s">
        <v>2029</v>
      </c>
      <c r="AH952" s="1759" t="s">
        <v>2028</v>
      </c>
      <c r="AI952" s="1759" t="s">
        <v>3987</v>
      </c>
      <c r="AJ952" s="1759" t="s">
        <v>3987</v>
      </c>
      <c r="AK952" s="1759">
        <v>767</v>
      </c>
      <c r="AL952" s="1759" t="s">
        <v>3933</v>
      </c>
      <c r="AM952" s="1759">
        <v>874</v>
      </c>
      <c r="AN952" s="1759" t="s">
        <v>5370</v>
      </c>
      <c r="AO952" s="1764"/>
      <c r="AP952" s="1759" t="s">
        <v>5373</v>
      </c>
      <c r="AQ952" s="1759" t="s">
        <v>5374</v>
      </c>
      <c r="AR952" s="1759" t="s">
        <v>2899</v>
      </c>
      <c r="AS952" s="1759" t="s">
        <v>349</v>
      </c>
      <c r="AT952" s="1759" t="s">
        <v>327</v>
      </c>
      <c r="AU952" s="1763"/>
      <c r="AV952" s="1763"/>
    </row>
    <row r="953" spans="1:48" ht="25" hidden="1">
      <c r="A953" s="1785" t="str">
        <f t="shared" si="154"/>
        <v>גמל</v>
      </c>
      <c r="B953" s="1786">
        <f t="shared" si="155"/>
        <v>767</v>
      </c>
      <c r="C953" s="1787">
        <v>28946</v>
      </c>
      <c r="D953" s="1786" t="str">
        <f t="shared" si="156"/>
        <v>מיטב דש גמל הלכה</v>
      </c>
      <c r="E953" s="1786" t="s">
        <v>3929</v>
      </c>
      <c r="F953" s="1786" t="s">
        <v>2958</v>
      </c>
      <c r="G953" s="1786" t="s">
        <v>2959</v>
      </c>
      <c r="H953" s="1786" t="str">
        <f t="shared" si="157"/>
        <v>פעיל</v>
      </c>
      <c r="I953" s="1788">
        <f t="shared" si="158"/>
        <v>37885</v>
      </c>
      <c r="J953" s="1788" t="str">
        <f t="shared" si="159"/>
        <v/>
      </c>
      <c r="K953" s="1786">
        <v>0</v>
      </c>
      <c r="L953" s="1786" t="s">
        <v>1594</v>
      </c>
      <c r="M953" s="1786" t="s">
        <v>1653</v>
      </c>
      <c r="N953" s="1786" t="s">
        <v>1653</v>
      </c>
      <c r="O953" s="1786">
        <v>0</v>
      </c>
      <c r="P953" s="1786"/>
      <c r="Q953" s="1786">
        <v>0</v>
      </c>
      <c r="R953" s="1788"/>
      <c r="S953" s="1786">
        <f t="shared" si="160"/>
        <v>874</v>
      </c>
      <c r="T953" s="1786" t="str">
        <f t="shared" si="161"/>
        <v>בנק מזרחי טפחות בע"מ</v>
      </c>
      <c r="U953" s="1786" t="str">
        <f t="shared" si="162"/>
        <v xml:space="preserve">מיטב דש גמל </v>
      </c>
      <c r="V953" s="1786" t="str">
        <f t="shared" si="163"/>
        <v>520043795</v>
      </c>
      <c r="W953" s="1789" t="str">
        <f t="shared" si="164"/>
        <v>מיטב דש גמל ופנסיה בע"מ</v>
      </c>
      <c r="AC953" s="1761" t="s">
        <v>346</v>
      </c>
      <c r="AD953" s="1761"/>
      <c r="AE953" s="1762">
        <v>37885</v>
      </c>
      <c r="AF953" s="1761" t="s">
        <v>4603</v>
      </c>
      <c r="AG953" s="1761" t="s">
        <v>2029</v>
      </c>
      <c r="AH953" s="1761" t="s">
        <v>2028</v>
      </c>
      <c r="AI953" s="1761" t="s">
        <v>3987</v>
      </c>
      <c r="AJ953" s="1761" t="s">
        <v>3987</v>
      </c>
      <c r="AK953" s="1761">
        <v>767</v>
      </c>
      <c r="AL953" s="1761" t="s">
        <v>3933</v>
      </c>
      <c r="AM953" s="1761">
        <v>874</v>
      </c>
      <c r="AN953" s="1761" t="s">
        <v>5370</v>
      </c>
      <c r="AO953" s="1764"/>
      <c r="AP953" s="1761" t="s">
        <v>5373</v>
      </c>
      <c r="AQ953" s="1761" t="s">
        <v>5374</v>
      </c>
      <c r="AR953" s="1761" t="s">
        <v>2899</v>
      </c>
      <c r="AS953" s="1761" t="s">
        <v>349</v>
      </c>
      <c r="AT953" s="1761" t="s">
        <v>327</v>
      </c>
      <c r="AU953" s="1763"/>
      <c r="AV953" s="1763"/>
    </row>
    <row r="954" spans="1:48" ht="25" hidden="1">
      <c r="A954" s="1785" t="str">
        <f t="shared" si="154"/>
        <v>גמל</v>
      </c>
      <c r="B954" s="1786">
        <f t="shared" si="155"/>
        <v>1386</v>
      </c>
      <c r="C954" s="1787">
        <v>28946</v>
      </c>
      <c r="D954" s="1786" t="str">
        <f t="shared" si="156"/>
        <v>מיטב דש גמל אג"ח ממשלת ישראל</v>
      </c>
      <c r="E954" s="1786" t="s">
        <v>3929</v>
      </c>
      <c r="F954" s="1786" t="s">
        <v>2958</v>
      </c>
      <c r="G954" s="1786" t="s">
        <v>2959</v>
      </c>
      <c r="H954" s="1786" t="str">
        <f t="shared" si="157"/>
        <v>פעיל</v>
      </c>
      <c r="I954" s="1788">
        <f t="shared" si="158"/>
        <v>37885</v>
      </c>
      <c r="J954" s="1788" t="str">
        <f t="shared" si="159"/>
        <v/>
      </c>
      <c r="K954" s="1786">
        <v>0</v>
      </c>
      <c r="L954" s="1786" t="s">
        <v>1594</v>
      </c>
      <c r="M954" s="1786" t="s">
        <v>1653</v>
      </c>
      <c r="N954" s="1786" t="s">
        <v>1653</v>
      </c>
      <c r="O954" s="1786">
        <v>0</v>
      </c>
      <c r="P954" s="1786"/>
      <c r="Q954" s="1786">
        <v>0</v>
      </c>
      <c r="R954" s="1788"/>
      <c r="S954" s="1786">
        <f t="shared" si="160"/>
        <v>874</v>
      </c>
      <c r="T954" s="1786" t="str">
        <f t="shared" si="161"/>
        <v>בנק מזרחי טפחות בע"מ</v>
      </c>
      <c r="U954" s="1786" t="str">
        <f t="shared" si="162"/>
        <v xml:space="preserve">מיטב דש גמל </v>
      </c>
      <c r="V954" s="1786" t="str">
        <f t="shared" si="163"/>
        <v>520043795</v>
      </c>
      <c r="W954" s="1789" t="str">
        <f t="shared" si="164"/>
        <v>מיטב דש גמל ופנסיה בע"מ</v>
      </c>
      <c r="AC954" s="1759" t="s">
        <v>346</v>
      </c>
      <c r="AD954" s="1759"/>
      <c r="AE954" s="1760">
        <v>37885</v>
      </c>
      <c r="AF954" s="1759" t="s">
        <v>2009</v>
      </c>
      <c r="AG954" s="1759" t="s">
        <v>1653</v>
      </c>
      <c r="AH954" s="1759" t="s">
        <v>1594</v>
      </c>
      <c r="AI954" s="1759" t="s">
        <v>4081</v>
      </c>
      <c r="AJ954" s="1759" t="s">
        <v>4081</v>
      </c>
      <c r="AK954" s="1759">
        <v>1386</v>
      </c>
      <c r="AL954" s="1759" t="s">
        <v>3933</v>
      </c>
      <c r="AM954" s="1759">
        <v>874</v>
      </c>
      <c r="AN954" s="1759" t="s">
        <v>5370</v>
      </c>
      <c r="AO954" s="1764"/>
      <c r="AP954" s="1759" t="s">
        <v>5373</v>
      </c>
      <c r="AQ954" s="1759" t="s">
        <v>5374</v>
      </c>
      <c r="AR954" s="1759" t="s">
        <v>2899</v>
      </c>
      <c r="AS954" s="1759" t="s">
        <v>349</v>
      </c>
      <c r="AT954" s="1759" t="s">
        <v>327</v>
      </c>
      <c r="AU954" s="1763"/>
      <c r="AV954" s="1763"/>
    </row>
    <row r="955" spans="1:48" ht="25" hidden="1">
      <c r="A955" s="1785" t="str">
        <f t="shared" si="154"/>
        <v>גמל</v>
      </c>
      <c r="B955" s="1786">
        <f t="shared" si="155"/>
        <v>1386</v>
      </c>
      <c r="C955" s="1787">
        <v>28946</v>
      </c>
      <c r="D955" s="1786" t="str">
        <f t="shared" si="156"/>
        <v>מיטב דש גמל אג"ח ממשלת ישראל</v>
      </c>
      <c r="E955" s="1786" t="s">
        <v>3929</v>
      </c>
      <c r="F955" s="1786" t="s">
        <v>2958</v>
      </c>
      <c r="G955" s="1786" t="s">
        <v>2959</v>
      </c>
      <c r="H955" s="1786" t="str">
        <f t="shared" si="157"/>
        <v>פעיל</v>
      </c>
      <c r="I955" s="1788">
        <f t="shared" si="158"/>
        <v>37885</v>
      </c>
      <c r="J955" s="1788" t="str">
        <f t="shared" si="159"/>
        <v/>
      </c>
      <c r="K955" s="1786">
        <v>0</v>
      </c>
      <c r="L955" s="1786" t="s">
        <v>1594</v>
      </c>
      <c r="M955" s="1786" t="s">
        <v>1653</v>
      </c>
      <c r="N955" s="1786" t="s">
        <v>1653</v>
      </c>
      <c r="O955" s="1786">
        <v>0</v>
      </c>
      <c r="P955" s="1786"/>
      <c r="Q955" s="1786">
        <v>0</v>
      </c>
      <c r="R955" s="1788"/>
      <c r="S955" s="1786">
        <f t="shared" si="160"/>
        <v>874</v>
      </c>
      <c r="T955" s="1786" t="str">
        <f t="shared" si="161"/>
        <v>בנק מזרחי טפחות בע"מ</v>
      </c>
      <c r="U955" s="1786" t="str">
        <f t="shared" si="162"/>
        <v xml:space="preserve">מיטב דש גמל </v>
      </c>
      <c r="V955" s="1786" t="str">
        <f t="shared" si="163"/>
        <v>520043795</v>
      </c>
      <c r="W955" s="1789" t="str">
        <f t="shared" si="164"/>
        <v>מיטב דש גמל ופנסיה בע"מ</v>
      </c>
      <c r="AC955" s="1761" t="s">
        <v>346</v>
      </c>
      <c r="AD955" s="1761"/>
      <c r="AE955" s="1762">
        <v>37885</v>
      </c>
      <c r="AF955" s="1761" t="s">
        <v>2009</v>
      </c>
      <c r="AG955" s="1761" t="s">
        <v>1653</v>
      </c>
      <c r="AH955" s="1761" t="s">
        <v>1594</v>
      </c>
      <c r="AI955" s="1761" t="s">
        <v>4081</v>
      </c>
      <c r="AJ955" s="1761" t="s">
        <v>4081</v>
      </c>
      <c r="AK955" s="1761">
        <v>1386</v>
      </c>
      <c r="AL955" s="1761" t="s">
        <v>3933</v>
      </c>
      <c r="AM955" s="1761">
        <v>874</v>
      </c>
      <c r="AN955" s="1761" t="s">
        <v>5370</v>
      </c>
      <c r="AO955" s="1764"/>
      <c r="AP955" s="1761" t="s">
        <v>5373</v>
      </c>
      <c r="AQ955" s="1761" t="s">
        <v>5374</v>
      </c>
      <c r="AR955" s="1761" t="s">
        <v>2899</v>
      </c>
      <c r="AS955" s="1761" t="s">
        <v>349</v>
      </c>
      <c r="AT955" s="1761" t="s">
        <v>327</v>
      </c>
      <c r="AU955" s="1763"/>
      <c r="AV955" s="1763"/>
    </row>
    <row r="956" spans="1:48" ht="25" hidden="1">
      <c r="A956" s="1785" t="str">
        <f t="shared" si="154"/>
        <v>גמל</v>
      </c>
      <c r="B956" s="1786">
        <f t="shared" si="155"/>
        <v>1235</v>
      </c>
      <c r="C956" s="1787">
        <v>28946</v>
      </c>
      <c r="D956" s="1786" t="str">
        <f t="shared" si="156"/>
        <v>מיטב דש גמל אג"ח (ללא מניות)</v>
      </c>
      <c r="E956" s="1786" t="s">
        <v>3929</v>
      </c>
      <c r="F956" s="1786" t="s">
        <v>2958</v>
      </c>
      <c r="G956" s="1786" t="s">
        <v>2959</v>
      </c>
      <c r="H956" s="1786" t="str">
        <f t="shared" si="157"/>
        <v>לא פעיל</v>
      </c>
      <c r="I956" s="1788">
        <f t="shared" si="158"/>
        <v>37885</v>
      </c>
      <c r="J956" s="1788">
        <f t="shared" si="159"/>
        <v>41828.556435185201</v>
      </c>
      <c r="K956" s="1786">
        <v>0</v>
      </c>
      <c r="L956" s="1786" t="s">
        <v>1594</v>
      </c>
      <c r="M956" s="1786" t="s">
        <v>1653</v>
      </c>
      <c r="N956" s="1786" t="s">
        <v>1653</v>
      </c>
      <c r="O956" s="1786">
        <v>0</v>
      </c>
      <c r="P956" s="1786"/>
      <c r="Q956" s="1786">
        <v>0</v>
      </c>
      <c r="R956" s="1788"/>
      <c r="S956" s="1786">
        <f t="shared" si="160"/>
        <v>874</v>
      </c>
      <c r="T956" s="1786" t="str">
        <f t="shared" si="161"/>
        <v>בנק מזרחי טפחות בע"מ</v>
      </c>
      <c r="U956" s="1786" t="str">
        <f t="shared" si="162"/>
        <v xml:space="preserve">מיטב דש גמל </v>
      </c>
      <c r="V956" s="1786" t="str">
        <f t="shared" si="163"/>
        <v>520043795</v>
      </c>
      <c r="W956" s="1789" t="str">
        <f t="shared" si="164"/>
        <v>מיטב דש גמל ופנסיה בע"מ</v>
      </c>
      <c r="AC956" s="1759" t="s">
        <v>1586</v>
      </c>
      <c r="AD956" s="1760">
        <v>41828.556435185201</v>
      </c>
      <c r="AE956" s="1760">
        <v>37885</v>
      </c>
      <c r="AF956" s="1759" t="s">
        <v>1681</v>
      </c>
      <c r="AG956" s="1759" t="s">
        <v>1653</v>
      </c>
      <c r="AH956" s="1759" t="s">
        <v>1594</v>
      </c>
      <c r="AI956" s="1759" t="s">
        <v>3567</v>
      </c>
      <c r="AJ956" s="1759" t="s">
        <v>3567</v>
      </c>
      <c r="AK956" s="1759">
        <v>1235</v>
      </c>
      <c r="AL956" s="1759" t="s">
        <v>3933</v>
      </c>
      <c r="AM956" s="1759">
        <v>874</v>
      </c>
      <c r="AN956" s="1759" t="s">
        <v>5370</v>
      </c>
      <c r="AO956" s="1764"/>
      <c r="AP956" s="1759" t="s">
        <v>5373</v>
      </c>
      <c r="AQ956" s="1759" t="s">
        <v>5374</v>
      </c>
      <c r="AR956" s="1759" t="s">
        <v>2899</v>
      </c>
      <c r="AS956" s="1759" t="s">
        <v>349</v>
      </c>
      <c r="AT956" s="1759" t="s">
        <v>327</v>
      </c>
      <c r="AU956" s="1763"/>
      <c r="AV956" s="1763"/>
    </row>
    <row r="957" spans="1:48" ht="25" hidden="1">
      <c r="A957" s="1785" t="str">
        <f t="shared" si="154"/>
        <v>גמל</v>
      </c>
      <c r="B957" s="1786">
        <f t="shared" si="155"/>
        <v>1235</v>
      </c>
      <c r="C957" s="1787">
        <v>28946</v>
      </c>
      <c r="D957" s="1786" t="str">
        <f t="shared" si="156"/>
        <v>מיטב דש גמל אג"ח (ללא מניות)</v>
      </c>
      <c r="E957" s="1786" t="s">
        <v>3929</v>
      </c>
      <c r="F957" s="1786" t="s">
        <v>2958</v>
      </c>
      <c r="G957" s="1786" t="s">
        <v>2959</v>
      </c>
      <c r="H957" s="1786" t="str">
        <f t="shared" si="157"/>
        <v>לא פעיל</v>
      </c>
      <c r="I957" s="1788">
        <f t="shared" si="158"/>
        <v>37885</v>
      </c>
      <c r="J957" s="1788">
        <f t="shared" si="159"/>
        <v>41828.556435185201</v>
      </c>
      <c r="K957" s="1786">
        <v>0</v>
      </c>
      <c r="L957" s="1786" t="s">
        <v>1594</v>
      </c>
      <c r="M957" s="1786" t="s">
        <v>1653</v>
      </c>
      <c r="N957" s="1786" t="s">
        <v>1653</v>
      </c>
      <c r="O957" s="1786">
        <v>0</v>
      </c>
      <c r="P957" s="1786"/>
      <c r="Q957" s="1786">
        <v>0</v>
      </c>
      <c r="R957" s="1788"/>
      <c r="S957" s="1786">
        <f t="shared" si="160"/>
        <v>874</v>
      </c>
      <c r="T957" s="1786" t="str">
        <f t="shared" si="161"/>
        <v>בנק מזרחי טפחות בע"מ</v>
      </c>
      <c r="U957" s="1786" t="str">
        <f t="shared" si="162"/>
        <v xml:space="preserve">מיטב דש גמל </v>
      </c>
      <c r="V957" s="1786" t="str">
        <f t="shared" si="163"/>
        <v>520043795</v>
      </c>
      <c r="W957" s="1789" t="str">
        <f t="shared" si="164"/>
        <v>מיטב דש גמל ופנסיה בע"מ</v>
      </c>
      <c r="AC957" s="1761" t="s">
        <v>1586</v>
      </c>
      <c r="AD957" s="1762">
        <v>41828.556435185201</v>
      </c>
      <c r="AE957" s="1762">
        <v>37885</v>
      </c>
      <c r="AF957" s="1761" t="s">
        <v>1681</v>
      </c>
      <c r="AG957" s="1761" t="s">
        <v>1653</v>
      </c>
      <c r="AH957" s="1761" t="s">
        <v>1594</v>
      </c>
      <c r="AI957" s="1761" t="s">
        <v>3567</v>
      </c>
      <c r="AJ957" s="1761" t="s">
        <v>3567</v>
      </c>
      <c r="AK957" s="1761">
        <v>1235</v>
      </c>
      <c r="AL957" s="1761" t="s">
        <v>3933</v>
      </c>
      <c r="AM957" s="1761">
        <v>874</v>
      </c>
      <c r="AN957" s="1761" t="s">
        <v>5370</v>
      </c>
      <c r="AO957" s="1764"/>
      <c r="AP957" s="1761" t="s">
        <v>5373</v>
      </c>
      <c r="AQ957" s="1761" t="s">
        <v>5374</v>
      </c>
      <c r="AR957" s="1761" t="s">
        <v>2899</v>
      </c>
      <c r="AS957" s="1761" t="s">
        <v>349</v>
      </c>
      <c r="AT957" s="1761" t="s">
        <v>327</v>
      </c>
      <c r="AU957" s="1763"/>
      <c r="AV957" s="1763"/>
    </row>
    <row r="958" spans="1:48" ht="25" hidden="1">
      <c r="A958" s="1785" t="str">
        <f t="shared" si="154"/>
        <v>גמל</v>
      </c>
      <c r="B958" s="1786">
        <f t="shared" si="155"/>
        <v>1236</v>
      </c>
      <c r="C958" s="1787">
        <v>28946</v>
      </c>
      <c r="D958" s="1786" t="str">
        <f t="shared" si="156"/>
        <v>מיטב גמל אג"ח 85</v>
      </c>
      <c r="E958" s="1786" t="s">
        <v>3929</v>
      </c>
      <c r="F958" s="1786" t="s">
        <v>2958</v>
      </c>
      <c r="G958" s="1786" t="s">
        <v>2959</v>
      </c>
      <c r="H958" s="1786" t="str">
        <f t="shared" si="157"/>
        <v>לא פעיל</v>
      </c>
      <c r="I958" s="1788">
        <f t="shared" si="158"/>
        <v>37885</v>
      </c>
      <c r="J958" s="1788">
        <f t="shared" si="159"/>
        <v>41751.420416666697</v>
      </c>
      <c r="K958" s="1786">
        <v>0</v>
      </c>
      <c r="L958" s="1786" t="s">
        <v>1594</v>
      </c>
      <c r="M958" s="1786" t="s">
        <v>1653</v>
      </c>
      <c r="N958" s="1786" t="s">
        <v>1653</v>
      </c>
      <c r="O958" s="1786">
        <v>0</v>
      </c>
      <c r="P958" s="1786"/>
      <c r="Q958" s="1786">
        <v>0</v>
      </c>
      <c r="R958" s="1788"/>
      <c r="S958" s="1786">
        <f t="shared" si="160"/>
        <v>874</v>
      </c>
      <c r="T958" s="1786" t="str">
        <f t="shared" si="161"/>
        <v>בנק מזרחי טפחות בע"מ</v>
      </c>
      <c r="U958" s="1786" t="str">
        <f t="shared" si="162"/>
        <v xml:space="preserve">מיטב דש גמל </v>
      </c>
      <c r="V958" s="1786" t="str">
        <f t="shared" si="163"/>
        <v>520043795</v>
      </c>
      <c r="W958" s="1789" t="str">
        <f t="shared" si="164"/>
        <v>מיטב דש גמל ופנסיה בע"מ</v>
      </c>
      <c r="AC958" s="1759" t="s">
        <v>1586</v>
      </c>
      <c r="AD958" s="1760">
        <v>41751.420416666697</v>
      </c>
      <c r="AE958" s="1760">
        <v>37885</v>
      </c>
      <c r="AF958" s="1759" t="s">
        <v>1653</v>
      </c>
      <c r="AG958" s="1759" t="s">
        <v>1653</v>
      </c>
      <c r="AH958" s="1759" t="s">
        <v>1594</v>
      </c>
      <c r="AI958" s="1759" t="s">
        <v>2350</v>
      </c>
      <c r="AJ958" s="1759" t="s">
        <v>2350</v>
      </c>
      <c r="AK958" s="1759">
        <v>1236</v>
      </c>
      <c r="AL958" s="1759" t="s">
        <v>3933</v>
      </c>
      <c r="AM958" s="1759">
        <v>874</v>
      </c>
      <c r="AN958" s="1759" t="s">
        <v>5370</v>
      </c>
      <c r="AO958" s="1764"/>
      <c r="AP958" s="1759" t="s">
        <v>5373</v>
      </c>
      <c r="AQ958" s="1759" t="s">
        <v>5374</v>
      </c>
      <c r="AR958" s="1759" t="s">
        <v>2899</v>
      </c>
      <c r="AS958" s="1759" t="s">
        <v>349</v>
      </c>
      <c r="AT958" s="1759" t="s">
        <v>327</v>
      </c>
      <c r="AU958" s="1763"/>
      <c r="AV958" s="1763"/>
    </row>
    <row r="959" spans="1:48" ht="25" hidden="1">
      <c r="A959" s="1785" t="str">
        <f t="shared" si="154"/>
        <v>גמל</v>
      </c>
      <c r="B959" s="1786">
        <f t="shared" si="155"/>
        <v>1236</v>
      </c>
      <c r="C959" s="1787">
        <v>28946</v>
      </c>
      <c r="D959" s="1786" t="str">
        <f t="shared" si="156"/>
        <v>מיטב גמל אג"ח 85</v>
      </c>
      <c r="E959" s="1786" t="s">
        <v>3929</v>
      </c>
      <c r="F959" s="1786" t="s">
        <v>2958</v>
      </c>
      <c r="G959" s="1786" t="s">
        <v>2959</v>
      </c>
      <c r="H959" s="1786" t="str">
        <f t="shared" si="157"/>
        <v>לא פעיל</v>
      </c>
      <c r="I959" s="1788">
        <f t="shared" si="158"/>
        <v>37885</v>
      </c>
      <c r="J959" s="1788">
        <f t="shared" si="159"/>
        <v>41751.420416666697</v>
      </c>
      <c r="K959" s="1786">
        <v>0</v>
      </c>
      <c r="L959" s="1786" t="s">
        <v>1594</v>
      </c>
      <c r="M959" s="1786" t="s">
        <v>1653</v>
      </c>
      <c r="N959" s="1786" t="s">
        <v>1653</v>
      </c>
      <c r="O959" s="1786">
        <v>0</v>
      </c>
      <c r="P959" s="1786"/>
      <c r="Q959" s="1786">
        <v>0</v>
      </c>
      <c r="R959" s="1788"/>
      <c r="S959" s="1786">
        <f t="shared" si="160"/>
        <v>874</v>
      </c>
      <c r="T959" s="1786" t="str">
        <f t="shared" si="161"/>
        <v>בנק מזרחי טפחות בע"מ</v>
      </c>
      <c r="U959" s="1786" t="str">
        <f t="shared" si="162"/>
        <v xml:space="preserve">מיטב דש גמל </v>
      </c>
      <c r="V959" s="1786" t="str">
        <f t="shared" si="163"/>
        <v>520043795</v>
      </c>
      <c r="W959" s="1789" t="str">
        <f t="shared" si="164"/>
        <v>מיטב דש גמל ופנסיה בע"מ</v>
      </c>
      <c r="AC959" s="1761" t="s">
        <v>1586</v>
      </c>
      <c r="AD959" s="1762">
        <v>41751.420416666697</v>
      </c>
      <c r="AE959" s="1762">
        <v>37885</v>
      </c>
      <c r="AF959" s="1761" t="s">
        <v>1653</v>
      </c>
      <c r="AG959" s="1761" t="s">
        <v>1653</v>
      </c>
      <c r="AH959" s="1761" t="s">
        <v>1594</v>
      </c>
      <c r="AI959" s="1761" t="s">
        <v>2350</v>
      </c>
      <c r="AJ959" s="1761" t="s">
        <v>2350</v>
      </c>
      <c r="AK959" s="1761">
        <v>1236</v>
      </c>
      <c r="AL959" s="1761" t="s">
        <v>3933</v>
      </c>
      <c r="AM959" s="1761">
        <v>874</v>
      </c>
      <c r="AN959" s="1761" t="s">
        <v>5370</v>
      </c>
      <c r="AO959" s="1764"/>
      <c r="AP959" s="1761" t="s">
        <v>5373</v>
      </c>
      <c r="AQ959" s="1761" t="s">
        <v>5374</v>
      </c>
      <c r="AR959" s="1761" t="s">
        <v>2899</v>
      </c>
      <c r="AS959" s="1761" t="s">
        <v>349</v>
      </c>
      <c r="AT959" s="1761" t="s">
        <v>327</v>
      </c>
      <c r="AU959" s="1763"/>
      <c r="AV959" s="1763"/>
    </row>
    <row r="960" spans="1:48" ht="25" hidden="1">
      <c r="A960" s="1785" t="str">
        <f t="shared" si="154"/>
        <v>גמל</v>
      </c>
      <c r="B960" s="1786">
        <f t="shared" si="155"/>
        <v>1245</v>
      </c>
      <c r="C960" s="1787">
        <v>28946</v>
      </c>
      <c r="D960" s="1786" t="str">
        <f t="shared" si="156"/>
        <v>מיטב דש גמל חכם עד 40</v>
      </c>
      <c r="E960" s="1786" t="s">
        <v>3929</v>
      </c>
      <c r="F960" s="1786" t="s">
        <v>2958</v>
      </c>
      <c r="G960" s="1786" t="s">
        <v>2959</v>
      </c>
      <c r="H960" s="1786" t="str">
        <f t="shared" si="157"/>
        <v>לא פעיל</v>
      </c>
      <c r="I960" s="1788">
        <f t="shared" si="158"/>
        <v>37885</v>
      </c>
      <c r="J960" s="1788">
        <f t="shared" si="159"/>
        <v>42379.364074074103</v>
      </c>
      <c r="K960" s="1786">
        <v>0</v>
      </c>
      <c r="L960" s="1786" t="s">
        <v>1594</v>
      </c>
      <c r="M960" s="1786" t="s">
        <v>1653</v>
      </c>
      <c r="N960" s="1786" t="s">
        <v>1653</v>
      </c>
      <c r="O960" s="1786">
        <v>0</v>
      </c>
      <c r="P960" s="1786"/>
      <c r="Q960" s="1786">
        <v>0</v>
      </c>
      <c r="R960" s="1788"/>
      <c r="S960" s="1786">
        <f t="shared" si="160"/>
        <v>874</v>
      </c>
      <c r="T960" s="1786" t="str">
        <f t="shared" si="161"/>
        <v>בנק מזרחי טפחות בע"מ</v>
      </c>
      <c r="U960" s="1786" t="str">
        <f t="shared" si="162"/>
        <v xml:space="preserve">מיטב דש גמל </v>
      </c>
      <c r="V960" s="1786" t="str">
        <f t="shared" si="163"/>
        <v>520043795</v>
      </c>
      <c r="W960" s="1789" t="str">
        <f t="shared" si="164"/>
        <v>מיטב דש גמל ופנסיה בע"מ</v>
      </c>
      <c r="AC960" s="1759" t="s">
        <v>1586</v>
      </c>
      <c r="AD960" s="1760">
        <v>42379.364074074103</v>
      </c>
      <c r="AE960" s="1760">
        <v>37885</v>
      </c>
      <c r="AF960" s="1759" t="s">
        <v>1595</v>
      </c>
      <c r="AG960" s="1759" t="s">
        <v>75</v>
      </c>
      <c r="AH960" s="1759" t="s">
        <v>1594</v>
      </c>
      <c r="AI960" s="1759" t="s">
        <v>3569</v>
      </c>
      <c r="AJ960" s="1759" t="s">
        <v>3569</v>
      </c>
      <c r="AK960" s="1759">
        <v>1245</v>
      </c>
      <c r="AL960" s="1759" t="s">
        <v>3933</v>
      </c>
      <c r="AM960" s="1759">
        <v>874</v>
      </c>
      <c r="AN960" s="1759" t="s">
        <v>5370</v>
      </c>
      <c r="AO960" s="1764"/>
      <c r="AP960" s="1759" t="s">
        <v>5373</v>
      </c>
      <c r="AQ960" s="1759" t="s">
        <v>5374</v>
      </c>
      <c r="AR960" s="1759" t="s">
        <v>2899</v>
      </c>
      <c r="AS960" s="1759" t="s">
        <v>349</v>
      </c>
      <c r="AT960" s="1759" t="s">
        <v>327</v>
      </c>
      <c r="AU960" s="1763"/>
      <c r="AV960" s="1763"/>
    </row>
    <row r="961" spans="1:48" ht="25" hidden="1">
      <c r="A961" s="1785" t="str">
        <f t="shared" si="154"/>
        <v>גמל</v>
      </c>
      <c r="B961" s="1786">
        <f t="shared" si="155"/>
        <v>1245</v>
      </c>
      <c r="C961" s="1787">
        <v>28946</v>
      </c>
      <c r="D961" s="1786" t="str">
        <f t="shared" si="156"/>
        <v>מיטב דש גמל חכם עד 40</v>
      </c>
      <c r="E961" s="1786" t="s">
        <v>3929</v>
      </c>
      <c r="F961" s="1786" t="s">
        <v>2958</v>
      </c>
      <c r="G961" s="1786" t="s">
        <v>2959</v>
      </c>
      <c r="H961" s="1786" t="str">
        <f t="shared" si="157"/>
        <v>לא פעיל</v>
      </c>
      <c r="I961" s="1788">
        <f t="shared" si="158"/>
        <v>37885</v>
      </c>
      <c r="J961" s="1788">
        <f t="shared" si="159"/>
        <v>42379.364074074103</v>
      </c>
      <c r="K961" s="1786">
        <v>0</v>
      </c>
      <c r="L961" s="1786" t="s">
        <v>1594</v>
      </c>
      <c r="M961" s="1786" t="s">
        <v>1653</v>
      </c>
      <c r="N961" s="1786" t="s">
        <v>1653</v>
      </c>
      <c r="O961" s="1786">
        <v>0</v>
      </c>
      <c r="P961" s="1786"/>
      <c r="Q961" s="1786">
        <v>0</v>
      </c>
      <c r="R961" s="1788"/>
      <c r="S961" s="1786">
        <f t="shared" si="160"/>
        <v>874</v>
      </c>
      <c r="T961" s="1786" t="str">
        <f t="shared" si="161"/>
        <v>בנק מזרחי טפחות בע"מ</v>
      </c>
      <c r="U961" s="1786" t="str">
        <f t="shared" si="162"/>
        <v xml:space="preserve">מיטב דש גמל </v>
      </c>
      <c r="V961" s="1786" t="str">
        <f t="shared" si="163"/>
        <v>520043795</v>
      </c>
      <c r="W961" s="1789" t="str">
        <f t="shared" si="164"/>
        <v>מיטב דש גמל ופנסיה בע"מ</v>
      </c>
      <c r="AC961" s="1761" t="s">
        <v>1586</v>
      </c>
      <c r="AD961" s="1762">
        <v>42379.364074074103</v>
      </c>
      <c r="AE961" s="1762">
        <v>37885</v>
      </c>
      <c r="AF961" s="1761" t="s">
        <v>1595</v>
      </c>
      <c r="AG961" s="1761" t="s">
        <v>75</v>
      </c>
      <c r="AH961" s="1761" t="s">
        <v>1594</v>
      </c>
      <c r="AI961" s="1761" t="s">
        <v>3569</v>
      </c>
      <c r="AJ961" s="1761" t="s">
        <v>3569</v>
      </c>
      <c r="AK961" s="1761">
        <v>1245</v>
      </c>
      <c r="AL961" s="1761" t="s">
        <v>3933</v>
      </c>
      <c r="AM961" s="1761">
        <v>874</v>
      </c>
      <c r="AN961" s="1761" t="s">
        <v>5370</v>
      </c>
      <c r="AO961" s="1764"/>
      <c r="AP961" s="1761" t="s">
        <v>5373</v>
      </c>
      <c r="AQ961" s="1761" t="s">
        <v>5374</v>
      </c>
      <c r="AR961" s="1761" t="s">
        <v>2899</v>
      </c>
      <c r="AS961" s="1761" t="s">
        <v>349</v>
      </c>
      <c r="AT961" s="1761" t="s">
        <v>327</v>
      </c>
      <c r="AU961" s="1763"/>
      <c r="AV961" s="1763"/>
    </row>
    <row r="962" spans="1:48" ht="25" hidden="1">
      <c r="A962" s="1785" t="str">
        <f t="shared" si="154"/>
        <v>גמל</v>
      </c>
      <c r="B962" s="1786">
        <f t="shared" si="155"/>
        <v>1119</v>
      </c>
      <c r="C962" s="1787">
        <v>28946</v>
      </c>
      <c r="D962" s="1786" t="str">
        <f t="shared" si="156"/>
        <v>מיטב תגמולים מסלול אג"ח</v>
      </c>
      <c r="E962" s="1786" t="s">
        <v>3929</v>
      </c>
      <c r="F962" s="1786" t="s">
        <v>2958</v>
      </c>
      <c r="G962" s="1786" t="s">
        <v>2959</v>
      </c>
      <c r="H962" s="1786" t="str">
        <f t="shared" si="157"/>
        <v>לא פעיל</v>
      </c>
      <c r="I962" s="1788">
        <f t="shared" si="158"/>
        <v>37885</v>
      </c>
      <c r="J962" s="1788">
        <f t="shared" si="159"/>
        <v>41554.442222222198</v>
      </c>
      <c r="K962" s="1786">
        <v>0</v>
      </c>
      <c r="L962" s="1786" t="s">
        <v>1594</v>
      </c>
      <c r="M962" s="1786" t="s">
        <v>1653</v>
      </c>
      <c r="N962" s="1786" t="s">
        <v>1653</v>
      </c>
      <c r="O962" s="1786">
        <v>0</v>
      </c>
      <c r="P962" s="1786"/>
      <c r="Q962" s="1786">
        <v>0</v>
      </c>
      <c r="R962" s="1788"/>
      <c r="S962" s="1786">
        <f t="shared" si="160"/>
        <v>874</v>
      </c>
      <c r="T962" s="1786" t="str">
        <f t="shared" si="161"/>
        <v>בנק לאומי בע"מ</v>
      </c>
      <c r="U962" s="1786" t="str">
        <f t="shared" si="162"/>
        <v>מיטב תגמולים מסלול כללי</v>
      </c>
      <c r="V962" s="1786">
        <f t="shared" si="163"/>
        <v>0</v>
      </c>
      <c r="W962" s="1789" t="str">
        <f t="shared" si="164"/>
        <v>מיטב גמל ופנסיה בע"מ</v>
      </c>
      <c r="AC962" s="1759" t="s">
        <v>1586</v>
      </c>
      <c r="AD962" s="1760">
        <v>41554.442222222198</v>
      </c>
      <c r="AE962" s="1760">
        <v>37885</v>
      </c>
      <c r="AF962" s="1759" t="s">
        <v>1653</v>
      </c>
      <c r="AG962" s="1759" t="s">
        <v>1653</v>
      </c>
      <c r="AH962" s="1759" t="s">
        <v>1594</v>
      </c>
      <c r="AI962" s="1759" t="s">
        <v>3530</v>
      </c>
      <c r="AJ962" s="1759" t="s">
        <v>2278</v>
      </c>
      <c r="AK962" s="1759">
        <v>1119</v>
      </c>
      <c r="AL962" s="1759" t="s">
        <v>624</v>
      </c>
      <c r="AM962" s="1759">
        <v>874</v>
      </c>
      <c r="AN962" s="1759" t="s">
        <v>5470</v>
      </c>
      <c r="AO962" s="1764"/>
      <c r="AP962" s="1759"/>
      <c r="AQ962" s="1759"/>
      <c r="AR962" s="1759" t="s">
        <v>365</v>
      </c>
      <c r="AS962" s="1759" t="s">
        <v>366</v>
      </c>
      <c r="AT962" s="1759" t="s">
        <v>327</v>
      </c>
      <c r="AU962" s="1763"/>
      <c r="AV962" s="1763"/>
    </row>
    <row r="963" spans="1:48" ht="25" hidden="1">
      <c r="A963" s="1785" t="str">
        <f t="shared" si="154"/>
        <v>גמל</v>
      </c>
      <c r="B963" s="1786">
        <f t="shared" si="155"/>
        <v>948</v>
      </c>
      <c r="C963" s="1787">
        <v>28946</v>
      </c>
      <c r="D963" s="1786" t="str">
        <f t="shared" si="156"/>
        <v>מיטב דש גמל שקלי טווח קצר</v>
      </c>
      <c r="E963" s="1786" t="s">
        <v>3929</v>
      </c>
      <c r="F963" s="1786" t="s">
        <v>2958</v>
      </c>
      <c r="G963" s="1786" t="s">
        <v>2959</v>
      </c>
      <c r="H963" s="1786" t="str">
        <f t="shared" si="157"/>
        <v>פעיל</v>
      </c>
      <c r="I963" s="1788">
        <f t="shared" si="158"/>
        <v>37885</v>
      </c>
      <c r="J963" s="1788" t="str">
        <f t="shared" si="159"/>
        <v/>
      </c>
      <c r="K963" s="1786">
        <v>0</v>
      </c>
      <c r="L963" s="1786" t="s">
        <v>1594</v>
      </c>
      <c r="M963" s="1786" t="s">
        <v>1653</v>
      </c>
      <c r="N963" s="1786" t="s">
        <v>1653</v>
      </c>
      <c r="O963" s="1786">
        <v>0</v>
      </c>
      <c r="P963" s="1786"/>
      <c r="Q963" s="1786">
        <v>0</v>
      </c>
      <c r="R963" s="1788"/>
      <c r="S963" s="1786">
        <f t="shared" si="160"/>
        <v>874</v>
      </c>
      <c r="T963" s="1786" t="str">
        <f t="shared" si="161"/>
        <v>בנק מזרחי טפחות בע"מ</v>
      </c>
      <c r="U963" s="1786" t="str">
        <f t="shared" si="162"/>
        <v xml:space="preserve">מיטב דש גמל </v>
      </c>
      <c r="V963" s="1786" t="str">
        <f t="shared" si="163"/>
        <v>520043795</v>
      </c>
      <c r="W963" s="1789" t="str">
        <f t="shared" si="164"/>
        <v>מיטב דש גמל ופנסיה בע"מ</v>
      </c>
      <c r="AC963" s="1761" t="s">
        <v>346</v>
      </c>
      <c r="AD963" s="1761"/>
      <c r="AE963" s="1762">
        <v>37885</v>
      </c>
      <c r="AF963" s="1761" t="s">
        <v>1673</v>
      </c>
      <c r="AG963" s="1761" t="s">
        <v>1614</v>
      </c>
      <c r="AH963" s="1761" t="s">
        <v>1594</v>
      </c>
      <c r="AI963" s="1761" t="s">
        <v>4015</v>
      </c>
      <c r="AJ963" s="1761" t="s">
        <v>4015</v>
      </c>
      <c r="AK963" s="1761">
        <v>948</v>
      </c>
      <c r="AL963" s="1761" t="s">
        <v>3933</v>
      </c>
      <c r="AM963" s="1761">
        <v>874</v>
      </c>
      <c r="AN963" s="1761" t="s">
        <v>5370</v>
      </c>
      <c r="AO963" s="1764"/>
      <c r="AP963" s="1761" t="s">
        <v>5373</v>
      </c>
      <c r="AQ963" s="1761" t="s">
        <v>5374</v>
      </c>
      <c r="AR963" s="1761" t="s">
        <v>2899</v>
      </c>
      <c r="AS963" s="1761" t="s">
        <v>349</v>
      </c>
      <c r="AT963" s="1761" t="s">
        <v>327</v>
      </c>
      <c r="AU963" s="1763"/>
      <c r="AV963" s="1763"/>
    </row>
    <row r="964" spans="1:48" ht="25" hidden="1">
      <c r="A964" s="1785" t="str">
        <f t="shared" si="154"/>
        <v>גמל</v>
      </c>
      <c r="B964" s="1786">
        <f t="shared" si="155"/>
        <v>948</v>
      </c>
      <c r="C964" s="1787">
        <v>28946</v>
      </c>
      <c r="D964" s="1786" t="str">
        <f t="shared" si="156"/>
        <v>מיטב דש גמל שקלי טווח קצר</v>
      </c>
      <c r="E964" s="1786" t="s">
        <v>3929</v>
      </c>
      <c r="F964" s="1786" t="s">
        <v>2958</v>
      </c>
      <c r="G964" s="1786" t="s">
        <v>2959</v>
      </c>
      <c r="H964" s="1786" t="str">
        <f t="shared" si="157"/>
        <v>פעיל</v>
      </c>
      <c r="I964" s="1788">
        <f t="shared" si="158"/>
        <v>37885</v>
      </c>
      <c r="J964" s="1788" t="str">
        <f t="shared" si="159"/>
        <v/>
      </c>
      <c r="K964" s="1786">
        <v>0</v>
      </c>
      <c r="L964" s="1786" t="s">
        <v>1594</v>
      </c>
      <c r="M964" s="1786" t="s">
        <v>1653</v>
      </c>
      <c r="N964" s="1786" t="s">
        <v>1653</v>
      </c>
      <c r="O964" s="1786">
        <v>0</v>
      </c>
      <c r="P964" s="1786"/>
      <c r="Q964" s="1786">
        <v>0</v>
      </c>
      <c r="R964" s="1788"/>
      <c r="S964" s="1786">
        <f t="shared" si="160"/>
        <v>874</v>
      </c>
      <c r="T964" s="1786" t="str">
        <f t="shared" si="161"/>
        <v>בנק מזרחי טפחות בע"מ</v>
      </c>
      <c r="U964" s="1786" t="str">
        <f t="shared" si="162"/>
        <v xml:space="preserve">מיטב דש גמל </v>
      </c>
      <c r="V964" s="1786" t="str">
        <f t="shared" si="163"/>
        <v>520043795</v>
      </c>
      <c r="W964" s="1789" t="str">
        <f t="shared" si="164"/>
        <v>מיטב דש גמל ופנסיה בע"מ</v>
      </c>
      <c r="AC964" s="1759" t="s">
        <v>346</v>
      </c>
      <c r="AD964" s="1759"/>
      <c r="AE964" s="1760">
        <v>37885</v>
      </c>
      <c r="AF964" s="1759" t="s">
        <v>1673</v>
      </c>
      <c r="AG964" s="1759" t="s">
        <v>1614</v>
      </c>
      <c r="AH964" s="1759" t="s">
        <v>1594</v>
      </c>
      <c r="AI964" s="1759" t="s">
        <v>4015</v>
      </c>
      <c r="AJ964" s="1759" t="s">
        <v>4015</v>
      </c>
      <c r="AK964" s="1759">
        <v>948</v>
      </c>
      <c r="AL964" s="1759" t="s">
        <v>3933</v>
      </c>
      <c r="AM964" s="1759">
        <v>874</v>
      </c>
      <c r="AN964" s="1759" t="s">
        <v>5370</v>
      </c>
      <c r="AO964" s="1764"/>
      <c r="AP964" s="1759" t="s">
        <v>5373</v>
      </c>
      <c r="AQ964" s="1759" t="s">
        <v>5374</v>
      </c>
      <c r="AR964" s="1759" t="s">
        <v>2899</v>
      </c>
      <c r="AS964" s="1759" t="s">
        <v>349</v>
      </c>
      <c r="AT964" s="1759" t="s">
        <v>327</v>
      </c>
      <c r="AU964" s="1763"/>
      <c r="AV964" s="1763"/>
    </row>
    <row r="965" spans="1:48" ht="25" hidden="1">
      <c r="A965" s="1785" t="str">
        <f t="shared" si="154"/>
        <v>גמל</v>
      </c>
      <c r="B965" s="1786">
        <f t="shared" si="155"/>
        <v>874</v>
      </c>
      <c r="C965" s="1787">
        <v>28946</v>
      </c>
      <c r="D965" s="1786" t="str">
        <f t="shared" si="156"/>
        <v>מיטב דש גמל אג"ח עד 25% מניות</v>
      </c>
      <c r="E965" s="1786" t="s">
        <v>3929</v>
      </c>
      <c r="F965" s="1786" t="s">
        <v>2958</v>
      </c>
      <c r="G965" s="1786" t="s">
        <v>2959</v>
      </c>
      <c r="H965" s="1786" t="str">
        <f t="shared" si="157"/>
        <v>פעיל</v>
      </c>
      <c r="I965" s="1788">
        <f t="shared" si="158"/>
        <v>37885</v>
      </c>
      <c r="J965" s="1788" t="str">
        <f t="shared" si="159"/>
        <v/>
      </c>
      <c r="K965" s="1786">
        <v>0</v>
      </c>
      <c r="L965" s="1786" t="s">
        <v>1594</v>
      </c>
      <c r="M965" s="1786" t="s">
        <v>1653</v>
      </c>
      <c r="N965" s="1786" t="s">
        <v>1653</v>
      </c>
      <c r="O965" s="1786">
        <v>0</v>
      </c>
      <c r="P965" s="1786"/>
      <c r="Q965" s="1786">
        <v>0</v>
      </c>
      <c r="R965" s="1788"/>
      <c r="S965" s="1786">
        <f t="shared" si="160"/>
        <v>874</v>
      </c>
      <c r="T965" s="1786" t="str">
        <f t="shared" si="161"/>
        <v>בנק מזרחי טפחות בע"מ</v>
      </c>
      <c r="U965" s="1786" t="str">
        <f t="shared" si="162"/>
        <v xml:space="preserve">מיטב דש גמל </v>
      </c>
      <c r="V965" s="1786" t="str">
        <f t="shared" si="163"/>
        <v>520043795</v>
      </c>
      <c r="W965" s="1789" t="str">
        <f t="shared" si="164"/>
        <v>מיטב דש גמל ופנסיה בע"מ</v>
      </c>
      <c r="AC965" s="1761" t="s">
        <v>346</v>
      </c>
      <c r="AD965" s="1761"/>
      <c r="AE965" s="1762">
        <v>37885</v>
      </c>
      <c r="AF965" s="1761" t="s">
        <v>3934</v>
      </c>
      <c r="AG965" s="1761" t="s">
        <v>1653</v>
      </c>
      <c r="AH965" s="1761" t="s">
        <v>1594</v>
      </c>
      <c r="AI965" s="1761" t="s">
        <v>5551</v>
      </c>
      <c r="AJ965" s="1761" t="s">
        <v>5551</v>
      </c>
      <c r="AK965" s="1761">
        <v>874</v>
      </c>
      <c r="AL965" s="1761" t="s">
        <v>3933</v>
      </c>
      <c r="AM965" s="1761">
        <v>874</v>
      </c>
      <c r="AN965" s="1761" t="s">
        <v>5370</v>
      </c>
      <c r="AO965" s="1764"/>
      <c r="AP965" s="1761" t="s">
        <v>5373</v>
      </c>
      <c r="AQ965" s="1761" t="s">
        <v>5374</v>
      </c>
      <c r="AR965" s="1761" t="s">
        <v>2899</v>
      </c>
      <c r="AS965" s="1761" t="s">
        <v>349</v>
      </c>
      <c r="AT965" s="1761" t="s">
        <v>327</v>
      </c>
      <c r="AU965" s="1763"/>
      <c r="AV965" s="1763"/>
    </row>
    <row r="966" spans="1:48" ht="25" hidden="1">
      <c r="A966" s="1785" t="str">
        <f t="shared" si="154"/>
        <v>גמל</v>
      </c>
      <c r="B966" s="1786">
        <f t="shared" si="155"/>
        <v>874</v>
      </c>
      <c r="C966" s="1787">
        <v>28946</v>
      </c>
      <c r="D966" s="1786" t="str">
        <f t="shared" si="156"/>
        <v>מיטב דש גמל אג"ח עד 25% מניות</v>
      </c>
      <c r="E966" s="1786" t="s">
        <v>3929</v>
      </c>
      <c r="F966" s="1786" t="s">
        <v>2958</v>
      </c>
      <c r="G966" s="1786" t="s">
        <v>2959</v>
      </c>
      <c r="H966" s="1786" t="str">
        <f t="shared" si="157"/>
        <v>פעיל</v>
      </c>
      <c r="I966" s="1788">
        <f t="shared" si="158"/>
        <v>37885</v>
      </c>
      <c r="J966" s="1788" t="str">
        <f t="shared" si="159"/>
        <v/>
      </c>
      <c r="K966" s="1786">
        <v>0</v>
      </c>
      <c r="L966" s="1786" t="s">
        <v>1594</v>
      </c>
      <c r="M966" s="1786" t="s">
        <v>1653</v>
      </c>
      <c r="N966" s="1786" t="s">
        <v>1653</v>
      </c>
      <c r="O966" s="1786">
        <v>0</v>
      </c>
      <c r="P966" s="1786"/>
      <c r="Q966" s="1786">
        <v>0</v>
      </c>
      <c r="R966" s="1788"/>
      <c r="S966" s="1786">
        <f t="shared" si="160"/>
        <v>874</v>
      </c>
      <c r="T966" s="1786" t="str">
        <f t="shared" si="161"/>
        <v>בנק מזרחי טפחות בע"מ</v>
      </c>
      <c r="U966" s="1786" t="str">
        <f t="shared" si="162"/>
        <v xml:space="preserve">מיטב דש גמל </v>
      </c>
      <c r="V966" s="1786" t="str">
        <f t="shared" si="163"/>
        <v>520043795</v>
      </c>
      <c r="W966" s="1789" t="str">
        <f t="shared" si="164"/>
        <v>מיטב דש גמל ופנסיה בע"מ</v>
      </c>
      <c r="AC966" s="1759" t="s">
        <v>346</v>
      </c>
      <c r="AD966" s="1759"/>
      <c r="AE966" s="1760">
        <v>37885</v>
      </c>
      <c r="AF966" s="1759" t="s">
        <v>3934</v>
      </c>
      <c r="AG966" s="1759" t="s">
        <v>1653</v>
      </c>
      <c r="AH966" s="1759" t="s">
        <v>1594</v>
      </c>
      <c r="AI966" s="1759" t="s">
        <v>5551</v>
      </c>
      <c r="AJ966" s="1759" t="s">
        <v>5551</v>
      </c>
      <c r="AK966" s="1759">
        <v>874</v>
      </c>
      <c r="AL966" s="1759" t="s">
        <v>3933</v>
      </c>
      <c r="AM966" s="1759">
        <v>874</v>
      </c>
      <c r="AN966" s="1759" t="s">
        <v>5370</v>
      </c>
      <c r="AO966" s="1764"/>
      <c r="AP966" s="1759" t="s">
        <v>5373</v>
      </c>
      <c r="AQ966" s="1759" t="s">
        <v>5374</v>
      </c>
      <c r="AR966" s="1759" t="s">
        <v>2899</v>
      </c>
      <c r="AS966" s="1759" t="s">
        <v>349</v>
      </c>
      <c r="AT966" s="1759" t="s">
        <v>327</v>
      </c>
      <c r="AU966" s="1763"/>
      <c r="AV966" s="1763"/>
    </row>
    <row r="967" spans="1:48" ht="25" hidden="1">
      <c r="A967" s="1785" t="str">
        <f t="shared" si="154"/>
        <v>גמל</v>
      </c>
      <c r="B967" s="1786">
        <f t="shared" si="155"/>
        <v>875</v>
      </c>
      <c r="C967" s="1787">
        <v>28946</v>
      </c>
      <c r="D967" s="1786" t="str">
        <f t="shared" si="156"/>
        <v>מיטב דש גמל אג"ח צמוד מדד</v>
      </c>
      <c r="E967" s="1786" t="s">
        <v>3929</v>
      </c>
      <c r="F967" s="1786" t="s">
        <v>2958</v>
      </c>
      <c r="G967" s="1786" t="s">
        <v>2959</v>
      </c>
      <c r="H967" s="1786" t="str">
        <f t="shared" si="157"/>
        <v>פעיל</v>
      </c>
      <c r="I967" s="1788">
        <f t="shared" si="158"/>
        <v>37885</v>
      </c>
      <c r="J967" s="1788" t="str">
        <f t="shared" si="159"/>
        <v/>
      </c>
      <c r="K967" s="1786">
        <v>0</v>
      </c>
      <c r="L967" s="1786" t="s">
        <v>1594</v>
      </c>
      <c r="M967" s="1786" t="s">
        <v>1653</v>
      </c>
      <c r="N967" s="1786" t="s">
        <v>1653</v>
      </c>
      <c r="O967" s="1786">
        <v>0</v>
      </c>
      <c r="P967" s="1786"/>
      <c r="Q967" s="1786">
        <v>0</v>
      </c>
      <c r="R967" s="1788"/>
      <c r="S967" s="1786">
        <f t="shared" si="160"/>
        <v>874</v>
      </c>
      <c r="T967" s="1786" t="str">
        <f t="shared" si="161"/>
        <v>בנק מזרחי טפחות בע"מ</v>
      </c>
      <c r="U967" s="1786" t="str">
        <f t="shared" si="162"/>
        <v xml:space="preserve">מיטב דש גמל </v>
      </c>
      <c r="V967" s="1786" t="str">
        <f t="shared" si="163"/>
        <v>520043795</v>
      </c>
      <c r="W967" s="1789" t="str">
        <f t="shared" si="164"/>
        <v>מיטב דש גמל ופנסיה בע"מ</v>
      </c>
      <c r="AC967" s="1761" t="s">
        <v>346</v>
      </c>
      <c r="AD967" s="1761"/>
      <c r="AE967" s="1762">
        <v>37885</v>
      </c>
      <c r="AF967" s="1761" t="s">
        <v>71</v>
      </c>
      <c r="AG967" s="1761" t="s">
        <v>1653</v>
      </c>
      <c r="AH967" s="1761" t="s">
        <v>1594</v>
      </c>
      <c r="AI967" s="1761" t="s">
        <v>4011</v>
      </c>
      <c r="AJ967" s="1761" t="s">
        <v>4011</v>
      </c>
      <c r="AK967" s="1761">
        <v>875</v>
      </c>
      <c r="AL967" s="1761" t="s">
        <v>3933</v>
      </c>
      <c r="AM967" s="1761">
        <v>874</v>
      </c>
      <c r="AN967" s="1761" t="s">
        <v>5370</v>
      </c>
      <c r="AO967" s="1764"/>
      <c r="AP967" s="1761" t="s">
        <v>5373</v>
      </c>
      <c r="AQ967" s="1761" t="s">
        <v>5374</v>
      </c>
      <c r="AR967" s="1761" t="s">
        <v>2899</v>
      </c>
      <c r="AS967" s="1761" t="s">
        <v>349</v>
      </c>
      <c r="AT967" s="1761" t="s">
        <v>327</v>
      </c>
      <c r="AU967" s="1763"/>
      <c r="AV967" s="1763"/>
    </row>
    <row r="968" spans="1:48" ht="25" hidden="1">
      <c r="A968" s="1785" t="str">
        <f t="shared" si="154"/>
        <v>גמל</v>
      </c>
      <c r="B968" s="1786">
        <f t="shared" si="155"/>
        <v>875</v>
      </c>
      <c r="C968" s="1787">
        <v>28946</v>
      </c>
      <c r="D968" s="1786" t="str">
        <f t="shared" si="156"/>
        <v>מיטב דש גמל אג"ח צמוד מדד</v>
      </c>
      <c r="E968" s="1786" t="s">
        <v>3929</v>
      </c>
      <c r="F968" s="1786" t="s">
        <v>2958</v>
      </c>
      <c r="G968" s="1786" t="s">
        <v>2959</v>
      </c>
      <c r="H968" s="1786" t="str">
        <f t="shared" si="157"/>
        <v>פעיל</v>
      </c>
      <c r="I968" s="1788">
        <f t="shared" si="158"/>
        <v>37885</v>
      </c>
      <c r="J968" s="1788" t="str">
        <f t="shared" si="159"/>
        <v/>
      </c>
      <c r="K968" s="1786">
        <v>0</v>
      </c>
      <c r="L968" s="1786" t="s">
        <v>1594</v>
      </c>
      <c r="M968" s="1786" t="s">
        <v>1653</v>
      </c>
      <c r="N968" s="1786" t="s">
        <v>1653</v>
      </c>
      <c r="O968" s="1786">
        <v>0</v>
      </c>
      <c r="P968" s="1786"/>
      <c r="Q968" s="1786">
        <v>0</v>
      </c>
      <c r="R968" s="1788"/>
      <c r="S968" s="1786">
        <f t="shared" si="160"/>
        <v>874</v>
      </c>
      <c r="T968" s="1786" t="str">
        <f t="shared" si="161"/>
        <v>בנק מזרחי טפחות בע"מ</v>
      </c>
      <c r="U968" s="1786" t="str">
        <f t="shared" si="162"/>
        <v xml:space="preserve">מיטב דש גמל </v>
      </c>
      <c r="V968" s="1786" t="str">
        <f t="shared" si="163"/>
        <v>520043795</v>
      </c>
      <c r="W968" s="1789" t="str">
        <f t="shared" si="164"/>
        <v>מיטב דש גמל ופנסיה בע"מ</v>
      </c>
      <c r="AC968" s="1759" t="s">
        <v>346</v>
      </c>
      <c r="AD968" s="1759"/>
      <c r="AE968" s="1760">
        <v>37885</v>
      </c>
      <c r="AF968" s="1759" t="s">
        <v>71</v>
      </c>
      <c r="AG968" s="1759" t="s">
        <v>1653</v>
      </c>
      <c r="AH968" s="1759" t="s">
        <v>1594</v>
      </c>
      <c r="AI968" s="1759" t="s">
        <v>4011</v>
      </c>
      <c r="AJ968" s="1759" t="s">
        <v>4011</v>
      </c>
      <c r="AK968" s="1759">
        <v>875</v>
      </c>
      <c r="AL968" s="1759" t="s">
        <v>3933</v>
      </c>
      <c r="AM968" s="1759">
        <v>874</v>
      </c>
      <c r="AN968" s="1759" t="s">
        <v>5370</v>
      </c>
      <c r="AO968" s="1764"/>
      <c r="AP968" s="1759" t="s">
        <v>5373</v>
      </c>
      <c r="AQ968" s="1759" t="s">
        <v>5374</v>
      </c>
      <c r="AR968" s="1759" t="s">
        <v>2899</v>
      </c>
      <c r="AS968" s="1759" t="s">
        <v>349</v>
      </c>
      <c r="AT968" s="1759" t="s">
        <v>327</v>
      </c>
      <c r="AU968" s="1763"/>
      <c r="AV968" s="1763"/>
    </row>
    <row r="969" spans="1:48" ht="25" hidden="1">
      <c r="A969" s="1785" t="str">
        <f t="shared" si="154"/>
        <v>גמל</v>
      </c>
      <c r="B969" s="1786">
        <f t="shared" si="155"/>
        <v>876</v>
      </c>
      <c r="C969" s="1787">
        <v>28946</v>
      </c>
      <c r="D969" s="1786" t="str">
        <f t="shared" si="156"/>
        <v>מיטב דש גמל שקלי</v>
      </c>
      <c r="E969" s="1786" t="s">
        <v>3929</v>
      </c>
      <c r="F969" s="1786" t="s">
        <v>2958</v>
      </c>
      <c r="G969" s="1786" t="s">
        <v>2959</v>
      </c>
      <c r="H969" s="1786" t="str">
        <f t="shared" si="157"/>
        <v>פעיל</v>
      </c>
      <c r="I969" s="1788">
        <f t="shared" si="158"/>
        <v>37885</v>
      </c>
      <c r="J969" s="1788" t="str">
        <f t="shared" si="159"/>
        <v/>
      </c>
      <c r="K969" s="1786">
        <v>0</v>
      </c>
      <c r="L969" s="1786" t="s">
        <v>1594</v>
      </c>
      <c r="M969" s="1786" t="s">
        <v>1653</v>
      </c>
      <c r="N969" s="1786" t="s">
        <v>1653</v>
      </c>
      <c r="O969" s="1786">
        <v>0</v>
      </c>
      <c r="P969" s="1786"/>
      <c r="Q969" s="1786">
        <v>0</v>
      </c>
      <c r="R969" s="1788"/>
      <c r="S969" s="1786">
        <f t="shared" si="160"/>
        <v>874</v>
      </c>
      <c r="T969" s="1786" t="str">
        <f t="shared" si="161"/>
        <v>בנק מזרחי טפחות בע"מ</v>
      </c>
      <c r="U969" s="1786" t="str">
        <f t="shared" si="162"/>
        <v xml:space="preserve">מיטב דש גמל </v>
      </c>
      <c r="V969" s="1786" t="str">
        <f t="shared" si="163"/>
        <v>520043795</v>
      </c>
      <c r="W969" s="1789" t="str">
        <f t="shared" si="164"/>
        <v>מיטב דש גמל ופנסיה בע"מ</v>
      </c>
      <c r="AC969" s="1761" t="s">
        <v>346</v>
      </c>
      <c r="AD969" s="1761"/>
      <c r="AE969" s="1762">
        <v>37885</v>
      </c>
      <c r="AF969" s="1761" t="s">
        <v>1076</v>
      </c>
      <c r="AG969" s="1761" t="s">
        <v>1614</v>
      </c>
      <c r="AH969" s="1761" t="s">
        <v>1594</v>
      </c>
      <c r="AI969" s="1761" t="s">
        <v>3365</v>
      </c>
      <c r="AJ969" s="1761" t="s">
        <v>3365</v>
      </c>
      <c r="AK969" s="1761">
        <v>876</v>
      </c>
      <c r="AL969" s="1761" t="s">
        <v>3933</v>
      </c>
      <c r="AM969" s="1761">
        <v>874</v>
      </c>
      <c r="AN969" s="1761" t="s">
        <v>5370</v>
      </c>
      <c r="AO969" s="1764"/>
      <c r="AP969" s="1761" t="s">
        <v>5373</v>
      </c>
      <c r="AQ969" s="1761" t="s">
        <v>5374</v>
      </c>
      <c r="AR969" s="1761" t="s">
        <v>2899</v>
      </c>
      <c r="AS969" s="1761" t="s">
        <v>349</v>
      </c>
      <c r="AT969" s="1761" t="s">
        <v>327</v>
      </c>
      <c r="AU969" s="1763"/>
      <c r="AV969" s="1763"/>
    </row>
    <row r="970" spans="1:48" ht="25" hidden="1">
      <c r="A970" s="1785" t="str">
        <f t="shared" si="154"/>
        <v>גמל</v>
      </c>
      <c r="B970" s="1786">
        <f t="shared" si="155"/>
        <v>876</v>
      </c>
      <c r="C970" s="1787">
        <v>28946</v>
      </c>
      <c r="D970" s="1786" t="str">
        <f t="shared" si="156"/>
        <v>מיטב דש גמל שקלי</v>
      </c>
      <c r="E970" s="1786" t="s">
        <v>3929</v>
      </c>
      <c r="F970" s="1786" t="s">
        <v>2958</v>
      </c>
      <c r="G970" s="1786" t="s">
        <v>2959</v>
      </c>
      <c r="H970" s="1786" t="str">
        <f t="shared" si="157"/>
        <v>פעיל</v>
      </c>
      <c r="I970" s="1788">
        <f t="shared" si="158"/>
        <v>37885</v>
      </c>
      <c r="J970" s="1788" t="str">
        <f t="shared" si="159"/>
        <v/>
      </c>
      <c r="K970" s="1786">
        <v>0</v>
      </c>
      <c r="L970" s="1786" t="s">
        <v>1594</v>
      </c>
      <c r="M970" s="1786" t="s">
        <v>1653</v>
      </c>
      <c r="N970" s="1786" t="s">
        <v>1653</v>
      </c>
      <c r="O970" s="1786">
        <v>0</v>
      </c>
      <c r="P970" s="1786"/>
      <c r="Q970" s="1786">
        <v>0</v>
      </c>
      <c r="R970" s="1788"/>
      <c r="S970" s="1786">
        <f t="shared" si="160"/>
        <v>874</v>
      </c>
      <c r="T970" s="1786" t="str">
        <f t="shared" si="161"/>
        <v>בנק מזרחי טפחות בע"מ</v>
      </c>
      <c r="U970" s="1786" t="str">
        <f t="shared" si="162"/>
        <v xml:space="preserve">מיטב דש גמל </v>
      </c>
      <c r="V970" s="1786" t="str">
        <f t="shared" si="163"/>
        <v>520043795</v>
      </c>
      <c r="W970" s="1789" t="str">
        <f t="shared" si="164"/>
        <v>מיטב דש גמל ופנסיה בע"מ</v>
      </c>
      <c r="AC970" s="1759" t="s">
        <v>346</v>
      </c>
      <c r="AD970" s="1759"/>
      <c r="AE970" s="1760">
        <v>37885</v>
      </c>
      <c r="AF970" s="1759" t="s">
        <v>1076</v>
      </c>
      <c r="AG970" s="1759" t="s">
        <v>1614</v>
      </c>
      <c r="AH970" s="1759" t="s">
        <v>1594</v>
      </c>
      <c r="AI970" s="1759" t="s">
        <v>3365</v>
      </c>
      <c r="AJ970" s="1759" t="s">
        <v>3365</v>
      </c>
      <c r="AK970" s="1759">
        <v>876</v>
      </c>
      <c r="AL970" s="1759" t="s">
        <v>3933</v>
      </c>
      <c r="AM970" s="1759">
        <v>874</v>
      </c>
      <c r="AN970" s="1759" t="s">
        <v>5370</v>
      </c>
      <c r="AO970" s="1764"/>
      <c r="AP970" s="1759" t="s">
        <v>5373</v>
      </c>
      <c r="AQ970" s="1759" t="s">
        <v>5374</v>
      </c>
      <c r="AR970" s="1759" t="s">
        <v>2899</v>
      </c>
      <c r="AS970" s="1759" t="s">
        <v>349</v>
      </c>
      <c r="AT970" s="1759" t="s">
        <v>327</v>
      </c>
      <c r="AU970" s="1763"/>
      <c r="AV970" s="1763"/>
    </row>
    <row r="971" spans="1:48" ht="25" hidden="1">
      <c r="A971" s="1785" t="str">
        <f t="shared" si="154"/>
        <v>גמל</v>
      </c>
      <c r="B971" s="1786">
        <f t="shared" si="155"/>
        <v>877</v>
      </c>
      <c r="C971" s="1787">
        <v>28946</v>
      </c>
      <c r="D971" s="1786" t="str">
        <f t="shared" si="156"/>
        <v>מיטב דש גמל מניות</v>
      </c>
      <c r="E971" s="1786" t="s">
        <v>3929</v>
      </c>
      <c r="F971" s="1786" t="s">
        <v>2958</v>
      </c>
      <c r="G971" s="1786" t="s">
        <v>2959</v>
      </c>
      <c r="H971" s="1786" t="str">
        <f t="shared" si="157"/>
        <v>פעיל</v>
      </c>
      <c r="I971" s="1788">
        <f t="shared" si="158"/>
        <v>37885</v>
      </c>
      <c r="J971" s="1788" t="str">
        <f t="shared" si="159"/>
        <v/>
      </c>
      <c r="K971" s="1786">
        <v>0</v>
      </c>
      <c r="L971" s="1786" t="s">
        <v>1594</v>
      </c>
      <c r="M971" s="1786" t="s">
        <v>1653</v>
      </c>
      <c r="N971" s="1786" t="s">
        <v>1653</v>
      </c>
      <c r="O971" s="1786">
        <v>0</v>
      </c>
      <c r="P971" s="1786"/>
      <c r="Q971" s="1786">
        <v>0</v>
      </c>
      <c r="R971" s="1788"/>
      <c r="S971" s="1786">
        <f t="shared" si="160"/>
        <v>874</v>
      </c>
      <c r="T971" s="1786" t="str">
        <f t="shared" si="161"/>
        <v>בנק מזרחי טפחות בע"מ</v>
      </c>
      <c r="U971" s="1786" t="str">
        <f t="shared" si="162"/>
        <v xml:space="preserve">מיטב דש גמל </v>
      </c>
      <c r="V971" s="1786" t="str">
        <f t="shared" si="163"/>
        <v>520043795</v>
      </c>
      <c r="W971" s="1789" t="str">
        <f t="shared" si="164"/>
        <v>מיטב דש גמל ופנסיה בע"מ</v>
      </c>
      <c r="AC971" s="1761" t="s">
        <v>346</v>
      </c>
      <c r="AD971" s="1761"/>
      <c r="AE971" s="1762">
        <v>37885</v>
      </c>
      <c r="AF971" s="1761" t="s">
        <v>1595</v>
      </c>
      <c r="AG971" s="1761" t="s">
        <v>75</v>
      </c>
      <c r="AH971" s="1761" t="s">
        <v>1594</v>
      </c>
      <c r="AI971" s="1761" t="s">
        <v>4012</v>
      </c>
      <c r="AJ971" s="1761" t="s">
        <v>4012</v>
      </c>
      <c r="AK971" s="1761">
        <v>877</v>
      </c>
      <c r="AL971" s="1761" t="s">
        <v>3933</v>
      </c>
      <c r="AM971" s="1761">
        <v>874</v>
      </c>
      <c r="AN971" s="1761" t="s">
        <v>5370</v>
      </c>
      <c r="AO971" s="1764"/>
      <c r="AP971" s="1761" t="s">
        <v>5373</v>
      </c>
      <c r="AQ971" s="1761" t="s">
        <v>5374</v>
      </c>
      <c r="AR971" s="1761" t="s">
        <v>2899</v>
      </c>
      <c r="AS971" s="1761" t="s">
        <v>349</v>
      </c>
      <c r="AT971" s="1761" t="s">
        <v>327</v>
      </c>
      <c r="AU971" s="1763"/>
      <c r="AV971" s="1763"/>
    </row>
    <row r="972" spans="1:48" ht="25" hidden="1">
      <c r="A972" s="1785" t="str">
        <f t="shared" si="154"/>
        <v>גמל</v>
      </c>
      <c r="B972" s="1786">
        <f t="shared" si="155"/>
        <v>877</v>
      </c>
      <c r="C972" s="1787">
        <v>28946</v>
      </c>
      <c r="D972" s="1786" t="str">
        <f t="shared" si="156"/>
        <v>מיטב דש גמל מניות</v>
      </c>
      <c r="E972" s="1786" t="s">
        <v>3929</v>
      </c>
      <c r="F972" s="1786" t="s">
        <v>2958</v>
      </c>
      <c r="G972" s="1786" t="s">
        <v>2959</v>
      </c>
      <c r="H972" s="1786" t="str">
        <f t="shared" si="157"/>
        <v>פעיל</v>
      </c>
      <c r="I972" s="1788">
        <f t="shared" si="158"/>
        <v>37885</v>
      </c>
      <c r="J972" s="1788" t="str">
        <f t="shared" si="159"/>
        <v/>
      </c>
      <c r="K972" s="1786">
        <v>0</v>
      </c>
      <c r="L972" s="1786" t="s">
        <v>1594</v>
      </c>
      <c r="M972" s="1786" t="s">
        <v>1653</v>
      </c>
      <c r="N972" s="1786" t="s">
        <v>1653</v>
      </c>
      <c r="O972" s="1786">
        <v>0</v>
      </c>
      <c r="P972" s="1786"/>
      <c r="Q972" s="1786">
        <v>0</v>
      </c>
      <c r="R972" s="1788"/>
      <c r="S972" s="1786">
        <f t="shared" si="160"/>
        <v>874</v>
      </c>
      <c r="T972" s="1786" t="str">
        <f t="shared" si="161"/>
        <v>בנק מזרחי טפחות בע"מ</v>
      </c>
      <c r="U972" s="1786" t="str">
        <f t="shared" si="162"/>
        <v xml:space="preserve">מיטב דש גמל </v>
      </c>
      <c r="V972" s="1786" t="str">
        <f t="shared" si="163"/>
        <v>520043795</v>
      </c>
      <c r="W972" s="1789" t="str">
        <f t="shared" si="164"/>
        <v>מיטב דש גמל ופנסיה בע"מ</v>
      </c>
      <c r="AC972" s="1759" t="s">
        <v>346</v>
      </c>
      <c r="AD972" s="1759"/>
      <c r="AE972" s="1760">
        <v>37885</v>
      </c>
      <c r="AF972" s="1759" t="s">
        <v>1595</v>
      </c>
      <c r="AG972" s="1759" t="s">
        <v>75</v>
      </c>
      <c r="AH972" s="1759" t="s">
        <v>1594</v>
      </c>
      <c r="AI972" s="1759" t="s">
        <v>4012</v>
      </c>
      <c r="AJ972" s="1759" t="s">
        <v>4012</v>
      </c>
      <c r="AK972" s="1759">
        <v>877</v>
      </c>
      <c r="AL972" s="1759" t="s">
        <v>3933</v>
      </c>
      <c r="AM972" s="1759">
        <v>874</v>
      </c>
      <c r="AN972" s="1759" t="s">
        <v>5370</v>
      </c>
      <c r="AO972" s="1764"/>
      <c r="AP972" s="1759" t="s">
        <v>5373</v>
      </c>
      <c r="AQ972" s="1759" t="s">
        <v>5374</v>
      </c>
      <c r="AR972" s="1759" t="s">
        <v>2899</v>
      </c>
      <c r="AS972" s="1759" t="s">
        <v>349</v>
      </c>
      <c r="AT972" s="1759" t="s">
        <v>327</v>
      </c>
      <c r="AU972" s="1763"/>
      <c r="AV972" s="1763"/>
    </row>
    <row r="973" spans="1:48" ht="25" hidden="1">
      <c r="A973" s="1785" t="str">
        <f t="shared" si="154"/>
        <v>גמל</v>
      </c>
      <c r="B973" s="1786">
        <f t="shared" si="155"/>
        <v>878</v>
      </c>
      <c r="C973" s="1787">
        <v>28946</v>
      </c>
      <c r="D973" s="1786" t="str">
        <f t="shared" si="156"/>
        <v>מיטב תגמולים מסלול מט"ח</v>
      </c>
      <c r="E973" s="1786" t="s">
        <v>3929</v>
      </c>
      <c r="F973" s="1786" t="s">
        <v>2958</v>
      </c>
      <c r="G973" s="1786" t="s">
        <v>2959</v>
      </c>
      <c r="H973" s="1786" t="str">
        <f t="shared" si="157"/>
        <v>לא פעיל</v>
      </c>
      <c r="I973" s="1788">
        <f t="shared" si="158"/>
        <v>37885</v>
      </c>
      <c r="J973" s="1788">
        <f t="shared" si="159"/>
        <v>39078.402465277803</v>
      </c>
      <c r="K973" s="1786">
        <v>0</v>
      </c>
      <c r="L973" s="1786" t="s">
        <v>1594</v>
      </c>
      <c r="M973" s="1786" t="s">
        <v>1653</v>
      </c>
      <c r="N973" s="1786" t="s">
        <v>1653</v>
      </c>
      <c r="O973" s="1786">
        <v>0</v>
      </c>
      <c r="P973" s="1786"/>
      <c r="Q973" s="1786">
        <v>0</v>
      </c>
      <c r="R973" s="1788"/>
      <c r="S973" s="1786">
        <f t="shared" si="160"/>
        <v>874</v>
      </c>
      <c r="T973" s="1786" t="str">
        <f t="shared" si="161"/>
        <v>בנק לאומי בע"מ</v>
      </c>
      <c r="U973" s="1786" t="str">
        <f t="shared" si="162"/>
        <v>מיטב תגמולים מסלול כללי</v>
      </c>
      <c r="V973" s="1786">
        <f t="shared" si="163"/>
        <v>0</v>
      </c>
      <c r="W973" s="1789" t="str">
        <f t="shared" si="164"/>
        <v>מיטב גמל ופנסיה בע"מ</v>
      </c>
      <c r="AC973" s="1761" t="s">
        <v>1586</v>
      </c>
      <c r="AD973" s="1762">
        <v>39078.402465277803</v>
      </c>
      <c r="AE973" s="1762">
        <v>37885</v>
      </c>
      <c r="AF973" s="1761" t="s">
        <v>1611</v>
      </c>
      <c r="AG973" s="1761" t="s">
        <v>1611</v>
      </c>
      <c r="AH973" s="1761" t="s">
        <v>1594</v>
      </c>
      <c r="AI973" s="1761" t="s">
        <v>3366</v>
      </c>
      <c r="AJ973" s="1761" t="s">
        <v>2099</v>
      </c>
      <c r="AK973" s="1761">
        <v>878</v>
      </c>
      <c r="AL973" s="1761" t="s">
        <v>624</v>
      </c>
      <c r="AM973" s="1761">
        <v>874</v>
      </c>
      <c r="AN973" s="1761" t="s">
        <v>5470</v>
      </c>
      <c r="AO973" s="1764"/>
      <c r="AP973" s="1761"/>
      <c r="AQ973" s="1761"/>
      <c r="AR973" s="1761" t="s">
        <v>365</v>
      </c>
      <c r="AS973" s="1761" t="s">
        <v>366</v>
      </c>
      <c r="AT973" s="1761" t="s">
        <v>327</v>
      </c>
      <c r="AU973" s="1763"/>
      <c r="AV973" s="1763"/>
    </row>
    <row r="974" spans="1:48" ht="25" hidden="1">
      <c r="A974" s="1785" t="str">
        <f t="shared" si="154"/>
        <v>גמל</v>
      </c>
      <c r="B974" s="1786">
        <f t="shared" si="155"/>
        <v>12166</v>
      </c>
      <c r="C974" s="1787">
        <v>28946</v>
      </c>
      <c r="D974" s="1786" t="str">
        <f t="shared" si="156"/>
        <v>מיטב דש גמל  אג"ח עד 25% במניות</v>
      </c>
      <c r="E974" s="1786" t="s">
        <v>3929</v>
      </c>
      <c r="F974" s="1786" t="s">
        <v>2958</v>
      </c>
      <c r="G974" s="1786" t="s">
        <v>2959</v>
      </c>
      <c r="H974" s="1786" t="str">
        <f t="shared" si="157"/>
        <v>לא פעיל</v>
      </c>
      <c r="I974" s="1788">
        <f t="shared" si="158"/>
        <v>37885</v>
      </c>
      <c r="J974" s="1788">
        <f t="shared" si="159"/>
        <v>43548.4929513889</v>
      </c>
      <c r="K974" s="1786">
        <v>0</v>
      </c>
      <c r="L974" s="1786" t="s">
        <v>1594</v>
      </c>
      <c r="M974" s="1786" t="s">
        <v>1653</v>
      </c>
      <c r="N974" s="1786" t="s">
        <v>1653</v>
      </c>
      <c r="O974" s="1786">
        <v>0</v>
      </c>
      <c r="P974" s="1786"/>
      <c r="Q974" s="1786">
        <v>0</v>
      </c>
      <c r="R974" s="1788"/>
      <c r="S974" s="1786">
        <f t="shared" si="160"/>
        <v>874</v>
      </c>
      <c r="T974" s="1786" t="str">
        <f t="shared" si="161"/>
        <v>בנק מזרחי טפחות בע"מ</v>
      </c>
      <c r="U974" s="1786" t="str">
        <f t="shared" si="162"/>
        <v xml:space="preserve">מיטב דש גמל </v>
      </c>
      <c r="V974" s="1786" t="str">
        <f t="shared" si="163"/>
        <v>520043795</v>
      </c>
      <c r="W974" s="1789" t="str">
        <f t="shared" si="164"/>
        <v>מיטב דש גמל ופנסיה בע"מ</v>
      </c>
      <c r="AC974" s="1759" t="s">
        <v>1586</v>
      </c>
      <c r="AD974" s="1760">
        <v>43548.4929513889</v>
      </c>
      <c r="AE974" s="1760">
        <v>37885</v>
      </c>
      <c r="AF974" s="1759" t="s">
        <v>3934</v>
      </c>
      <c r="AG974" s="1759" t="s">
        <v>1653</v>
      </c>
      <c r="AH974" s="1759" t="s">
        <v>1594</v>
      </c>
      <c r="AI974" s="1759" t="s">
        <v>5552</v>
      </c>
      <c r="AJ974" s="1759" t="s">
        <v>5552</v>
      </c>
      <c r="AK974" s="1759">
        <v>12166</v>
      </c>
      <c r="AL974" s="1759" t="s">
        <v>3933</v>
      </c>
      <c r="AM974" s="1759">
        <v>874</v>
      </c>
      <c r="AN974" s="1759" t="s">
        <v>5370</v>
      </c>
      <c r="AO974" s="1764"/>
      <c r="AP974" s="1759" t="s">
        <v>5373</v>
      </c>
      <c r="AQ974" s="1759" t="s">
        <v>5374</v>
      </c>
      <c r="AR974" s="1759" t="s">
        <v>2899</v>
      </c>
      <c r="AS974" s="1759" t="s">
        <v>349</v>
      </c>
      <c r="AT974" s="1759" t="s">
        <v>327</v>
      </c>
      <c r="AU974" s="1763"/>
      <c r="AV974" s="1763"/>
    </row>
    <row r="975" spans="1:48" ht="25" hidden="1">
      <c r="A975" s="1785" t="str">
        <f t="shared" si="154"/>
        <v>גמל</v>
      </c>
      <c r="B975" s="1786">
        <f t="shared" si="155"/>
        <v>12166</v>
      </c>
      <c r="C975" s="1787">
        <v>28946</v>
      </c>
      <c r="D975" s="1786" t="str">
        <f t="shared" si="156"/>
        <v>מיטב דש גמל  אג"ח עד 25% במניות</v>
      </c>
      <c r="E975" s="1786" t="s">
        <v>3929</v>
      </c>
      <c r="F975" s="1786" t="s">
        <v>2958</v>
      </c>
      <c r="G975" s="1786" t="s">
        <v>2959</v>
      </c>
      <c r="H975" s="1786" t="str">
        <f t="shared" si="157"/>
        <v>לא פעיל</v>
      </c>
      <c r="I975" s="1788">
        <f t="shared" si="158"/>
        <v>37885</v>
      </c>
      <c r="J975" s="1788">
        <f t="shared" si="159"/>
        <v>43548.4929513889</v>
      </c>
      <c r="K975" s="1786">
        <v>0</v>
      </c>
      <c r="L975" s="1786" t="s">
        <v>1594</v>
      </c>
      <c r="M975" s="1786" t="s">
        <v>1653</v>
      </c>
      <c r="N975" s="1786" t="s">
        <v>1653</v>
      </c>
      <c r="O975" s="1786">
        <v>0</v>
      </c>
      <c r="P975" s="1786"/>
      <c r="Q975" s="1786">
        <v>0</v>
      </c>
      <c r="R975" s="1788"/>
      <c r="S975" s="1786">
        <f t="shared" si="160"/>
        <v>874</v>
      </c>
      <c r="T975" s="1786" t="str">
        <f t="shared" si="161"/>
        <v>בנק מזרחי טפחות בע"מ</v>
      </c>
      <c r="U975" s="1786" t="str">
        <f t="shared" si="162"/>
        <v xml:space="preserve">מיטב דש גמל </v>
      </c>
      <c r="V975" s="1786" t="str">
        <f t="shared" si="163"/>
        <v>520043795</v>
      </c>
      <c r="W975" s="1789" t="str">
        <f t="shared" si="164"/>
        <v>מיטב דש גמל ופנסיה בע"מ</v>
      </c>
      <c r="AC975" s="1761" t="s">
        <v>1586</v>
      </c>
      <c r="AD975" s="1762">
        <v>43548.4929513889</v>
      </c>
      <c r="AE975" s="1762">
        <v>37885</v>
      </c>
      <c r="AF975" s="1761" t="s">
        <v>3934</v>
      </c>
      <c r="AG975" s="1761" t="s">
        <v>1653</v>
      </c>
      <c r="AH975" s="1761" t="s">
        <v>1594</v>
      </c>
      <c r="AI975" s="1761" t="s">
        <v>5552</v>
      </c>
      <c r="AJ975" s="1761" t="s">
        <v>5552</v>
      </c>
      <c r="AK975" s="1761">
        <v>12166</v>
      </c>
      <c r="AL975" s="1761" t="s">
        <v>3933</v>
      </c>
      <c r="AM975" s="1761">
        <v>874</v>
      </c>
      <c r="AN975" s="1761" t="s">
        <v>5370</v>
      </c>
      <c r="AO975" s="1764"/>
      <c r="AP975" s="1761" t="s">
        <v>5373</v>
      </c>
      <c r="AQ975" s="1761" t="s">
        <v>5374</v>
      </c>
      <c r="AR975" s="1761" t="s">
        <v>2899</v>
      </c>
      <c r="AS975" s="1761" t="s">
        <v>349</v>
      </c>
      <c r="AT975" s="1761" t="s">
        <v>327</v>
      </c>
      <c r="AU975" s="1763"/>
      <c r="AV975" s="1763"/>
    </row>
    <row r="976" spans="1:48" ht="25" hidden="1">
      <c r="A976" s="1785" t="str">
        <f t="shared" si="154"/>
        <v>גמל</v>
      </c>
      <c r="B976" s="1786">
        <f t="shared" si="155"/>
        <v>13246</v>
      </c>
      <c r="C976" s="1787">
        <v>28946</v>
      </c>
      <c r="D976" s="1786" t="str">
        <f t="shared" si="156"/>
        <v>מיטב דש גמל מחקה מדד S&amp;P500</v>
      </c>
      <c r="E976" s="1786" t="s">
        <v>3929</v>
      </c>
      <c r="F976" s="1786" t="s">
        <v>2958</v>
      </c>
      <c r="G976" s="1786" t="s">
        <v>2959</v>
      </c>
      <c r="H976" s="1786" t="str">
        <f t="shared" si="157"/>
        <v>פעיל</v>
      </c>
      <c r="I976" s="1788">
        <f t="shared" si="158"/>
        <v>37885</v>
      </c>
      <c r="J976" s="1788" t="str">
        <f t="shared" si="159"/>
        <v/>
      </c>
      <c r="K976" s="1786">
        <v>0</v>
      </c>
      <c r="L976" s="1786" t="s">
        <v>1594</v>
      </c>
      <c r="M976" s="1786" t="s">
        <v>1653</v>
      </c>
      <c r="N976" s="1786" t="s">
        <v>1653</v>
      </c>
      <c r="O976" s="1786">
        <v>0</v>
      </c>
      <c r="P976" s="1786"/>
      <c r="Q976" s="1786">
        <v>0</v>
      </c>
      <c r="R976" s="1788"/>
      <c r="S976" s="1786">
        <f t="shared" si="160"/>
        <v>874</v>
      </c>
      <c r="T976" s="1786" t="str">
        <f t="shared" si="161"/>
        <v>בנק מזרחי טפחות בע"מ</v>
      </c>
      <c r="U976" s="1786" t="str">
        <f t="shared" si="162"/>
        <v xml:space="preserve">מיטב דש גמל </v>
      </c>
      <c r="V976" s="1786" t="str">
        <f t="shared" si="163"/>
        <v>520043795</v>
      </c>
      <c r="W976" s="1789" t="str">
        <f t="shared" si="164"/>
        <v>מיטב דש גמל ופנסיה בע"מ</v>
      </c>
      <c r="AC976" s="1759" t="s">
        <v>346</v>
      </c>
      <c r="AD976" s="1759"/>
      <c r="AE976" s="1760">
        <v>37885</v>
      </c>
      <c r="AF976" s="1759" t="s">
        <v>1094</v>
      </c>
      <c r="AG976" s="1759" t="s">
        <v>1094</v>
      </c>
      <c r="AH976" s="1759" t="s">
        <v>1594</v>
      </c>
      <c r="AI976" s="1759" t="s">
        <v>5553</v>
      </c>
      <c r="AJ976" s="1759" t="s">
        <v>5553</v>
      </c>
      <c r="AK976" s="1759">
        <v>13246</v>
      </c>
      <c r="AL976" s="1759" t="s">
        <v>3933</v>
      </c>
      <c r="AM976" s="1759">
        <v>874</v>
      </c>
      <c r="AN976" s="1759" t="s">
        <v>5370</v>
      </c>
      <c r="AO976" s="1764"/>
      <c r="AP976" s="1759" t="s">
        <v>5373</v>
      </c>
      <c r="AQ976" s="1759" t="s">
        <v>5374</v>
      </c>
      <c r="AR976" s="1759" t="s">
        <v>2899</v>
      </c>
      <c r="AS976" s="1759" t="s">
        <v>349</v>
      </c>
      <c r="AT976" s="1759" t="s">
        <v>327</v>
      </c>
      <c r="AU976" s="1763"/>
      <c r="AV976" s="1763"/>
    </row>
    <row r="977" spans="1:48" ht="25" hidden="1">
      <c r="A977" s="1785" t="str">
        <f t="shared" si="154"/>
        <v>גמל</v>
      </c>
      <c r="B977" s="1786">
        <f t="shared" si="155"/>
        <v>13246</v>
      </c>
      <c r="C977" s="1787">
        <v>28946</v>
      </c>
      <c r="D977" s="1786" t="str">
        <f t="shared" si="156"/>
        <v>מיטב דש גמל מחקה מדד S&amp;P500</v>
      </c>
      <c r="E977" s="1786" t="s">
        <v>3929</v>
      </c>
      <c r="F977" s="1786" t="s">
        <v>2958</v>
      </c>
      <c r="G977" s="1786" t="s">
        <v>2959</v>
      </c>
      <c r="H977" s="1786" t="str">
        <f t="shared" si="157"/>
        <v>פעיל</v>
      </c>
      <c r="I977" s="1788">
        <f t="shared" si="158"/>
        <v>37885</v>
      </c>
      <c r="J977" s="1788" t="str">
        <f t="shared" si="159"/>
        <v/>
      </c>
      <c r="K977" s="1786">
        <v>0</v>
      </c>
      <c r="L977" s="1786" t="s">
        <v>1594</v>
      </c>
      <c r="M977" s="1786" t="s">
        <v>1653</v>
      </c>
      <c r="N977" s="1786" t="s">
        <v>1653</v>
      </c>
      <c r="O977" s="1786">
        <v>0</v>
      </c>
      <c r="P977" s="1786"/>
      <c r="Q977" s="1786">
        <v>0</v>
      </c>
      <c r="R977" s="1788"/>
      <c r="S977" s="1786">
        <f t="shared" si="160"/>
        <v>874</v>
      </c>
      <c r="T977" s="1786" t="str">
        <f t="shared" si="161"/>
        <v>בנק מזרחי טפחות בע"מ</v>
      </c>
      <c r="U977" s="1786" t="str">
        <f t="shared" si="162"/>
        <v xml:space="preserve">מיטב דש גמל </v>
      </c>
      <c r="V977" s="1786" t="str">
        <f t="shared" si="163"/>
        <v>520043795</v>
      </c>
      <c r="W977" s="1789" t="str">
        <f t="shared" si="164"/>
        <v>מיטב דש גמל ופנסיה בע"מ</v>
      </c>
      <c r="AC977" s="1761" t="s">
        <v>346</v>
      </c>
      <c r="AD977" s="1759"/>
      <c r="AE977" s="1762">
        <v>37885</v>
      </c>
      <c r="AF977" s="1761" t="s">
        <v>1094</v>
      </c>
      <c r="AG977" s="1761" t="s">
        <v>1094</v>
      </c>
      <c r="AH977" s="1761" t="s">
        <v>1594</v>
      </c>
      <c r="AI977" s="1761" t="s">
        <v>5553</v>
      </c>
      <c r="AJ977" s="1761" t="s">
        <v>5553</v>
      </c>
      <c r="AK977" s="1761">
        <v>13246</v>
      </c>
      <c r="AL977" s="1761" t="s">
        <v>3933</v>
      </c>
      <c r="AM977" s="1761">
        <v>874</v>
      </c>
      <c r="AN977" s="1761" t="s">
        <v>5370</v>
      </c>
      <c r="AO977" s="1764"/>
      <c r="AP977" s="1761" t="s">
        <v>5373</v>
      </c>
      <c r="AQ977" s="1761" t="s">
        <v>5374</v>
      </c>
      <c r="AR977" s="1761" t="s">
        <v>2899</v>
      </c>
      <c r="AS977" s="1761" t="s">
        <v>349</v>
      </c>
      <c r="AT977" s="1761" t="s">
        <v>327</v>
      </c>
      <c r="AU977" s="1763"/>
      <c r="AV977" s="1763"/>
    </row>
    <row r="978" spans="1:48" ht="25" hidden="1">
      <c r="A978" s="1785" t="str">
        <f t="shared" si="154"/>
        <v>גמל</v>
      </c>
      <c r="B978" s="1786">
        <f t="shared" si="155"/>
        <v>7215</v>
      </c>
      <c r="C978" s="1787">
        <v>28946</v>
      </c>
      <c r="D978" s="1786" t="str">
        <f t="shared" si="156"/>
        <v>מיטב דש גמל לבני 50 ומטה</v>
      </c>
      <c r="E978" s="1786" t="s">
        <v>3929</v>
      </c>
      <c r="F978" s="1786" t="s">
        <v>2958</v>
      </c>
      <c r="G978" s="1786" t="s">
        <v>2959</v>
      </c>
      <c r="H978" s="1786" t="str">
        <f t="shared" si="157"/>
        <v>פעיל</v>
      </c>
      <c r="I978" s="1788">
        <f t="shared" si="158"/>
        <v>37885</v>
      </c>
      <c r="J978" s="1788" t="str">
        <f t="shared" si="159"/>
        <v/>
      </c>
      <c r="K978" s="1786">
        <v>0</v>
      </c>
      <c r="L978" s="1786" t="s">
        <v>1594</v>
      </c>
      <c r="M978" s="1786" t="s">
        <v>1653</v>
      </c>
      <c r="N978" s="1786" t="s">
        <v>1653</v>
      </c>
      <c r="O978" s="1786">
        <v>0</v>
      </c>
      <c r="P978" s="1786"/>
      <c r="Q978" s="1786">
        <v>0</v>
      </c>
      <c r="R978" s="1788"/>
      <c r="S978" s="1786">
        <f t="shared" si="160"/>
        <v>874</v>
      </c>
      <c r="T978" s="1786" t="str">
        <f t="shared" si="161"/>
        <v>בנק מזרחי טפחות בע"מ</v>
      </c>
      <c r="U978" s="1786" t="str">
        <f t="shared" si="162"/>
        <v xml:space="preserve">מיטב דש גמל </v>
      </c>
      <c r="V978" s="1786" t="str">
        <f t="shared" si="163"/>
        <v>520043795</v>
      </c>
      <c r="W978" s="1789" t="str">
        <f t="shared" si="164"/>
        <v>מיטב דש גמל ופנסיה בע"מ</v>
      </c>
      <c r="AC978" s="1759" t="s">
        <v>346</v>
      </c>
      <c r="AD978" s="1759"/>
      <c r="AE978" s="1760">
        <v>37885</v>
      </c>
      <c r="AF978" s="1759" t="s">
        <v>4151</v>
      </c>
      <c r="AG978" s="1759" t="s">
        <v>3931</v>
      </c>
      <c r="AH978" s="1759" t="s">
        <v>3658</v>
      </c>
      <c r="AI978" s="1759" t="s">
        <v>4192</v>
      </c>
      <c r="AJ978" s="1759" t="s">
        <v>4192</v>
      </c>
      <c r="AK978" s="1759">
        <v>7215</v>
      </c>
      <c r="AL978" s="1759" t="s">
        <v>3933</v>
      </c>
      <c r="AM978" s="1759">
        <v>874</v>
      </c>
      <c r="AN978" s="1759" t="s">
        <v>5370</v>
      </c>
      <c r="AO978" s="1764"/>
      <c r="AP978" s="1759" t="s">
        <v>5373</v>
      </c>
      <c r="AQ978" s="1759" t="s">
        <v>5374</v>
      </c>
      <c r="AR978" s="1759" t="s">
        <v>2899</v>
      </c>
      <c r="AS978" s="1759" t="s">
        <v>349</v>
      </c>
      <c r="AT978" s="1759" t="s">
        <v>327</v>
      </c>
      <c r="AU978" s="1763"/>
      <c r="AV978" s="1763"/>
    </row>
    <row r="979" spans="1:48" ht="25" hidden="1">
      <c r="A979" s="1785" t="str">
        <f t="shared" si="154"/>
        <v>גמל</v>
      </c>
      <c r="B979" s="1786">
        <f t="shared" si="155"/>
        <v>7215</v>
      </c>
      <c r="C979" s="1787">
        <v>28946</v>
      </c>
      <c r="D979" s="1786" t="str">
        <f t="shared" si="156"/>
        <v>מיטב דש גמל לבני 50 ומטה</v>
      </c>
      <c r="E979" s="1786" t="s">
        <v>3929</v>
      </c>
      <c r="F979" s="1786" t="s">
        <v>2958</v>
      </c>
      <c r="G979" s="1786" t="s">
        <v>2959</v>
      </c>
      <c r="H979" s="1786" t="str">
        <f t="shared" si="157"/>
        <v>פעיל</v>
      </c>
      <c r="I979" s="1788">
        <f t="shared" si="158"/>
        <v>37885</v>
      </c>
      <c r="J979" s="1788" t="str">
        <f t="shared" si="159"/>
        <v/>
      </c>
      <c r="K979" s="1786">
        <v>0</v>
      </c>
      <c r="L979" s="1786" t="s">
        <v>1594</v>
      </c>
      <c r="M979" s="1786" t="s">
        <v>1653</v>
      </c>
      <c r="N979" s="1786" t="s">
        <v>1653</v>
      </c>
      <c r="O979" s="1786">
        <v>0</v>
      </c>
      <c r="P979" s="1786"/>
      <c r="Q979" s="1786">
        <v>0</v>
      </c>
      <c r="R979" s="1788"/>
      <c r="S979" s="1786">
        <f t="shared" si="160"/>
        <v>874</v>
      </c>
      <c r="T979" s="1786" t="str">
        <f t="shared" si="161"/>
        <v>בנק מזרחי טפחות בע"מ</v>
      </c>
      <c r="U979" s="1786" t="str">
        <f t="shared" si="162"/>
        <v xml:space="preserve">מיטב דש גמל </v>
      </c>
      <c r="V979" s="1786" t="str">
        <f t="shared" si="163"/>
        <v>520043795</v>
      </c>
      <c r="W979" s="1789" t="str">
        <f t="shared" si="164"/>
        <v>מיטב דש גמל ופנסיה בע"מ</v>
      </c>
      <c r="AC979" s="1761" t="s">
        <v>346</v>
      </c>
      <c r="AD979" s="1761"/>
      <c r="AE979" s="1762">
        <v>37885</v>
      </c>
      <c r="AF979" s="1761" t="s">
        <v>4151</v>
      </c>
      <c r="AG979" s="1761" t="s">
        <v>3931</v>
      </c>
      <c r="AH979" s="1761" t="s">
        <v>3658</v>
      </c>
      <c r="AI979" s="1761" t="s">
        <v>4192</v>
      </c>
      <c r="AJ979" s="1761" t="s">
        <v>4192</v>
      </c>
      <c r="AK979" s="1761">
        <v>7215</v>
      </c>
      <c r="AL979" s="1761" t="s">
        <v>3933</v>
      </c>
      <c r="AM979" s="1761">
        <v>874</v>
      </c>
      <c r="AN979" s="1761" t="s">
        <v>5370</v>
      </c>
      <c r="AO979" s="1764"/>
      <c r="AP979" s="1761" t="s">
        <v>5373</v>
      </c>
      <c r="AQ979" s="1761" t="s">
        <v>5374</v>
      </c>
      <c r="AR979" s="1761" t="s">
        <v>2899</v>
      </c>
      <c r="AS979" s="1761" t="s">
        <v>349</v>
      </c>
      <c r="AT979" s="1761" t="s">
        <v>327</v>
      </c>
      <c r="AU979" s="1763"/>
      <c r="AV979" s="1763"/>
    </row>
    <row r="980" spans="1:48" ht="25" hidden="1">
      <c r="A980" s="1785" t="str">
        <f t="shared" si="154"/>
        <v>גמל</v>
      </c>
      <c r="B980" s="1786">
        <f t="shared" si="155"/>
        <v>1689</v>
      </c>
      <c r="C980" s="1787">
        <v>28946</v>
      </c>
      <c r="D980" s="1786" t="str">
        <f t="shared" si="156"/>
        <v xml:space="preserve">מיטב דש גמל פאסיבי מדדי מניות </v>
      </c>
      <c r="E980" s="1786" t="s">
        <v>3929</v>
      </c>
      <c r="F980" s="1786" t="s">
        <v>2958</v>
      </c>
      <c r="G980" s="1786" t="s">
        <v>2959</v>
      </c>
      <c r="H980" s="1786" t="str">
        <f t="shared" si="157"/>
        <v>פעיל</v>
      </c>
      <c r="I980" s="1788">
        <f t="shared" si="158"/>
        <v>37885</v>
      </c>
      <c r="J980" s="1788" t="str">
        <f t="shared" si="159"/>
        <v/>
      </c>
      <c r="K980" s="1786">
        <v>0</v>
      </c>
      <c r="L980" s="1786" t="s">
        <v>1594</v>
      </c>
      <c r="M980" s="1786" t="s">
        <v>1653</v>
      </c>
      <c r="N980" s="1786" t="s">
        <v>1653</v>
      </c>
      <c r="O980" s="1786">
        <v>0</v>
      </c>
      <c r="P980" s="1786"/>
      <c r="Q980" s="1786">
        <v>0</v>
      </c>
      <c r="R980" s="1788"/>
      <c r="S980" s="1786">
        <f t="shared" si="160"/>
        <v>874</v>
      </c>
      <c r="T980" s="1786" t="str">
        <f t="shared" si="161"/>
        <v>בנק מזרחי טפחות בע"מ</v>
      </c>
      <c r="U980" s="1786" t="str">
        <f t="shared" si="162"/>
        <v xml:space="preserve">מיטב דש גמל </v>
      </c>
      <c r="V980" s="1786" t="str">
        <f t="shared" si="163"/>
        <v>520043795</v>
      </c>
      <c r="W980" s="1789" t="str">
        <f t="shared" si="164"/>
        <v>מיטב דש גמל ופנסיה בע"מ</v>
      </c>
      <c r="AC980" s="1759" t="s">
        <v>346</v>
      </c>
      <c r="AD980" s="1759"/>
      <c r="AE980" s="1760">
        <v>37885</v>
      </c>
      <c r="AF980" s="1759" t="s">
        <v>3959</v>
      </c>
      <c r="AG980" s="1759" t="s">
        <v>75</v>
      </c>
      <c r="AH980" s="1759" t="s">
        <v>1594</v>
      </c>
      <c r="AI980" s="1759" t="s">
        <v>4127</v>
      </c>
      <c r="AJ980" s="1759" t="s">
        <v>4127</v>
      </c>
      <c r="AK980" s="1759">
        <v>1689</v>
      </c>
      <c r="AL980" s="1759" t="s">
        <v>3933</v>
      </c>
      <c r="AM980" s="1759">
        <v>874</v>
      </c>
      <c r="AN980" s="1759" t="s">
        <v>5370</v>
      </c>
      <c r="AO980" s="1764"/>
      <c r="AP980" s="1759" t="s">
        <v>5373</v>
      </c>
      <c r="AQ980" s="1759" t="s">
        <v>5374</v>
      </c>
      <c r="AR980" s="1759" t="s">
        <v>2899</v>
      </c>
      <c r="AS980" s="1759" t="s">
        <v>349</v>
      </c>
      <c r="AT980" s="1759" t="s">
        <v>327</v>
      </c>
      <c r="AU980" s="1763"/>
      <c r="AV980" s="1763"/>
    </row>
    <row r="981" spans="1:48" ht="25" hidden="1">
      <c r="A981" s="1785" t="str">
        <f t="shared" si="154"/>
        <v>גמל</v>
      </c>
      <c r="B981" s="1786">
        <f t="shared" si="155"/>
        <v>1689</v>
      </c>
      <c r="C981" s="1787">
        <v>28946</v>
      </c>
      <c r="D981" s="1786" t="str">
        <f t="shared" si="156"/>
        <v xml:space="preserve">מיטב דש גמל פאסיבי מדדי מניות </v>
      </c>
      <c r="E981" s="1786" t="s">
        <v>3929</v>
      </c>
      <c r="F981" s="1786" t="s">
        <v>2958</v>
      </c>
      <c r="G981" s="1786" t="s">
        <v>2959</v>
      </c>
      <c r="H981" s="1786" t="str">
        <f t="shared" si="157"/>
        <v>פעיל</v>
      </c>
      <c r="I981" s="1788">
        <f t="shared" si="158"/>
        <v>37885</v>
      </c>
      <c r="J981" s="1788" t="str">
        <f t="shared" si="159"/>
        <v/>
      </c>
      <c r="K981" s="1786">
        <v>0</v>
      </c>
      <c r="L981" s="1786" t="s">
        <v>1594</v>
      </c>
      <c r="M981" s="1786" t="s">
        <v>1653</v>
      </c>
      <c r="N981" s="1786" t="s">
        <v>1653</v>
      </c>
      <c r="O981" s="1786">
        <v>0</v>
      </c>
      <c r="P981" s="1786"/>
      <c r="Q981" s="1786">
        <v>0</v>
      </c>
      <c r="R981" s="1788"/>
      <c r="S981" s="1786">
        <f t="shared" si="160"/>
        <v>874</v>
      </c>
      <c r="T981" s="1786" t="str">
        <f t="shared" si="161"/>
        <v>בנק מזרחי טפחות בע"מ</v>
      </c>
      <c r="U981" s="1786" t="str">
        <f t="shared" si="162"/>
        <v xml:space="preserve">מיטב דש גמל </v>
      </c>
      <c r="V981" s="1786" t="str">
        <f t="shared" si="163"/>
        <v>520043795</v>
      </c>
      <c r="W981" s="1789" t="str">
        <f t="shared" si="164"/>
        <v>מיטב דש גמל ופנסיה בע"מ</v>
      </c>
      <c r="AC981" s="1761" t="s">
        <v>346</v>
      </c>
      <c r="AD981" s="1761"/>
      <c r="AE981" s="1762">
        <v>37885</v>
      </c>
      <c r="AF981" s="1761" t="s">
        <v>3959</v>
      </c>
      <c r="AG981" s="1761" t="s">
        <v>75</v>
      </c>
      <c r="AH981" s="1761" t="s">
        <v>1594</v>
      </c>
      <c r="AI981" s="1761" t="s">
        <v>4127</v>
      </c>
      <c r="AJ981" s="1761" t="s">
        <v>4127</v>
      </c>
      <c r="AK981" s="1761">
        <v>1689</v>
      </c>
      <c r="AL981" s="1761" t="s">
        <v>3933</v>
      </c>
      <c r="AM981" s="1761">
        <v>874</v>
      </c>
      <c r="AN981" s="1761" t="s">
        <v>5370</v>
      </c>
      <c r="AO981" s="1764"/>
      <c r="AP981" s="1761" t="s">
        <v>5373</v>
      </c>
      <c r="AQ981" s="1761" t="s">
        <v>5374</v>
      </c>
      <c r="AR981" s="1761" t="s">
        <v>2899</v>
      </c>
      <c r="AS981" s="1761" t="s">
        <v>349</v>
      </c>
      <c r="AT981" s="1761" t="s">
        <v>327</v>
      </c>
      <c r="AU981" s="1763"/>
      <c r="AV981" s="1763"/>
    </row>
    <row r="982" spans="1:48" ht="25" hidden="1">
      <c r="A982" s="1785" t="str">
        <f t="shared" si="154"/>
        <v>גמל</v>
      </c>
      <c r="B982" s="1786">
        <f t="shared" si="155"/>
        <v>1692</v>
      </c>
      <c r="C982" s="1787">
        <v>28946</v>
      </c>
      <c r="D982" s="1786" t="str">
        <f t="shared" si="156"/>
        <v xml:space="preserve">מיטב דש גמל פאסיבי מדדי אג"ח עד 25% במדדי מניות </v>
      </c>
      <c r="E982" s="1786" t="s">
        <v>3929</v>
      </c>
      <c r="F982" s="1786" t="s">
        <v>2958</v>
      </c>
      <c r="G982" s="1786" t="s">
        <v>2959</v>
      </c>
      <c r="H982" s="1786" t="str">
        <f t="shared" si="157"/>
        <v>פעיל</v>
      </c>
      <c r="I982" s="1788">
        <f t="shared" si="158"/>
        <v>37885</v>
      </c>
      <c r="J982" s="1788" t="str">
        <f t="shared" si="159"/>
        <v/>
      </c>
      <c r="K982" s="1786">
        <v>0</v>
      </c>
      <c r="L982" s="1786" t="s">
        <v>1594</v>
      </c>
      <c r="M982" s="1786" t="s">
        <v>1653</v>
      </c>
      <c r="N982" s="1786" t="s">
        <v>1653</v>
      </c>
      <c r="O982" s="1786">
        <v>0</v>
      </c>
      <c r="P982" s="1786"/>
      <c r="Q982" s="1786">
        <v>0</v>
      </c>
      <c r="R982" s="1788"/>
      <c r="S982" s="1786">
        <f t="shared" si="160"/>
        <v>874</v>
      </c>
      <c r="T982" s="1786" t="str">
        <f t="shared" si="161"/>
        <v>בנק מזרחי טפחות בע"מ</v>
      </c>
      <c r="U982" s="1786" t="str">
        <f t="shared" si="162"/>
        <v xml:space="preserve">מיטב דש גמל </v>
      </c>
      <c r="V982" s="1786" t="str">
        <f t="shared" si="163"/>
        <v>520043795</v>
      </c>
      <c r="W982" s="1789" t="str">
        <f t="shared" si="164"/>
        <v>מיטב דש גמל ופנסיה בע"מ</v>
      </c>
      <c r="AC982" s="1759" t="s">
        <v>346</v>
      </c>
      <c r="AD982" s="1759"/>
      <c r="AE982" s="1760">
        <v>37885</v>
      </c>
      <c r="AF982" s="1759" t="s">
        <v>4619</v>
      </c>
      <c r="AG982" s="1759" t="s">
        <v>1653</v>
      </c>
      <c r="AH982" s="1759" t="s">
        <v>1594</v>
      </c>
      <c r="AI982" s="1759" t="s">
        <v>4128</v>
      </c>
      <c r="AJ982" s="1759" t="s">
        <v>4128</v>
      </c>
      <c r="AK982" s="1759">
        <v>1692</v>
      </c>
      <c r="AL982" s="1759" t="s">
        <v>3933</v>
      </c>
      <c r="AM982" s="1759">
        <v>874</v>
      </c>
      <c r="AN982" s="1759" t="s">
        <v>5370</v>
      </c>
      <c r="AO982" s="1764"/>
      <c r="AP982" s="1759" t="s">
        <v>5373</v>
      </c>
      <c r="AQ982" s="1759" t="s">
        <v>5374</v>
      </c>
      <c r="AR982" s="1759" t="s">
        <v>2899</v>
      </c>
      <c r="AS982" s="1759" t="s">
        <v>349</v>
      </c>
      <c r="AT982" s="1759" t="s">
        <v>327</v>
      </c>
      <c r="AU982" s="1763"/>
      <c r="AV982" s="1763"/>
    </row>
    <row r="983" spans="1:48" ht="25" hidden="1">
      <c r="A983" s="1785" t="str">
        <f t="shared" ref="A983:A1046" si="165">AT983</f>
        <v>גמל</v>
      </c>
      <c r="B983" s="1786">
        <f t="shared" ref="B983:B1046" si="166">AK983</f>
        <v>1692</v>
      </c>
      <c r="C983" s="1787">
        <v>28946</v>
      </c>
      <c r="D983" s="1786" t="str">
        <f t="shared" ref="D983:D1046" si="167">AJ983</f>
        <v xml:space="preserve">מיטב דש גמל פאסיבי מדדי אג"ח עד 25% במדדי מניות </v>
      </c>
      <c r="E983" s="1786" t="s">
        <v>3929</v>
      </c>
      <c r="F983" s="1786" t="s">
        <v>2958</v>
      </c>
      <c r="G983" s="1786" t="s">
        <v>2959</v>
      </c>
      <c r="H983" s="1786" t="str">
        <f t="shared" ref="H983:H1046" si="168">AC983</f>
        <v>פעיל</v>
      </c>
      <c r="I983" s="1788">
        <f t="shared" ref="I983:I1046" si="169">IF(AE983="","",AE983)</f>
        <v>37885</v>
      </c>
      <c r="J983" s="1788" t="str">
        <f t="shared" ref="J983:J1046" si="170">IF(AD983="","",AD983)</f>
        <v/>
      </c>
      <c r="K983" s="1786">
        <v>0</v>
      </c>
      <c r="L983" s="1786" t="s">
        <v>1594</v>
      </c>
      <c r="M983" s="1786" t="s">
        <v>1653</v>
      </c>
      <c r="N983" s="1786" t="s">
        <v>1653</v>
      </c>
      <c r="O983" s="1786">
        <v>0</v>
      </c>
      <c r="P983" s="1786"/>
      <c r="Q983" s="1786">
        <v>0</v>
      </c>
      <c r="R983" s="1788"/>
      <c r="S983" s="1786">
        <f t="shared" ref="S983:S1046" si="171">AM983</f>
        <v>874</v>
      </c>
      <c r="T983" s="1786" t="str">
        <f t="shared" ref="T983:T1046" si="172">AN983</f>
        <v>בנק מזרחי טפחות בע"מ</v>
      </c>
      <c r="U983" s="1786" t="str">
        <f t="shared" ref="U983:U1046" si="173">AL983</f>
        <v xml:space="preserve">מיטב דש גמל </v>
      </c>
      <c r="V983" s="1786" t="str">
        <f t="shared" ref="V983:V1046" si="174">AQ983</f>
        <v>520043795</v>
      </c>
      <c r="W983" s="1789" t="str">
        <f t="shared" ref="W983:W1046" si="175">AR983</f>
        <v>מיטב דש גמל ופנסיה בע"מ</v>
      </c>
      <c r="AC983" s="1761" t="s">
        <v>346</v>
      </c>
      <c r="AD983" s="1761"/>
      <c r="AE983" s="1762">
        <v>37885</v>
      </c>
      <c r="AF983" s="1761" t="s">
        <v>4619</v>
      </c>
      <c r="AG983" s="1761" t="s">
        <v>1653</v>
      </c>
      <c r="AH983" s="1761" t="s">
        <v>1594</v>
      </c>
      <c r="AI983" s="1761" t="s">
        <v>4128</v>
      </c>
      <c r="AJ983" s="1761" t="s">
        <v>4128</v>
      </c>
      <c r="AK983" s="1761">
        <v>1692</v>
      </c>
      <c r="AL983" s="1761" t="s">
        <v>3933</v>
      </c>
      <c r="AM983" s="1761">
        <v>874</v>
      </c>
      <c r="AN983" s="1761" t="s">
        <v>5370</v>
      </c>
      <c r="AO983" s="1764"/>
      <c r="AP983" s="1761" t="s">
        <v>5373</v>
      </c>
      <c r="AQ983" s="1761" t="s">
        <v>5374</v>
      </c>
      <c r="AR983" s="1761" t="s">
        <v>2899</v>
      </c>
      <c r="AS983" s="1761" t="s">
        <v>349</v>
      </c>
      <c r="AT983" s="1761" t="s">
        <v>327</v>
      </c>
      <c r="AU983" s="1763"/>
      <c r="AV983" s="1763"/>
    </row>
    <row r="984" spans="1:48" ht="25" hidden="1">
      <c r="A984" s="1785" t="str">
        <f t="shared" si="165"/>
        <v>גמל</v>
      </c>
      <c r="B984" s="1786">
        <f t="shared" si="166"/>
        <v>2051</v>
      </c>
      <c r="C984" s="1787">
        <v>28946</v>
      </c>
      <c r="D984" s="1786" t="str">
        <f t="shared" si="167"/>
        <v>מיטב דש גמל חו"ל</v>
      </c>
      <c r="E984" s="1786" t="s">
        <v>3929</v>
      </c>
      <c r="F984" s="1786" t="s">
        <v>2958</v>
      </c>
      <c r="G984" s="1786" t="s">
        <v>2959</v>
      </c>
      <c r="H984" s="1786" t="str">
        <f t="shared" si="168"/>
        <v>פעיל</v>
      </c>
      <c r="I984" s="1788">
        <f t="shared" si="169"/>
        <v>37885</v>
      </c>
      <c r="J984" s="1788" t="str">
        <f t="shared" si="170"/>
        <v/>
      </c>
      <c r="K984" s="1786">
        <v>0</v>
      </c>
      <c r="L984" s="1786" t="s">
        <v>1594</v>
      </c>
      <c r="M984" s="1786" t="s">
        <v>1653</v>
      </c>
      <c r="N984" s="1786" t="s">
        <v>1653</v>
      </c>
      <c r="O984" s="1786">
        <v>0</v>
      </c>
      <c r="P984" s="1786"/>
      <c r="Q984" s="1786">
        <v>0</v>
      </c>
      <c r="R984" s="1788"/>
      <c r="S984" s="1786">
        <f t="shared" si="171"/>
        <v>874</v>
      </c>
      <c r="T984" s="1786" t="str">
        <f t="shared" si="172"/>
        <v>בנק מזרחי טפחות בע"מ</v>
      </c>
      <c r="U984" s="1786" t="str">
        <f t="shared" si="173"/>
        <v xml:space="preserve">מיטב דש גמל </v>
      </c>
      <c r="V984" s="1786" t="str">
        <f t="shared" si="174"/>
        <v>520043795</v>
      </c>
      <c r="W984" s="1789" t="str">
        <f t="shared" si="175"/>
        <v>מיטב דש גמל ופנסיה בע"מ</v>
      </c>
      <c r="AC984" s="1759" t="s">
        <v>346</v>
      </c>
      <c r="AD984" s="1759"/>
      <c r="AE984" s="1760">
        <v>37885</v>
      </c>
      <c r="AF984" s="1759" t="s">
        <v>1948</v>
      </c>
      <c r="AG984" s="1759" t="s">
        <v>1947</v>
      </c>
      <c r="AH984" s="1759" t="s">
        <v>1594</v>
      </c>
      <c r="AI984" s="1759" t="s">
        <v>3691</v>
      </c>
      <c r="AJ984" s="1759" t="s">
        <v>3691</v>
      </c>
      <c r="AK984" s="1759">
        <v>2051</v>
      </c>
      <c r="AL984" s="1759" t="s">
        <v>3933</v>
      </c>
      <c r="AM984" s="1759">
        <v>874</v>
      </c>
      <c r="AN984" s="1759" t="s">
        <v>5370</v>
      </c>
      <c r="AO984" s="1764"/>
      <c r="AP984" s="1759" t="s">
        <v>5373</v>
      </c>
      <c r="AQ984" s="1759" t="s">
        <v>5374</v>
      </c>
      <c r="AR984" s="1759" t="s">
        <v>2899</v>
      </c>
      <c r="AS984" s="1759" t="s">
        <v>349</v>
      </c>
      <c r="AT984" s="1759" t="s">
        <v>327</v>
      </c>
      <c r="AU984" s="1763"/>
      <c r="AV984" s="1763"/>
    </row>
    <row r="985" spans="1:48" ht="25" hidden="1">
      <c r="A985" s="1785" t="str">
        <f t="shared" si="165"/>
        <v>גמל</v>
      </c>
      <c r="B985" s="1786">
        <f t="shared" si="166"/>
        <v>600</v>
      </c>
      <c r="C985" s="1787">
        <v>28946</v>
      </c>
      <c r="D985" s="1786" t="str">
        <f t="shared" si="167"/>
        <v>מיטב דש גמל חכם לבני 40-50</v>
      </c>
      <c r="E985" s="1786" t="s">
        <v>3929</v>
      </c>
      <c r="F985" s="1786" t="s">
        <v>2958</v>
      </c>
      <c r="G985" s="1786" t="s">
        <v>2959</v>
      </c>
      <c r="H985" s="1786" t="str">
        <f t="shared" si="168"/>
        <v>לא פעיל</v>
      </c>
      <c r="I985" s="1788">
        <f t="shared" si="169"/>
        <v>37885</v>
      </c>
      <c r="J985" s="1788">
        <f t="shared" si="170"/>
        <v>42370.7878009259</v>
      </c>
      <c r="K985" s="1786">
        <v>0</v>
      </c>
      <c r="L985" s="1786" t="s">
        <v>1594</v>
      </c>
      <c r="M985" s="1786" t="s">
        <v>1653</v>
      </c>
      <c r="N985" s="1786" t="s">
        <v>1653</v>
      </c>
      <c r="O985" s="1786">
        <v>0</v>
      </c>
      <c r="P985" s="1786"/>
      <c r="Q985" s="1786">
        <v>0</v>
      </c>
      <c r="R985" s="1788"/>
      <c r="S985" s="1786">
        <f t="shared" si="171"/>
        <v>874</v>
      </c>
      <c r="T985" s="1786" t="str">
        <f t="shared" si="172"/>
        <v>בנק מזרחי טפחות בע"מ</v>
      </c>
      <c r="U985" s="1786" t="str">
        <f t="shared" si="173"/>
        <v xml:space="preserve">מיטב דש גמל </v>
      </c>
      <c r="V985" s="1786" t="str">
        <f t="shared" si="174"/>
        <v>520043795</v>
      </c>
      <c r="W985" s="1789" t="str">
        <f t="shared" si="175"/>
        <v>מיטב דש גמל ופנסיה בע"מ</v>
      </c>
      <c r="AC985" s="1761" t="s">
        <v>1586</v>
      </c>
      <c r="AD985" s="1762">
        <v>42370.7878009259</v>
      </c>
      <c r="AE985" s="1762">
        <v>37885</v>
      </c>
      <c r="AF985" s="1761" t="s">
        <v>1583</v>
      </c>
      <c r="AG985" s="1761" t="s">
        <v>1583</v>
      </c>
      <c r="AH985" s="1761" t="s">
        <v>1583</v>
      </c>
      <c r="AI985" s="1761" t="s">
        <v>4522</v>
      </c>
      <c r="AJ985" s="1761" t="s">
        <v>4522</v>
      </c>
      <c r="AK985" s="1761">
        <v>600</v>
      </c>
      <c r="AL985" s="1761" t="s">
        <v>3933</v>
      </c>
      <c r="AM985" s="1761">
        <v>874</v>
      </c>
      <c r="AN985" s="1761" t="s">
        <v>5370</v>
      </c>
      <c r="AO985" s="1764"/>
      <c r="AP985" s="1761" t="s">
        <v>5373</v>
      </c>
      <c r="AQ985" s="1761" t="s">
        <v>5374</v>
      </c>
      <c r="AR985" s="1761" t="s">
        <v>2899</v>
      </c>
      <c r="AS985" s="1761" t="s">
        <v>349</v>
      </c>
      <c r="AT985" s="1761" t="s">
        <v>327</v>
      </c>
      <c r="AU985" s="1763"/>
      <c r="AV985" s="1763"/>
    </row>
    <row r="986" spans="1:48" ht="25" hidden="1">
      <c r="A986" s="1785" t="str">
        <f t="shared" si="165"/>
        <v>גמל</v>
      </c>
      <c r="B986" s="1786">
        <f t="shared" si="166"/>
        <v>872</v>
      </c>
      <c r="C986" s="1787">
        <v>28946</v>
      </c>
      <c r="D986" s="1786" t="str">
        <f t="shared" si="167"/>
        <v>פסגות מרפא קופת גמל מרכזית לדמי מחלה</v>
      </c>
      <c r="E986" s="1786" t="s">
        <v>3929</v>
      </c>
      <c r="F986" s="1786" t="s">
        <v>2958</v>
      </c>
      <c r="G986" s="1786" t="s">
        <v>2959</v>
      </c>
      <c r="H986" s="1786" t="str">
        <f t="shared" si="168"/>
        <v>פעיל</v>
      </c>
      <c r="I986" s="1788">
        <f t="shared" si="169"/>
        <v>37885</v>
      </c>
      <c r="J986" s="1788" t="str">
        <f t="shared" si="170"/>
        <v/>
      </c>
      <c r="K986" s="1786">
        <v>0</v>
      </c>
      <c r="L986" s="1786" t="s">
        <v>1594</v>
      </c>
      <c r="M986" s="1786" t="s">
        <v>1653</v>
      </c>
      <c r="N986" s="1786" t="s">
        <v>1653</v>
      </c>
      <c r="O986" s="1786">
        <v>0</v>
      </c>
      <c r="P986" s="1786"/>
      <c r="Q986" s="1786">
        <v>0</v>
      </c>
      <c r="R986" s="1788"/>
      <c r="S986" s="1786">
        <f t="shared" si="171"/>
        <v>872</v>
      </c>
      <c r="T986" s="1786" t="str">
        <f t="shared" si="172"/>
        <v>בנק הפועלים בע"מ</v>
      </c>
      <c r="U986" s="1786" t="str">
        <f t="shared" si="173"/>
        <v>פסגות מרפא קופת גמל מרכזית לדמי מחלה</v>
      </c>
      <c r="V986" s="1786" t="str">
        <f t="shared" si="174"/>
        <v>513767079</v>
      </c>
      <c r="W986" s="1789" t="str">
        <f t="shared" si="175"/>
        <v>פסגות קופות גמל ופנסיה בע"מ</v>
      </c>
      <c r="AC986" s="1759" t="s">
        <v>346</v>
      </c>
      <c r="AD986" s="1759"/>
      <c r="AE986" s="1760">
        <v>37885</v>
      </c>
      <c r="AF986" s="1759" t="s">
        <v>1583</v>
      </c>
      <c r="AG986" s="1759" t="s">
        <v>1583</v>
      </c>
      <c r="AH986" s="1759" t="s">
        <v>1583</v>
      </c>
      <c r="AI986" s="1759" t="s">
        <v>3364</v>
      </c>
      <c r="AJ986" s="1759" t="s">
        <v>623</v>
      </c>
      <c r="AK986" s="1759">
        <v>872</v>
      </c>
      <c r="AL986" s="1759" t="s">
        <v>623</v>
      </c>
      <c r="AM986" s="1759">
        <v>872</v>
      </c>
      <c r="AN986" s="1759" t="s">
        <v>1695</v>
      </c>
      <c r="AO986" s="1764"/>
      <c r="AP986" s="1759" t="s">
        <v>5365</v>
      </c>
      <c r="AQ986" s="1759" t="s">
        <v>5366</v>
      </c>
      <c r="AR986" s="1759" t="s">
        <v>351</v>
      </c>
      <c r="AS986" s="1759" t="s">
        <v>352</v>
      </c>
      <c r="AT986" s="1759" t="s">
        <v>327</v>
      </c>
      <c r="AU986" s="1763"/>
      <c r="AV986" s="1763"/>
    </row>
    <row r="987" spans="1:48" ht="37.5" hidden="1">
      <c r="A987" s="1785" t="str">
        <f t="shared" si="165"/>
        <v>גמל</v>
      </c>
      <c r="B987" s="1786">
        <f t="shared" si="166"/>
        <v>870</v>
      </c>
      <c r="C987" s="1787">
        <v>28946</v>
      </c>
      <c r="D987" s="1786" t="str">
        <f t="shared" si="167"/>
        <v>מגדל פלטינום למעסיק</v>
      </c>
      <c r="E987" s="1786" t="s">
        <v>3929</v>
      </c>
      <c r="F987" s="1786" t="s">
        <v>2958</v>
      </c>
      <c r="G987" s="1786" t="s">
        <v>2959</v>
      </c>
      <c r="H987" s="1786" t="str">
        <f t="shared" si="168"/>
        <v>לא פעיל</v>
      </c>
      <c r="I987" s="1788">
        <f t="shared" si="169"/>
        <v>37880</v>
      </c>
      <c r="J987" s="1788">
        <f t="shared" si="170"/>
        <v>41555.560127314799</v>
      </c>
      <c r="K987" s="1786">
        <v>0</v>
      </c>
      <c r="L987" s="1786" t="s">
        <v>1594</v>
      </c>
      <c r="M987" s="1786" t="s">
        <v>1653</v>
      </c>
      <c r="N987" s="1786" t="s">
        <v>1653</v>
      </c>
      <c r="O987" s="1786">
        <v>0</v>
      </c>
      <c r="P987" s="1786"/>
      <c r="Q987" s="1786">
        <v>0</v>
      </c>
      <c r="R987" s="1788"/>
      <c r="S987" s="1786">
        <f t="shared" si="171"/>
        <v>870</v>
      </c>
      <c r="T987" s="1786" t="str">
        <f t="shared" si="172"/>
        <v>לאומי</v>
      </c>
      <c r="U987" s="1786" t="str">
        <f t="shared" si="173"/>
        <v>מגדל פלטינום למעסיק</v>
      </c>
      <c r="V987" s="1786" t="str">
        <f t="shared" si="174"/>
        <v>510464803</v>
      </c>
      <c r="W987" s="1789" t="str">
        <f t="shared" si="175"/>
        <v>מגדל מקפת קרנות פנסיה וקופות גמל בע"מ</v>
      </c>
      <c r="AC987" s="1761" t="s">
        <v>1586</v>
      </c>
      <c r="AD987" s="1762">
        <v>41555.560127314799</v>
      </c>
      <c r="AE987" s="1762">
        <v>37880</v>
      </c>
      <c r="AF987" s="1761"/>
      <c r="AG987" s="1761"/>
      <c r="AH987" s="1761" t="s">
        <v>1812</v>
      </c>
      <c r="AI987" s="1761" t="s">
        <v>622</v>
      </c>
      <c r="AJ987" s="1761" t="s">
        <v>622</v>
      </c>
      <c r="AK987" s="1761">
        <v>870</v>
      </c>
      <c r="AL987" s="1761" t="s">
        <v>622</v>
      </c>
      <c r="AM987" s="1761">
        <v>870</v>
      </c>
      <c r="AN987" s="1761" t="s">
        <v>5305</v>
      </c>
      <c r="AO987" s="1764"/>
      <c r="AP987" s="1761" t="s">
        <v>5382</v>
      </c>
      <c r="AQ987" s="1761" t="s">
        <v>5383</v>
      </c>
      <c r="AR987" s="1761" t="s">
        <v>394</v>
      </c>
      <c r="AS987" s="1761" t="s">
        <v>395</v>
      </c>
      <c r="AT987" s="1761" t="s">
        <v>327</v>
      </c>
      <c r="AU987" s="1763"/>
      <c r="AV987" s="1763"/>
    </row>
    <row r="988" spans="1:48" ht="37.5" hidden="1">
      <c r="A988" s="1785" t="str">
        <f t="shared" si="165"/>
        <v>גמל</v>
      </c>
      <c r="B988" s="1786">
        <f t="shared" si="166"/>
        <v>867</v>
      </c>
      <c r="C988" s="1787">
        <v>28946</v>
      </c>
      <c r="D988" s="1786" t="str">
        <f t="shared" si="167"/>
        <v>מגדל פלטינום להשתלמות מסלול ברומטר</v>
      </c>
      <c r="E988" s="1786" t="s">
        <v>3929</v>
      </c>
      <c r="F988" s="1786" t="s">
        <v>2958</v>
      </c>
      <c r="G988" s="1786" t="s">
        <v>2959</v>
      </c>
      <c r="H988" s="1786" t="str">
        <f t="shared" si="168"/>
        <v>לא פעיל</v>
      </c>
      <c r="I988" s="1788">
        <f t="shared" si="169"/>
        <v>37880</v>
      </c>
      <c r="J988" s="1788">
        <f t="shared" si="170"/>
        <v>40917.725057870397</v>
      </c>
      <c r="K988" s="1786">
        <v>0</v>
      </c>
      <c r="L988" s="1786" t="s">
        <v>1594</v>
      </c>
      <c r="M988" s="1786" t="s">
        <v>1653</v>
      </c>
      <c r="N988" s="1786" t="s">
        <v>1653</v>
      </c>
      <c r="O988" s="1786">
        <v>0</v>
      </c>
      <c r="P988" s="1786"/>
      <c r="Q988" s="1786">
        <v>0</v>
      </c>
      <c r="R988" s="1788"/>
      <c r="S988" s="1786">
        <f t="shared" si="171"/>
        <v>864</v>
      </c>
      <c r="T988" s="1786" t="str">
        <f t="shared" si="172"/>
        <v>בנק לאומי בע"מ</v>
      </c>
      <c r="U988" s="1786" t="str">
        <f t="shared" si="173"/>
        <v>מגדל פלטינום להשתלמות שקלי קצר</v>
      </c>
      <c r="V988" s="1786" t="str">
        <f t="shared" si="174"/>
        <v>510464803</v>
      </c>
      <c r="W988" s="1789" t="str">
        <f t="shared" si="175"/>
        <v>מגדל מקפת קרנות פנסיה וקופות גמל בע"מ</v>
      </c>
      <c r="AC988" s="1759" t="s">
        <v>1586</v>
      </c>
      <c r="AD988" s="1760">
        <v>40917.725057870397</v>
      </c>
      <c r="AE988" s="1760">
        <v>37880</v>
      </c>
      <c r="AF988" s="1759" t="s">
        <v>1583</v>
      </c>
      <c r="AG988" s="1759" t="s">
        <v>1583</v>
      </c>
      <c r="AH988" s="1759" t="s">
        <v>1583</v>
      </c>
      <c r="AI988" s="1759" t="s">
        <v>2096</v>
      </c>
      <c r="AJ988" s="1759" t="s">
        <v>2096</v>
      </c>
      <c r="AK988" s="1759">
        <v>867</v>
      </c>
      <c r="AL988" s="1759" t="s">
        <v>2097</v>
      </c>
      <c r="AM988" s="1759">
        <v>864</v>
      </c>
      <c r="AN988" s="1759" t="s">
        <v>5470</v>
      </c>
      <c r="AO988" s="1764"/>
      <c r="AP988" s="1759" t="s">
        <v>5382</v>
      </c>
      <c r="AQ988" s="1759" t="s">
        <v>5383</v>
      </c>
      <c r="AR988" s="1759" t="s">
        <v>394</v>
      </c>
      <c r="AS988" s="1759" t="s">
        <v>395</v>
      </c>
      <c r="AT988" s="1759" t="s">
        <v>327</v>
      </c>
      <c r="AU988" s="1763"/>
      <c r="AV988" s="1763"/>
    </row>
    <row r="989" spans="1:48" ht="37.5" hidden="1">
      <c r="A989" s="1785" t="str">
        <f t="shared" si="165"/>
        <v>גמל</v>
      </c>
      <c r="B989" s="1786">
        <f t="shared" si="166"/>
        <v>975</v>
      </c>
      <c r="C989" s="1787">
        <v>28946</v>
      </c>
      <c r="D989" s="1786" t="str">
        <f t="shared" si="167"/>
        <v>מגדל פלטינום להשתלמות כללי</v>
      </c>
      <c r="E989" s="1786" t="s">
        <v>3929</v>
      </c>
      <c r="F989" s="1786" t="s">
        <v>2958</v>
      </c>
      <c r="G989" s="1786" t="s">
        <v>2959</v>
      </c>
      <c r="H989" s="1786" t="str">
        <f t="shared" si="168"/>
        <v>לא פעיל</v>
      </c>
      <c r="I989" s="1788">
        <f t="shared" si="169"/>
        <v>37880</v>
      </c>
      <c r="J989" s="1788">
        <f t="shared" si="170"/>
        <v>40917.724479166704</v>
      </c>
      <c r="K989" s="1786">
        <v>0</v>
      </c>
      <c r="L989" s="1786" t="s">
        <v>1594</v>
      </c>
      <c r="M989" s="1786" t="s">
        <v>1653</v>
      </c>
      <c r="N989" s="1786" t="s">
        <v>1653</v>
      </c>
      <c r="O989" s="1786">
        <v>0</v>
      </c>
      <c r="P989" s="1786"/>
      <c r="Q989" s="1786">
        <v>0</v>
      </c>
      <c r="R989" s="1788"/>
      <c r="S989" s="1786">
        <f t="shared" si="171"/>
        <v>864</v>
      </c>
      <c r="T989" s="1786" t="str">
        <f t="shared" si="172"/>
        <v>בנק לאומי בע"מ</v>
      </c>
      <c r="U989" s="1786" t="str">
        <f t="shared" si="173"/>
        <v>מגדל פלטינום להשתלמות שקלי קצר</v>
      </c>
      <c r="V989" s="1786" t="str">
        <f t="shared" si="174"/>
        <v>510464803</v>
      </c>
      <c r="W989" s="1789" t="str">
        <f t="shared" si="175"/>
        <v>מגדל מקפת קרנות פנסיה וקופות גמל בע"מ</v>
      </c>
      <c r="AC989" s="1761" t="s">
        <v>1586</v>
      </c>
      <c r="AD989" s="1762">
        <v>40917.724479166704</v>
      </c>
      <c r="AE989" s="1762">
        <v>37880</v>
      </c>
      <c r="AF989" s="1761" t="s">
        <v>1583</v>
      </c>
      <c r="AG989" s="1761" t="s">
        <v>1583</v>
      </c>
      <c r="AH989" s="1761" t="s">
        <v>1583</v>
      </c>
      <c r="AI989" s="1761" t="s">
        <v>2185</v>
      </c>
      <c r="AJ989" s="1761" t="s">
        <v>2185</v>
      </c>
      <c r="AK989" s="1761">
        <v>975</v>
      </c>
      <c r="AL989" s="1761" t="s">
        <v>2097</v>
      </c>
      <c r="AM989" s="1761">
        <v>864</v>
      </c>
      <c r="AN989" s="1761" t="s">
        <v>5470</v>
      </c>
      <c r="AO989" s="1764"/>
      <c r="AP989" s="1761" t="s">
        <v>5382</v>
      </c>
      <c r="AQ989" s="1761" t="s">
        <v>5383</v>
      </c>
      <c r="AR989" s="1761" t="s">
        <v>394</v>
      </c>
      <c r="AS989" s="1761" t="s">
        <v>395</v>
      </c>
      <c r="AT989" s="1761" t="s">
        <v>327</v>
      </c>
      <c r="AU989" s="1763"/>
      <c r="AV989" s="1763"/>
    </row>
    <row r="990" spans="1:48" ht="37.5" hidden="1">
      <c r="A990" s="1785" t="str">
        <f t="shared" si="165"/>
        <v>גמל</v>
      </c>
      <c r="B990" s="1786">
        <f t="shared" si="166"/>
        <v>861</v>
      </c>
      <c r="C990" s="1787">
        <v>28946</v>
      </c>
      <c r="D990" s="1786" t="str">
        <f t="shared" si="167"/>
        <v>מגדל פלטינום לתגמולים ברומטר</v>
      </c>
      <c r="E990" s="1786" t="s">
        <v>3929</v>
      </c>
      <c r="F990" s="1786" t="s">
        <v>2958</v>
      </c>
      <c r="G990" s="1786" t="s">
        <v>2959</v>
      </c>
      <c r="H990" s="1786" t="str">
        <f t="shared" si="168"/>
        <v>לא פעיל</v>
      </c>
      <c r="I990" s="1788">
        <f t="shared" si="169"/>
        <v>37880</v>
      </c>
      <c r="J990" s="1788">
        <f t="shared" si="170"/>
        <v>40917.730520833298</v>
      </c>
      <c r="K990" s="1786">
        <v>0</v>
      </c>
      <c r="L990" s="1786" t="s">
        <v>1594</v>
      </c>
      <c r="M990" s="1786" t="s">
        <v>1653</v>
      </c>
      <c r="N990" s="1786" t="s">
        <v>1653</v>
      </c>
      <c r="O990" s="1786">
        <v>0</v>
      </c>
      <c r="P990" s="1786"/>
      <c r="Q990" s="1786">
        <v>0</v>
      </c>
      <c r="R990" s="1788"/>
      <c r="S990" s="1786">
        <f t="shared" si="171"/>
        <v>858</v>
      </c>
      <c r="T990" s="1786" t="str">
        <f t="shared" si="172"/>
        <v>בנק לאומי בע"מ</v>
      </c>
      <c r="U990" s="1786" t="str">
        <f t="shared" si="173"/>
        <v>מגדל פלטינום לתגמולים שקלי קצר</v>
      </c>
      <c r="V990" s="1786" t="str">
        <f t="shared" si="174"/>
        <v>510464803</v>
      </c>
      <c r="W990" s="1789" t="str">
        <f t="shared" si="175"/>
        <v>מגדל מקפת קרנות פנסיה וקופות גמל בע"מ</v>
      </c>
      <c r="AC990" s="1759" t="s">
        <v>1586</v>
      </c>
      <c r="AD990" s="1760">
        <v>40917.730520833298</v>
      </c>
      <c r="AE990" s="1760">
        <v>37880</v>
      </c>
      <c r="AF990" s="1759" t="s">
        <v>1583</v>
      </c>
      <c r="AG990" s="1759" t="s">
        <v>1583</v>
      </c>
      <c r="AH990" s="1759" t="s">
        <v>1583</v>
      </c>
      <c r="AI990" s="1759" t="s">
        <v>3357</v>
      </c>
      <c r="AJ990" s="1759" t="s">
        <v>2095</v>
      </c>
      <c r="AK990" s="1759">
        <v>861</v>
      </c>
      <c r="AL990" s="1759" t="s">
        <v>621</v>
      </c>
      <c r="AM990" s="1759">
        <v>858</v>
      </c>
      <c r="AN990" s="1759" t="s">
        <v>5470</v>
      </c>
      <c r="AO990" s="1764"/>
      <c r="AP990" s="1759" t="s">
        <v>5382</v>
      </c>
      <c r="AQ990" s="1759" t="s">
        <v>5383</v>
      </c>
      <c r="AR990" s="1759" t="s">
        <v>394</v>
      </c>
      <c r="AS990" s="1759" t="s">
        <v>395</v>
      </c>
      <c r="AT990" s="1759" t="s">
        <v>327</v>
      </c>
      <c r="AU990" s="1763"/>
      <c r="AV990" s="1763"/>
    </row>
    <row r="991" spans="1:48" ht="37.5" hidden="1">
      <c r="A991" s="1785" t="str">
        <f t="shared" si="165"/>
        <v>גמל</v>
      </c>
      <c r="B991" s="1786">
        <f t="shared" si="166"/>
        <v>974</v>
      </c>
      <c r="C991" s="1787">
        <v>28946</v>
      </c>
      <c r="D991" s="1786" t="str">
        <f t="shared" si="167"/>
        <v>מגדל פלטינום לתגמולים כללי</v>
      </c>
      <c r="E991" s="1786" t="s">
        <v>3929</v>
      </c>
      <c r="F991" s="1786" t="s">
        <v>2958</v>
      </c>
      <c r="G991" s="1786" t="s">
        <v>2959</v>
      </c>
      <c r="H991" s="1786" t="str">
        <f t="shared" si="168"/>
        <v>לא פעיל</v>
      </c>
      <c r="I991" s="1788">
        <f t="shared" si="169"/>
        <v>37880</v>
      </c>
      <c r="J991" s="1788">
        <f t="shared" si="170"/>
        <v>41645.6477199074</v>
      </c>
      <c r="K991" s="1786">
        <v>0</v>
      </c>
      <c r="L991" s="1786" t="s">
        <v>1594</v>
      </c>
      <c r="M991" s="1786" t="s">
        <v>1653</v>
      </c>
      <c r="N991" s="1786" t="s">
        <v>1653</v>
      </c>
      <c r="O991" s="1786">
        <v>0</v>
      </c>
      <c r="P991" s="1786"/>
      <c r="Q991" s="1786">
        <v>0</v>
      </c>
      <c r="R991" s="1788"/>
      <c r="S991" s="1786">
        <f t="shared" si="171"/>
        <v>858</v>
      </c>
      <c r="T991" s="1786" t="str">
        <f t="shared" si="172"/>
        <v>בנק לאומי בע"מ</v>
      </c>
      <c r="U991" s="1786" t="str">
        <f t="shared" si="173"/>
        <v>מגדל פלטינום לתגמולים שקלי קצר</v>
      </c>
      <c r="V991" s="1786" t="str">
        <f t="shared" si="174"/>
        <v>510464803</v>
      </c>
      <c r="W991" s="1789" t="str">
        <f t="shared" si="175"/>
        <v>מגדל מקפת קרנות פנסיה וקופות גמל בע"מ</v>
      </c>
      <c r="AC991" s="1761" t="s">
        <v>1586</v>
      </c>
      <c r="AD991" s="1762">
        <v>41645.6477199074</v>
      </c>
      <c r="AE991" s="1762">
        <v>37880</v>
      </c>
      <c r="AF991" s="1761" t="s">
        <v>1583</v>
      </c>
      <c r="AG991" s="1761" t="s">
        <v>1583</v>
      </c>
      <c r="AH991" s="1761" t="s">
        <v>1583</v>
      </c>
      <c r="AI991" s="1761" t="s">
        <v>2184</v>
      </c>
      <c r="AJ991" s="1761" t="s">
        <v>2184</v>
      </c>
      <c r="AK991" s="1761">
        <v>974</v>
      </c>
      <c r="AL991" s="1761" t="s">
        <v>621</v>
      </c>
      <c r="AM991" s="1761">
        <v>858</v>
      </c>
      <c r="AN991" s="1761" t="s">
        <v>5470</v>
      </c>
      <c r="AO991" s="1764"/>
      <c r="AP991" s="1761" t="s">
        <v>5382</v>
      </c>
      <c r="AQ991" s="1761" t="s">
        <v>5383</v>
      </c>
      <c r="AR991" s="1761" t="s">
        <v>394</v>
      </c>
      <c r="AS991" s="1761" t="s">
        <v>395</v>
      </c>
      <c r="AT991" s="1761" t="s">
        <v>327</v>
      </c>
      <c r="AU991" s="1763"/>
      <c r="AV991" s="1763"/>
    </row>
    <row r="992" spans="1:48" ht="37.5" hidden="1">
      <c r="A992" s="1785" t="str">
        <f t="shared" si="165"/>
        <v>גמל</v>
      </c>
      <c r="B992" s="1786">
        <f t="shared" si="166"/>
        <v>857</v>
      </c>
      <c r="C992" s="1787">
        <v>28946</v>
      </c>
      <c r="D992" s="1786" t="str">
        <f t="shared" si="167"/>
        <v>הראל - דקל קופת גמל לדמי מחלה</v>
      </c>
      <c r="E992" s="1786" t="s">
        <v>3929</v>
      </c>
      <c r="F992" s="1786" t="s">
        <v>2958</v>
      </c>
      <c r="G992" s="1786" t="s">
        <v>2959</v>
      </c>
      <c r="H992" s="1786" t="str">
        <f t="shared" si="168"/>
        <v>פעיל</v>
      </c>
      <c r="I992" s="1788">
        <f t="shared" si="169"/>
        <v>37878</v>
      </c>
      <c r="J992" s="1788" t="str">
        <f t="shared" si="170"/>
        <v/>
      </c>
      <c r="K992" s="1786">
        <v>0</v>
      </c>
      <c r="L992" s="1786" t="s">
        <v>1594</v>
      </c>
      <c r="M992" s="1786" t="s">
        <v>1653</v>
      </c>
      <c r="N992" s="1786" t="s">
        <v>1653</v>
      </c>
      <c r="O992" s="1786">
        <v>0</v>
      </c>
      <c r="P992" s="1786"/>
      <c r="Q992" s="1786">
        <v>0</v>
      </c>
      <c r="R992" s="1788"/>
      <c r="S992" s="1786">
        <f t="shared" si="171"/>
        <v>857</v>
      </c>
      <c r="T992" s="1786" t="str">
        <f t="shared" si="172"/>
        <v>בנק לאומי בע"מ</v>
      </c>
      <c r="U992" s="1786" t="str">
        <f t="shared" si="173"/>
        <v>הראל - דקל קופת גמל לדמי מחלה</v>
      </c>
      <c r="V992" s="1786" t="str">
        <f t="shared" si="174"/>
        <v>520033986</v>
      </c>
      <c r="W992" s="1789" t="str">
        <f t="shared" si="175"/>
        <v>הראל פנסיה וגמל בע"מ</v>
      </c>
      <c r="AC992" s="1759" t="s">
        <v>346</v>
      </c>
      <c r="AD992" s="1759"/>
      <c r="AE992" s="1760">
        <v>37878</v>
      </c>
      <c r="AF992" s="1759" t="s">
        <v>1583</v>
      </c>
      <c r="AG992" s="1759" t="s">
        <v>1583</v>
      </c>
      <c r="AH992" s="1759" t="s">
        <v>1583</v>
      </c>
      <c r="AI992" s="1759" t="s">
        <v>3354</v>
      </c>
      <c r="AJ992" s="1759" t="s">
        <v>620</v>
      </c>
      <c r="AK992" s="1759">
        <v>857</v>
      </c>
      <c r="AL992" s="1759" t="s">
        <v>620</v>
      </c>
      <c r="AM992" s="1759">
        <v>857</v>
      </c>
      <c r="AN992" s="1759" t="s">
        <v>5470</v>
      </c>
      <c r="AO992" s="1764"/>
      <c r="AP992" s="1759" t="s">
        <v>5396</v>
      </c>
      <c r="AQ992" s="1759" t="s">
        <v>5397</v>
      </c>
      <c r="AR992" s="1759" t="s">
        <v>4588</v>
      </c>
      <c r="AS992" s="1759" t="s">
        <v>405</v>
      </c>
      <c r="AT992" s="1759" t="s">
        <v>327</v>
      </c>
      <c r="AU992" s="1763"/>
      <c r="AV992" s="1763"/>
    </row>
    <row r="993" spans="1:48" ht="25" hidden="1">
      <c r="A993" s="1785" t="str">
        <f t="shared" si="165"/>
        <v>גמל</v>
      </c>
      <c r="B993" s="1786">
        <f t="shared" si="166"/>
        <v>846</v>
      </c>
      <c r="C993" s="1787">
        <v>28946</v>
      </c>
      <c r="D993" s="1786" t="str">
        <f t="shared" si="167"/>
        <v>שחקים-כללי</v>
      </c>
      <c r="E993" s="1786" t="s">
        <v>3929</v>
      </c>
      <c r="F993" s="1786" t="s">
        <v>2958</v>
      </c>
      <c r="G993" s="1786" t="s">
        <v>2959</v>
      </c>
      <c r="H993" s="1786" t="str">
        <f t="shared" si="168"/>
        <v>לא פעיל</v>
      </c>
      <c r="I993" s="1788">
        <f t="shared" si="169"/>
        <v>37847</v>
      </c>
      <c r="J993" s="1788">
        <f t="shared" si="170"/>
        <v>37847</v>
      </c>
      <c r="K993" s="1786">
        <v>0</v>
      </c>
      <c r="L993" s="1786" t="s">
        <v>1594</v>
      </c>
      <c r="M993" s="1786" t="s">
        <v>1653</v>
      </c>
      <c r="N993" s="1786" t="s">
        <v>1653</v>
      </c>
      <c r="O993" s="1786">
        <v>0</v>
      </c>
      <c r="P993" s="1786"/>
      <c r="Q993" s="1786">
        <v>0</v>
      </c>
      <c r="R993" s="1788"/>
      <c r="S993" s="1786">
        <f t="shared" si="171"/>
        <v>846</v>
      </c>
      <c r="T993" s="1786" t="str">
        <f t="shared" si="172"/>
        <v>בנק לאומי בע"מ</v>
      </c>
      <c r="U993" s="1786" t="str">
        <f t="shared" si="173"/>
        <v>שחקים-כללי</v>
      </c>
      <c r="V993" s="1786">
        <f t="shared" si="174"/>
        <v>0</v>
      </c>
      <c r="W993" s="1789" t="str">
        <f t="shared" si="175"/>
        <v>לאומי שירותי שוק ההון בע"מ</v>
      </c>
      <c r="AC993" s="1761" t="s">
        <v>1586</v>
      </c>
      <c r="AD993" s="1762">
        <v>37847</v>
      </c>
      <c r="AE993" s="1762">
        <v>37847</v>
      </c>
      <c r="AF993" s="1761" t="s">
        <v>1583</v>
      </c>
      <c r="AG993" s="1761" t="s">
        <v>1583</v>
      </c>
      <c r="AH993" s="1761" t="s">
        <v>1583</v>
      </c>
      <c r="AI993" s="1761" t="s">
        <v>2088</v>
      </c>
      <c r="AJ993" s="1761" t="s">
        <v>2088</v>
      </c>
      <c r="AK993" s="1761">
        <v>846</v>
      </c>
      <c r="AL993" s="1761" t="s">
        <v>2088</v>
      </c>
      <c r="AM993" s="1761">
        <v>846</v>
      </c>
      <c r="AN993" s="1761" t="s">
        <v>5470</v>
      </c>
      <c r="AO993" s="1764"/>
      <c r="AP993" s="1761"/>
      <c r="AQ993" s="1761"/>
      <c r="AR993" s="1761" t="s">
        <v>3348</v>
      </c>
      <c r="AS993" s="1761" t="s">
        <v>2089</v>
      </c>
      <c r="AT993" s="1761" t="s">
        <v>327</v>
      </c>
      <c r="AU993" s="1763"/>
      <c r="AV993" s="1763"/>
    </row>
    <row r="994" spans="1:48" ht="25" hidden="1">
      <c r="A994" s="1785" t="str">
        <f t="shared" si="165"/>
        <v>גמל</v>
      </c>
      <c r="B994" s="1786">
        <f t="shared" si="166"/>
        <v>847</v>
      </c>
      <c r="C994" s="1787">
        <v>28946</v>
      </c>
      <c r="D994" s="1786" t="str">
        <f t="shared" si="167"/>
        <v>שחקים-צמוד מדד</v>
      </c>
      <c r="E994" s="1786" t="s">
        <v>3929</v>
      </c>
      <c r="F994" s="1786" t="s">
        <v>2958</v>
      </c>
      <c r="G994" s="1786" t="s">
        <v>2959</v>
      </c>
      <c r="H994" s="1786" t="str">
        <f t="shared" si="168"/>
        <v>לא פעיל</v>
      </c>
      <c r="I994" s="1788">
        <f t="shared" si="169"/>
        <v>37847</v>
      </c>
      <c r="J994" s="1788">
        <f t="shared" si="170"/>
        <v>37847</v>
      </c>
      <c r="K994" s="1786">
        <v>0</v>
      </c>
      <c r="L994" s="1786" t="s">
        <v>1594</v>
      </c>
      <c r="M994" s="1786" t="s">
        <v>1653</v>
      </c>
      <c r="N994" s="1786" t="s">
        <v>1653</v>
      </c>
      <c r="O994" s="1786">
        <v>0</v>
      </c>
      <c r="P994" s="1786"/>
      <c r="Q994" s="1786">
        <v>0</v>
      </c>
      <c r="R994" s="1788"/>
      <c r="S994" s="1786">
        <f t="shared" si="171"/>
        <v>846</v>
      </c>
      <c r="T994" s="1786" t="str">
        <f t="shared" si="172"/>
        <v>בנק לאומי בע"מ</v>
      </c>
      <c r="U994" s="1786" t="str">
        <f t="shared" si="173"/>
        <v>שחקים-כללי</v>
      </c>
      <c r="V994" s="1786">
        <f t="shared" si="174"/>
        <v>0</v>
      </c>
      <c r="W994" s="1789" t="str">
        <f t="shared" si="175"/>
        <v>לאומי שירותי שוק ההון בע"מ</v>
      </c>
      <c r="AC994" s="1759" t="s">
        <v>1586</v>
      </c>
      <c r="AD994" s="1760">
        <v>37847</v>
      </c>
      <c r="AE994" s="1760">
        <v>37847</v>
      </c>
      <c r="AF994" s="1759" t="s">
        <v>1583</v>
      </c>
      <c r="AG994" s="1759" t="s">
        <v>1583</v>
      </c>
      <c r="AH994" s="1759" t="s">
        <v>1583</v>
      </c>
      <c r="AI994" s="1759" t="s">
        <v>3349</v>
      </c>
      <c r="AJ994" s="1759" t="s">
        <v>2090</v>
      </c>
      <c r="AK994" s="1759">
        <v>847</v>
      </c>
      <c r="AL994" s="1759" t="s">
        <v>2088</v>
      </c>
      <c r="AM994" s="1759">
        <v>846</v>
      </c>
      <c r="AN994" s="1759" t="s">
        <v>5470</v>
      </c>
      <c r="AO994" s="1764"/>
      <c r="AP994" s="1759"/>
      <c r="AQ994" s="1759"/>
      <c r="AR994" s="1759" t="s">
        <v>3348</v>
      </c>
      <c r="AS994" s="1759" t="s">
        <v>2089</v>
      </c>
      <c r="AT994" s="1759" t="s">
        <v>327</v>
      </c>
      <c r="AU994" s="1763"/>
      <c r="AV994" s="1763"/>
    </row>
    <row r="995" spans="1:48" ht="25" hidden="1">
      <c r="A995" s="1785" t="str">
        <f t="shared" si="165"/>
        <v>גמל</v>
      </c>
      <c r="B995" s="1786">
        <f t="shared" si="166"/>
        <v>848</v>
      </c>
      <c r="C995" s="1787">
        <v>28946</v>
      </c>
      <c r="D995" s="1786" t="str">
        <f t="shared" si="167"/>
        <v>שחקים-שיקלי</v>
      </c>
      <c r="E995" s="1786" t="s">
        <v>3929</v>
      </c>
      <c r="F995" s="1786" t="s">
        <v>2958</v>
      </c>
      <c r="G995" s="1786" t="s">
        <v>2959</v>
      </c>
      <c r="H995" s="1786" t="str">
        <f t="shared" si="168"/>
        <v>לא פעיל</v>
      </c>
      <c r="I995" s="1788">
        <f t="shared" si="169"/>
        <v>37847</v>
      </c>
      <c r="J995" s="1788">
        <f t="shared" si="170"/>
        <v>37847</v>
      </c>
      <c r="K995" s="1786">
        <v>0</v>
      </c>
      <c r="L995" s="1786" t="s">
        <v>1594</v>
      </c>
      <c r="M995" s="1786" t="s">
        <v>1653</v>
      </c>
      <c r="N995" s="1786" t="s">
        <v>1653</v>
      </c>
      <c r="O995" s="1786">
        <v>0</v>
      </c>
      <c r="P995" s="1786"/>
      <c r="Q995" s="1786">
        <v>0</v>
      </c>
      <c r="R995" s="1788"/>
      <c r="S995" s="1786">
        <f t="shared" si="171"/>
        <v>846</v>
      </c>
      <c r="T995" s="1786" t="str">
        <f t="shared" si="172"/>
        <v>בנק לאומי בע"מ</v>
      </c>
      <c r="U995" s="1786" t="str">
        <f t="shared" si="173"/>
        <v>שחקים-כללי</v>
      </c>
      <c r="V995" s="1786">
        <f t="shared" si="174"/>
        <v>0</v>
      </c>
      <c r="W995" s="1789" t="str">
        <f t="shared" si="175"/>
        <v>לאומי שירותי שוק ההון בע"מ</v>
      </c>
      <c r="AC995" s="1761" t="s">
        <v>1586</v>
      </c>
      <c r="AD995" s="1762">
        <v>37847</v>
      </c>
      <c r="AE995" s="1762">
        <v>37847</v>
      </c>
      <c r="AF995" s="1761" t="s">
        <v>1583</v>
      </c>
      <c r="AG995" s="1761" t="s">
        <v>1583</v>
      </c>
      <c r="AH995" s="1761" t="s">
        <v>1583</v>
      </c>
      <c r="AI995" s="1761" t="s">
        <v>3350</v>
      </c>
      <c r="AJ995" s="1761" t="s">
        <v>2091</v>
      </c>
      <c r="AK995" s="1761">
        <v>848</v>
      </c>
      <c r="AL995" s="1761" t="s">
        <v>2088</v>
      </c>
      <c r="AM995" s="1761">
        <v>846</v>
      </c>
      <c r="AN995" s="1761" t="s">
        <v>5470</v>
      </c>
      <c r="AO995" s="1764"/>
      <c r="AP995" s="1761"/>
      <c r="AQ995" s="1761"/>
      <c r="AR995" s="1761" t="s">
        <v>3348</v>
      </c>
      <c r="AS995" s="1761" t="s">
        <v>2089</v>
      </c>
      <c r="AT995" s="1761" t="s">
        <v>327</v>
      </c>
      <c r="AU995" s="1763"/>
      <c r="AV995" s="1763"/>
    </row>
    <row r="996" spans="1:48" ht="25" hidden="1">
      <c r="A996" s="1785" t="str">
        <f t="shared" si="165"/>
        <v>גמל</v>
      </c>
      <c r="B996" s="1786">
        <f t="shared" si="166"/>
        <v>852</v>
      </c>
      <c r="C996" s="1787">
        <v>28946</v>
      </c>
      <c r="D996" s="1786" t="str">
        <f t="shared" si="167"/>
        <v>שחקים-שיקלי</v>
      </c>
      <c r="E996" s="1786" t="s">
        <v>3929</v>
      </c>
      <c r="F996" s="1786" t="s">
        <v>2958</v>
      </c>
      <c r="G996" s="1786" t="s">
        <v>2959</v>
      </c>
      <c r="H996" s="1786" t="str">
        <f t="shared" si="168"/>
        <v>לא פעיל</v>
      </c>
      <c r="I996" s="1788">
        <f t="shared" si="169"/>
        <v>37847</v>
      </c>
      <c r="J996" s="1788">
        <f t="shared" si="170"/>
        <v>37847</v>
      </c>
      <c r="K996" s="1786">
        <v>0</v>
      </c>
      <c r="L996" s="1786" t="s">
        <v>1594</v>
      </c>
      <c r="M996" s="1786" t="s">
        <v>1653</v>
      </c>
      <c r="N996" s="1786" t="s">
        <v>1653</v>
      </c>
      <c r="O996" s="1786">
        <v>0</v>
      </c>
      <c r="P996" s="1786"/>
      <c r="Q996" s="1786">
        <v>0</v>
      </c>
      <c r="R996" s="1788"/>
      <c r="S996" s="1786">
        <f t="shared" si="171"/>
        <v>846</v>
      </c>
      <c r="T996" s="1786" t="str">
        <f t="shared" si="172"/>
        <v>בנק לאומי בע"מ</v>
      </c>
      <c r="U996" s="1786" t="str">
        <f t="shared" si="173"/>
        <v>שחקים-כללי</v>
      </c>
      <c r="V996" s="1786">
        <f t="shared" si="174"/>
        <v>0</v>
      </c>
      <c r="W996" s="1789" t="str">
        <f t="shared" si="175"/>
        <v>לאומי שירותי שוק ההון בע"מ</v>
      </c>
      <c r="AC996" s="1759" t="s">
        <v>1586</v>
      </c>
      <c r="AD996" s="1760">
        <v>37847</v>
      </c>
      <c r="AE996" s="1760">
        <v>37847</v>
      </c>
      <c r="AF996" s="1759" t="s">
        <v>1583</v>
      </c>
      <c r="AG996" s="1759" t="s">
        <v>1583</v>
      </c>
      <c r="AH996" s="1759" t="s">
        <v>1583</v>
      </c>
      <c r="AI996" s="1759" t="s">
        <v>3350</v>
      </c>
      <c r="AJ996" s="1759" t="s">
        <v>2091</v>
      </c>
      <c r="AK996" s="1759">
        <v>852</v>
      </c>
      <c r="AL996" s="1759" t="s">
        <v>2088</v>
      </c>
      <c r="AM996" s="1759">
        <v>846</v>
      </c>
      <c r="AN996" s="1759" t="s">
        <v>5470</v>
      </c>
      <c r="AO996" s="1764"/>
      <c r="AP996" s="1759"/>
      <c r="AQ996" s="1759"/>
      <c r="AR996" s="1759" t="s">
        <v>3348</v>
      </c>
      <c r="AS996" s="1759" t="s">
        <v>2089</v>
      </c>
      <c r="AT996" s="1759" t="s">
        <v>327</v>
      </c>
      <c r="AU996" s="1763"/>
      <c r="AV996" s="1763"/>
    </row>
    <row r="997" spans="1:48" ht="25" hidden="1">
      <c r="A997" s="1785" t="str">
        <f t="shared" si="165"/>
        <v>גמל</v>
      </c>
      <c r="B997" s="1786">
        <f t="shared" si="166"/>
        <v>850</v>
      </c>
      <c r="C997" s="1787">
        <v>28946</v>
      </c>
      <c r="D997" s="1786" t="str">
        <f t="shared" si="167"/>
        <v>שחקים-שיקלי</v>
      </c>
      <c r="E997" s="1786" t="s">
        <v>3929</v>
      </c>
      <c r="F997" s="1786" t="s">
        <v>2958</v>
      </c>
      <c r="G997" s="1786" t="s">
        <v>2959</v>
      </c>
      <c r="H997" s="1786" t="str">
        <f t="shared" si="168"/>
        <v>לא פעיל</v>
      </c>
      <c r="I997" s="1788">
        <f t="shared" si="169"/>
        <v>37847</v>
      </c>
      <c r="J997" s="1788">
        <f t="shared" si="170"/>
        <v>37847</v>
      </c>
      <c r="K997" s="1786">
        <v>0</v>
      </c>
      <c r="L997" s="1786" t="s">
        <v>1594</v>
      </c>
      <c r="M997" s="1786" t="s">
        <v>1653</v>
      </c>
      <c r="N997" s="1786" t="s">
        <v>1653</v>
      </c>
      <c r="O997" s="1786">
        <v>0</v>
      </c>
      <c r="P997" s="1786"/>
      <c r="Q997" s="1786">
        <v>0</v>
      </c>
      <c r="R997" s="1788"/>
      <c r="S997" s="1786">
        <f t="shared" si="171"/>
        <v>846</v>
      </c>
      <c r="T997" s="1786" t="str">
        <f t="shared" si="172"/>
        <v>בנק לאומי בע"מ</v>
      </c>
      <c r="U997" s="1786" t="str">
        <f t="shared" si="173"/>
        <v>שחקים-כללי</v>
      </c>
      <c r="V997" s="1786">
        <f t="shared" si="174"/>
        <v>0</v>
      </c>
      <c r="W997" s="1789" t="str">
        <f t="shared" si="175"/>
        <v>לאומי שירותי שוק ההון בע"מ</v>
      </c>
      <c r="AC997" s="1761" t="s">
        <v>1586</v>
      </c>
      <c r="AD997" s="1762">
        <v>37847</v>
      </c>
      <c r="AE997" s="1762">
        <v>37847</v>
      </c>
      <c r="AF997" s="1761" t="s">
        <v>1583</v>
      </c>
      <c r="AG997" s="1761" t="s">
        <v>1583</v>
      </c>
      <c r="AH997" s="1761" t="s">
        <v>1583</v>
      </c>
      <c r="AI997" s="1761" t="s">
        <v>3350</v>
      </c>
      <c r="AJ997" s="1761" t="s">
        <v>2091</v>
      </c>
      <c r="AK997" s="1761">
        <v>850</v>
      </c>
      <c r="AL997" s="1761" t="s">
        <v>2088</v>
      </c>
      <c r="AM997" s="1761">
        <v>846</v>
      </c>
      <c r="AN997" s="1761" t="s">
        <v>5470</v>
      </c>
      <c r="AO997" s="1764"/>
      <c r="AP997" s="1761"/>
      <c r="AQ997" s="1761"/>
      <c r="AR997" s="1761" t="s">
        <v>3348</v>
      </c>
      <c r="AS997" s="1761" t="s">
        <v>2089</v>
      </c>
      <c r="AT997" s="1761" t="s">
        <v>327</v>
      </c>
      <c r="AU997" s="1763"/>
      <c r="AV997" s="1763"/>
    </row>
    <row r="998" spans="1:48" ht="25" hidden="1">
      <c r="A998" s="1785" t="str">
        <f t="shared" si="165"/>
        <v>גמל</v>
      </c>
      <c r="B998" s="1786">
        <f t="shared" si="166"/>
        <v>851</v>
      </c>
      <c r="C998" s="1787">
        <v>28946</v>
      </c>
      <c r="D998" s="1786" t="str">
        <f t="shared" si="167"/>
        <v>שחקים-צמוד מדד</v>
      </c>
      <c r="E998" s="1786" t="s">
        <v>3929</v>
      </c>
      <c r="F998" s="1786" t="s">
        <v>2958</v>
      </c>
      <c r="G998" s="1786" t="s">
        <v>2959</v>
      </c>
      <c r="H998" s="1786" t="str">
        <f t="shared" si="168"/>
        <v>לא פעיל</v>
      </c>
      <c r="I998" s="1788">
        <f t="shared" si="169"/>
        <v>37847</v>
      </c>
      <c r="J998" s="1788">
        <f t="shared" si="170"/>
        <v>37847</v>
      </c>
      <c r="K998" s="1786">
        <v>0</v>
      </c>
      <c r="L998" s="1786" t="s">
        <v>1594</v>
      </c>
      <c r="M998" s="1786" t="s">
        <v>1653</v>
      </c>
      <c r="N998" s="1786" t="s">
        <v>1653</v>
      </c>
      <c r="O998" s="1786">
        <v>0</v>
      </c>
      <c r="P998" s="1786"/>
      <c r="Q998" s="1786">
        <v>0</v>
      </c>
      <c r="R998" s="1788"/>
      <c r="S998" s="1786">
        <f t="shared" si="171"/>
        <v>846</v>
      </c>
      <c r="T998" s="1786" t="str">
        <f t="shared" si="172"/>
        <v>בנק לאומי בע"מ</v>
      </c>
      <c r="U998" s="1786" t="str">
        <f t="shared" si="173"/>
        <v>שחקים-כללי</v>
      </c>
      <c r="V998" s="1786">
        <f t="shared" si="174"/>
        <v>0</v>
      </c>
      <c r="W998" s="1789" t="str">
        <f t="shared" si="175"/>
        <v>לאומי שירותי שוק ההון בע"מ</v>
      </c>
      <c r="AC998" s="1759" t="s">
        <v>1586</v>
      </c>
      <c r="AD998" s="1760">
        <v>37847</v>
      </c>
      <c r="AE998" s="1760">
        <v>37847</v>
      </c>
      <c r="AF998" s="1759" t="s">
        <v>1583</v>
      </c>
      <c r="AG998" s="1759" t="s">
        <v>1583</v>
      </c>
      <c r="AH998" s="1759" t="s">
        <v>1583</v>
      </c>
      <c r="AI998" s="1759" t="s">
        <v>3351</v>
      </c>
      <c r="AJ998" s="1759" t="s">
        <v>2090</v>
      </c>
      <c r="AK998" s="1759">
        <v>851</v>
      </c>
      <c r="AL998" s="1759" t="s">
        <v>2088</v>
      </c>
      <c r="AM998" s="1759">
        <v>846</v>
      </c>
      <c r="AN998" s="1759" t="s">
        <v>5470</v>
      </c>
      <c r="AO998" s="1764"/>
      <c r="AP998" s="1759"/>
      <c r="AQ998" s="1759"/>
      <c r="AR998" s="1759" t="s">
        <v>3348</v>
      </c>
      <c r="AS998" s="1759" t="s">
        <v>2089</v>
      </c>
      <c r="AT998" s="1759" t="s">
        <v>327</v>
      </c>
      <c r="AU998" s="1763"/>
      <c r="AV998" s="1763"/>
    </row>
    <row r="999" spans="1:48" ht="25" hidden="1">
      <c r="A999" s="1785" t="str">
        <f t="shared" si="165"/>
        <v>גמל</v>
      </c>
      <c r="B999" s="1786">
        <f t="shared" si="166"/>
        <v>849</v>
      </c>
      <c r="C999" s="1787">
        <v>28946</v>
      </c>
      <c r="D999" s="1786" t="str">
        <f t="shared" si="167"/>
        <v>שחקים-צמוד מדד</v>
      </c>
      <c r="E999" s="1786" t="s">
        <v>3929</v>
      </c>
      <c r="F999" s="1786" t="s">
        <v>2958</v>
      </c>
      <c r="G999" s="1786" t="s">
        <v>2959</v>
      </c>
      <c r="H999" s="1786" t="str">
        <f t="shared" si="168"/>
        <v>לא פעיל</v>
      </c>
      <c r="I999" s="1788">
        <f t="shared" si="169"/>
        <v>37847</v>
      </c>
      <c r="J999" s="1788">
        <f t="shared" si="170"/>
        <v>37847</v>
      </c>
      <c r="K999" s="1786">
        <v>0</v>
      </c>
      <c r="L999" s="1786" t="s">
        <v>1594</v>
      </c>
      <c r="M999" s="1786" t="s">
        <v>1653</v>
      </c>
      <c r="N999" s="1786" t="s">
        <v>1653</v>
      </c>
      <c r="O999" s="1786">
        <v>0</v>
      </c>
      <c r="P999" s="1786"/>
      <c r="Q999" s="1786">
        <v>0</v>
      </c>
      <c r="R999" s="1788"/>
      <c r="S999" s="1786">
        <f t="shared" si="171"/>
        <v>846</v>
      </c>
      <c r="T999" s="1786" t="str">
        <f t="shared" si="172"/>
        <v>בנק לאומי בע"מ</v>
      </c>
      <c r="U999" s="1786" t="str">
        <f t="shared" si="173"/>
        <v>שחקים-כללי</v>
      </c>
      <c r="V999" s="1786">
        <f t="shared" si="174"/>
        <v>0</v>
      </c>
      <c r="W999" s="1789" t="str">
        <f t="shared" si="175"/>
        <v>לאומי שירותי שוק ההון בע"מ</v>
      </c>
      <c r="AC999" s="1761" t="s">
        <v>1586</v>
      </c>
      <c r="AD999" s="1762">
        <v>37847</v>
      </c>
      <c r="AE999" s="1762">
        <v>37847</v>
      </c>
      <c r="AF999" s="1761" t="s">
        <v>1583</v>
      </c>
      <c r="AG999" s="1761" t="s">
        <v>1583</v>
      </c>
      <c r="AH999" s="1761" t="s">
        <v>1583</v>
      </c>
      <c r="AI999" s="1761" t="s">
        <v>3349</v>
      </c>
      <c r="AJ999" s="1761" t="s">
        <v>2090</v>
      </c>
      <c r="AK999" s="1761">
        <v>849</v>
      </c>
      <c r="AL999" s="1761" t="s">
        <v>2088</v>
      </c>
      <c r="AM999" s="1761">
        <v>846</v>
      </c>
      <c r="AN999" s="1761" t="s">
        <v>5470</v>
      </c>
      <c r="AO999" s="1764"/>
      <c r="AP999" s="1761"/>
      <c r="AQ999" s="1761"/>
      <c r="AR999" s="1761" t="s">
        <v>3348</v>
      </c>
      <c r="AS999" s="1761" t="s">
        <v>2089</v>
      </c>
      <c r="AT999" s="1761" t="s">
        <v>327</v>
      </c>
      <c r="AU999" s="1763"/>
      <c r="AV999" s="1763"/>
    </row>
    <row r="1000" spans="1:48" ht="25" hidden="1">
      <c r="A1000" s="1785" t="str">
        <f t="shared" si="165"/>
        <v>גמל</v>
      </c>
      <c r="B1000" s="1786">
        <f t="shared" si="166"/>
        <v>843</v>
      </c>
      <c r="C1000" s="1787">
        <v>28946</v>
      </c>
      <c r="D1000" s="1786" t="str">
        <f t="shared" si="167"/>
        <v>פסגות מגוון מסלול מניות חו"ל</v>
      </c>
      <c r="E1000" s="1786" t="s">
        <v>3929</v>
      </c>
      <c r="F1000" s="1786" t="s">
        <v>2958</v>
      </c>
      <c r="G1000" s="1786" t="s">
        <v>2959</v>
      </c>
      <c r="H1000" s="1786" t="str">
        <f t="shared" si="168"/>
        <v>לא פעיל</v>
      </c>
      <c r="I1000" s="1788">
        <f t="shared" si="169"/>
        <v>37802</v>
      </c>
      <c r="J1000" s="1788">
        <f t="shared" si="170"/>
        <v>40134.382083333301</v>
      </c>
      <c r="K1000" s="1786">
        <v>0</v>
      </c>
      <c r="L1000" s="1786" t="s">
        <v>1594</v>
      </c>
      <c r="M1000" s="1786" t="s">
        <v>1653</v>
      </c>
      <c r="N1000" s="1786" t="s">
        <v>1653</v>
      </c>
      <c r="O1000" s="1786">
        <v>0</v>
      </c>
      <c r="P1000" s="1786"/>
      <c r="Q1000" s="1786">
        <v>0</v>
      </c>
      <c r="R1000" s="1788"/>
      <c r="S1000" s="1786">
        <f t="shared" si="171"/>
        <v>843</v>
      </c>
      <c r="T1000" s="1786" t="str">
        <f t="shared" si="172"/>
        <v>בנק הפועלים בע"מ</v>
      </c>
      <c r="U1000" s="1786" t="str">
        <f t="shared" si="173"/>
        <v>פסגות מגוון מסלול מניות חו"ל</v>
      </c>
      <c r="V1000" s="1786" t="str">
        <f t="shared" si="174"/>
        <v>513767079</v>
      </c>
      <c r="W1000" s="1789" t="str">
        <f t="shared" si="175"/>
        <v>פסגות קופות גמל ופנסיה בע"מ</v>
      </c>
      <c r="AC1000" s="1759" t="s">
        <v>1586</v>
      </c>
      <c r="AD1000" s="1760">
        <v>40134.382083333301</v>
      </c>
      <c r="AE1000" s="1760">
        <v>37802</v>
      </c>
      <c r="AF1000" s="1759" t="s">
        <v>1948</v>
      </c>
      <c r="AG1000" s="1759" t="s">
        <v>75</v>
      </c>
      <c r="AH1000" s="1759" t="s">
        <v>1594</v>
      </c>
      <c r="AI1000" s="1759" t="s">
        <v>3347</v>
      </c>
      <c r="AJ1000" s="1759" t="s">
        <v>2085</v>
      </c>
      <c r="AK1000" s="1759">
        <v>843</v>
      </c>
      <c r="AL1000" s="1759" t="s">
        <v>2085</v>
      </c>
      <c r="AM1000" s="1759">
        <v>843</v>
      </c>
      <c r="AN1000" s="1759" t="s">
        <v>1695</v>
      </c>
      <c r="AO1000" s="1764"/>
      <c r="AP1000" s="1759" t="s">
        <v>5365</v>
      </c>
      <c r="AQ1000" s="1759" t="s">
        <v>5366</v>
      </c>
      <c r="AR1000" s="1759" t="s">
        <v>351</v>
      </c>
      <c r="AS1000" s="1759" t="s">
        <v>352</v>
      </c>
      <c r="AT1000" s="1759" t="s">
        <v>327</v>
      </c>
      <c r="AU1000" s="1763"/>
      <c r="AV1000" s="1763"/>
    </row>
    <row r="1001" spans="1:48" ht="25" hidden="1">
      <c r="A1001" s="1785" t="str">
        <f t="shared" si="165"/>
        <v>גמל</v>
      </c>
      <c r="B1001" s="1786">
        <f t="shared" si="166"/>
        <v>150</v>
      </c>
      <c r="C1001" s="1787">
        <v>28946</v>
      </c>
      <c r="D1001" s="1786" t="str">
        <f t="shared" si="167"/>
        <v>פסגות שיא פיצויים כללי</v>
      </c>
      <c r="E1001" s="1786" t="s">
        <v>3929</v>
      </c>
      <c r="F1001" s="1786" t="s">
        <v>2958</v>
      </c>
      <c r="G1001" s="1786" t="s">
        <v>2959</v>
      </c>
      <c r="H1001" s="1786" t="str">
        <f t="shared" si="168"/>
        <v>פעיל</v>
      </c>
      <c r="I1001" s="1788">
        <f t="shared" si="169"/>
        <v>37802</v>
      </c>
      <c r="J1001" s="1788" t="str">
        <f t="shared" si="170"/>
        <v/>
      </c>
      <c r="K1001" s="1786">
        <v>0</v>
      </c>
      <c r="L1001" s="1786" t="s">
        <v>1594</v>
      </c>
      <c r="M1001" s="1786" t="s">
        <v>1653</v>
      </c>
      <c r="N1001" s="1786" t="s">
        <v>1653</v>
      </c>
      <c r="O1001" s="1786">
        <v>0</v>
      </c>
      <c r="P1001" s="1786"/>
      <c r="Q1001" s="1786">
        <v>0</v>
      </c>
      <c r="R1001" s="1788"/>
      <c r="S1001" s="1786">
        <f t="shared" si="171"/>
        <v>839</v>
      </c>
      <c r="T1001" s="1786" t="str">
        <f t="shared" si="172"/>
        <v>בנק הפועלים בע"מ</v>
      </c>
      <c r="U1001" s="1786" t="str">
        <f t="shared" si="173"/>
        <v>פסגות שיא פיצויים כספית</v>
      </c>
      <c r="V1001" s="1786" t="str">
        <f t="shared" si="174"/>
        <v>513767079</v>
      </c>
      <c r="W1001" s="1789" t="str">
        <f t="shared" si="175"/>
        <v>פסגות קופות גמל ופנסיה בע"מ</v>
      </c>
      <c r="AC1001" s="1761" t="s">
        <v>346</v>
      </c>
      <c r="AD1001" s="1761"/>
      <c r="AE1001" s="1762">
        <v>37802</v>
      </c>
      <c r="AF1001" s="1761" t="s">
        <v>1583</v>
      </c>
      <c r="AG1001" s="1761" t="s">
        <v>1583</v>
      </c>
      <c r="AH1001" s="1761" t="s">
        <v>1583</v>
      </c>
      <c r="AI1001" s="1761" t="s">
        <v>1631</v>
      </c>
      <c r="AJ1001" s="1761" t="s">
        <v>1631</v>
      </c>
      <c r="AK1001" s="1761">
        <v>150</v>
      </c>
      <c r="AL1001" s="1761" t="s">
        <v>619</v>
      </c>
      <c r="AM1001" s="1761">
        <v>839</v>
      </c>
      <c r="AN1001" s="1761" t="s">
        <v>1695</v>
      </c>
      <c r="AO1001" s="1764"/>
      <c r="AP1001" s="1761" t="s">
        <v>5365</v>
      </c>
      <c r="AQ1001" s="1761" t="s">
        <v>5366</v>
      </c>
      <c r="AR1001" s="1761" t="s">
        <v>351</v>
      </c>
      <c r="AS1001" s="1761" t="s">
        <v>352</v>
      </c>
      <c r="AT1001" s="1761" t="s">
        <v>327</v>
      </c>
      <c r="AU1001" s="1763"/>
      <c r="AV1001" s="1763"/>
    </row>
    <row r="1002" spans="1:48" ht="25" hidden="1">
      <c r="A1002" s="1785" t="str">
        <f t="shared" si="165"/>
        <v>גמל</v>
      </c>
      <c r="B1002" s="1786">
        <f t="shared" si="166"/>
        <v>839</v>
      </c>
      <c r="C1002" s="1787">
        <v>28946</v>
      </c>
      <c r="D1002" s="1786" t="str">
        <f t="shared" si="167"/>
        <v>פסגות שיא פיצויים כספית</v>
      </c>
      <c r="E1002" s="1786" t="s">
        <v>3929</v>
      </c>
      <c r="F1002" s="1786" t="s">
        <v>2958</v>
      </c>
      <c r="G1002" s="1786" t="s">
        <v>2959</v>
      </c>
      <c r="H1002" s="1786" t="str">
        <f t="shared" si="168"/>
        <v>פעיל</v>
      </c>
      <c r="I1002" s="1788">
        <f t="shared" si="169"/>
        <v>37802</v>
      </c>
      <c r="J1002" s="1788" t="str">
        <f t="shared" si="170"/>
        <v/>
      </c>
      <c r="K1002" s="1786">
        <v>0</v>
      </c>
      <c r="L1002" s="1786" t="s">
        <v>1594</v>
      </c>
      <c r="M1002" s="1786" t="s">
        <v>1653</v>
      </c>
      <c r="N1002" s="1786" t="s">
        <v>1653</v>
      </c>
      <c r="O1002" s="1786">
        <v>0</v>
      </c>
      <c r="P1002" s="1786"/>
      <c r="Q1002" s="1786">
        <v>0</v>
      </c>
      <c r="R1002" s="1788"/>
      <c r="S1002" s="1786">
        <f t="shared" si="171"/>
        <v>839</v>
      </c>
      <c r="T1002" s="1786" t="str">
        <f t="shared" si="172"/>
        <v>בנק הפועלים בע"מ</v>
      </c>
      <c r="U1002" s="1786" t="str">
        <f t="shared" si="173"/>
        <v>פסגות שיא פיצויים כספית</v>
      </c>
      <c r="V1002" s="1786" t="str">
        <f t="shared" si="174"/>
        <v>513767079</v>
      </c>
      <c r="W1002" s="1789" t="str">
        <f t="shared" si="175"/>
        <v>פסגות קופות גמל ופנסיה בע"מ</v>
      </c>
      <c r="AC1002" s="1759" t="s">
        <v>346</v>
      </c>
      <c r="AD1002" s="1759"/>
      <c r="AE1002" s="1760">
        <v>37802</v>
      </c>
      <c r="AF1002" s="1759" t="s">
        <v>2409</v>
      </c>
      <c r="AG1002" s="1759" t="s">
        <v>1614</v>
      </c>
      <c r="AH1002" s="1759" t="s">
        <v>1594</v>
      </c>
      <c r="AI1002" s="1759" t="s">
        <v>619</v>
      </c>
      <c r="AJ1002" s="1759" t="s">
        <v>619</v>
      </c>
      <c r="AK1002" s="1759">
        <v>839</v>
      </c>
      <c r="AL1002" s="1759" t="s">
        <v>619</v>
      </c>
      <c r="AM1002" s="1759">
        <v>839</v>
      </c>
      <c r="AN1002" s="1759" t="s">
        <v>1695</v>
      </c>
      <c r="AO1002" s="1764"/>
      <c r="AP1002" s="1759" t="s">
        <v>5365</v>
      </c>
      <c r="AQ1002" s="1759" t="s">
        <v>5366</v>
      </c>
      <c r="AR1002" s="1759" t="s">
        <v>351</v>
      </c>
      <c r="AS1002" s="1759" t="s">
        <v>352</v>
      </c>
      <c r="AT1002" s="1759" t="s">
        <v>327</v>
      </c>
      <c r="AU1002" s="1763"/>
      <c r="AV1002" s="1763"/>
    </row>
    <row r="1003" spans="1:48" ht="25" hidden="1">
      <c r="A1003" s="1785" t="str">
        <f t="shared" si="165"/>
        <v>גמל</v>
      </c>
      <c r="B1003" s="1786">
        <f t="shared" si="166"/>
        <v>840</v>
      </c>
      <c r="C1003" s="1787">
        <v>28946</v>
      </c>
      <c r="D1003" s="1786" t="str">
        <f t="shared" si="167"/>
        <v>פסגות שיא פיצויים שקלית ללא מניות</v>
      </c>
      <c r="E1003" s="1786" t="s">
        <v>3929</v>
      </c>
      <c r="F1003" s="1786" t="s">
        <v>2958</v>
      </c>
      <c r="G1003" s="1786" t="s">
        <v>2959</v>
      </c>
      <c r="H1003" s="1786" t="str">
        <f t="shared" si="168"/>
        <v>פעיל</v>
      </c>
      <c r="I1003" s="1788">
        <f t="shared" si="169"/>
        <v>37802</v>
      </c>
      <c r="J1003" s="1788" t="str">
        <f t="shared" si="170"/>
        <v/>
      </c>
      <c r="K1003" s="1786">
        <v>0</v>
      </c>
      <c r="L1003" s="1786" t="s">
        <v>1594</v>
      </c>
      <c r="M1003" s="1786" t="s">
        <v>1653</v>
      </c>
      <c r="N1003" s="1786" t="s">
        <v>1653</v>
      </c>
      <c r="O1003" s="1786">
        <v>0</v>
      </c>
      <c r="P1003" s="1786"/>
      <c r="Q1003" s="1786">
        <v>0</v>
      </c>
      <c r="R1003" s="1788"/>
      <c r="S1003" s="1786">
        <f t="shared" si="171"/>
        <v>839</v>
      </c>
      <c r="T1003" s="1786" t="str">
        <f t="shared" si="172"/>
        <v>בנק הפועלים בע"מ</v>
      </c>
      <c r="U1003" s="1786" t="str">
        <f t="shared" si="173"/>
        <v>פסגות שיא פיצויים כספית</v>
      </c>
      <c r="V1003" s="1786" t="str">
        <f t="shared" si="174"/>
        <v>513767079</v>
      </c>
      <c r="W1003" s="1789" t="str">
        <f t="shared" si="175"/>
        <v>פסגות קופות גמל ופנסיה בע"מ</v>
      </c>
      <c r="AC1003" s="1761" t="s">
        <v>346</v>
      </c>
      <c r="AD1003" s="1761"/>
      <c r="AE1003" s="1762">
        <v>37802</v>
      </c>
      <c r="AF1003" s="1761" t="s">
        <v>1076</v>
      </c>
      <c r="AG1003" s="1761" t="s">
        <v>1614</v>
      </c>
      <c r="AH1003" s="1761" t="s">
        <v>1594</v>
      </c>
      <c r="AI1003" s="1761" t="s">
        <v>2082</v>
      </c>
      <c r="AJ1003" s="1761" t="s">
        <v>2082</v>
      </c>
      <c r="AK1003" s="1761">
        <v>840</v>
      </c>
      <c r="AL1003" s="1761" t="s">
        <v>619</v>
      </c>
      <c r="AM1003" s="1761">
        <v>839</v>
      </c>
      <c r="AN1003" s="1761" t="s">
        <v>1695</v>
      </c>
      <c r="AO1003" s="1764"/>
      <c r="AP1003" s="1761" t="s">
        <v>5365</v>
      </c>
      <c r="AQ1003" s="1761" t="s">
        <v>5366</v>
      </c>
      <c r="AR1003" s="1761" t="s">
        <v>351</v>
      </c>
      <c r="AS1003" s="1761" t="s">
        <v>352</v>
      </c>
      <c r="AT1003" s="1761" t="s">
        <v>327</v>
      </c>
      <c r="AU1003" s="1763"/>
      <c r="AV1003" s="1763"/>
    </row>
    <row r="1004" spans="1:48" ht="25" hidden="1">
      <c r="A1004" s="1785" t="str">
        <f t="shared" si="165"/>
        <v>גמל</v>
      </c>
      <c r="B1004" s="1786">
        <f t="shared" si="166"/>
        <v>845</v>
      </c>
      <c r="C1004" s="1787">
        <v>28946</v>
      </c>
      <c r="D1004" s="1786" t="str">
        <f t="shared" si="167"/>
        <v>פסגות שיא פיצויים עד 10% מניות</v>
      </c>
      <c r="E1004" s="1786" t="s">
        <v>3929</v>
      </c>
      <c r="F1004" s="1786" t="s">
        <v>2958</v>
      </c>
      <c r="G1004" s="1786" t="s">
        <v>2959</v>
      </c>
      <c r="H1004" s="1786" t="str">
        <f t="shared" si="168"/>
        <v>פעיל</v>
      </c>
      <c r="I1004" s="1788">
        <f t="shared" si="169"/>
        <v>37802</v>
      </c>
      <c r="J1004" s="1788" t="str">
        <f t="shared" si="170"/>
        <v/>
      </c>
      <c r="K1004" s="1786">
        <v>0</v>
      </c>
      <c r="L1004" s="1786" t="s">
        <v>1594</v>
      </c>
      <c r="M1004" s="1786" t="s">
        <v>1653</v>
      </c>
      <c r="N1004" s="1786" t="s">
        <v>1653</v>
      </c>
      <c r="O1004" s="1786">
        <v>0</v>
      </c>
      <c r="P1004" s="1786"/>
      <c r="Q1004" s="1786">
        <v>0</v>
      </c>
      <c r="R1004" s="1788"/>
      <c r="S1004" s="1786">
        <f t="shared" si="171"/>
        <v>839</v>
      </c>
      <c r="T1004" s="1786" t="str">
        <f t="shared" si="172"/>
        <v>בנק הפועלים בע"מ</v>
      </c>
      <c r="U1004" s="1786" t="str">
        <f t="shared" si="173"/>
        <v>פסגות שיא פיצויים כספית</v>
      </c>
      <c r="V1004" s="1786" t="str">
        <f t="shared" si="174"/>
        <v>513767079</v>
      </c>
      <c r="W1004" s="1789" t="str">
        <f t="shared" si="175"/>
        <v>פסגות קופות גמל ופנסיה בע"מ</v>
      </c>
      <c r="AC1004" s="1759" t="s">
        <v>346</v>
      </c>
      <c r="AD1004" s="1759"/>
      <c r="AE1004" s="1760">
        <v>37802</v>
      </c>
      <c r="AF1004" s="1759" t="s">
        <v>2025</v>
      </c>
      <c r="AG1004" s="1759" t="s">
        <v>1583</v>
      </c>
      <c r="AH1004" s="1759" t="s">
        <v>1583</v>
      </c>
      <c r="AI1004" s="1759" t="s">
        <v>2087</v>
      </c>
      <c r="AJ1004" s="1759" t="s">
        <v>2087</v>
      </c>
      <c r="AK1004" s="1759">
        <v>845</v>
      </c>
      <c r="AL1004" s="1759" t="s">
        <v>619</v>
      </c>
      <c r="AM1004" s="1759">
        <v>839</v>
      </c>
      <c r="AN1004" s="1759" t="s">
        <v>1695</v>
      </c>
      <c r="AO1004" s="1764"/>
      <c r="AP1004" s="1759" t="s">
        <v>5365</v>
      </c>
      <c r="AQ1004" s="1759" t="s">
        <v>5366</v>
      </c>
      <c r="AR1004" s="1759" t="s">
        <v>351</v>
      </c>
      <c r="AS1004" s="1759" t="s">
        <v>352</v>
      </c>
      <c r="AT1004" s="1759" t="s">
        <v>327</v>
      </c>
      <c r="AU1004" s="1763"/>
      <c r="AV1004" s="1763"/>
    </row>
    <row r="1005" spans="1:48" ht="25" hidden="1">
      <c r="A1005" s="1785" t="str">
        <f t="shared" si="165"/>
        <v>גמל</v>
      </c>
      <c r="B1005" s="1786">
        <f t="shared" si="166"/>
        <v>842</v>
      </c>
      <c r="C1005" s="1787">
        <v>28946</v>
      </c>
      <c r="D1005" s="1786" t="str">
        <f t="shared" si="167"/>
        <v>פסגות שיא פיצויים מדדית ללא מניות</v>
      </c>
      <c r="E1005" s="1786" t="s">
        <v>3929</v>
      </c>
      <c r="F1005" s="1786" t="s">
        <v>2958</v>
      </c>
      <c r="G1005" s="1786" t="s">
        <v>2959</v>
      </c>
      <c r="H1005" s="1786" t="str">
        <f t="shared" si="168"/>
        <v>פעיל</v>
      </c>
      <c r="I1005" s="1788">
        <f t="shared" si="169"/>
        <v>37802</v>
      </c>
      <c r="J1005" s="1788" t="str">
        <f t="shared" si="170"/>
        <v/>
      </c>
      <c r="K1005" s="1786">
        <v>0</v>
      </c>
      <c r="L1005" s="1786" t="s">
        <v>1594</v>
      </c>
      <c r="M1005" s="1786" t="s">
        <v>1653</v>
      </c>
      <c r="N1005" s="1786" t="s">
        <v>1653</v>
      </c>
      <c r="O1005" s="1786">
        <v>0</v>
      </c>
      <c r="P1005" s="1786"/>
      <c r="Q1005" s="1786">
        <v>0</v>
      </c>
      <c r="R1005" s="1788"/>
      <c r="S1005" s="1786">
        <f t="shared" si="171"/>
        <v>839</v>
      </c>
      <c r="T1005" s="1786" t="str">
        <f t="shared" si="172"/>
        <v>בנק הפועלים בע"מ</v>
      </c>
      <c r="U1005" s="1786" t="str">
        <f t="shared" si="173"/>
        <v>פסגות שיא פיצויים כספית</v>
      </c>
      <c r="V1005" s="1786" t="str">
        <f t="shared" si="174"/>
        <v>513767079</v>
      </c>
      <c r="W1005" s="1789" t="str">
        <f t="shared" si="175"/>
        <v>פסגות קופות גמל ופנסיה בע"מ</v>
      </c>
      <c r="AC1005" s="1761" t="s">
        <v>346</v>
      </c>
      <c r="AD1005" s="1761"/>
      <c r="AE1005" s="1762">
        <v>37802</v>
      </c>
      <c r="AF1005" s="1761" t="s">
        <v>1871</v>
      </c>
      <c r="AG1005" s="1761" t="s">
        <v>1094</v>
      </c>
      <c r="AH1005" s="1761" t="s">
        <v>1594</v>
      </c>
      <c r="AI1005" s="1761" t="s">
        <v>2084</v>
      </c>
      <c r="AJ1005" s="1761" t="s">
        <v>2084</v>
      </c>
      <c r="AK1005" s="1761">
        <v>842</v>
      </c>
      <c r="AL1005" s="1761" t="s">
        <v>619</v>
      </c>
      <c r="AM1005" s="1761">
        <v>839</v>
      </c>
      <c r="AN1005" s="1761" t="s">
        <v>1695</v>
      </c>
      <c r="AO1005" s="1764"/>
      <c r="AP1005" s="1761" t="s">
        <v>5365</v>
      </c>
      <c r="AQ1005" s="1761" t="s">
        <v>5366</v>
      </c>
      <c r="AR1005" s="1761" t="s">
        <v>351</v>
      </c>
      <c r="AS1005" s="1761" t="s">
        <v>352</v>
      </c>
      <c r="AT1005" s="1761" t="s">
        <v>327</v>
      </c>
      <c r="AU1005" s="1763"/>
      <c r="AV1005" s="1763"/>
    </row>
    <row r="1006" spans="1:48" ht="25" hidden="1">
      <c r="A1006" s="1785" t="str">
        <f t="shared" si="165"/>
        <v>גמל</v>
      </c>
      <c r="B1006" s="1786">
        <f t="shared" si="166"/>
        <v>844</v>
      </c>
      <c r="C1006" s="1787">
        <v>28946</v>
      </c>
      <c r="D1006" s="1786" t="str">
        <f t="shared" si="167"/>
        <v>פסגות שיא פיצויים מניות</v>
      </c>
      <c r="E1006" s="1786" t="s">
        <v>3929</v>
      </c>
      <c r="F1006" s="1786" t="s">
        <v>2958</v>
      </c>
      <c r="G1006" s="1786" t="s">
        <v>2959</v>
      </c>
      <c r="H1006" s="1786" t="str">
        <f t="shared" si="168"/>
        <v>פעיל</v>
      </c>
      <c r="I1006" s="1788">
        <f t="shared" si="169"/>
        <v>37802</v>
      </c>
      <c r="J1006" s="1788" t="str">
        <f t="shared" si="170"/>
        <v/>
      </c>
      <c r="K1006" s="1786">
        <v>0</v>
      </c>
      <c r="L1006" s="1786" t="s">
        <v>1594</v>
      </c>
      <c r="M1006" s="1786" t="s">
        <v>1653</v>
      </c>
      <c r="N1006" s="1786" t="s">
        <v>1653</v>
      </c>
      <c r="O1006" s="1786">
        <v>0</v>
      </c>
      <c r="P1006" s="1786"/>
      <c r="Q1006" s="1786">
        <v>0</v>
      </c>
      <c r="R1006" s="1788"/>
      <c r="S1006" s="1786">
        <f t="shared" si="171"/>
        <v>839</v>
      </c>
      <c r="T1006" s="1786" t="str">
        <f t="shared" si="172"/>
        <v>בנק הפועלים בע"מ</v>
      </c>
      <c r="U1006" s="1786" t="str">
        <f t="shared" si="173"/>
        <v>פסגות שיא פיצויים כספית</v>
      </c>
      <c r="V1006" s="1786" t="str">
        <f t="shared" si="174"/>
        <v>513767079</v>
      </c>
      <c r="W1006" s="1789" t="str">
        <f t="shared" si="175"/>
        <v>פסגות קופות גמל ופנסיה בע"מ</v>
      </c>
      <c r="AC1006" s="1759" t="s">
        <v>346</v>
      </c>
      <c r="AD1006" s="1759"/>
      <c r="AE1006" s="1760">
        <v>37802</v>
      </c>
      <c r="AF1006" s="1759" t="s">
        <v>1595</v>
      </c>
      <c r="AG1006" s="1759" t="s">
        <v>75</v>
      </c>
      <c r="AH1006" s="1759" t="s">
        <v>1594</v>
      </c>
      <c r="AI1006" s="1759" t="s">
        <v>2086</v>
      </c>
      <c r="AJ1006" s="1759" t="s">
        <v>2086</v>
      </c>
      <c r="AK1006" s="1759">
        <v>844</v>
      </c>
      <c r="AL1006" s="1759" t="s">
        <v>619</v>
      </c>
      <c r="AM1006" s="1759">
        <v>839</v>
      </c>
      <c r="AN1006" s="1759" t="s">
        <v>1695</v>
      </c>
      <c r="AO1006" s="1764"/>
      <c r="AP1006" s="1759" t="s">
        <v>5365</v>
      </c>
      <c r="AQ1006" s="1759" t="s">
        <v>5366</v>
      </c>
      <c r="AR1006" s="1759" t="s">
        <v>351</v>
      </c>
      <c r="AS1006" s="1759" t="s">
        <v>352</v>
      </c>
      <c r="AT1006" s="1759" t="s">
        <v>327</v>
      </c>
      <c r="AU1006" s="1763"/>
      <c r="AV1006" s="1763"/>
    </row>
    <row r="1007" spans="1:48" ht="25" hidden="1">
      <c r="A1007" s="1785" t="str">
        <f t="shared" si="165"/>
        <v>גמל</v>
      </c>
      <c r="B1007" s="1786">
        <f t="shared" si="166"/>
        <v>841</v>
      </c>
      <c r="C1007" s="1787">
        <v>28946</v>
      </c>
      <c r="D1007" s="1786" t="str">
        <f t="shared" si="167"/>
        <v>פריזמה מגוון מסלול צמוד מדד לטווח בינוני</v>
      </c>
      <c r="E1007" s="1786" t="s">
        <v>3929</v>
      </c>
      <c r="F1007" s="1786" t="s">
        <v>2958</v>
      </c>
      <c r="G1007" s="1786" t="s">
        <v>2959</v>
      </c>
      <c r="H1007" s="1786" t="str">
        <f t="shared" si="168"/>
        <v>לא פעיל</v>
      </c>
      <c r="I1007" s="1788">
        <f t="shared" si="169"/>
        <v>37802</v>
      </c>
      <c r="J1007" s="1788">
        <f t="shared" si="170"/>
        <v>38717</v>
      </c>
      <c r="K1007" s="1786">
        <v>0</v>
      </c>
      <c r="L1007" s="1786" t="s">
        <v>1594</v>
      </c>
      <c r="M1007" s="1786" t="s">
        <v>1653</v>
      </c>
      <c r="N1007" s="1786" t="s">
        <v>1653</v>
      </c>
      <c r="O1007" s="1786">
        <v>0</v>
      </c>
      <c r="P1007" s="1786"/>
      <c r="Q1007" s="1786">
        <v>0</v>
      </c>
      <c r="R1007" s="1788"/>
      <c r="S1007" s="1786">
        <f t="shared" si="171"/>
        <v>839</v>
      </c>
      <c r="T1007" s="1786" t="str">
        <f t="shared" si="172"/>
        <v>בנק הפועלים בע"מ</v>
      </c>
      <c r="U1007" s="1786" t="str">
        <f t="shared" si="173"/>
        <v>פריזמה מגוון מסלול כספית טווח קצר</v>
      </c>
      <c r="V1007" s="1786">
        <f t="shared" si="174"/>
        <v>0</v>
      </c>
      <c r="W1007" s="1789" t="str">
        <f t="shared" si="175"/>
        <v>קובץ - חברה לניהול קופ"ג בע"מ</v>
      </c>
      <c r="AC1007" s="1761" t="s">
        <v>1586</v>
      </c>
      <c r="AD1007" s="1762">
        <v>38717</v>
      </c>
      <c r="AE1007" s="1762">
        <v>37802</v>
      </c>
      <c r="AF1007" s="1761" t="s">
        <v>1583</v>
      </c>
      <c r="AG1007" s="1761" t="s">
        <v>1583</v>
      </c>
      <c r="AH1007" s="1761" t="s">
        <v>1583</v>
      </c>
      <c r="AI1007" s="1761" t="s">
        <v>3343</v>
      </c>
      <c r="AJ1007" s="1761" t="s">
        <v>2083</v>
      </c>
      <c r="AK1007" s="1761">
        <v>841</v>
      </c>
      <c r="AL1007" s="1761" t="s">
        <v>3344</v>
      </c>
      <c r="AM1007" s="1761">
        <v>839</v>
      </c>
      <c r="AN1007" s="1761" t="s">
        <v>1695</v>
      </c>
      <c r="AO1007" s="1764"/>
      <c r="AP1007" s="1761"/>
      <c r="AQ1007" s="1761"/>
      <c r="AR1007" s="1761" t="s">
        <v>3346</v>
      </c>
      <c r="AS1007" s="1761" t="s">
        <v>3345</v>
      </c>
      <c r="AT1007" s="1761" t="s">
        <v>327</v>
      </c>
      <c r="AU1007" s="1763"/>
      <c r="AV1007" s="1763"/>
    </row>
    <row r="1008" spans="1:48" ht="25" hidden="1">
      <c r="A1008" s="1785" t="str">
        <f t="shared" si="165"/>
        <v>גמל</v>
      </c>
      <c r="B1008" s="1786">
        <f t="shared" si="166"/>
        <v>838</v>
      </c>
      <c r="C1008" s="1787">
        <v>28946</v>
      </c>
      <c r="D1008" s="1786" t="str">
        <f t="shared" si="167"/>
        <v>פסגות גוונים מסלול אג"ח בינלאומי</v>
      </c>
      <c r="E1008" s="1786" t="s">
        <v>3929</v>
      </c>
      <c r="F1008" s="1786" t="s">
        <v>2958</v>
      </c>
      <c r="G1008" s="1786" t="s">
        <v>2959</v>
      </c>
      <c r="H1008" s="1786" t="str">
        <f t="shared" si="168"/>
        <v>לא פעיל</v>
      </c>
      <c r="I1008" s="1788">
        <f t="shared" si="169"/>
        <v>37802</v>
      </c>
      <c r="J1008" s="1788">
        <f t="shared" si="170"/>
        <v>40049</v>
      </c>
      <c r="K1008" s="1786">
        <v>0</v>
      </c>
      <c r="L1008" s="1786" t="s">
        <v>1594</v>
      </c>
      <c r="M1008" s="1786" t="s">
        <v>1653</v>
      </c>
      <c r="N1008" s="1786" t="s">
        <v>1653</v>
      </c>
      <c r="O1008" s="1786">
        <v>0</v>
      </c>
      <c r="P1008" s="1786"/>
      <c r="Q1008" s="1786">
        <v>0</v>
      </c>
      <c r="R1008" s="1788"/>
      <c r="S1008" s="1786">
        <f t="shared" si="171"/>
        <v>838</v>
      </c>
      <c r="T1008" s="1786" t="str">
        <f t="shared" si="172"/>
        <v>בנק הפועלים בע"מ</v>
      </c>
      <c r="U1008" s="1786" t="str">
        <f t="shared" si="173"/>
        <v>פסגות גוונים מסלול אג"ח בינלאומי</v>
      </c>
      <c r="V1008" s="1786" t="str">
        <f t="shared" si="174"/>
        <v>513767079</v>
      </c>
      <c r="W1008" s="1789" t="str">
        <f t="shared" si="175"/>
        <v>פסגות קופות גמל ופנסיה בע"מ</v>
      </c>
      <c r="AC1008" s="1759" t="s">
        <v>1586</v>
      </c>
      <c r="AD1008" s="1760">
        <v>40049</v>
      </c>
      <c r="AE1008" s="1760">
        <v>37802</v>
      </c>
      <c r="AF1008" s="1759" t="s">
        <v>3342</v>
      </c>
      <c r="AG1008" s="1759" t="s">
        <v>1653</v>
      </c>
      <c r="AH1008" s="1759" t="s">
        <v>1594</v>
      </c>
      <c r="AI1008" s="1759" t="s">
        <v>3341</v>
      </c>
      <c r="AJ1008" s="1759" t="s">
        <v>2081</v>
      </c>
      <c r="AK1008" s="1759">
        <v>838</v>
      </c>
      <c r="AL1008" s="1759" t="s">
        <v>2081</v>
      </c>
      <c r="AM1008" s="1759">
        <v>838</v>
      </c>
      <c r="AN1008" s="1759" t="s">
        <v>1695</v>
      </c>
      <c r="AO1008" s="1764"/>
      <c r="AP1008" s="1759" t="s">
        <v>5365</v>
      </c>
      <c r="AQ1008" s="1759" t="s">
        <v>5366</v>
      </c>
      <c r="AR1008" s="1759" t="s">
        <v>351</v>
      </c>
      <c r="AS1008" s="1759" t="s">
        <v>352</v>
      </c>
      <c r="AT1008" s="1759" t="s">
        <v>327</v>
      </c>
      <c r="AU1008" s="1763"/>
      <c r="AV1008" s="1763"/>
    </row>
    <row r="1009" spans="1:48" ht="25" hidden="1">
      <c r="A1009" s="1785" t="str">
        <f t="shared" si="165"/>
        <v>גמל</v>
      </c>
      <c r="B1009" s="1786">
        <f t="shared" si="166"/>
        <v>837</v>
      </c>
      <c r="C1009" s="1787">
        <v>28946</v>
      </c>
      <c r="D1009" s="1786" t="str">
        <f t="shared" si="167"/>
        <v>פסגות גוונים מסלול מניות</v>
      </c>
      <c r="E1009" s="1786" t="s">
        <v>3929</v>
      </c>
      <c r="F1009" s="1786" t="s">
        <v>2958</v>
      </c>
      <c r="G1009" s="1786" t="s">
        <v>2959</v>
      </c>
      <c r="H1009" s="1786" t="str">
        <f t="shared" si="168"/>
        <v>לא פעיל</v>
      </c>
      <c r="I1009" s="1788">
        <f t="shared" si="169"/>
        <v>37802</v>
      </c>
      <c r="J1009" s="1788">
        <f t="shared" si="170"/>
        <v>40133.753541666701</v>
      </c>
      <c r="K1009" s="1786">
        <v>0</v>
      </c>
      <c r="L1009" s="1786" t="s">
        <v>1594</v>
      </c>
      <c r="M1009" s="1786" t="s">
        <v>1653</v>
      </c>
      <c r="N1009" s="1786" t="s">
        <v>1653</v>
      </c>
      <c r="O1009" s="1786">
        <v>0</v>
      </c>
      <c r="P1009" s="1786"/>
      <c r="Q1009" s="1786">
        <v>0</v>
      </c>
      <c r="R1009" s="1788"/>
      <c r="S1009" s="1786">
        <f t="shared" si="171"/>
        <v>837</v>
      </c>
      <c r="T1009" s="1786" t="str">
        <f t="shared" si="172"/>
        <v>בנק הפועלים בע"מ</v>
      </c>
      <c r="U1009" s="1786" t="str">
        <f t="shared" si="173"/>
        <v>פסגות גוונים מסלול מניות</v>
      </c>
      <c r="V1009" s="1786" t="str">
        <f t="shared" si="174"/>
        <v>513767079</v>
      </c>
      <c r="W1009" s="1789" t="str">
        <f t="shared" si="175"/>
        <v>פסגות קופות גמל ופנסיה בע"מ</v>
      </c>
      <c r="AC1009" s="1761" t="s">
        <v>1586</v>
      </c>
      <c r="AD1009" s="1762">
        <v>40133.753541666701</v>
      </c>
      <c r="AE1009" s="1762">
        <v>37802</v>
      </c>
      <c r="AF1009" s="1761" t="s">
        <v>1595</v>
      </c>
      <c r="AG1009" s="1761" t="s">
        <v>75</v>
      </c>
      <c r="AH1009" s="1761" t="s">
        <v>1594</v>
      </c>
      <c r="AI1009" s="1761" t="s">
        <v>3340</v>
      </c>
      <c r="AJ1009" s="1761" t="s">
        <v>2080</v>
      </c>
      <c r="AK1009" s="1761">
        <v>837</v>
      </c>
      <c r="AL1009" s="1761" t="s">
        <v>2080</v>
      </c>
      <c r="AM1009" s="1761">
        <v>837</v>
      </c>
      <c r="AN1009" s="1761" t="s">
        <v>1695</v>
      </c>
      <c r="AO1009" s="1764"/>
      <c r="AP1009" s="1761" t="s">
        <v>5365</v>
      </c>
      <c r="AQ1009" s="1761" t="s">
        <v>5366</v>
      </c>
      <c r="AR1009" s="1761" t="s">
        <v>351</v>
      </c>
      <c r="AS1009" s="1761" t="s">
        <v>352</v>
      </c>
      <c r="AT1009" s="1761" t="s">
        <v>327</v>
      </c>
      <c r="AU1009" s="1763"/>
      <c r="AV1009" s="1763"/>
    </row>
    <row r="1010" spans="1:48" ht="25" hidden="1">
      <c r="A1010" s="1785" t="str">
        <f t="shared" si="165"/>
        <v>גמל</v>
      </c>
      <c r="B1010" s="1786">
        <f t="shared" si="166"/>
        <v>836</v>
      </c>
      <c r="C1010" s="1787">
        <v>28946</v>
      </c>
      <c r="D1010" s="1786" t="str">
        <f t="shared" si="167"/>
        <v>פסגות גוונים מסלול מניות חו"ל</v>
      </c>
      <c r="E1010" s="1786" t="s">
        <v>3929</v>
      </c>
      <c r="F1010" s="1786" t="s">
        <v>2958</v>
      </c>
      <c r="G1010" s="1786" t="s">
        <v>2959</v>
      </c>
      <c r="H1010" s="1786" t="str">
        <f t="shared" si="168"/>
        <v>לא פעיל</v>
      </c>
      <c r="I1010" s="1788">
        <f t="shared" si="169"/>
        <v>37802</v>
      </c>
      <c r="J1010" s="1788">
        <f t="shared" si="170"/>
        <v>40133.753923611097</v>
      </c>
      <c r="K1010" s="1786">
        <v>0</v>
      </c>
      <c r="L1010" s="1786" t="s">
        <v>1594</v>
      </c>
      <c r="M1010" s="1786" t="s">
        <v>1653</v>
      </c>
      <c r="N1010" s="1786" t="s">
        <v>1653</v>
      </c>
      <c r="O1010" s="1786">
        <v>0</v>
      </c>
      <c r="P1010" s="1786"/>
      <c r="Q1010" s="1786">
        <v>0</v>
      </c>
      <c r="R1010" s="1788"/>
      <c r="S1010" s="1786">
        <f t="shared" si="171"/>
        <v>836</v>
      </c>
      <c r="T1010" s="1786" t="str">
        <f t="shared" si="172"/>
        <v>בנק הפועלים בע"מ</v>
      </c>
      <c r="U1010" s="1786" t="str">
        <f t="shared" si="173"/>
        <v>פסגות גוונים מסלול מניות חו"ל</v>
      </c>
      <c r="V1010" s="1786" t="str">
        <f t="shared" si="174"/>
        <v>513767079</v>
      </c>
      <c r="W1010" s="1789" t="str">
        <f t="shared" si="175"/>
        <v>פסגות קופות גמל ופנסיה בע"מ</v>
      </c>
      <c r="AC1010" s="1759" t="s">
        <v>1586</v>
      </c>
      <c r="AD1010" s="1760">
        <v>40133.753923611097</v>
      </c>
      <c r="AE1010" s="1760">
        <v>37802</v>
      </c>
      <c r="AF1010" s="1759" t="s">
        <v>1948</v>
      </c>
      <c r="AG1010" s="1759" t="s">
        <v>75</v>
      </c>
      <c r="AH1010" s="1759" t="s">
        <v>1594</v>
      </c>
      <c r="AI1010" s="1759" t="s">
        <v>3339</v>
      </c>
      <c r="AJ1010" s="1759" t="s">
        <v>2079</v>
      </c>
      <c r="AK1010" s="1759">
        <v>836</v>
      </c>
      <c r="AL1010" s="1759" t="s">
        <v>2079</v>
      </c>
      <c r="AM1010" s="1759">
        <v>836</v>
      </c>
      <c r="AN1010" s="1759" t="s">
        <v>1695</v>
      </c>
      <c r="AO1010" s="1764"/>
      <c r="AP1010" s="1759" t="s">
        <v>5365</v>
      </c>
      <c r="AQ1010" s="1759" t="s">
        <v>5366</v>
      </c>
      <c r="AR1010" s="1759" t="s">
        <v>351</v>
      </c>
      <c r="AS1010" s="1759" t="s">
        <v>352</v>
      </c>
      <c r="AT1010" s="1759" t="s">
        <v>327</v>
      </c>
      <c r="AU1010" s="1763"/>
      <c r="AV1010" s="1763"/>
    </row>
    <row r="1011" spans="1:48" ht="25" hidden="1">
      <c r="A1011" s="1785" t="str">
        <f t="shared" si="165"/>
        <v>גמל</v>
      </c>
      <c r="B1011" s="1786">
        <f t="shared" si="166"/>
        <v>834</v>
      </c>
      <c r="C1011" s="1787">
        <v>28946</v>
      </c>
      <c r="D1011" s="1786" t="str">
        <f t="shared" si="167"/>
        <v>פריזמה גוונים מסלול צמוד מדד לטווח בינוני</v>
      </c>
      <c r="E1011" s="1786" t="s">
        <v>3929</v>
      </c>
      <c r="F1011" s="1786" t="s">
        <v>2958</v>
      </c>
      <c r="G1011" s="1786" t="s">
        <v>2959</v>
      </c>
      <c r="H1011" s="1786" t="str">
        <f t="shared" si="168"/>
        <v>לא פעיל</v>
      </c>
      <c r="I1011" s="1788">
        <f t="shared" si="169"/>
        <v>37802</v>
      </c>
      <c r="J1011" s="1788">
        <f t="shared" si="170"/>
        <v>38717</v>
      </c>
      <c r="K1011" s="1786">
        <v>0</v>
      </c>
      <c r="L1011" s="1786" t="s">
        <v>1594</v>
      </c>
      <c r="M1011" s="1786" t="s">
        <v>1653</v>
      </c>
      <c r="N1011" s="1786" t="s">
        <v>1653</v>
      </c>
      <c r="O1011" s="1786">
        <v>0</v>
      </c>
      <c r="P1011" s="1786"/>
      <c r="Q1011" s="1786">
        <v>0</v>
      </c>
      <c r="R1011" s="1788"/>
      <c r="S1011" s="1786">
        <f t="shared" si="171"/>
        <v>834</v>
      </c>
      <c r="T1011" s="1786" t="str">
        <f t="shared" si="172"/>
        <v>בנק הפועלים בע"מ</v>
      </c>
      <c r="U1011" s="1786" t="str">
        <f t="shared" si="173"/>
        <v>פריזמה גוונים מסלול צמוד מדד לטווח בינוני</v>
      </c>
      <c r="V1011" s="1786">
        <f t="shared" si="174"/>
        <v>0</v>
      </c>
      <c r="W1011" s="1789" t="str">
        <f t="shared" si="175"/>
        <v>פריזמה קופות גמל החדשה בע"מ</v>
      </c>
      <c r="AC1011" s="1761" t="s">
        <v>1586</v>
      </c>
      <c r="AD1011" s="1762">
        <v>38717</v>
      </c>
      <c r="AE1011" s="1762">
        <v>37802</v>
      </c>
      <c r="AF1011" s="1761" t="s">
        <v>1583</v>
      </c>
      <c r="AG1011" s="1761" t="s">
        <v>1583</v>
      </c>
      <c r="AH1011" s="1761" t="s">
        <v>1583</v>
      </c>
      <c r="AI1011" s="1761" t="s">
        <v>3338</v>
      </c>
      <c r="AJ1011" s="1761" t="s">
        <v>2076</v>
      </c>
      <c r="AK1011" s="1761">
        <v>834</v>
      </c>
      <c r="AL1011" s="1761" t="s">
        <v>2076</v>
      </c>
      <c r="AM1011" s="1761">
        <v>834</v>
      </c>
      <c r="AN1011" s="1761" t="s">
        <v>1695</v>
      </c>
      <c r="AO1011" s="1764"/>
      <c r="AP1011" s="1761"/>
      <c r="AQ1011" s="1761"/>
      <c r="AR1011" s="1761" t="s">
        <v>2078</v>
      </c>
      <c r="AS1011" s="1761" t="s">
        <v>2077</v>
      </c>
      <c r="AT1011" s="1761" t="s">
        <v>327</v>
      </c>
      <c r="AU1011" s="1763"/>
      <c r="AV1011" s="1763"/>
    </row>
    <row r="1012" spans="1:48" ht="25" hidden="1">
      <c r="A1012" s="1785" t="str">
        <f t="shared" si="165"/>
        <v>גמל</v>
      </c>
      <c r="B1012" s="1786">
        <f t="shared" si="166"/>
        <v>833</v>
      </c>
      <c r="C1012" s="1787">
        <v>28946</v>
      </c>
      <c r="D1012" s="1786" t="str">
        <f t="shared" si="167"/>
        <v>פסגות גוונים מסלול אג"ח לא צמודות</v>
      </c>
      <c r="E1012" s="1786" t="s">
        <v>3929</v>
      </c>
      <c r="F1012" s="1786" t="s">
        <v>2958</v>
      </c>
      <c r="G1012" s="1786" t="s">
        <v>2959</v>
      </c>
      <c r="H1012" s="1786" t="str">
        <f t="shared" si="168"/>
        <v>לא פעיל</v>
      </c>
      <c r="I1012" s="1788">
        <f t="shared" si="169"/>
        <v>37802</v>
      </c>
      <c r="J1012" s="1788">
        <f t="shared" si="170"/>
        <v>40049</v>
      </c>
      <c r="K1012" s="1786">
        <v>0</v>
      </c>
      <c r="L1012" s="1786" t="s">
        <v>1594</v>
      </c>
      <c r="M1012" s="1786" t="s">
        <v>1653</v>
      </c>
      <c r="N1012" s="1786" t="s">
        <v>1653</v>
      </c>
      <c r="O1012" s="1786">
        <v>0</v>
      </c>
      <c r="P1012" s="1786"/>
      <c r="Q1012" s="1786">
        <v>0</v>
      </c>
      <c r="R1012" s="1788"/>
      <c r="S1012" s="1786">
        <f t="shared" si="171"/>
        <v>833</v>
      </c>
      <c r="T1012" s="1786" t="str">
        <f t="shared" si="172"/>
        <v>בנק הפועלים בע"מ</v>
      </c>
      <c r="U1012" s="1786" t="str">
        <f t="shared" si="173"/>
        <v>פסגות גוונים מסלול אג"ח לא צמודות</v>
      </c>
      <c r="V1012" s="1786" t="str">
        <f t="shared" si="174"/>
        <v>513767079</v>
      </c>
      <c r="W1012" s="1789" t="str">
        <f t="shared" si="175"/>
        <v>פסגות קופות גמל ופנסיה בע"מ</v>
      </c>
      <c r="AC1012" s="1759" t="s">
        <v>1586</v>
      </c>
      <c r="AD1012" s="1760">
        <v>40049</v>
      </c>
      <c r="AE1012" s="1760">
        <v>37802</v>
      </c>
      <c r="AF1012" s="1759" t="s">
        <v>53</v>
      </c>
      <c r="AG1012" s="1759" t="s">
        <v>1653</v>
      </c>
      <c r="AH1012" s="1759" t="s">
        <v>1594</v>
      </c>
      <c r="AI1012" s="1759" t="s">
        <v>3337</v>
      </c>
      <c r="AJ1012" s="1759" t="s">
        <v>2075</v>
      </c>
      <c r="AK1012" s="1759">
        <v>833</v>
      </c>
      <c r="AL1012" s="1759" t="s">
        <v>2075</v>
      </c>
      <c r="AM1012" s="1759">
        <v>833</v>
      </c>
      <c r="AN1012" s="1759" t="s">
        <v>1695</v>
      </c>
      <c r="AO1012" s="1764"/>
      <c r="AP1012" s="1759" t="s">
        <v>5365</v>
      </c>
      <c r="AQ1012" s="1759" t="s">
        <v>5366</v>
      </c>
      <c r="AR1012" s="1759" t="s">
        <v>351</v>
      </c>
      <c r="AS1012" s="1759" t="s">
        <v>352</v>
      </c>
      <c r="AT1012" s="1759" t="s">
        <v>327</v>
      </c>
      <c r="AU1012" s="1763"/>
      <c r="AV1012" s="1763"/>
    </row>
    <row r="1013" spans="1:48" ht="25" hidden="1">
      <c r="A1013" s="1785" t="str">
        <f t="shared" si="165"/>
        <v>גמל</v>
      </c>
      <c r="B1013" s="1786">
        <f t="shared" si="166"/>
        <v>832</v>
      </c>
      <c r="C1013" s="1787">
        <v>28946</v>
      </c>
      <c r="D1013" s="1786" t="str">
        <f t="shared" si="167"/>
        <v>פסגות גוונים מסלול כספית טווח קצר</v>
      </c>
      <c r="E1013" s="1786" t="s">
        <v>3929</v>
      </c>
      <c r="F1013" s="1786" t="s">
        <v>2958</v>
      </c>
      <c r="G1013" s="1786" t="s">
        <v>2959</v>
      </c>
      <c r="H1013" s="1786" t="str">
        <f t="shared" si="168"/>
        <v>לא פעיל</v>
      </c>
      <c r="I1013" s="1788">
        <f t="shared" si="169"/>
        <v>37802</v>
      </c>
      <c r="J1013" s="1788">
        <f t="shared" si="170"/>
        <v>40133.752592592602</v>
      </c>
      <c r="K1013" s="1786">
        <v>0</v>
      </c>
      <c r="L1013" s="1786" t="s">
        <v>1594</v>
      </c>
      <c r="M1013" s="1786" t="s">
        <v>1653</v>
      </c>
      <c r="N1013" s="1786" t="s">
        <v>1653</v>
      </c>
      <c r="O1013" s="1786">
        <v>0</v>
      </c>
      <c r="P1013" s="1786"/>
      <c r="Q1013" s="1786">
        <v>0</v>
      </c>
      <c r="R1013" s="1788"/>
      <c r="S1013" s="1786">
        <f t="shared" si="171"/>
        <v>832</v>
      </c>
      <c r="T1013" s="1786" t="str">
        <f t="shared" si="172"/>
        <v>בנק הפועלים בע"מ</v>
      </c>
      <c r="U1013" s="1786" t="str">
        <f t="shared" si="173"/>
        <v>פסגות גוונים מסלול כספית טווח קצר</v>
      </c>
      <c r="V1013" s="1786" t="str">
        <f t="shared" si="174"/>
        <v>513767079</v>
      </c>
      <c r="W1013" s="1789" t="str">
        <f t="shared" si="175"/>
        <v>פסגות קופות גמל ופנסיה בע"מ</v>
      </c>
      <c r="AC1013" s="1761" t="s">
        <v>1586</v>
      </c>
      <c r="AD1013" s="1762">
        <v>40133.752592592602</v>
      </c>
      <c r="AE1013" s="1762">
        <v>37802</v>
      </c>
      <c r="AF1013" s="1761" t="s">
        <v>1673</v>
      </c>
      <c r="AG1013" s="1761" t="s">
        <v>1614</v>
      </c>
      <c r="AH1013" s="1761" t="s">
        <v>1594</v>
      </c>
      <c r="AI1013" s="1761" t="s">
        <v>3336</v>
      </c>
      <c r="AJ1013" s="1761" t="s">
        <v>2074</v>
      </c>
      <c r="AK1013" s="1761">
        <v>832</v>
      </c>
      <c r="AL1013" s="1761" t="s">
        <v>2074</v>
      </c>
      <c r="AM1013" s="1761">
        <v>832</v>
      </c>
      <c r="AN1013" s="1761" t="s">
        <v>1695</v>
      </c>
      <c r="AO1013" s="1764"/>
      <c r="AP1013" s="1761" t="s">
        <v>5365</v>
      </c>
      <c r="AQ1013" s="1761" t="s">
        <v>5366</v>
      </c>
      <c r="AR1013" s="1761" t="s">
        <v>351</v>
      </c>
      <c r="AS1013" s="1761" t="s">
        <v>352</v>
      </c>
      <c r="AT1013" s="1761" t="s">
        <v>327</v>
      </c>
      <c r="AU1013" s="1763"/>
      <c r="AV1013" s="1763"/>
    </row>
    <row r="1014" spans="1:48" ht="25" hidden="1">
      <c r="A1014" s="1785" t="str">
        <f t="shared" si="165"/>
        <v>גמל</v>
      </c>
      <c r="B1014" s="1786">
        <f t="shared" si="166"/>
        <v>830</v>
      </c>
      <c r="C1014" s="1787">
        <v>28946</v>
      </c>
      <c r="D1014" s="1786" t="str">
        <f t="shared" si="167"/>
        <v>מיטבית קופת גמל לתגמולים ולפיצויים</v>
      </c>
      <c r="E1014" s="1786" t="s">
        <v>3929</v>
      </c>
      <c r="F1014" s="1786" t="s">
        <v>2958</v>
      </c>
      <c r="G1014" s="1786" t="s">
        <v>2959</v>
      </c>
      <c r="H1014" s="1786" t="str">
        <f t="shared" si="168"/>
        <v>לא פעיל</v>
      </c>
      <c r="I1014" s="1788">
        <f t="shared" si="169"/>
        <v>37796</v>
      </c>
      <c r="J1014" s="1788">
        <f t="shared" si="170"/>
        <v>40917.816747685203</v>
      </c>
      <c r="K1014" s="1786">
        <v>0</v>
      </c>
      <c r="L1014" s="1786" t="s">
        <v>1594</v>
      </c>
      <c r="M1014" s="1786" t="s">
        <v>1653</v>
      </c>
      <c r="N1014" s="1786" t="s">
        <v>1653</v>
      </c>
      <c r="O1014" s="1786">
        <v>0</v>
      </c>
      <c r="P1014" s="1786"/>
      <c r="Q1014" s="1786">
        <v>0</v>
      </c>
      <c r="R1014" s="1788"/>
      <c r="S1014" s="1786">
        <f t="shared" si="171"/>
        <v>830</v>
      </c>
      <c r="T1014" s="1786" t="str">
        <f t="shared" si="172"/>
        <v>ד.ס.ש ייעוץ ושירותים בע"מ</v>
      </c>
      <c r="U1014" s="1786" t="str">
        <f t="shared" si="173"/>
        <v>מיטבית קופת גמל לתגמולים ולפיצויים</v>
      </c>
      <c r="V1014" s="1786">
        <f t="shared" si="174"/>
        <v>0</v>
      </c>
      <c r="W1014" s="1789" t="str">
        <f t="shared" si="175"/>
        <v>כלל פנסיה וגמל בע"מ</v>
      </c>
      <c r="AC1014" s="1759" t="s">
        <v>1586</v>
      </c>
      <c r="AD1014" s="1760">
        <v>40917.816747685203</v>
      </c>
      <c r="AE1014" s="1760">
        <v>37796</v>
      </c>
      <c r="AF1014" s="1759" t="s">
        <v>1583</v>
      </c>
      <c r="AG1014" s="1759" t="s">
        <v>1583</v>
      </c>
      <c r="AH1014" s="1759" t="s">
        <v>1583</v>
      </c>
      <c r="AI1014" s="1759" t="s">
        <v>3335</v>
      </c>
      <c r="AJ1014" s="1759" t="s">
        <v>2072</v>
      </c>
      <c r="AK1014" s="1759">
        <v>830</v>
      </c>
      <c r="AL1014" s="1759" t="s">
        <v>2072</v>
      </c>
      <c r="AM1014" s="1759">
        <v>830</v>
      </c>
      <c r="AN1014" s="1759" t="s">
        <v>5393</v>
      </c>
      <c r="AO1014" s="1764"/>
      <c r="AP1014" s="1759"/>
      <c r="AQ1014" s="1759"/>
      <c r="AR1014" s="1759" t="s">
        <v>378</v>
      </c>
      <c r="AS1014" s="1759" t="s">
        <v>379</v>
      </c>
      <c r="AT1014" s="1759" t="s">
        <v>327</v>
      </c>
      <c r="AU1014" s="1763"/>
      <c r="AV1014" s="1763"/>
    </row>
    <row r="1015" spans="1:48" ht="25" hidden="1">
      <c r="A1015" s="1785" t="str">
        <f t="shared" si="165"/>
        <v>גמל</v>
      </c>
      <c r="B1015" s="1786">
        <f t="shared" si="166"/>
        <v>829</v>
      </c>
      <c r="C1015" s="1787">
        <v>28946</v>
      </c>
      <c r="D1015" s="1786" t="str">
        <f t="shared" si="167"/>
        <v>גאון השתלמות מסלולית-מסלול לכיש כללי</v>
      </c>
      <c r="E1015" s="1786" t="s">
        <v>3929</v>
      </c>
      <c r="F1015" s="1786" t="s">
        <v>2958</v>
      </c>
      <c r="G1015" s="1786" t="s">
        <v>2959</v>
      </c>
      <c r="H1015" s="1786" t="str">
        <f t="shared" si="168"/>
        <v>לא פעיל</v>
      </c>
      <c r="I1015" s="1788">
        <f t="shared" si="169"/>
        <v>37773</v>
      </c>
      <c r="J1015" s="1788">
        <f t="shared" si="170"/>
        <v>40056</v>
      </c>
      <c r="K1015" s="1786">
        <v>0</v>
      </c>
      <c r="L1015" s="1786" t="s">
        <v>1594</v>
      </c>
      <c r="M1015" s="1786" t="s">
        <v>1653</v>
      </c>
      <c r="N1015" s="1786" t="s">
        <v>1653</v>
      </c>
      <c r="O1015" s="1786">
        <v>0</v>
      </c>
      <c r="P1015" s="1786"/>
      <c r="Q1015" s="1786">
        <v>0</v>
      </c>
      <c r="R1015" s="1788"/>
      <c r="S1015" s="1786">
        <f t="shared" si="171"/>
        <v>829</v>
      </c>
      <c r="T1015" s="1786" t="str">
        <f t="shared" si="172"/>
        <v>בנק הפועלים בע"מ</v>
      </c>
      <c r="U1015" s="1786" t="str">
        <f t="shared" si="173"/>
        <v>גאון השתלמות מסלולית-מסלול לכיש כללי</v>
      </c>
      <c r="V1015" s="1786">
        <f t="shared" si="174"/>
        <v>0</v>
      </c>
      <c r="W1015" s="1789" t="str">
        <f t="shared" si="175"/>
        <v>גאון גמל בע"מ</v>
      </c>
      <c r="AC1015" s="1761" t="s">
        <v>1586</v>
      </c>
      <c r="AD1015" s="1762">
        <v>40056</v>
      </c>
      <c r="AE1015" s="1762">
        <v>37773</v>
      </c>
      <c r="AF1015" s="1761" t="s">
        <v>1583</v>
      </c>
      <c r="AG1015" s="1761" t="s">
        <v>1583</v>
      </c>
      <c r="AH1015" s="1761" t="s">
        <v>1583</v>
      </c>
      <c r="AI1015" s="1761" t="s">
        <v>3334</v>
      </c>
      <c r="AJ1015" s="1761" t="s">
        <v>2071</v>
      </c>
      <c r="AK1015" s="1761">
        <v>829</v>
      </c>
      <c r="AL1015" s="1761" t="s">
        <v>2071</v>
      </c>
      <c r="AM1015" s="1761">
        <v>829</v>
      </c>
      <c r="AN1015" s="1761" t="s">
        <v>1695</v>
      </c>
      <c r="AO1015" s="1764"/>
      <c r="AP1015" s="1761"/>
      <c r="AQ1015" s="1761"/>
      <c r="AR1015" s="1761" t="s">
        <v>1848</v>
      </c>
      <c r="AS1015" s="1761" t="s">
        <v>1847</v>
      </c>
      <c r="AT1015" s="1761" t="s">
        <v>327</v>
      </c>
      <c r="AU1015" s="1763"/>
      <c r="AV1015" s="1763"/>
    </row>
    <row r="1016" spans="1:48" ht="25" hidden="1">
      <c r="A1016" s="1785" t="str">
        <f t="shared" si="165"/>
        <v>גמל</v>
      </c>
      <c r="B1016" s="1786">
        <f t="shared" si="166"/>
        <v>828</v>
      </c>
      <c r="C1016" s="1787">
        <v>28946</v>
      </c>
      <c r="D1016" s="1786" t="str">
        <f t="shared" si="167"/>
        <v>מנורה מבטחים השתלמות מסלול כללי</v>
      </c>
      <c r="E1016" s="1786" t="s">
        <v>3929</v>
      </c>
      <c r="F1016" s="1786" t="s">
        <v>2958</v>
      </c>
      <c r="G1016" s="1786" t="s">
        <v>2959</v>
      </c>
      <c r="H1016" s="1786" t="str">
        <f t="shared" si="168"/>
        <v>פעיל</v>
      </c>
      <c r="I1016" s="1788">
        <f t="shared" si="169"/>
        <v>37720</v>
      </c>
      <c r="J1016" s="1788" t="str">
        <f t="shared" si="170"/>
        <v/>
      </c>
      <c r="K1016" s="1786">
        <v>0</v>
      </c>
      <c r="L1016" s="1786" t="s">
        <v>1594</v>
      </c>
      <c r="M1016" s="1786" t="s">
        <v>1653</v>
      </c>
      <c r="N1016" s="1786" t="s">
        <v>1653</v>
      </c>
      <c r="O1016" s="1786">
        <v>0</v>
      </c>
      <c r="P1016" s="1786"/>
      <c r="Q1016" s="1786">
        <v>0</v>
      </c>
      <c r="R1016" s="1788"/>
      <c r="S1016" s="1786">
        <f t="shared" si="171"/>
        <v>828</v>
      </c>
      <c r="T1016" s="1786" t="str">
        <f t="shared" si="172"/>
        <v>בנק לאומי בע"מ</v>
      </c>
      <c r="U1016" s="1786" t="str">
        <f t="shared" si="173"/>
        <v>מנורה מבטחים השתלמות</v>
      </c>
      <c r="V1016" s="1786" t="str">
        <f t="shared" si="174"/>
        <v>520007469</v>
      </c>
      <c r="W1016" s="1789" t="str">
        <f t="shared" si="175"/>
        <v>מנורה מבטחים פנסיה וגמל בע"מ</v>
      </c>
      <c r="AC1016" s="1759" t="s">
        <v>346</v>
      </c>
      <c r="AD1016" s="1759"/>
      <c r="AE1016" s="1760">
        <v>37720</v>
      </c>
      <c r="AF1016" s="1759" t="s">
        <v>1583</v>
      </c>
      <c r="AG1016" s="1759" t="s">
        <v>1583</v>
      </c>
      <c r="AH1016" s="1759" t="s">
        <v>1583</v>
      </c>
      <c r="AI1016" s="1759" t="s">
        <v>4605</v>
      </c>
      <c r="AJ1016" s="1759" t="s">
        <v>618</v>
      </c>
      <c r="AK1016" s="1759">
        <v>828</v>
      </c>
      <c r="AL1016" s="1759" t="s">
        <v>3997</v>
      </c>
      <c r="AM1016" s="1759">
        <v>828</v>
      </c>
      <c r="AN1016" s="1759" t="s">
        <v>5470</v>
      </c>
      <c r="AO1016" s="1764"/>
      <c r="AP1016" s="1759" t="s">
        <v>5377</v>
      </c>
      <c r="AQ1016" s="1759" t="s">
        <v>5378</v>
      </c>
      <c r="AR1016" s="1759" t="s">
        <v>2971</v>
      </c>
      <c r="AS1016" s="1759" t="s">
        <v>396</v>
      </c>
      <c r="AT1016" s="1759" t="s">
        <v>327</v>
      </c>
      <c r="AU1016" s="1763"/>
      <c r="AV1016" s="1763"/>
    </row>
    <row r="1017" spans="1:48" ht="25" hidden="1">
      <c r="A1017" s="1785" t="str">
        <f t="shared" si="165"/>
        <v>גמל</v>
      </c>
      <c r="B1017" s="1786">
        <f t="shared" si="166"/>
        <v>1256</v>
      </c>
      <c r="C1017" s="1787">
        <v>28946</v>
      </c>
      <c r="D1017" s="1786" t="str">
        <f t="shared" si="167"/>
        <v>מנורה מבטחים השתלמות מסלול מניות</v>
      </c>
      <c r="E1017" s="1786" t="s">
        <v>3929</v>
      </c>
      <c r="F1017" s="1786" t="s">
        <v>2958</v>
      </c>
      <c r="G1017" s="1786" t="s">
        <v>2959</v>
      </c>
      <c r="H1017" s="1786" t="str">
        <f t="shared" si="168"/>
        <v>פעיל</v>
      </c>
      <c r="I1017" s="1788">
        <f t="shared" si="169"/>
        <v>37720</v>
      </c>
      <c r="J1017" s="1788" t="str">
        <f t="shared" si="170"/>
        <v/>
      </c>
      <c r="K1017" s="1786">
        <v>0</v>
      </c>
      <c r="L1017" s="1786" t="s">
        <v>1594</v>
      </c>
      <c r="M1017" s="1786" t="s">
        <v>1653</v>
      </c>
      <c r="N1017" s="1786" t="s">
        <v>1653</v>
      </c>
      <c r="O1017" s="1786">
        <v>0</v>
      </c>
      <c r="P1017" s="1786"/>
      <c r="Q1017" s="1786">
        <v>0</v>
      </c>
      <c r="R1017" s="1788"/>
      <c r="S1017" s="1786">
        <f t="shared" si="171"/>
        <v>828</v>
      </c>
      <c r="T1017" s="1786" t="str">
        <f t="shared" si="172"/>
        <v>בנק לאומי בע"מ</v>
      </c>
      <c r="U1017" s="1786" t="str">
        <f t="shared" si="173"/>
        <v>מנורה מבטחים השתלמות</v>
      </c>
      <c r="V1017" s="1786" t="str">
        <f t="shared" si="174"/>
        <v>520007469</v>
      </c>
      <c r="W1017" s="1789" t="str">
        <f t="shared" si="175"/>
        <v>מנורה מבטחים פנסיה וגמל בע"מ</v>
      </c>
      <c r="AC1017" s="1761" t="s">
        <v>346</v>
      </c>
      <c r="AD1017" s="1759"/>
      <c r="AE1017" s="1762">
        <v>37720</v>
      </c>
      <c r="AF1017" s="1761" t="s">
        <v>1595</v>
      </c>
      <c r="AG1017" s="1761" t="s">
        <v>75</v>
      </c>
      <c r="AH1017" s="1761" t="s">
        <v>1594</v>
      </c>
      <c r="AI1017" s="1761" t="s">
        <v>4046</v>
      </c>
      <c r="AJ1017" s="1761" t="s">
        <v>2426</v>
      </c>
      <c r="AK1017" s="1761">
        <v>1256</v>
      </c>
      <c r="AL1017" s="1761" t="s">
        <v>3997</v>
      </c>
      <c r="AM1017" s="1761">
        <v>828</v>
      </c>
      <c r="AN1017" s="1761" t="s">
        <v>5470</v>
      </c>
      <c r="AO1017" s="1764"/>
      <c r="AP1017" s="1761" t="s">
        <v>5377</v>
      </c>
      <c r="AQ1017" s="1761" t="s">
        <v>5378</v>
      </c>
      <c r="AR1017" s="1761" t="s">
        <v>2971</v>
      </c>
      <c r="AS1017" s="1761" t="s">
        <v>396</v>
      </c>
      <c r="AT1017" s="1761" t="s">
        <v>327</v>
      </c>
      <c r="AU1017" s="1763"/>
      <c r="AV1017" s="1763"/>
    </row>
    <row r="1018" spans="1:48" ht="25" hidden="1">
      <c r="A1018" s="1785" t="str">
        <f t="shared" si="165"/>
        <v>גמל</v>
      </c>
      <c r="B1018" s="1786">
        <f t="shared" si="166"/>
        <v>1149</v>
      </c>
      <c r="C1018" s="1787">
        <v>28946</v>
      </c>
      <c r="D1018" s="1786" t="str">
        <f t="shared" si="167"/>
        <v>מנורה מבטחים השתלמות אג"ח עד 10% מניות</v>
      </c>
      <c r="E1018" s="1786" t="s">
        <v>3929</v>
      </c>
      <c r="F1018" s="1786" t="s">
        <v>2958</v>
      </c>
      <c r="G1018" s="1786" t="s">
        <v>2959</v>
      </c>
      <c r="H1018" s="1786" t="str">
        <f t="shared" si="168"/>
        <v>פעיל</v>
      </c>
      <c r="I1018" s="1788">
        <f t="shared" si="169"/>
        <v>37720</v>
      </c>
      <c r="J1018" s="1788" t="str">
        <f t="shared" si="170"/>
        <v/>
      </c>
      <c r="K1018" s="1786">
        <v>0</v>
      </c>
      <c r="L1018" s="1786" t="s">
        <v>1594</v>
      </c>
      <c r="M1018" s="1786" t="s">
        <v>1653</v>
      </c>
      <c r="N1018" s="1786" t="s">
        <v>1653</v>
      </c>
      <c r="O1018" s="1786">
        <v>0</v>
      </c>
      <c r="P1018" s="1786"/>
      <c r="Q1018" s="1786">
        <v>0</v>
      </c>
      <c r="R1018" s="1788"/>
      <c r="S1018" s="1786">
        <f t="shared" si="171"/>
        <v>828</v>
      </c>
      <c r="T1018" s="1786" t="str">
        <f t="shared" si="172"/>
        <v>בנק לאומי בע"מ</v>
      </c>
      <c r="U1018" s="1786" t="str">
        <f t="shared" si="173"/>
        <v>מנורה מבטחים השתלמות</v>
      </c>
      <c r="V1018" s="1786" t="str">
        <f t="shared" si="174"/>
        <v>520007469</v>
      </c>
      <c r="W1018" s="1789" t="str">
        <f t="shared" si="175"/>
        <v>מנורה מבטחים פנסיה וגמל בע"מ</v>
      </c>
      <c r="AC1018" s="1759" t="s">
        <v>346</v>
      </c>
      <c r="AD1018" s="1759"/>
      <c r="AE1018" s="1760">
        <v>37720</v>
      </c>
      <c r="AF1018" s="1759" t="s">
        <v>1653</v>
      </c>
      <c r="AG1018" s="1759" t="s">
        <v>1653</v>
      </c>
      <c r="AH1018" s="1759" t="s">
        <v>1594</v>
      </c>
      <c r="AI1018" s="1759" t="s">
        <v>4041</v>
      </c>
      <c r="AJ1018" s="1759" t="s">
        <v>4040</v>
      </c>
      <c r="AK1018" s="1759">
        <v>1149</v>
      </c>
      <c r="AL1018" s="1759" t="s">
        <v>3997</v>
      </c>
      <c r="AM1018" s="1759">
        <v>828</v>
      </c>
      <c r="AN1018" s="1759" t="s">
        <v>5470</v>
      </c>
      <c r="AO1018" s="1764"/>
      <c r="AP1018" s="1759" t="s">
        <v>5377</v>
      </c>
      <c r="AQ1018" s="1759" t="s">
        <v>5378</v>
      </c>
      <c r="AR1018" s="1759" t="s">
        <v>2971</v>
      </c>
      <c r="AS1018" s="1759" t="s">
        <v>396</v>
      </c>
      <c r="AT1018" s="1759" t="s">
        <v>327</v>
      </c>
      <c r="AU1018" s="1763"/>
      <c r="AV1018" s="1763"/>
    </row>
    <row r="1019" spans="1:48" ht="25" hidden="1">
      <c r="A1019" s="1785" t="str">
        <f t="shared" si="165"/>
        <v>גמל</v>
      </c>
      <c r="B1019" s="1786">
        <f t="shared" si="166"/>
        <v>1110</v>
      </c>
      <c r="C1019" s="1787">
        <v>28946</v>
      </c>
      <c r="D1019" s="1786" t="str">
        <f t="shared" si="167"/>
        <v>מנורה מבטחים השתלמות מסלול אג"ח קונצרני</v>
      </c>
      <c r="E1019" s="1786" t="s">
        <v>3929</v>
      </c>
      <c r="F1019" s="1786" t="s">
        <v>2958</v>
      </c>
      <c r="G1019" s="1786" t="s">
        <v>2959</v>
      </c>
      <c r="H1019" s="1786" t="str">
        <f t="shared" si="168"/>
        <v>פעיל</v>
      </c>
      <c r="I1019" s="1788">
        <f t="shared" si="169"/>
        <v>37720</v>
      </c>
      <c r="J1019" s="1788" t="str">
        <f t="shared" si="170"/>
        <v/>
      </c>
      <c r="K1019" s="1786">
        <v>0</v>
      </c>
      <c r="L1019" s="1786" t="s">
        <v>1594</v>
      </c>
      <c r="M1019" s="1786" t="s">
        <v>1653</v>
      </c>
      <c r="N1019" s="1786" t="s">
        <v>1653</v>
      </c>
      <c r="O1019" s="1786">
        <v>0</v>
      </c>
      <c r="P1019" s="1786"/>
      <c r="Q1019" s="1786">
        <v>0</v>
      </c>
      <c r="R1019" s="1788"/>
      <c r="S1019" s="1786">
        <f t="shared" si="171"/>
        <v>828</v>
      </c>
      <c r="T1019" s="1786" t="str">
        <f t="shared" si="172"/>
        <v>בנק לאומי בע"מ</v>
      </c>
      <c r="U1019" s="1786" t="str">
        <f t="shared" si="173"/>
        <v>מנורה מבטחים השתלמות</v>
      </c>
      <c r="V1019" s="1786" t="str">
        <f t="shared" si="174"/>
        <v>520007469</v>
      </c>
      <c r="W1019" s="1789" t="str">
        <f t="shared" si="175"/>
        <v>מנורה מבטחים פנסיה וגמל בע"מ</v>
      </c>
      <c r="AC1019" s="1761" t="s">
        <v>346</v>
      </c>
      <c r="AD1019" s="1761"/>
      <c r="AE1019" s="1762">
        <v>37720</v>
      </c>
      <c r="AF1019" s="1761" t="s">
        <v>3010</v>
      </c>
      <c r="AG1019" s="1761" t="s">
        <v>1653</v>
      </c>
      <c r="AH1019" s="1761" t="s">
        <v>1594</v>
      </c>
      <c r="AI1019" s="1761" t="s">
        <v>4035</v>
      </c>
      <c r="AJ1019" s="1761" t="s">
        <v>4034</v>
      </c>
      <c r="AK1019" s="1761">
        <v>1110</v>
      </c>
      <c r="AL1019" s="1761" t="s">
        <v>3997</v>
      </c>
      <c r="AM1019" s="1761">
        <v>828</v>
      </c>
      <c r="AN1019" s="1761" t="s">
        <v>5470</v>
      </c>
      <c r="AO1019" s="1764"/>
      <c r="AP1019" s="1761" t="s">
        <v>5377</v>
      </c>
      <c r="AQ1019" s="1761" t="s">
        <v>5378</v>
      </c>
      <c r="AR1019" s="1761" t="s">
        <v>2971</v>
      </c>
      <c r="AS1019" s="1761" t="s">
        <v>396</v>
      </c>
      <c r="AT1019" s="1761" t="s">
        <v>327</v>
      </c>
      <c r="AU1019" s="1763"/>
      <c r="AV1019" s="1763"/>
    </row>
    <row r="1020" spans="1:48" ht="25" hidden="1">
      <c r="A1020" s="1785" t="str">
        <f t="shared" si="165"/>
        <v>גמל</v>
      </c>
      <c r="B1020" s="1786">
        <f t="shared" si="166"/>
        <v>1114</v>
      </c>
      <c r="C1020" s="1787">
        <v>28946</v>
      </c>
      <c r="D1020" s="1786" t="str">
        <f t="shared" si="167"/>
        <v>מנורה מבטחים השתלמות שקלי לטווח קצר</v>
      </c>
      <c r="E1020" s="1786" t="s">
        <v>3929</v>
      </c>
      <c r="F1020" s="1786" t="s">
        <v>2958</v>
      </c>
      <c r="G1020" s="1786" t="s">
        <v>2959</v>
      </c>
      <c r="H1020" s="1786" t="str">
        <f t="shared" si="168"/>
        <v>פעיל</v>
      </c>
      <c r="I1020" s="1788">
        <f t="shared" si="169"/>
        <v>37720</v>
      </c>
      <c r="J1020" s="1788" t="str">
        <f t="shared" si="170"/>
        <v/>
      </c>
      <c r="K1020" s="1786">
        <v>0</v>
      </c>
      <c r="L1020" s="1786" t="s">
        <v>1594</v>
      </c>
      <c r="M1020" s="1786" t="s">
        <v>1653</v>
      </c>
      <c r="N1020" s="1786" t="s">
        <v>1653</v>
      </c>
      <c r="O1020" s="1786">
        <v>0</v>
      </c>
      <c r="P1020" s="1786"/>
      <c r="Q1020" s="1786">
        <v>0</v>
      </c>
      <c r="R1020" s="1788"/>
      <c r="S1020" s="1786">
        <f t="shared" si="171"/>
        <v>828</v>
      </c>
      <c r="T1020" s="1786" t="str">
        <f t="shared" si="172"/>
        <v>בנק לאומי בע"מ</v>
      </c>
      <c r="U1020" s="1786" t="str">
        <f t="shared" si="173"/>
        <v>מנורה מבטחים השתלמות</v>
      </c>
      <c r="V1020" s="1786" t="str">
        <f t="shared" si="174"/>
        <v>520007469</v>
      </c>
      <c r="W1020" s="1789" t="str">
        <f t="shared" si="175"/>
        <v>מנורה מבטחים פנסיה וגמל בע"מ</v>
      </c>
      <c r="AC1020" s="1759" t="s">
        <v>346</v>
      </c>
      <c r="AD1020" s="1759"/>
      <c r="AE1020" s="1760">
        <v>37720</v>
      </c>
      <c r="AF1020" s="1759" t="s">
        <v>1673</v>
      </c>
      <c r="AG1020" s="1759" t="s">
        <v>1614</v>
      </c>
      <c r="AH1020" s="1759" t="s">
        <v>1594</v>
      </c>
      <c r="AI1020" s="1759" t="s">
        <v>4037</v>
      </c>
      <c r="AJ1020" s="1759" t="s">
        <v>4036</v>
      </c>
      <c r="AK1020" s="1759">
        <v>1114</v>
      </c>
      <c r="AL1020" s="1759" t="s">
        <v>3997</v>
      </c>
      <c r="AM1020" s="1759">
        <v>828</v>
      </c>
      <c r="AN1020" s="1759" t="s">
        <v>5470</v>
      </c>
      <c r="AO1020" s="1764"/>
      <c r="AP1020" s="1759" t="s">
        <v>5377</v>
      </c>
      <c r="AQ1020" s="1759" t="s">
        <v>5378</v>
      </c>
      <c r="AR1020" s="1759" t="s">
        <v>2971</v>
      </c>
      <c r="AS1020" s="1759" t="s">
        <v>396</v>
      </c>
      <c r="AT1020" s="1759" t="s">
        <v>327</v>
      </c>
      <c r="AU1020" s="1763"/>
      <c r="AV1020" s="1763"/>
    </row>
    <row r="1021" spans="1:48" ht="25" hidden="1">
      <c r="A1021" s="1785" t="str">
        <f t="shared" si="165"/>
        <v>גמל</v>
      </c>
      <c r="B1021" s="1786">
        <f t="shared" si="166"/>
        <v>11408</v>
      </c>
      <c r="C1021" s="1787">
        <v>28946</v>
      </c>
      <c r="D1021" s="1786" t="str">
        <f t="shared" si="167"/>
        <v>מנורה מבטחים השתלמות פאסיבי - כללי</v>
      </c>
      <c r="E1021" s="1786" t="s">
        <v>3929</v>
      </c>
      <c r="F1021" s="1786" t="s">
        <v>2958</v>
      </c>
      <c r="G1021" s="1786" t="s">
        <v>2959</v>
      </c>
      <c r="H1021" s="1786" t="str">
        <f t="shared" si="168"/>
        <v>פעיל</v>
      </c>
      <c r="I1021" s="1788">
        <f t="shared" si="169"/>
        <v>37720</v>
      </c>
      <c r="J1021" s="1788" t="str">
        <f t="shared" si="170"/>
        <v/>
      </c>
      <c r="K1021" s="1786">
        <v>0</v>
      </c>
      <c r="L1021" s="1786" t="s">
        <v>1594</v>
      </c>
      <c r="M1021" s="1786" t="s">
        <v>1653</v>
      </c>
      <c r="N1021" s="1786" t="s">
        <v>1653</v>
      </c>
      <c r="O1021" s="1786">
        <v>0</v>
      </c>
      <c r="P1021" s="1786"/>
      <c r="Q1021" s="1786">
        <v>0</v>
      </c>
      <c r="R1021" s="1788"/>
      <c r="S1021" s="1786">
        <f t="shared" si="171"/>
        <v>828</v>
      </c>
      <c r="T1021" s="1786" t="str">
        <f t="shared" si="172"/>
        <v>בנק לאומי בע"מ</v>
      </c>
      <c r="U1021" s="1786" t="str">
        <f t="shared" si="173"/>
        <v>מנורה מבטחים השתלמות</v>
      </c>
      <c r="V1021" s="1786" t="str">
        <f t="shared" si="174"/>
        <v>520007469</v>
      </c>
      <c r="W1021" s="1789" t="str">
        <f t="shared" si="175"/>
        <v>מנורה מבטחים פנסיה וגמל בע"מ</v>
      </c>
      <c r="AC1021" s="1761" t="s">
        <v>346</v>
      </c>
      <c r="AD1021" s="1761"/>
      <c r="AE1021" s="1762">
        <v>37720</v>
      </c>
      <c r="AF1021" s="1761" t="s">
        <v>3959</v>
      </c>
      <c r="AG1021" s="1761" t="s">
        <v>1583</v>
      </c>
      <c r="AH1021" s="1761" t="s">
        <v>1583</v>
      </c>
      <c r="AI1021" s="1761" t="s">
        <v>4852</v>
      </c>
      <c r="AJ1021" s="1761" t="s">
        <v>4851</v>
      </c>
      <c r="AK1021" s="1761">
        <v>11408</v>
      </c>
      <c r="AL1021" s="1761" t="s">
        <v>3997</v>
      </c>
      <c r="AM1021" s="1761">
        <v>828</v>
      </c>
      <c r="AN1021" s="1761" t="s">
        <v>5470</v>
      </c>
      <c r="AO1021" s="1764"/>
      <c r="AP1021" s="1761" t="s">
        <v>5377</v>
      </c>
      <c r="AQ1021" s="1761" t="s">
        <v>5378</v>
      </c>
      <c r="AR1021" s="1761" t="s">
        <v>2971</v>
      </c>
      <c r="AS1021" s="1761" t="s">
        <v>396</v>
      </c>
      <c r="AT1021" s="1761" t="s">
        <v>327</v>
      </c>
      <c r="AU1021" s="1763"/>
      <c r="AV1021" s="1763"/>
    </row>
    <row r="1022" spans="1:48" ht="25" hidden="1">
      <c r="A1022" s="1785" t="str">
        <f t="shared" si="165"/>
        <v>גמל</v>
      </c>
      <c r="B1022" s="1786">
        <f t="shared" si="166"/>
        <v>1366</v>
      </c>
      <c r="C1022" s="1787">
        <v>28946</v>
      </c>
      <c r="D1022" s="1786" t="str">
        <f t="shared" si="167"/>
        <v>מנורה מבטחים השתלמות מסלול מניות</v>
      </c>
      <c r="E1022" s="1786" t="s">
        <v>3929</v>
      </c>
      <c r="F1022" s="1786" t="s">
        <v>2958</v>
      </c>
      <c r="G1022" s="1786" t="s">
        <v>2959</v>
      </c>
      <c r="H1022" s="1786" t="str">
        <f t="shared" si="168"/>
        <v>לא פעיל</v>
      </c>
      <c r="I1022" s="1788">
        <f t="shared" si="169"/>
        <v>37720</v>
      </c>
      <c r="J1022" s="1788">
        <f t="shared" si="170"/>
        <v>41597.745162036997</v>
      </c>
      <c r="K1022" s="1786">
        <v>0</v>
      </c>
      <c r="L1022" s="1786" t="s">
        <v>1594</v>
      </c>
      <c r="M1022" s="1786" t="s">
        <v>1653</v>
      </c>
      <c r="N1022" s="1786" t="s">
        <v>1653</v>
      </c>
      <c r="O1022" s="1786">
        <v>0</v>
      </c>
      <c r="P1022" s="1786"/>
      <c r="Q1022" s="1786">
        <v>0</v>
      </c>
      <c r="R1022" s="1788"/>
      <c r="S1022" s="1786">
        <f t="shared" si="171"/>
        <v>828</v>
      </c>
      <c r="T1022" s="1786" t="str">
        <f t="shared" si="172"/>
        <v>בנק הפועלים בע"מ</v>
      </c>
      <c r="U1022" s="1786" t="str">
        <f t="shared" si="173"/>
        <v>מנורה מבטחים השתלמות מסלול כללי</v>
      </c>
      <c r="V1022" s="1786">
        <f t="shared" si="174"/>
        <v>0</v>
      </c>
      <c r="W1022" s="1789" t="str">
        <f t="shared" si="175"/>
        <v>מנורה מבטחים גמל בע"מ</v>
      </c>
      <c r="AC1022" s="1759" t="s">
        <v>1586</v>
      </c>
      <c r="AD1022" s="1760">
        <v>41597.745162036997</v>
      </c>
      <c r="AE1022" s="1760">
        <v>37720</v>
      </c>
      <c r="AF1022" s="1759" t="s">
        <v>1595</v>
      </c>
      <c r="AG1022" s="1759" t="s">
        <v>75</v>
      </c>
      <c r="AH1022" s="1759" t="s">
        <v>1594</v>
      </c>
      <c r="AI1022" s="1759" t="s">
        <v>2426</v>
      </c>
      <c r="AJ1022" s="1759" t="s">
        <v>2426</v>
      </c>
      <c r="AK1022" s="1759">
        <v>1366</v>
      </c>
      <c r="AL1022" s="1759" t="s">
        <v>618</v>
      </c>
      <c r="AM1022" s="1759">
        <v>828</v>
      </c>
      <c r="AN1022" s="1759" t="s">
        <v>1695</v>
      </c>
      <c r="AO1022" s="1764"/>
      <c r="AP1022" s="1759"/>
      <c r="AQ1022" s="1759"/>
      <c r="AR1022" s="1759" t="s">
        <v>363</v>
      </c>
      <c r="AS1022" s="1759" t="s">
        <v>364</v>
      </c>
      <c r="AT1022" s="1759" t="s">
        <v>327</v>
      </c>
      <c r="AU1022" s="1763"/>
      <c r="AV1022" s="1763"/>
    </row>
    <row r="1023" spans="1:48" ht="25" hidden="1">
      <c r="A1023" s="1785" t="str">
        <f t="shared" si="165"/>
        <v>גמל</v>
      </c>
      <c r="B1023" s="1786">
        <f t="shared" si="166"/>
        <v>1861</v>
      </c>
      <c r="C1023" s="1787">
        <v>28946</v>
      </c>
      <c r="D1023" s="1786" t="str">
        <f t="shared" si="167"/>
        <v>מנורה מבטחים השתלמות מסלול לטווח ארוך</v>
      </c>
      <c r="E1023" s="1786" t="s">
        <v>3929</v>
      </c>
      <c r="F1023" s="1786" t="s">
        <v>2958</v>
      </c>
      <c r="G1023" s="1786" t="s">
        <v>2959</v>
      </c>
      <c r="H1023" s="1786" t="str">
        <f t="shared" si="168"/>
        <v>פעיל</v>
      </c>
      <c r="I1023" s="1788">
        <f t="shared" si="169"/>
        <v>37720</v>
      </c>
      <c r="J1023" s="1788" t="str">
        <f t="shared" si="170"/>
        <v/>
      </c>
      <c r="K1023" s="1786">
        <v>0</v>
      </c>
      <c r="L1023" s="1786" t="s">
        <v>1594</v>
      </c>
      <c r="M1023" s="1786" t="s">
        <v>1653</v>
      </c>
      <c r="N1023" s="1786" t="s">
        <v>1653</v>
      </c>
      <c r="O1023" s="1786">
        <v>0</v>
      </c>
      <c r="P1023" s="1786"/>
      <c r="Q1023" s="1786">
        <v>0</v>
      </c>
      <c r="R1023" s="1788"/>
      <c r="S1023" s="1786">
        <f t="shared" si="171"/>
        <v>828</v>
      </c>
      <c r="T1023" s="1786" t="str">
        <f t="shared" si="172"/>
        <v>בנק לאומי בע"מ</v>
      </c>
      <c r="U1023" s="1786" t="str">
        <f t="shared" si="173"/>
        <v>מנורה מבטחים השתלמות</v>
      </c>
      <c r="V1023" s="1786" t="str">
        <f t="shared" si="174"/>
        <v>520007469</v>
      </c>
      <c r="W1023" s="1789" t="str">
        <f t="shared" si="175"/>
        <v>מנורה מבטחים פנסיה וגמל בע"מ</v>
      </c>
      <c r="AC1023" s="1761" t="s">
        <v>346</v>
      </c>
      <c r="AD1023" s="1761"/>
      <c r="AE1023" s="1762">
        <v>37720</v>
      </c>
      <c r="AF1023" s="1761" t="s">
        <v>3956</v>
      </c>
      <c r="AG1023" s="1761" t="s">
        <v>70</v>
      </c>
      <c r="AH1023" s="1761" t="s">
        <v>1594</v>
      </c>
      <c r="AI1023" s="1761" t="s">
        <v>4625</v>
      </c>
      <c r="AJ1023" s="1761" t="s">
        <v>4620</v>
      </c>
      <c r="AK1023" s="1761">
        <v>1861</v>
      </c>
      <c r="AL1023" s="1761" t="s">
        <v>3997</v>
      </c>
      <c r="AM1023" s="1761">
        <v>828</v>
      </c>
      <c r="AN1023" s="1761" t="s">
        <v>5470</v>
      </c>
      <c r="AO1023" s="1764"/>
      <c r="AP1023" s="1761" t="s">
        <v>5377</v>
      </c>
      <c r="AQ1023" s="1761" t="s">
        <v>5378</v>
      </c>
      <c r="AR1023" s="1761" t="s">
        <v>2971</v>
      </c>
      <c r="AS1023" s="1761" t="s">
        <v>396</v>
      </c>
      <c r="AT1023" s="1761" t="s">
        <v>327</v>
      </c>
      <c r="AU1023" s="1763"/>
      <c r="AV1023" s="1763"/>
    </row>
    <row r="1024" spans="1:48" ht="25" hidden="1">
      <c r="A1024" s="1785" t="str">
        <f t="shared" si="165"/>
        <v>גמל</v>
      </c>
      <c r="B1024" s="1786">
        <f t="shared" si="166"/>
        <v>9662</v>
      </c>
      <c r="C1024" s="1787">
        <v>28946</v>
      </c>
      <c r="D1024" s="1786" t="str">
        <f t="shared" si="167"/>
        <v>מנורה מבטחים השתלמות אג"ח עד 20% מניות</v>
      </c>
      <c r="E1024" s="1786" t="s">
        <v>3929</v>
      </c>
      <c r="F1024" s="1786" t="s">
        <v>2958</v>
      </c>
      <c r="G1024" s="1786" t="s">
        <v>2959</v>
      </c>
      <c r="H1024" s="1786" t="str">
        <f t="shared" si="168"/>
        <v>פעיל</v>
      </c>
      <c r="I1024" s="1788">
        <f t="shared" si="169"/>
        <v>37720</v>
      </c>
      <c r="J1024" s="1788" t="str">
        <f t="shared" si="170"/>
        <v/>
      </c>
      <c r="K1024" s="1786">
        <v>0</v>
      </c>
      <c r="L1024" s="1786" t="s">
        <v>1594</v>
      </c>
      <c r="M1024" s="1786" t="s">
        <v>1653</v>
      </c>
      <c r="N1024" s="1786" t="s">
        <v>1653</v>
      </c>
      <c r="O1024" s="1786">
        <v>0</v>
      </c>
      <c r="P1024" s="1786"/>
      <c r="Q1024" s="1786">
        <v>0</v>
      </c>
      <c r="R1024" s="1788"/>
      <c r="S1024" s="1786">
        <f t="shared" si="171"/>
        <v>828</v>
      </c>
      <c r="T1024" s="1786" t="str">
        <f t="shared" si="172"/>
        <v>בנק לאומי בע"מ</v>
      </c>
      <c r="U1024" s="1786" t="str">
        <f t="shared" si="173"/>
        <v>מנורה מבטחים השתלמות</v>
      </c>
      <c r="V1024" s="1786" t="str">
        <f t="shared" si="174"/>
        <v>520007469</v>
      </c>
      <c r="W1024" s="1789" t="str">
        <f t="shared" si="175"/>
        <v>מנורה מבטחים פנסיה וגמל בע"מ</v>
      </c>
      <c r="AC1024" s="1759" t="s">
        <v>346</v>
      </c>
      <c r="AD1024" s="1759"/>
      <c r="AE1024" s="1760">
        <v>37720</v>
      </c>
      <c r="AF1024" s="1759" t="s">
        <v>1653</v>
      </c>
      <c r="AG1024" s="1759" t="s">
        <v>1653</v>
      </c>
      <c r="AH1024" s="1759" t="s">
        <v>1594</v>
      </c>
      <c r="AI1024" s="1759" t="s">
        <v>4314</v>
      </c>
      <c r="AJ1024" s="1759" t="s">
        <v>4313</v>
      </c>
      <c r="AK1024" s="1759">
        <v>9662</v>
      </c>
      <c r="AL1024" s="1759" t="s">
        <v>3997</v>
      </c>
      <c r="AM1024" s="1759">
        <v>828</v>
      </c>
      <c r="AN1024" s="1759" t="s">
        <v>5470</v>
      </c>
      <c r="AO1024" s="1764"/>
      <c r="AP1024" s="1759" t="s">
        <v>5377</v>
      </c>
      <c r="AQ1024" s="1759" t="s">
        <v>5378</v>
      </c>
      <c r="AR1024" s="1759" t="s">
        <v>2971</v>
      </c>
      <c r="AS1024" s="1759" t="s">
        <v>396</v>
      </c>
      <c r="AT1024" s="1759" t="s">
        <v>327</v>
      </c>
      <c r="AU1024" s="1763"/>
      <c r="AV1024" s="1763"/>
    </row>
    <row r="1025" spans="1:48" ht="25" hidden="1">
      <c r="A1025" s="1785" t="str">
        <f t="shared" si="165"/>
        <v>גמל</v>
      </c>
      <c r="B1025" s="1786">
        <f t="shared" si="166"/>
        <v>1406</v>
      </c>
      <c r="C1025" s="1787">
        <v>28946</v>
      </c>
      <c r="D1025" s="1786" t="str">
        <f t="shared" si="167"/>
        <v>מנורה מבטחים השתלמות מסלול אג"ח קונצרניות</v>
      </c>
      <c r="E1025" s="1786" t="s">
        <v>3929</v>
      </c>
      <c r="F1025" s="1786" t="s">
        <v>2958</v>
      </c>
      <c r="G1025" s="1786" t="s">
        <v>2959</v>
      </c>
      <c r="H1025" s="1786" t="str">
        <f t="shared" si="168"/>
        <v>לא פעיל</v>
      </c>
      <c r="I1025" s="1788">
        <f t="shared" si="169"/>
        <v>37720</v>
      </c>
      <c r="J1025" s="1788">
        <f t="shared" si="170"/>
        <v>42381.419247685197</v>
      </c>
      <c r="K1025" s="1786">
        <v>0</v>
      </c>
      <c r="L1025" s="1786" t="s">
        <v>1594</v>
      </c>
      <c r="M1025" s="1786" t="s">
        <v>1653</v>
      </c>
      <c r="N1025" s="1786" t="s">
        <v>1653</v>
      </c>
      <c r="O1025" s="1786">
        <v>0</v>
      </c>
      <c r="P1025" s="1786"/>
      <c r="Q1025" s="1786">
        <v>0</v>
      </c>
      <c r="R1025" s="1788"/>
      <c r="S1025" s="1786">
        <f t="shared" si="171"/>
        <v>828</v>
      </c>
      <c r="T1025" s="1786" t="str">
        <f t="shared" si="172"/>
        <v>בנק לאומי בע"מ</v>
      </c>
      <c r="U1025" s="1786" t="str">
        <f t="shared" si="173"/>
        <v>מנורה מבטחים השתלמות</v>
      </c>
      <c r="V1025" s="1786" t="str">
        <f t="shared" si="174"/>
        <v>520007469</v>
      </c>
      <c r="W1025" s="1789" t="str">
        <f t="shared" si="175"/>
        <v>מנורה מבטחים פנסיה וגמל בע"מ</v>
      </c>
      <c r="AC1025" s="1761" t="s">
        <v>1586</v>
      </c>
      <c r="AD1025" s="1762">
        <v>42381.419247685197</v>
      </c>
      <c r="AE1025" s="1762">
        <v>37720</v>
      </c>
      <c r="AF1025" s="1761" t="s">
        <v>3010</v>
      </c>
      <c r="AG1025" s="1761" t="s">
        <v>1653</v>
      </c>
      <c r="AH1025" s="1761" t="s">
        <v>1594</v>
      </c>
      <c r="AI1025" s="1761" t="s">
        <v>3628</v>
      </c>
      <c r="AJ1025" s="1761" t="s">
        <v>2447</v>
      </c>
      <c r="AK1025" s="1761">
        <v>1406</v>
      </c>
      <c r="AL1025" s="1761" t="s">
        <v>3997</v>
      </c>
      <c r="AM1025" s="1761">
        <v>828</v>
      </c>
      <c r="AN1025" s="1761" t="s">
        <v>5470</v>
      </c>
      <c r="AO1025" s="1764"/>
      <c r="AP1025" s="1761" t="s">
        <v>5377</v>
      </c>
      <c r="AQ1025" s="1761" t="s">
        <v>5378</v>
      </c>
      <c r="AR1025" s="1761" t="s">
        <v>2971</v>
      </c>
      <c r="AS1025" s="1761" t="s">
        <v>396</v>
      </c>
      <c r="AT1025" s="1761" t="s">
        <v>327</v>
      </c>
      <c r="AU1025" s="1763"/>
      <c r="AV1025" s="1763"/>
    </row>
    <row r="1026" spans="1:48" ht="25" hidden="1">
      <c r="A1026" s="1785" t="str">
        <f t="shared" si="165"/>
        <v>גמל</v>
      </c>
      <c r="B1026" s="1786">
        <f t="shared" si="166"/>
        <v>1407</v>
      </c>
      <c r="C1026" s="1787">
        <v>28946</v>
      </c>
      <c r="D1026" s="1786" t="str">
        <f t="shared" si="167"/>
        <v>מנורה מבטחים השתלמות מסלול אג"ח ממשלתי צמוד</v>
      </c>
      <c r="E1026" s="1786" t="s">
        <v>3929</v>
      </c>
      <c r="F1026" s="1786" t="s">
        <v>2958</v>
      </c>
      <c r="G1026" s="1786" t="s">
        <v>2959</v>
      </c>
      <c r="H1026" s="1786" t="str">
        <f t="shared" si="168"/>
        <v>לא פעיל</v>
      </c>
      <c r="I1026" s="1788">
        <f t="shared" si="169"/>
        <v>37720</v>
      </c>
      <c r="J1026" s="1788">
        <f t="shared" si="170"/>
        <v>42381.419247685197</v>
      </c>
      <c r="K1026" s="1786">
        <v>0</v>
      </c>
      <c r="L1026" s="1786" t="s">
        <v>1594</v>
      </c>
      <c r="M1026" s="1786" t="s">
        <v>1653</v>
      </c>
      <c r="N1026" s="1786" t="s">
        <v>1653</v>
      </c>
      <c r="O1026" s="1786">
        <v>0</v>
      </c>
      <c r="P1026" s="1786"/>
      <c r="Q1026" s="1786">
        <v>0</v>
      </c>
      <c r="R1026" s="1788"/>
      <c r="S1026" s="1786">
        <f t="shared" si="171"/>
        <v>828</v>
      </c>
      <c r="T1026" s="1786" t="str">
        <f t="shared" si="172"/>
        <v>בנק לאומי בע"מ</v>
      </c>
      <c r="U1026" s="1786" t="str">
        <f t="shared" si="173"/>
        <v>מנורה מבטחים השתלמות</v>
      </c>
      <c r="V1026" s="1786" t="str">
        <f t="shared" si="174"/>
        <v>520007469</v>
      </c>
      <c r="W1026" s="1789" t="str">
        <f t="shared" si="175"/>
        <v>מנורה מבטחים פנסיה וגמל בע"מ</v>
      </c>
      <c r="AC1026" s="1759" t="s">
        <v>1586</v>
      </c>
      <c r="AD1026" s="1760">
        <v>42381.419247685197</v>
      </c>
      <c r="AE1026" s="1760">
        <v>37720</v>
      </c>
      <c r="AF1026" s="1759" t="s">
        <v>2009</v>
      </c>
      <c r="AG1026" s="1759" t="s">
        <v>1653</v>
      </c>
      <c r="AH1026" s="1759" t="s">
        <v>1594</v>
      </c>
      <c r="AI1026" s="1759" t="s">
        <v>3629</v>
      </c>
      <c r="AJ1026" s="1759" t="s">
        <v>2448</v>
      </c>
      <c r="AK1026" s="1759">
        <v>1407</v>
      </c>
      <c r="AL1026" s="1759" t="s">
        <v>3997</v>
      </c>
      <c r="AM1026" s="1759">
        <v>828</v>
      </c>
      <c r="AN1026" s="1759" t="s">
        <v>5470</v>
      </c>
      <c r="AO1026" s="1764"/>
      <c r="AP1026" s="1759" t="s">
        <v>5377</v>
      </c>
      <c r="AQ1026" s="1759" t="s">
        <v>5378</v>
      </c>
      <c r="AR1026" s="1759" t="s">
        <v>2971</v>
      </c>
      <c r="AS1026" s="1759" t="s">
        <v>396</v>
      </c>
      <c r="AT1026" s="1759" t="s">
        <v>327</v>
      </c>
      <c r="AU1026" s="1763"/>
      <c r="AV1026" s="1763"/>
    </row>
    <row r="1027" spans="1:48" ht="25" hidden="1">
      <c r="A1027" s="1785" t="str">
        <f t="shared" si="165"/>
        <v>גמל</v>
      </c>
      <c r="B1027" s="1786">
        <f t="shared" si="166"/>
        <v>1408</v>
      </c>
      <c r="C1027" s="1787">
        <v>28946</v>
      </c>
      <c r="D1027" s="1786" t="str">
        <f t="shared" si="167"/>
        <v>מנורה מבטחים השתלמות מסלול אג"ח ממשלת ישראל</v>
      </c>
      <c r="E1027" s="1786" t="s">
        <v>3929</v>
      </c>
      <c r="F1027" s="1786" t="s">
        <v>2958</v>
      </c>
      <c r="G1027" s="1786" t="s">
        <v>2959</v>
      </c>
      <c r="H1027" s="1786" t="str">
        <f t="shared" si="168"/>
        <v>פעיל</v>
      </c>
      <c r="I1027" s="1788">
        <f t="shared" si="169"/>
        <v>37720</v>
      </c>
      <c r="J1027" s="1788" t="str">
        <f t="shared" si="170"/>
        <v/>
      </c>
      <c r="K1027" s="1786">
        <v>0</v>
      </c>
      <c r="L1027" s="1786" t="s">
        <v>1594</v>
      </c>
      <c r="M1027" s="1786" t="s">
        <v>1653</v>
      </c>
      <c r="N1027" s="1786" t="s">
        <v>1653</v>
      </c>
      <c r="O1027" s="1786">
        <v>0</v>
      </c>
      <c r="P1027" s="1786"/>
      <c r="Q1027" s="1786">
        <v>0</v>
      </c>
      <c r="R1027" s="1788"/>
      <c r="S1027" s="1786">
        <f t="shared" si="171"/>
        <v>828</v>
      </c>
      <c r="T1027" s="1786" t="str">
        <f t="shared" si="172"/>
        <v>בנק לאומי בע"מ</v>
      </c>
      <c r="U1027" s="1786" t="str">
        <f t="shared" si="173"/>
        <v>מנורה מבטחים השתלמות</v>
      </c>
      <c r="V1027" s="1786" t="str">
        <f t="shared" si="174"/>
        <v>520007469</v>
      </c>
      <c r="W1027" s="1789" t="str">
        <f t="shared" si="175"/>
        <v>מנורה מבטחים פנסיה וגמל בע"מ</v>
      </c>
      <c r="AC1027" s="1761" t="s">
        <v>346</v>
      </c>
      <c r="AD1027" s="1761"/>
      <c r="AE1027" s="1762">
        <v>37720</v>
      </c>
      <c r="AF1027" s="1761" t="s">
        <v>2009</v>
      </c>
      <c r="AG1027" s="1761" t="s">
        <v>1653</v>
      </c>
      <c r="AH1027" s="1761" t="s">
        <v>1594</v>
      </c>
      <c r="AI1027" s="1761" t="s">
        <v>4091</v>
      </c>
      <c r="AJ1027" s="1761" t="s">
        <v>4090</v>
      </c>
      <c r="AK1027" s="1761">
        <v>1408</v>
      </c>
      <c r="AL1027" s="1761" t="s">
        <v>3997</v>
      </c>
      <c r="AM1027" s="1761">
        <v>828</v>
      </c>
      <c r="AN1027" s="1761" t="s">
        <v>5470</v>
      </c>
      <c r="AO1027" s="1764"/>
      <c r="AP1027" s="1761" t="s">
        <v>5377</v>
      </c>
      <c r="AQ1027" s="1761" t="s">
        <v>5378</v>
      </c>
      <c r="AR1027" s="1761" t="s">
        <v>2971</v>
      </c>
      <c r="AS1027" s="1761" t="s">
        <v>396</v>
      </c>
      <c r="AT1027" s="1761" t="s">
        <v>327</v>
      </c>
      <c r="AU1027" s="1763"/>
      <c r="AV1027" s="1763"/>
    </row>
    <row r="1028" spans="1:48" ht="25" hidden="1">
      <c r="A1028" s="1785" t="str">
        <f t="shared" si="165"/>
        <v>גמל</v>
      </c>
      <c r="B1028" s="1786">
        <f t="shared" si="166"/>
        <v>1409</v>
      </c>
      <c r="C1028" s="1787">
        <v>28946</v>
      </c>
      <c r="D1028" s="1786" t="str">
        <f t="shared" si="167"/>
        <v>מנורה מבטחים השתלמות מסלול מניות חו"ל</v>
      </c>
      <c r="E1028" s="1786" t="s">
        <v>3929</v>
      </c>
      <c r="F1028" s="1786" t="s">
        <v>2958</v>
      </c>
      <c r="G1028" s="1786" t="s">
        <v>2959</v>
      </c>
      <c r="H1028" s="1786" t="str">
        <f t="shared" si="168"/>
        <v>פעיל</v>
      </c>
      <c r="I1028" s="1788">
        <f t="shared" si="169"/>
        <v>37720</v>
      </c>
      <c r="J1028" s="1788" t="str">
        <f t="shared" si="170"/>
        <v/>
      </c>
      <c r="K1028" s="1786">
        <v>0</v>
      </c>
      <c r="L1028" s="1786" t="s">
        <v>1594</v>
      </c>
      <c r="M1028" s="1786" t="s">
        <v>1653</v>
      </c>
      <c r="N1028" s="1786" t="s">
        <v>1653</v>
      </c>
      <c r="O1028" s="1786">
        <v>0</v>
      </c>
      <c r="P1028" s="1786"/>
      <c r="Q1028" s="1786">
        <v>0</v>
      </c>
      <c r="R1028" s="1788"/>
      <c r="S1028" s="1786">
        <f t="shared" si="171"/>
        <v>828</v>
      </c>
      <c r="T1028" s="1786" t="str">
        <f t="shared" si="172"/>
        <v>בנק לאומי בע"מ</v>
      </c>
      <c r="U1028" s="1786" t="str">
        <f t="shared" si="173"/>
        <v>מנורה מבטחים השתלמות</v>
      </c>
      <c r="V1028" s="1786" t="str">
        <f t="shared" si="174"/>
        <v>520007469</v>
      </c>
      <c r="W1028" s="1789" t="str">
        <f t="shared" si="175"/>
        <v>מנורה מבטחים פנסיה וגמל בע"מ</v>
      </c>
      <c r="AC1028" s="1759" t="s">
        <v>346</v>
      </c>
      <c r="AD1028" s="1759"/>
      <c r="AE1028" s="1760">
        <v>37720</v>
      </c>
      <c r="AF1028" s="1759" t="s">
        <v>1948</v>
      </c>
      <c r="AG1028" s="1759" t="s">
        <v>75</v>
      </c>
      <c r="AH1028" s="1759" t="s">
        <v>1594</v>
      </c>
      <c r="AI1028" s="1759" t="s">
        <v>3630</v>
      </c>
      <c r="AJ1028" s="1759" t="s">
        <v>2449</v>
      </c>
      <c r="AK1028" s="1759">
        <v>1409</v>
      </c>
      <c r="AL1028" s="1759" t="s">
        <v>3997</v>
      </c>
      <c r="AM1028" s="1759">
        <v>828</v>
      </c>
      <c r="AN1028" s="1759" t="s">
        <v>5470</v>
      </c>
      <c r="AO1028" s="1764"/>
      <c r="AP1028" s="1759" t="s">
        <v>5377</v>
      </c>
      <c r="AQ1028" s="1759" t="s">
        <v>5378</v>
      </c>
      <c r="AR1028" s="1759" t="s">
        <v>2971</v>
      </c>
      <c r="AS1028" s="1759" t="s">
        <v>396</v>
      </c>
      <c r="AT1028" s="1759" t="s">
        <v>327</v>
      </c>
      <c r="AU1028" s="1763"/>
      <c r="AV1028" s="1763"/>
    </row>
    <row r="1029" spans="1:48" ht="25" hidden="1">
      <c r="A1029" s="1785" t="str">
        <f t="shared" si="165"/>
        <v>גמל</v>
      </c>
      <c r="B1029" s="1786">
        <f t="shared" si="166"/>
        <v>11409</v>
      </c>
      <c r="C1029" s="1787">
        <v>28946</v>
      </c>
      <c r="D1029" s="1786" t="str">
        <f t="shared" si="167"/>
        <v>מנורה מבטחים השתלמות פאסיבי - מדדי אג"ח עד 15% במדדי מניות</v>
      </c>
      <c r="E1029" s="1786" t="s">
        <v>3929</v>
      </c>
      <c r="F1029" s="1786" t="s">
        <v>2958</v>
      </c>
      <c r="G1029" s="1786" t="s">
        <v>2959</v>
      </c>
      <c r="H1029" s="1786" t="str">
        <f t="shared" si="168"/>
        <v>פעיל</v>
      </c>
      <c r="I1029" s="1788">
        <f t="shared" si="169"/>
        <v>37720</v>
      </c>
      <c r="J1029" s="1788" t="str">
        <f t="shared" si="170"/>
        <v/>
      </c>
      <c r="K1029" s="1786">
        <v>0</v>
      </c>
      <c r="L1029" s="1786" t="s">
        <v>1594</v>
      </c>
      <c r="M1029" s="1786" t="s">
        <v>1653</v>
      </c>
      <c r="N1029" s="1786" t="s">
        <v>1653</v>
      </c>
      <c r="O1029" s="1786">
        <v>0</v>
      </c>
      <c r="P1029" s="1786"/>
      <c r="Q1029" s="1786">
        <v>0</v>
      </c>
      <c r="R1029" s="1788"/>
      <c r="S1029" s="1786">
        <f t="shared" si="171"/>
        <v>828</v>
      </c>
      <c r="T1029" s="1786" t="str">
        <f t="shared" si="172"/>
        <v>בנק לאומי בע"מ</v>
      </c>
      <c r="U1029" s="1786" t="str">
        <f t="shared" si="173"/>
        <v>מנורה מבטחים השתלמות</v>
      </c>
      <c r="V1029" s="1786" t="str">
        <f t="shared" si="174"/>
        <v>520007469</v>
      </c>
      <c r="W1029" s="1789" t="str">
        <f t="shared" si="175"/>
        <v>מנורה מבטחים פנסיה וגמל בע"מ</v>
      </c>
      <c r="AC1029" s="1761" t="s">
        <v>346</v>
      </c>
      <c r="AD1029" s="1761"/>
      <c r="AE1029" s="1762">
        <v>37720</v>
      </c>
      <c r="AF1029" s="1761" t="s">
        <v>4619</v>
      </c>
      <c r="AG1029" s="1761" t="s">
        <v>1653</v>
      </c>
      <c r="AH1029" s="1761" t="s">
        <v>1594</v>
      </c>
      <c r="AI1029" s="1761" t="s">
        <v>4854</v>
      </c>
      <c r="AJ1029" s="1761" t="s">
        <v>4853</v>
      </c>
      <c r="AK1029" s="1761">
        <v>11409</v>
      </c>
      <c r="AL1029" s="1761" t="s">
        <v>3997</v>
      </c>
      <c r="AM1029" s="1761">
        <v>828</v>
      </c>
      <c r="AN1029" s="1761" t="s">
        <v>5470</v>
      </c>
      <c r="AO1029" s="1764"/>
      <c r="AP1029" s="1761" t="s">
        <v>5377</v>
      </c>
      <c r="AQ1029" s="1761" t="s">
        <v>5378</v>
      </c>
      <c r="AR1029" s="1761" t="s">
        <v>2971</v>
      </c>
      <c r="AS1029" s="1761" t="s">
        <v>396</v>
      </c>
      <c r="AT1029" s="1761" t="s">
        <v>327</v>
      </c>
      <c r="AU1029" s="1763"/>
      <c r="AV1029" s="1763"/>
    </row>
    <row r="1030" spans="1:48" ht="25" hidden="1">
      <c r="A1030" s="1785" t="str">
        <f t="shared" si="165"/>
        <v>גמל</v>
      </c>
      <c r="B1030" s="1786">
        <f t="shared" si="166"/>
        <v>827</v>
      </c>
      <c r="C1030" s="1787">
        <v>28946</v>
      </c>
      <c r="D1030" s="1786" t="str">
        <f t="shared" si="167"/>
        <v>מבטחים מרכזית לפיצויים</v>
      </c>
      <c r="E1030" s="1786" t="s">
        <v>3929</v>
      </c>
      <c r="F1030" s="1786" t="s">
        <v>2958</v>
      </c>
      <c r="G1030" s="1786" t="s">
        <v>2959</v>
      </c>
      <c r="H1030" s="1786" t="str">
        <f t="shared" si="168"/>
        <v>פעיל</v>
      </c>
      <c r="I1030" s="1788">
        <f t="shared" si="169"/>
        <v>37720</v>
      </c>
      <c r="J1030" s="1788" t="str">
        <f t="shared" si="170"/>
        <v/>
      </c>
      <c r="K1030" s="1786">
        <v>0</v>
      </c>
      <c r="L1030" s="1786" t="s">
        <v>1594</v>
      </c>
      <c r="M1030" s="1786" t="s">
        <v>1653</v>
      </c>
      <c r="N1030" s="1786" t="s">
        <v>1653</v>
      </c>
      <c r="O1030" s="1786">
        <v>0</v>
      </c>
      <c r="P1030" s="1786"/>
      <c r="Q1030" s="1786">
        <v>0</v>
      </c>
      <c r="R1030" s="1788"/>
      <c r="S1030" s="1786">
        <f t="shared" si="171"/>
        <v>827</v>
      </c>
      <c r="T1030" s="1786" t="str">
        <f t="shared" si="172"/>
        <v>בנק הפועלים בע"מ</v>
      </c>
      <c r="U1030" s="1786" t="str">
        <f t="shared" si="173"/>
        <v>מבטחים מרכזית לפיצויים</v>
      </c>
      <c r="V1030" s="1786" t="str">
        <f t="shared" si="174"/>
        <v>520007469</v>
      </c>
      <c r="W1030" s="1789" t="str">
        <f t="shared" si="175"/>
        <v>מנורה מבטחים פנסיה וגמל בע"מ</v>
      </c>
      <c r="AC1030" s="1759" t="s">
        <v>346</v>
      </c>
      <c r="AD1030" s="1759"/>
      <c r="AE1030" s="1760">
        <v>37720</v>
      </c>
      <c r="AF1030" s="1759" t="s">
        <v>1583</v>
      </c>
      <c r="AG1030" s="1759" t="s">
        <v>1583</v>
      </c>
      <c r="AH1030" s="1759" t="s">
        <v>1583</v>
      </c>
      <c r="AI1030" s="1759" t="s">
        <v>617</v>
      </c>
      <c r="AJ1030" s="1759" t="s">
        <v>617</v>
      </c>
      <c r="AK1030" s="1759">
        <v>827</v>
      </c>
      <c r="AL1030" s="1759" t="s">
        <v>617</v>
      </c>
      <c r="AM1030" s="1759">
        <v>827</v>
      </c>
      <c r="AN1030" s="1759" t="s">
        <v>1695</v>
      </c>
      <c r="AO1030" s="1764"/>
      <c r="AP1030" s="1759" t="s">
        <v>5377</v>
      </c>
      <c r="AQ1030" s="1759" t="s">
        <v>5378</v>
      </c>
      <c r="AR1030" s="1759" t="s">
        <v>2971</v>
      </c>
      <c r="AS1030" s="1759" t="s">
        <v>396</v>
      </c>
      <c r="AT1030" s="1759" t="s">
        <v>327</v>
      </c>
      <c r="AU1030" s="1763"/>
      <c r="AV1030" s="1763"/>
    </row>
    <row r="1031" spans="1:48" ht="25" hidden="1">
      <c r="A1031" s="1785" t="str">
        <f t="shared" si="165"/>
        <v>גמל</v>
      </c>
      <c r="B1031" s="1786">
        <f t="shared" si="166"/>
        <v>503</v>
      </c>
      <c r="C1031" s="1787">
        <v>28946</v>
      </c>
      <c r="D1031" s="1786" t="str">
        <f t="shared" si="167"/>
        <v>מנורה מבטחים תגמולים ופיצויים - קרן פועלים חקלאים</v>
      </c>
      <c r="E1031" s="1786" t="s">
        <v>3929</v>
      </c>
      <c r="F1031" s="1786" t="s">
        <v>2958</v>
      </c>
      <c r="G1031" s="1786" t="s">
        <v>2959</v>
      </c>
      <c r="H1031" s="1786" t="str">
        <f t="shared" si="168"/>
        <v>לא פעיל</v>
      </c>
      <c r="I1031" s="1788">
        <f t="shared" si="169"/>
        <v>37720</v>
      </c>
      <c r="J1031" s="1788">
        <f t="shared" si="170"/>
        <v>41854.4692013889</v>
      </c>
      <c r="K1031" s="1786">
        <v>0</v>
      </c>
      <c r="L1031" s="1786" t="s">
        <v>1594</v>
      </c>
      <c r="M1031" s="1786" t="s">
        <v>1653</v>
      </c>
      <c r="N1031" s="1786" t="s">
        <v>1653</v>
      </c>
      <c r="O1031" s="1786">
        <v>0</v>
      </c>
      <c r="P1031" s="1786"/>
      <c r="Q1031" s="1786">
        <v>0</v>
      </c>
      <c r="R1031" s="1788"/>
      <c r="S1031" s="1786">
        <f t="shared" si="171"/>
        <v>826</v>
      </c>
      <c r="T1031" s="1786" t="str">
        <f t="shared" si="172"/>
        <v>בנק הפועלים בע"מ</v>
      </c>
      <c r="U1031" s="1786" t="str">
        <f t="shared" si="173"/>
        <v>מנורה מבטחים תגמולים ופיצויים</v>
      </c>
      <c r="V1031" s="1786" t="str">
        <f t="shared" si="174"/>
        <v>520007469</v>
      </c>
      <c r="W1031" s="1789" t="str">
        <f t="shared" si="175"/>
        <v>מנורה מבטחים פנסיה וגמל בע"מ</v>
      </c>
      <c r="AC1031" s="1761" t="s">
        <v>1586</v>
      </c>
      <c r="AD1031" s="1762">
        <v>41854.4692013889</v>
      </c>
      <c r="AE1031" s="1762">
        <v>37720</v>
      </c>
      <c r="AF1031" s="1761" t="s">
        <v>1583</v>
      </c>
      <c r="AG1031" s="1761" t="s">
        <v>1583</v>
      </c>
      <c r="AH1031" s="1761" t="s">
        <v>1583</v>
      </c>
      <c r="AI1031" s="1761" t="s">
        <v>3140</v>
      </c>
      <c r="AJ1031" s="1761" t="s">
        <v>3139</v>
      </c>
      <c r="AK1031" s="1761">
        <v>503</v>
      </c>
      <c r="AL1031" s="1761" t="s">
        <v>3065</v>
      </c>
      <c r="AM1031" s="1761">
        <v>826</v>
      </c>
      <c r="AN1031" s="1761" t="s">
        <v>1695</v>
      </c>
      <c r="AO1031" s="1764"/>
      <c r="AP1031" s="1761" t="s">
        <v>5377</v>
      </c>
      <c r="AQ1031" s="1761" t="s">
        <v>5378</v>
      </c>
      <c r="AR1031" s="1761" t="s">
        <v>2971</v>
      </c>
      <c r="AS1031" s="1761" t="s">
        <v>396</v>
      </c>
      <c r="AT1031" s="1761" t="s">
        <v>327</v>
      </c>
      <c r="AU1031" s="1763"/>
      <c r="AV1031" s="1763"/>
    </row>
    <row r="1032" spans="1:48" ht="25" hidden="1">
      <c r="A1032" s="1785" t="str">
        <f t="shared" si="165"/>
        <v>גמל</v>
      </c>
      <c r="B1032" s="1786">
        <f t="shared" si="166"/>
        <v>309</v>
      </c>
      <c r="C1032" s="1787">
        <v>28946</v>
      </c>
      <c r="D1032" s="1786" t="str">
        <f t="shared" si="167"/>
        <v>מנורה מבטחים תגמולים ופיצויים - קופת עובדים חקלאיים</v>
      </c>
      <c r="E1032" s="1786" t="s">
        <v>3929</v>
      </c>
      <c r="F1032" s="1786" t="s">
        <v>2958</v>
      </c>
      <c r="G1032" s="1786" t="s">
        <v>2959</v>
      </c>
      <c r="H1032" s="1786" t="str">
        <f t="shared" si="168"/>
        <v>לא פעיל</v>
      </c>
      <c r="I1032" s="1788">
        <f t="shared" si="169"/>
        <v>37720</v>
      </c>
      <c r="J1032" s="1788">
        <f t="shared" si="170"/>
        <v>41854.4692013889</v>
      </c>
      <c r="K1032" s="1786">
        <v>0</v>
      </c>
      <c r="L1032" s="1786" t="s">
        <v>1594</v>
      </c>
      <c r="M1032" s="1786" t="s">
        <v>1653</v>
      </c>
      <c r="N1032" s="1786" t="s">
        <v>1653</v>
      </c>
      <c r="O1032" s="1786">
        <v>0</v>
      </c>
      <c r="P1032" s="1786"/>
      <c r="Q1032" s="1786">
        <v>0</v>
      </c>
      <c r="R1032" s="1788"/>
      <c r="S1032" s="1786">
        <f t="shared" si="171"/>
        <v>826</v>
      </c>
      <c r="T1032" s="1786" t="str">
        <f t="shared" si="172"/>
        <v>בנק הפועלים בע"מ</v>
      </c>
      <c r="U1032" s="1786" t="str">
        <f t="shared" si="173"/>
        <v>מנורה מבטחים תגמולים ופיצויים</v>
      </c>
      <c r="V1032" s="1786" t="str">
        <f t="shared" si="174"/>
        <v>520007469</v>
      </c>
      <c r="W1032" s="1789" t="str">
        <f t="shared" si="175"/>
        <v>מנורה מבטחים פנסיה וגמל בע"מ</v>
      </c>
      <c r="AC1032" s="1759" t="s">
        <v>1586</v>
      </c>
      <c r="AD1032" s="1760">
        <v>41854.4692013889</v>
      </c>
      <c r="AE1032" s="1760">
        <v>37720</v>
      </c>
      <c r="AF1032" s="1759" t="s">
        <v>1583</v>
      </c>
      <c r="AG1032" s="1759" t="s">
        <v>1583</v>
      </c>
      <c r="AH1032" s="1759" t="s">
        <v>1583</v>
      </c>
      <c r="AI1032" s="1759" t="s">
        <v>3064</v>
      </c>
      <c r="AJ1032" s="1759" t="s">
        <v>3063</v>
      </c>
      <c r="AK1032" s="1759">
        <v>309</v>
      </c>
      <c r="AL1032" s="1759" t="s">
        <v>3065</v>
      </c>
      <c r="AM1032" s="1759">
        <v>826</v>
      </c>
      <c r="AN1032" s="1759" t="s">
        <v>1695</v>
      </c>
      <c r="AO1032" s="1764"/>
      <c r="AP1032" s="1759" t="s">
        <v>5377</v>
      </c>
      <c r="AQ1032" s="1759" t="s">
        <v>5378</v>
      </c>
      <c r="AR1032" s="1759" t="s">
        <v>2971</v>
      </c>
      <c r="AS1032" s="1759" t="s">
        <v>396</v>
      </c>
      <c r="AT1032" s="1759" t="s">
        <v>327</v>
      </c>
      <c r="AU1032" s="1763"/>
      <c r="AV1032" s="1763"/>
    </row>
    <row r="1033" spans="1:48" ht="25" hidden="1">
      <c r="A1033" s="1785" t="str">
        <f t="shared" si="165"/>
        <v>גמל</v>
      </c>
      <c r="B1033" s="1786">
        <f t="shared" si="166"/>
        <v>826</v>
      </c>
      <c r="C1033" s="1787">
        <v>28946</v>
      </c>
      <c r="D1033" s="1786" t="str">
        <f t="shared" si="167"/>
        <v>מנורה מבטחים תגמולים ופיצויים מסלול כללי</v>
      </c>
      <c r="E1033" s="1786" t="s">
        <v>3929</v>
      </c>
      <c r="F1033" s="1786" t="s">
        <v>2958</v>
      </c>
      <c r="G1033" s="1786" t="s">
        <v>2959</v>
      </c>
      <c r="H1033" s="1786" t="str">
        <f t="shared" si="168"/>
        <v>לא פעיל</v>
      </c>
      <c r="I1033" s="1788">
        <f t="shared" si="169"/>
        <v>37720</v>
      </c>
      <c r="J1033" s="1788">
        <f t="shared" si="170"/>
        <v>42373.444166666697</v>
      </c>
      <c r="K1033" s="1786">
        <v>0</v>
      </c>
      <c r="L1033" s="1786" t="s">
        <v>1594</v>
      </c>
      <c r="M1033" s="1786" t="s">
        <v>1653</v>
      </c>
      <c r="N1033" s="1786" t="s">
        <v>1653</v>
      </c>
      <c r="O1033" s="1786">
        <v>0</v>
      </c>
      <c r="P1033" s="1786"/>
      <c r="Q1033" s="1786">
        <v>0</v>
      </c>
      <c r="R1033" s="1788"/>
      <c r="S1033" s="1786">
        <f t="shared" si="171"/>
        <v>826</v>
      </c>
      <c r="T1033" s="1786" t="str">
        <f t="shared" si="172"/>
        <v>בנק הפועלים בע"מ</v>
      </c>
      <c r="U1033" s="1786" t="str">
        <f t="shared" si="173"/>
        <v>מנורה מבטחים תגמולים ופיצויים</v>
      </c>
      <c r="V1033" s="1786" t="str">
        <f t="shared" si="174"/>
        <v>520007469</v>
      </c>
      <c r="W1033" s="1789" t="str">
        <f t="shared" si="175"/>
        <v>מנורה מבטחים פנסיה וגמל בע"מ</v>
      </c>
      <c r="AC1033" s="1761" t="s">
        <v>1586</v>
      </c>
      <c r="AD1033" s="1762">
        <v>42373.444166666697</v>
      </c>
      <c r="AE1033" s="1762">
        <v>37720</v>
      </c>
      <c r="AF1033" s="1761" t="s">
        <v>1583</v>
      </c>
      <c r="AG1033" s="1761" t="s">
        <v>1583</v>
      </c>
      <c r="AH1033" s="1761" t="s">
        <v>1583</v>
      </c>
      <c r="AI1033" s="1761" t="s">
        <v>3333</v>
      </c>
      <c r="AJ1033" s="1761" t="s">
        <v>3332</v>
      </c>
      <c r="AK1033" s="1761">
        <v>826</v>
      </c>
      <c r="AL1033" s="1761" t="s">
        <v>3065</v>
      </c>
      <c r="AM1033" s="1761">
        <v>826</v>
      </c>
      <c r="AN1033" s="1761" t="s">
        <v>1695</v>
      </c>
      <c r="AO1033" s="1764"/>
      <c r="AP1033" s="1761" t="s">
        <v>5377</v>
      </c>
      <c r="AQ1033" s="1761" t="s">
        <v>5378</v>
      </c>
      <c r="AR1033" s="1761" t="s">
        <v>2971</v>
      </c>
      <c r="AS1033" s="1761" t="s">
        <v>396</v>
      </c>
      <c r="AT1033" s="1761" t="s">
        <v>327</v>
      </c>
      <c r="AU1033" s="1763"/>
      <c r="AV1033" s="1763"/>
    </row>
    <row r="1034" spans="1:48" ht="25" hidden="1">
      <c r="A1034" s="1785" t="str">
        <f t="shared" si="165"/>
        <v>גמל</v>
      </c>
      <c r="B1034" s="1786">
        <f t="shared" si="166"/>
        <v>1147</v>
      </c>
      <c r="C1034" s="1787">
        <v>28946</v>
      </c>
      <c r="D1034" s="1786" t="str">
        <f t="shared" si="167"/>
        <v>מנורה מבטחים תגמולים ופיצויים אג"ח עד 10% מניות</v>
      </c>
      <c r="E1034" s="1786" t="s">
        <v>3929</v>
      </c>
      <c r="F1034" s="1786" t="s">
        <v>2958</v>
      </c>
      <c r="G1034" s="1786" t="s">
        <v>2959</v>
      </c>
      <c r="H1034" s="1786" t="str">
        <f t="shared" si="168"/>
        <v>פעיל</v>
      </c>
      <c r="I1034" s="1788">
        <f t="shared" si="169"/>
        <v>37720</v>
      </c>
      <c r="J1034" s="1788" t="str">
        <f t="shared" si="170"/>
        <v/>
      </c>
      <c r="K1034" s="1786">
        <v>0</v>
      </c>
      <c r="L1034" s="1786" t="s">
        <v>1594</v>
      </c>
      <c r="M1034" s="1786" t="s">
        <v>1653</v>
      </c>
      <c r="N1034" s="1786" t="s">
        <v>1653</v>
      </c>
      <c r="O1034" s="1786">
        <v>0</v>
      </c>
      <c r="P1034" s="1786"/>
      <c r="Q1034" s="1786">
        <v>0</v>
      </c>
      <c r="R1034" s="1788"/>
      <c r="S1034" s="1786">
        <f t="shared" si="171"/>
        <v>826</v>
      </c>
      <c r="T1034" s="1786" t="str">
        <f t="shared" si="172"/>
        <v>בנק הפועלים בע"מ</v>
      </c>
      <c r="U1034" s="1786" t="str">
        <f t="shared" si="173"/>
        <v>מנורה מבטחים תגמולים ופיצויים</v>
      </c>
      <c r="V1034" s="1786" t="str">
        <f t="shared" si="174"/>
        <v>520007469</v>
      </c>
      <c r="W1034" s="1789" t="str">
        <f t="shared" si="175"/>
        <v>מנורה מבטחים פנסיה וגמל בע"מ</v>
      </c>
      <c r="AC1034" s="1759" t="s">
        <v>346</v>
      </c>
      <c r="AD1034" s="1759"/>
      <c r="AE1034" s="1760">
        <v>37720</v>
      </c>
      <c r="AF1034" s="1759" t="s">
        <v>1653</v>
      </c>
      <c r="AG1034" s="1759" t="s">
        <v>1653</v>
      </c>
      <c r="AH1034" s="1759" t="s">
        <v>1594</v>
      </c>
      <c r="AI1034" s="1759" t="s">
        <v>4039</v>
      </c>
      <c r="AJ1034" s="1759" t="s">
        <v>4038</v>
      </c>
      <c r="AK1034" s="1759">
        <v>1147</v>
      </c>
      <c r="AL1034" s="1759" t="s">
        <v>3065</v>
      </c>
      <c r="AM1034" s="1759">
        <v>826</v>
      </c>
      <c r="AN1034" s="1759" t="s">
        <v>1695</v>
      </c>
      <c r="AO1034" s="1764"/>
      <c r="AP1034" s="1759" t="s">
        <v>5377</v>
      </c>
      <c r="AQ1034" s="1759" t="s">
        <v>5378</v>
      </c>
      <c r="AR1034" s="1759" t="s">
        <v>2971</v>
      </c>
      <c r="AS1034" s="1759" t="s">
        <v>396</v>
      </c>
      <c r="AT1034" s="1759" t="s">
        <v>327</v>
      </c>
      <c r="AU1034" s="1763"/>
      <c r="AV1034" s="1763"/>
    </row>
    <row r="1035" spans="1:48" ht="25" hidden="1">
      <c r="A1035" s="1785" t="str">
        <f t="shared" si="165"/>
        <v>גמל</v>
      </c>
      <c r="B1035" s="1786">
        <f t="shared" si="166"/>
        <v>856</v>
      </c>
      <c r="C1035" s="1787">
        <v>28946</v>
      </c>
      <c r="D1035" s="1786" t="str">
        <f t="shared" si="167"/>
        <v>מנורה מבטחים תגמולים ופיצויים - קרן פועלי הבניין ועבודות ציבוריות</v>
      </c>
      <c r="E1035" s="1786" t="s">
        <v>3929</v>
      </c>
      <c r="F1035" s="1786" t="s">
        <v>2958</v>
      </c>
      <c r="G1035" s="1786" t="s">
        <v>2959</v>
      </c>
      <c r="H1035" s="1786" t="str">
        <f t="shared" si="168"/>
        <v>לא פעיל</v>
      </c>
      <c r="I1035" s="1788">
        <f t="shared" si="169"/>
        <v>37720</v>
      </c>
      <c r="J1035" s="1788">
        <f t="shared" si="170"/>
        <v>41854.4692013889</v>
      </c>
      <c r="K1035" s="1786">
        <v>0</v>
      </c>
      <c r="L1035" s="1786" t="s">
        <v>1594</v>
      </c>
      <c r="M1035" s="1786" t="s">
        <v>1653</v>
      </c>
      <c r="N1035" s="1786" t="s">
        <v>1653</v>
      </c>
      <c r="O1035" s="1786">
        <v>0</v>
      </c>
      <c r="P1035" s="1786"/>
      <c r="Q1035" s="1786">
        <v>0</v>
      </c>
      <c r="R1035" s="1788"/>
      <c r="S1035" s="1786">
        <f t="shared" si="171"/>
        <v>826</v>
      </c>
      <c r="T1035" s="1786" t="str">
        <f t="shared" si="172"/>
        <v>בנק הפועלים בע"מ</v>
      </c>
      <c r="U1035" s="1786" t="str">
        <f t="shared" si="173"/>
        <v>מנורה מבטחים תגמולים ופיצויים</v>
      </c>
      <c r="V1035" s="1786" t="str">
        <f t="shared" si="174"/>
        <v>520007469</v>
      </c>
      <c r="W1035" s="1789" t="str">
        <f t="shared" si="175"/>
        <v>מנורה מבטחים פנסיה וגמל בע"מ</v>
      </c>
      <c r="AC1035" s="1761" t="s">
        <v>1586</v>
      </c>
      <c r="AD1035" s="1762">
        <v>41854.4692013889</v>
      </c>
      <c r="AE1035" s="1762">
        <v>37720</v>
      </c>
      <c r="AF1035" s="1761" t="s">
        <v>1583</v>
      </c>
      <c r="AG1035" s="1761" t="s">
        <v>1583</v>
      </c>
      <c r="AH1035" s="1761" t="s">
        <v>1583</v>
      </c>
      <c r="AI1035" s="1761" t="s">
        <v>3353</v>
      </c>
      <c r="AJ1035" s="1761" t="s">
        <v>3352</v>
      </c>
      <c r="AK1035" s="1761">
        <v>856</v>
      </c>
      <c r="AL1035" s="1761" t="s">
        <v>3065</v>
      </c>
      <c r="AM1035" s="1761">
        <v>826</v>
      </c>
      <c r="AN1035" s="1761" t="s">
        <v>1695</v>
      </c>
      <c r="AO1035" s="1764"/>
      <c r="AP1035" s="1761" t="s">
        <v>5377</v>
      </c>
      <c r="AQ1035" s="1761" t="s">
        <v>5378</v>
      </c>
      <c r="AR1035" s="1761" t="s">
        <v>2971</v>
      </c>
      <c r="AS1035" s="1761" t="s">
        <v>396</v>
      </c>
      <c r="AT1035" s="1761" t="s">
        <v>327</v>
      </c>
      <c r="AU1035" s="1763"/>
      <c r="AV1035" s="1763"/>
    </row>
    <row r="1036" spans="1:48" ht="25" hidden="1">
      <c r="A1036" s="1785" t="str">
        <f t="shared" si="165"/>
        <v>גמל</v>
      </c>
      <c r="B1036" s="1786">
        <f t="shared" si="166"/>
        <v>1364</v>
      </c>
      <c r="C1036" s="1787">
        <v>28946</v>
      </c>
      <c r="D1036" s="1786" t="str">
        <f t="shared" si="167"/>
        <v>מנורה מבטחים תגמולים ופיצויים מסלול מניות</v>
      </c>
      <c r="E1036" s="1786" t="s">
        <v>3929</v>
      </c>
      <c r="F1036" s="1786" t="s">
        <v>2958</v>
      </c>
      <c r="G1036" s="1786" t="s">
        <v>2959</v>
      </c>
      <c r="H1036" s="1786" t="str">
        <f t="shared" si="168"/>
        <v>פעיל</v>
      </c>
      <c r="I1036" s="1788">
        <f t="shared" si="169"/>
        <v>37720</v>
      </c>
      <c r="J1036" s="1788" t="str">
        <f t="shared" si="170"/>
        <v/>
      </c>
      <c r="K1036" s="1786">
        <v>0</v>
      </c>
      <c r="L1036" s="1786" t="s">
        <v>1594</v>
      </c>
      <c r="M1036" s="1786" t="s">
        <v>1653</v>
      </c>
      <c r="N1036" s="1786" t="s">
        <v>1653</v>
      </c>
      <c r="O1036" s="1786">
        <v>0</v>
      </c>
      <c r="P1036" s="1786"/>
      <c r="Q1036" s="1786">
        <v>0</v>
      </c>
      <c r="R1036" s="1788"/>
      <c r="S1036" s="1786">
        <f t="shared" si="171"/>
        <v>826</v>
      </c>
      <c r="T1036" s="1786" t="str">
        <f t="shared" si="172"/>
        <v>בנק הפועלים בע"מ</v>
      </c>
      <c r="U1036" s="1786" t="str">
        <f t="shared" si="173"/>
        <v>מנורה מבטחים תגמולים ופיצויים</v>
      </c>
      <c r="V1036" s="1786" t="str">
        <f t="shared" si="174"/>
        <v>520007469</v>
      </c>
      <c r="W1036" s="1789" t="str">
        <f t="shared" si="175"/>
        <v>מנורה מבטחים פנסיה וגמל בע"מ</v>
      </c>
      <c r="AC1036" s="1759" t="s">
        <v>346</v>
      </c>
      <c r="AD1036" s="1759"/>
      <c r="AE1036" s="1760">
        <v>37720</v>
      </c>
      <c r="AF1036" s="1759" t="s">
        <v>1595</v>
      </c>
      <c r="AG1036" s="1759" t="s">
        <v>75</v>
      </c>
      <c r="AH1036" s="1759" t="s">
        <v>1594</v>
      </c>
      <c r="AI1036" s="1759" t="s">
        <v>3619</v>
      </c>
      <c r="AJ1036" s="1759" t="s">
        <v>3618</v>
      </c>
      <c r="AK1036" s="1759">
        <v>1364</v>
      </c>
      <c r="AL1036" s="1759" t="s">
        <v>3065</v>
      </c>
      <c r="AM1036" s="1759">
        <v>826</v>
      </c>
      <c r="AN1036" s="1759" t="s">
        <v>1695</v>
      </c>
      <c r="AO1036" s="1764"/>
      <c r="AP1036" s="1759" t="s">
        <v>5377</v>
      </c>
      <c r="AQ1036" s="1759" t="s">
        <v>5378</v>
      </c>
      <c r="AR1036" s="1759" t="s">
        <v>2971</v>
      </c>
      <c r="AS1036" s="1759" t="s">
        <v>396</v>
      </c>
      <c r="AT1036" s="1759" t="s">
        <v>327</v>
      </c>
      <c r="AU1036" s="1763"/>
      <c r="AV1036" s="1763"/>
    </row>
    <row r="1037" spans="1:48" ht="25" hidden="1">
      <c r="A1037" s="1785" t="str">
        <f t="shared" si="165"/>
        <v>גמל</v>
      </c>
      <c r="B1037" s="1786">
        <f t="shared" si="166"/>
        <v>9793</v>
      </c>
      <c r="C1037" s="1787">
        <v>28946</v>
      </c>
      <c r="D1037" s="1786" t="str">
        <f t="shared" si="167"/>
        <v>מנורה מבטחים תגמולים ופיצויים - לבני עד 50</v>
      </c>
      <c r="E1037" s="1786" t="s">
        <v>3929</v>
      </c>
      <c r="F1037" s="1786" t="s">
        <v>2958</v>
      </c>
      <c r="G1037" s="1786" t="s">
        <v>2959</v>
      </c>
      <c r="H1037" s="1786" t="str">
        <f t="shared" si="168"/>
        <v>פעיל</v>
      </c>
      <c r="I1037" s="1788">
        <f t="shared" si="169"/>
        <v>37720</v>
      </c>
      <c r="J1037" s="1788" t="str">
        <f t="shared" si="170"/>
        <v/>
      </c>
      <c r="K1037" s="1786">
        <v>0</v>
      </c>
      <c r="L1037" s="1786" t="s">
        <v>1594</v>
      </c>
      <c r="M1037" s="1786" t="s">
        <v>1653</v>
      </c>
      <c r="N1037" s="1786" t="s">
        <v>1653</v>
      </c>
      <c r="O1037" s="1786">
        <v>0</v>
      </c>
      <c r="P1037" s="1786"/>
      <c r="Q1037" s="1786">
        <v>0</v>
      </c>
      <c r="R1037" s="1788"/>
      <c r="S1037" s="1786">
        <f t="shared" si="171"/>
        <v>826</v>
      </c>
      <c r="T1037" s="1786" t="str">
        <f t="shared" si="172"/>
        <v>בנק הפועלים בע"מ</v>
      </c>
      <c r="U1037" s="1786" t="str">
        <f t="shared" si="173"/>
        <v>מנורה מבטחים תגמולים ופיצויים</v>
      </c>
      <c r="V1037" s="1786" t="str">
        <f t="shared" si="174"/>
        <v>520007469</v>
      </c>
      <c r="W1037" s="1789" t="str">
        <f t="shared" si="175"/>
        <v>מנורה מבטחים פנסיה וגמל בע"מ</v>
      </c>
      <c r="AC1037" s="1761" t="s">
        <v>346</v>
      </c>
      <c r="AD1037" s="1759"/>
      <c r="AE1037" s="1762">
        <v>37720</v>
      </c>
      <c r="AF1037" s="1761" t="s">
        <v>4151</v>
      </c>
      <c r="AG1037" s="1761" t="s">
        <v>3931</v>
      </c>
      <c r="AH1037" s="1761" t="s">
        <v>3658</v>
      </c>
      <c r="AI1037" s="1761" t="s">
        <v>4363</v>
      </c>
      <c r="AJ1037" s="1761" t="s">
        <v>4362</v>
      </c>
      <c r="AK1037" s="1761">
        <v>9793</v>
      </c>
      <c r="AL1037" s="1761" t="s">
        <v>3065</v>
      </c>
      <c r="AM1037" s="1761">
        <v>826</v>
      </c>
      <c r="AN1037" s="1761" t="s">
        <v>1695</v>
      </c>
      <c r="AO1037" s="1764"/>
      <c r="AP1037" s="1761" t="s">
        <v>5377</v>
      </c>
      <c r="AQ1037" s="1761" t="s">
        <v>5378</v>
      </c>
      <c r="AR1037" s="1761" t="s">
        <v>2971</v>
      </c>
      <c r="AS1037" s="1761" t="s">
        <v>396</v>
      </c>
      <c r="AT1037" s="1761" t="s">
        <v>327</v>
      </c>
      <c r="AU1037" s="1763"/>
      <c r="AV1037" s="1763"/>
    </row>
    <row r="1038" spans="1:48" ht="25" hidden="1">
      <c r="A1038" s="1785" t="str">
        <f t="shared" si="165"/>
        <v>גמל</v>
      </c>
      <c r="B1038" s="1786">
        <f t="shared" si="166"/>
        <v>9794</v>
      </c>
      <c r="C1038" s="1787">
        <v>28946</v>
      </c>
      <c r="D1038" s="1786" t="str">
        <f t="shared" si="167"/>
        <v>מנורה מבטחים תגמולים ופיצויים - לבני 60 ומעלה</v>
      </c>
      <c r="E1038" s="1786" t="s">
        <v>3929</v>
      </c>
      <c r="F1038" s="1786" t="s">
        <v>2958</v>
      </c>
      <c r="G1038" s="1786" t="s">
        <v>2959</v>
      </c>
      <c r="H1038" s="1786" t="str">
        <f t="shared" si="168"/>
        <v>פעיל</v>
      </c>
      <c r="I1038" s="1788">
        <f t="shared" si="169"/>
        <v>37720</v>
      </c>
      <c r="J1038" s="1788" t="str">
        <f t="shared" si="170"/>
        <v/>
      </c>
      <c r="K1038" s="1786">
        <v>0</v>
      </c>
      <c r="L1038" s="1786" t="s">
        <v>1594</v>
      </c>
      <c r="M1038" s="1786" t="s">
        <v>1653</v>
      </c>
      <c r="N1038" s="1786" t="s">
        <v>1653</v>
      </c>
      <c r="O1038" s="1786">
        <v>0</v>
      </c>
      <c r="P1038" s="1786"/>
      <c r="Q1038" s="1786">
        <v>0</v>
      </c>
      <c r="R1038" s="1788"/>
      <c r="S1038" s="1786">
        <f t="shared" si="171"/>
        <v>826</v>
      </c>
      <c r="T1038" s="1786" t="str">
        <f t="shared" si="172"/>
        <v>בנק הפועלים בע"מ</v>
      </c>
      <c r="U1038" s="1786" t="str">
        <f t="shared" si="173"/>
        <v>מנורה מבטחים תגמולים ופיצויים</v>
      </c>
      <c r="V1038" s="1786" t="str">
        <f t="shared" si="174"/>
        <v>520007469</v>
      </c>
      <c r="W1038" s="1789" t="str">
        <f t="shared" si="175"/>
        <v>מנורה מבטחים פנסיה וגמל בע"מ</v>
      </c>
      <c r="AC1038" s="1759" t="s">
        <v>346</v>
      </c>
      <c r="AD1038" s="1759"/>
      <c r="AE1038" s="1760">
        <v>37720</v>
      </c>
      <c r="AF1038" s="1759" t="s">
        <v>3963</v>
      </c>
      <c r="AG1038" s="1759" t="s">
        <v>3931</v>
      </c>
      <c r="AH1038" s="1759" t="s">
        <v>3658</v>
      </c>
      <c r="AI1038" s="1759" t="s">
        <v>4365</v>
      </c>
      <c r="AJ1038" s="1759" t="s">
        <v>4364</v>
      </c>
      <c r="AK1038" s="1759">
        <v>9794</v>
      </c>
      <c r="AL1038" s="1759" t="s">
        <v>3065</v>
      </c>
      <c r="AM1038" s="1759">
        <v>826</v>
      </c>
      <c r="AN1038" s="1759" t="s">
        <v>1695</v>
      </c>
      <c r="AO1038" s="1764"/>
      <c r="AP1038" s="1759" t="s">
        <v>5377</v>
      </c>
      <c r="AQ1038" s="1759" t="s">
        <v>5378</v>
      </c>
      <c r="AR1038" s="1759" t="s">
        <v>2971</v>
      </c>
      <c r="AS1038" s="1759" t="s">
        <v>396</v>
      </c>
      <c r="AT1038" s="1759" t="s">
        <v>327</v>
      </c>
      <c r="AU1038" s="1763"/>
      <c r="AV1038" s="1763"/>
    </row>
    <row r="1039" spans="1:48" ht="25" hidden="1">
      <c r="A1039" s="1785" t="str">
        <f t="shared" si="165"/>
        <v>גמל</v>
      </c>
      <c r="B1039" s="1786">
        <f t="shared" si="166"/>
        <v>9795</v>
      </c>
      <c r="C1039" s="1787">
        <v>28946</v>
      </c>
      <c r="D1039" s="1786" t="str">
        <f t="shared" si="167"/>
        <v>מנורה מבטחים תגמולים ופיצויים מסלול הלכה</v>
      </c>
      <c r="E1039" s="1786" t="s">
        <v>3929</v>
      </c>
      <c r="F1039" s="1786" t="s">
        <v>2958</v>
      </c>
      <c r="G1039" s="1786" t="s">
        <v>2959</v>
      </c>
      <c r="H1039" s="1786" t="str">
        <f t="shared" si="168"/>
        <v>פעיל</v>
      </c>
      <c r="I1039" s="1788">
        <f t="shared" si="169"/>
        <v>37720</v>
      </c>
      <c r="J1039" s="1788" t="str">
        <f t="shared" si="170"/>
        <v/>
      </c>
      <c r="K1039" s="1786">
        <v>0</v>
      </c>
      <c r="L1039" s="1786" t="s">
        <v>1594</v>
      </c>
      <c r="M1039" s="1786" t="s">
        <v>1653</v>
      </c>
      <c r="N1039" s="1786" t="s">
        <v>1653</v>
      </c>
      <c r="O1039" s="1786">
        <v>0</v>
      </c>
      <c r="P1039" s="1786"/>
      <c r="Q1039" s="1786">
        <v>0</v>
      </c>
      <c r="R1039" s="1788"/>
      <c r="S1039" s="1786">
        <f t="shared" si="171"/>
        <v>826</v>
      </c>
      <c r="T1039" s="1786" t="str">
        <f t="shared" si="172"/>
        <v>בנק הפועלים בע"מ</v>
      </c>
      <c r="U1039" s="1786" t="str">
        <f t="shared" si="173"/>
        <v>מנורה מבטחים תגמולים ופיצויים</v>
      </c>
      <c r="V1039" s="1786" t="str">
        <f t="shared" si="174"/>
        <v>520007469</v>
      </c>
      <c r="W1039" s="1789" t="str">
        <f t="shared" si="175"/>
        <v>מנורה מבטחים פנסיה וגמל בע"מ</v>
      </c>
      <c r="AC1039" s="1761" t="s">
        <v>346</v>
      </c>
      <c r="AD1039" s="1761"/>
      <c r="AE1039" s="1762">
        <v>37720</v>
      </c>
      <c r="AF1039" s="1761" t="s">
        <v>4603</v>
      </c>
      <c r="AG1039" s="1761" t="s">
        <v>2029</v>
      </c>
      <c r="AH1039" s="1761" t="s">
        <v>2028</v>
      </c>
      <c r="AI1039" s="1761" t="s">
        <v>4773</v>
      </c>
      <c r="AJ1039" s="1761" t="s">
        <v>4772</v>
      </c>
      <c r="AK1039" s="1761">
        <v>9795</v>
      </c>
      <c r="AL1039" s="1761" t="s">
        <v>3065</v>
      </c>
      <c r="AM1039" s="1761">
        <v>826</v>
      </c>
      <c r="AN1039" s="1761" t="s">
        <v>1695</v>
      </c>
      <c r="AO1039" s="1764"/>
      <c r="AP1039" s="1761" t="s">
        <v>5377</v>
      </c>
      <c r="AQ1039" s="1761" t="s">
        <v>5378</v>
      </c>
      <c r="AR1039" s="1761" t="s">
        <v>2971</v>
      </c>
      <c r="AS1039" s="1761" t="s">
        <v>396</v>
      </c>
      <c r="AT1039" s="1761" t="s">
        <v>327</v>
      </c>
      <c r="AU1039" s="1763"/>
      <c r="AV1039" s="1763"/>
    </row>
    <row r="1040" spans="1:48" ht="25" hidden="1">
      <c r="A1040" s="1785" t="str">
        <f t="shared" si="165"/>
        <v>גמל</v>
      </c>
      <c r="B1040" s="1786">
        <f t="shared" si="166"/>
        <v>1343</v>
      </c>
      <c r="C1040" s="1787">
        <v>28946</v>
      </c>
      <c r="D1040" s="1786" t="str">
        <f t="shared" si="167"/>
        <v>מנורה מבטחים תגמולים ופיצויים שקלי טווח קצר</v>
      </c>
      <c r="E1040" s="1786" t="s">
        <v>3929</v>
      </c>
      <c r="F1040" s="1786" t="s">
        <v>2958</v>
      </c>
      <c r="G1040" s="1786" t="s">
        <v>2959</v>
      </c>
      <c r="H1040" s="1786" t="str">
        <f t="shared" si="168"/>
        <v>פעיל</v>
      </c>
      <c r="I1040" s="1788">
        <f t="shared" si="169"/>
        <v>37720</v>
      </c>
      <c r="J1040" s="1788" t="str">
        <f t="shared" si="170"/>
        <v/>
      </c>
      <c r="K1040" s="1786">
        <v>0</v>
      </c>
      <c r="L1040" s="1786" t="s">
        <v>1594</v>
      </c>
      <c r="M1040" s="1786" t="s">
        <v>1653</v>
      </c>
      <c r="N1040" s="1786" t="s">
        <v>1653</v>
      </c>
      <c r="O1040" s="1786">
        <v>0</v>
      </c>
      <c r="P1040" s="1786"/>
      <c r="Q1040" s="1786">
        <v>0</v>
      </c>
      <c r="R1040" s="1788"/>
      <c r="S1040" s="1786">
        <f t="shared" si="171"/>
        <v>826</v>
      </c>
      <c r="T1040" s="1786" t="str">
        <f t="shared" si="172"/>
        <v>בנק הפועלים בע"מ</v>
      </c>
      <c r="U1040" s="1786" t="str">
        <f t="shared" si="173"/>
        <v>מנורה מבטחים תגמולים ופיצויים</v>
      </c>
      <c r="V1040" s="1786" t="str">
        <f t="shared" si="174"/>
        <v>520007469</v>
      </c>
      <c r="W1040" s="1789" t="str">
        <f t="shared" si="175"/>
        <v>מנורה מבטחים פנסיה וגמל בע"מ</v>
      </c>
      <c r="AC1040" s="1759" t="s">
        <v>346</v>
      </c>
      <c r="AD1040" s="1759"/>
      <c r="AE1040" s="1760">
        <v>37720</v>
      </c>
      <c r="AF1040" s="1759" t="s">
        <v>1673</v>
      </c>
      <c r="AG1040" s="1759" t="s">
        <v>1614</v>
      </c>
      <c r="AH1040" s="1759" t="s">
        <v>1594</v>
      </c>
      <c r="AI1040" s="1759" t="s">
        <v>4062</v>
      </c>
      <c r="AJ1040" s="1759" t="s">
        <v>4061</v>
      </c>
      <c r="AK1040" s="1759">
        <v>1343</v>
      </c>
      <c r="AL1040" s="1759" t="s">
        <v>3065</v>
      </c>
      <c r="AM1040" s="1759">
        <v>826</v>
      </c>
      <c r="AN1040" s="1759" t="s">
        <v>1695</v>
      </c>
      <c r="AO1040" s="1764"/>
      <c r="AP1040" s="1759" t="s">
        <v>5377</v>
      </c>
      <c r="AQ1040" s="1759" t="s">
        <v>5378</v>
      </c>
      <c r="AR1040" s="1759" t="s">
        <v>2971</v>
      </c>
      <c r="AS1040" s="1759" t="s">
        <v>396</v>
      </c>
      <c r="AT1040" s="1759" t="s">
        <v>327</v>
      </c>
      <c r="AU1040" s="1763"/>
      <c r="AV1040" s="1763"/>
    </row>
    <row r="1041" spans="1:48" ht="25" hidden="1">
      <c r="A1041" s="1785" t="str">
        <f t="shared" si="165"/>
        <v>גמל</v>
      </c>
      <c r="B1041" s="1786">
        <f t="shared" si="166"/>
        <v>1344</v>
      </c>
      <c r="C1041" s="1787">
        <v>28946</v>
      </c>
      <c r="D1041" s="1786" t="str">
        <f t="shared" si="167"/>
        <v>מנורה מבטחים תגמולים ופיצויים אג"ח ממשלת ישראל</v>
      </c>
      <c r="E1041" s="1786" t="s">
        <v>3929</v>
      </c>
      <c r="F1041" s="1786" t="s">
        <v>2958</v>
      </c>
      <c r="G1041" s="1786" t="s">
        <v>2959</v>
      </c>
      <c r="H1041" s="1786" t="str">
        <f t="shared" si="168"/>
        <v>פעיל</v>
      </c>
      <c r="I1041" s="1788">
        <f t="shared" si="169"/>
        <v>37720</v>
      </c>
      <c r="J1041" s="1788" t="str">
        <f t="shared" si="170"/>
        <v/>
      </c>
      <c r="K1041" s="1786">
        <v>0</v>
      </c>
      <c r="L1041" s="1786" t="s">
        <v>1594</v>
      </c>
      <c r="M1041" s="1786" t="s">
        <v>1653</v>
      </c>
      <c r="N1041" s="1786" t="s">
        <v>1653</v>
      </c>
      <c r="O1041" s="1786">
        <v>0</v>
      </c>
      <c r="P1041" s="1786"/>
      <c r="Q1041" s="1786">
        <v>0</v>
      </c>
      <c r="R1041" s="1788"/>
      <c r="S1041" s="1786">
        <f t="shared" si="171"/>
        <v>826</v>
      </c>
      <c r="T1041" s="1786" t="str">
        <f t="shared" si="172"/>
        <v>בנק הפועלים בע"מ</v>
      </c>
      <c r="U1041" s="1786" t="str">
        <f t="shared" si="173"/>
        <v>מנורה מבטחים תגמולים ופיצויים</v>
      </c>
      <c r="V1041" s="1786" t="str">
        <f t="shared" si="174"/>
        <v>520007469</v>
      </c>
      <c r="W1041" s="1789" t="str">
        <f t="shared" si="175"/>
        <v>מנורה מבטחים פנסיה וגמל בע"מ</v>
      </c>
      <c r="AC1041" s="1761" t="s">
        <v>346</v>
      </c>
      <c r="AD1041" s="1761"/>
      <c r="AE1041" s="1762">
        <v>37720</v>
      </c>
      <c r="AF1041" s="1761" t="s">
        <v>2009</v>
      </c>
      <c r="AG1041" s="1761" t="s">
        <v>1653</v>
      </c>
      <c r="AH1041" s="1761" t="s">
        <v>1594</v>
      </c>
      <c r="AI1041" s="1761" t="s">
        <v>4064</v>
      </c>
      <c r="AJ1041" s="1761" t="s">
        <v>4063</v>
      </c>
      <c r="AK1041" s="1761">
        <v>1344</v>
      </c>
      <c r="AL1041" s="1761" t="s">
        <v>3065</v>
      </c>
      <c r="AM1041" s="1761">
        <v>826</v>
      </c>
      <c r="AN1041" s="1761" t="s">
        <v>1695</v>
      </c>
      <c r="AO1041" s="1764"/>
      <c r="AP1041" s="1761" t="s">
        <v>5377</v>
      </c>
      <c r="AQ1041" s="1761" t="s">
        <v>5378</v>
      </c>
      <c r="AR1041" s="1761" t="s">
        <v>2971</v>
      </c>
      <c r="AS1041" s="1761" t="s">
        <v>396</v>
      </c>
      <c r="AT1041" s="1761" t="s">
        <v>327</v>
      </c>
      <c r="AU1041" s="1763"/>
      <c r="AV1041" s="1763"/>
    </row>
    <row r="1042" spans="1:48" ht="25" hidden="1">
      <c r="A1042" s="1785" t="str">
        <f t="shared" si="165"/>
        <v>גמל</v>
      </c>
      <c r="B1042" s="1786">
        <f t="shared" si="166"/>
        <v>9792</v>
      </c>
      <c r="C1042" s="1787">
        <v>28946</v>
      </c>
      <c r="D1042" s="1786" t="str">
        <f t="shared" si="167"/>
        <v>מנורה מבטחים תגמולים ופיצויים - לבני 50-60</v>
      </c>
      <c r="E1042" s="1786" t="s">
        <v>3929</v>
      </c>
      <c r="F1042" s="1786" t="s">
        <v>2958</v>
      </c>
      <c r="G1042" s="1786" t="s">
        <v>2959</v>
      </c>
      <c r="H1042" s="1786" t="str">
        <f t="shared" si="168"/>
        <v>פעיל</v>
      </c>
      <c r="I1042" s="1788">
        <f t="shared" si="169"/>
        <v>37720</v>
      </c>
      <c r="J1042" s="1788" t="str">
        <f t="shared" si="170"/>
        <v/>
      </c>
      <c r="K1042" s="1786">
        <v>0</v>
      </c>
      <c r="L1042" s="1786" t="s">
        <v>1594</v>
      </c>
      <c r="M1042" s="1786" t="s">
        <v>1653</v>
      </c>
      <c r="N1042" s="1786" t="s">
        <v>1653</v>
      </c>
      <c r="O1042" s="1786">
        <v>0</v>
      </c>
      <c r="P1042" s="1786"/>
      <c r="Q1042" s="1786">
        <v>0</v>
      </c>
      <c r="R1042" s="1788"/>
      <c r="S1042" s="1786">
        <f t="shared" si="171"/>
        <v>826</v>
      </c>
      <c r="T1042" s="1786" t="str">
        <f t="shared" si="172"/>
        <v>בנק הפועלים בע"מ</v>
      </c>
      <c r="U1042" s="1786" t="str">
        <f t="shared" si="173"/>
        <v>מנורה מבטחים תגמולים ופיצויים</v>
      </c>
      <c r="V1042" s="1786" t="str">
        <f t="shared" si="174"/>
        <v>520007469</v>
      </c>
      <c r="W1042" s="1789" t="str">
        <f t="shared" si="175"/>
        <v>מנורה מבטחים פנסיה וגמל בע"מ</v>
      </c>
      <c r="AC1042" s="1759" t="s">
        <v>346</v>
      </c>
      <c r="AD1042" s="1759"/>
      <c r="AE1042" s="1760">
        <v>37720</v>
      </c>
      <c r="AF1042" s="1759" t="s">
        <v>3932</v>
      </c>
      <c r="AG1042" s="1759" t="s">
        <v>3931</v>
      </c>
      <c r="AH1042" s="1759" t="s">
        <v>3658</v>
      </c>
      <c r="AI1042" s="1759" t="s">
        <v>4361</v>
      </c>
      <c r="AJ1042" s="1759" t="s">
        <v>4360</v>
      </c>
      <c r="AK1042" s="1759">
        <v>9792</v>
      </c>
      <c r="AL1042" s="1759" t="s">
        <v>3065</v>
      </c>
      <c r="AM1042" s="1759">
        <v>826</v>
      </c>
      <c r="AN1042" s="1759" t="s">
        <v>1695</v>
      </c>
      <c r="AO1042" s="1764"/>
      <c r="AP1042" s="1759" t="s">
        <v>5377</v>
      </c>
      <c r="AQ1042" s="1759" t="s">
        <v>5378</v>
      </c>
      <c r="AR1042" s="1759" t="s">
        <v>2971</v>
      </c>
      <c r="AS1042" s="1759" t="s">
        <v>396</v>
      </c>
      <c r="AT1042" s="1759" t="s">
        <v>327</v>
      </c>
      <c r="AU1042" s="1763"/>
      <c r="AV1042" s="1763"/>
    </row>
    <row r="1043" spans="1:48" ht="25" hidden="1">
      <c r="A1043" s="1785" t="str">
        <f t="shared" si="165"/>
        <v>גמל</v>
      </c>
      <c r="B1043" s="1786">
        <f t="shared" si="166"/>
        <v>825</v>
      </c>
      <c r="C1043" s="1787">
        <v>28946</v>
      </c>
      <c r="D1043" s="1786" t="str">
        <f t="shared" si="167"/>
        <v>דש אקונומיסט השתלמות</v>
      </c>
      <c r="E1043" s="1786" t="s">
        <v>3929</v>
      </c>
      <c r="F1043" s="1786" t="s">
        <v>2958</v>
      </c>
      <c r="G1043" s="1786" t="s">
        <v>2959</v>
      </c>
      <c r="H1043" s="1786" t="str">
        <f t="shared" si="168"/>
        <v>לא פעיל</v>
      </c>
      <c r="I1043" s="1788">
        <f t="shared" si="169"/>
        <v>37718</v>
      </c>
      <c r="J1043" s="1788">
        <f t="shared" si="170"/>
        <v>41828.560185185197</v>
      </c>
      <c r="K1043" s="1786">
        <v>0</v>
      </c>
      <c r="L1043" s="1786" t="s">
        <v>1594</v>
      </c>
      <c r="M1043" s="1786" t="s">
        <v>1653</v>
      </c>
      <c r="N1043" s="1786" t="s">
        <v>1653</v>
      </c>
      <c r="O1043" s="1786">
        <v>0</v>
      </c>
      <c r="P1043" s="1786"/>
      <c r="Q1043" s="1786">
        <v>0</v>
      </c>
      <c r="R1043" s="1788"/>
      <c r="S1043" s="1786">
        <f t="shared" si="171"/>
        <v>825</v>
      </c>
      <c r="T1043" s="1786" t="str">
        <f t="shared" si="172"/>
        <v>בנק הפועלים בע"מ</v>
      </c>
      <c r="U1043" s="1786" t="str">
        <f t="shared" si="173"/>
        <v>דש אקונומיסט השתלמות</v>
      </c>
      <c r="V1043" s="1786" t="str">
        <f t="shared" si="174"/>
        <v>520043795</v>
      </c>
      <c r="W1043" s="1789" t="str">
        <f t="shared" si="175"/>
        <v>מיטב דש גמל ופנסיה בע"מ</v>
      </c>
      <c r="AC1043" s="1761" t="s">
        <v>1586</v>
      </c>
      <c r="AD1043" s="1762">
        <v>41828.560185185197</v>
      </c>
      <c r="AE1043" s="1762">
        <v>37718</v>
      </c>
      <c r="AF1043" s="1761" t="s">
        <v>1583</v>
      </c>
      <c r="AG1043" s="1761" t="s">
        <v>1583</v>
      </c>
      <c r="AH1043" s="1761" t="s">
        <v>1583</v>
      </c>
      <c r="AI1043" s="1761" t="s">
        <v>616</v>
      </c>
      <c r="AJ1043" s="1761" t="s">
        <v>616</v>
      </c>
      <c r="AK1043" s="1761">
        <v>825</v>
      </c>
      <c r="AL1043" s="1761" t="s">
        <v>616</v>
      </c>
      <c r="AM1043" s="1761">
        <v>825</v>
      </c>
      <c r="AN1043" s="1761" t="s">
        <v>1695</v>
      </c>
      <c r="AO1043" s="1764"/>
      <c r="AP1043" s="1761" t="s">
        <v>5373</v>
      </c>
      <c r="AQ1043" s="1761" t="s">
        <v>5374</v>
      </c>
      <c r="AR1043" s="1761" t="s">
        <v>2899</v>
      </c>
      <c r="AS1043" s="1761" t="s">
        <v>349</v>
      </c>
      <c r="AT1043" s="1761" t="s">
        <v>327</v>
      </c>
      <c r="AU1043" s="1763"/>
      <c r="AV1043" s="1763"/>
    </row>
    <row r="1044" spans="1:48" ht="25" hidden="1">
      <c r="A1044" s="1785" t="str">
        <f t="shared" si="165"/>
        <v>גמל</v>
      </c>
      <c r="B1044" s="1786">
        <f t="shared" si="166"/>
        <v>825</v>
      </c>
      <c r="C1044" s="1787">
        <v>28946</v>
      </c>
      <c r="D1044" s="1786" t="str">
        <f t="shared" si="167"/>
        <v>דש אקונומיסט השתלמות</v>
      </c>
      <c r="E1044" s="1786" t="s">
        <v>3929</v>
      </c>
      <c r="F1044" s="1786" t="s">
        <v>2958</v>
      </c>
      <c r="G1044" s="1786" t="s">
        <v>2959</v>
      </c>
      <c r="H1044" s="1786" t="str">
        <f t="shared" si="168"/>
        <v>לא פעיל</v>
      </c>
      <c r="I1044" s="1788">
        <f t="shared" si="169"/>
        <v>37718</v>
      </c>
      <c r="J1044" s="1788">
        <f t="shared" si="170"/>
        <v>41828.560185185197</v>
      </c>
      <c r="K1044" s="1786">
        <v>0</v>
      </c>
      <c r="L1044" s="1786" t="s">
        <v>1594</v>
      </c>
      <c r="M1044" s="1786" t="s">
        <v>1653</v>
      </c>
      <c r="N1044" s="1786" t="s">
        <v>1653</v>
      </c>
      <c r="O1044" s="1786">
        <v>0</v>
      </c>
      <c r="P1044" s="1786"/>
      <c r="Q1044" s="1786">
        <v>0</v>
      </c>
      <c r="R1044" s="1788"/>
      <c r="S1044" s="1786">
        <f t="shared" si="171"/>
        <v>825</v>
      </c>
      <c r="T1044" s="1786" t="str">
        <f t="shared" si="172"/>
        <v>בנק הפועלים בע"מ</v>
      </c>
      <c r="U1044" s="1786" t="str">
        <f t="shared" si="173"/>
        <v>דש אקונומיסט השתלמות</v>
      </c>
      <c r="V1044" s="1786" t="str">
        <f t="shared" si="174"/>
        <v>520043795</v>
      </c>
      <c r="W1044" s="1789" t="str">
        <f t="shared" si="175"/>
        <v>מיטב דש גמל ופנסיה בע"מ</v>
      </c>
      <c r="AC1044" s="1759" t="s">
        <v>1586</v>
      </c>
      <c r="AD1044" s="1760">
        <v>41828.560185185197</v>
      </c>
      <c r="AE1044" s="1760">
        <v>37718</v>
      </c>
      <c r="AF1044" s="1759" t="s">
        <v>1583</v>
      </c>
      <c r="AG1044" s="1759" t="s">
        <v>1583</v>
      </c>
      <c r="AH1044" s="1759" t="s">
        <v>1583</v>
      </c>
      <c r="AI1044" s="1759" t="s">
        <v>616</v>
      </c>
      <c r="AJ1044" s="1759" t="s">
        <v>616</v>
      </c>
      <c r="AK1044" s="1759">
        <v>825</v>
      </c>
      <c r="AL1044" s="1759" t="s">
        <v>616</v>
      </c>
      <c r="AM1044" s="1759">
        <v>825</v>
      </c>
      <c r="AN1044" s="1759" t="s">
        <v>1695</v>
      </c>
      <c r="AO1044" s="1764"/>
      <c r="AP1044" s="1759" t="s">
        <v>5373</v>
      </c>
      <c r="AQ1044" s="1759" t="s">
        <v>5374</v>
      </c>
      <c r="AR1044" s="1759" t="s">
        <v>2899</v>
      </c>
      <c r="AS1044" s="1759" t="s">
        <v>349</v>
      </c>
      <c r="AT1044" s="1759" t="s">
        <v>327</v>
      </c>
      <c r="AU1044" s="1763"/>
      <c r="AV1044" s="1763"/>
    </row>
    <row r="1045" spans="1:48" ht="25" hidden="1">
      <c r="A1045" s="1785" t="str">
        <f t="shared" si="165"/>
        <v>גמל</v>
      </c>
      <c r="B1045" s="1786">
        <f t="shared" si="166"/>
        <v>2028</v>
      </c>
      <c r="C1045" s="1787">
        <v>28946</v>
      </c>
      <c r="D1045" s="1786" t="str">
        <f t="shared" si="167"/>
        <v>דש אקונומיסט השתלמות אג"ח כללי</v>
      </c>
      <c r="E1045" s="1786" t="s">
        <v>3929</v>
      </c>
      <c r="F1045" s="1786" t="s">
        <v>2958</v>
      </c>
      <c r="G1045" s="1786" t="s">
        <v>2959</v>
      </c>
      <c r="H1045" s="1786" t="str">
        <f t="shared" si="168"/>
        <v>לא פעיל</v>
      </c>
      <c r="I1045" s="1788">
        <f t="shared" si="169"/>
        <v>37718</v>
      </c>
      <c r="J1045" s="1788">
        <f t="shared" si="170"/>
        <v>41828.614374999997</v>
      </c>
      <c r="K1045" s="1786">
        <v>0</v>
      </c>
      <c r="L1045" s="1786" t="s">
        <v>1594</v>
      </c>
      <c r="M1045" s="1786" t="s">
        <v>1653</v>
      </c>
      <c r="N1045" s="1786" t="s">
        <v>1653</v>
      </c>
      <c r="O1045" s="1786">
        <v>0</v>
      </c>
      <c r="P1045" s="1786"/>
      <c r="Q1045" s="1786">
        <v>0</v>
      </c>
      <c r="R1045" s="1788"/>
      <c r="S1045" s="1786">
        <f t="shared" si="171"/>
        <v>825</v>
      </c>
      <c r="T1045" s="1786" t="str">
        <f t="shared" si="172"/>
        <v>בנק הפועלים בע"מ</v>
      </c>
      <c r="U1045" s="1786" t="str">
        <f t="shared" si="173"/>
        <v>דש אקונומיסט השתלמות</v>
      </c>
      <c r="V1045" s="1786" t="str">
        <f t="shared" si="174"/>
        <v>520043795</v>
      </c>
      <c r="W1045" s="1789" t="str">
        <f t="shared" si="175"/>
        <v>מיטב דש גמל ופנסיה בע"מ</v>
      </c>
      <c r="AC1045" s="1761" t="s">
        <v>1586</v>
      </c>
      <c r="AD1045" s="1762">
        <v>41828.614374999997</v>
      </c>
      <c r="AE1045" s="1762">
        <v>37718</v>
      </c>
      <c r="AF1045" s="1761" t="s">
        <v>1653</v>
      </c>
      <c r="AG1045" s="1761" t="s">
        <v>1653</v>
      </c>
      <c r="AH1045" s="1761" t="s">
        <v>1594</v>
      </c>
      <c r="AI1045" s="1761" t="s">
        <v>2517</v>
      </c>
      <c r="AJ1045" s="1761" t="s">
        <v>2517</v>
      </c>
      <c r="AK1045" s="1761">
        <v>2028</v>
      </c>
      <c r="AL1045" s="1761" t="s">
        <v>616</v>
      </c>
      <c r="AM1045" s="1761">
        <v>825</v>
      </c>
      <c r="AN1045" s="1761" t="s">
        <v>1695</v>
      </c>
      <c r="AO1045" s="1764"/>
      <c r="AP1045" s="1761" t="s">
        <v>5373</v>
      </c>
      <c r="AQ1045" s="1761" t="s">
        <v>5374</v>
      </c>
      <c r="AR1045" s="1761" t="s">
        <v>2899</v>
      </c>
      <c r="AS1045" s="1761" t="s">
        <v>349</v>
      </c>
      <c r="AT1045" s="1761" t="s">
        <v>327</v>
      </c>
      <c r="AU1045" s="1763"/>
      <c r="AV1045" s="1763"/>
    </row>
    <row r="1046" spans="1:48" ht="25" hidden="1">
      <c r="A1046" s="1785" t="str">
        <f t="shared" si="165"/>
        <v>גמל</v>
      </c>
      <c r="B1046" s="1786">
        <f t="shared" si="166"/>
        <v>2028</v>
      </c>
      <c r="C1046" s="1787">
        <v>28946</v>
      </c>
      <c r="D1046" s="1786" t="str">
        <f t="shared" si="167"/>
        <v>דש אקונומיסט השתלמות אג"ח כללי</v>
      </c>
      <c r="E1046" s="1786" t="s">
        <v>3929</v>
      </c>
      <c r="F1046" s="1786" t="s">
        <v>2958</v>
      </c>
      <c r="G1046" s="1786" t="s">
        <v>2959</v>
      </c>
      <c r="H1046" s="1786" t="str">
        <f t="shared" si="168"/>
        <v>לא פעיל</v>
      </c>
      <c r="I1046" s="1788">
        <f t="shared" si="169"/>
        <v>37718</v>
      </c>
      <c r="J1046" s="1788">
        <f t="shared" si="170"/>
        <v>41828.614374999997</v>
      </c>
      <c r="K1046" s="1786">
        <v>0</v>
      </c>
      <c r="L1046" s="1786" t="s">
        <v>1594</v>
      </c>
      <c r="M1046" s="1786" t="s">
        <v>1653</v>
      </c>
      <c r="N1046" s="1786" t="s">
        <v>1653</v>
      </c>
      <c r="O1046" s="1786">
        <v>0</v>
      </c>
      <c r="P1046" s="1786"/>
      <c r="Q1046" s="1786">
        <v>0</v>
      </c>
      <c r="R1046" s="1788"/>
      <c r="S1046" s="1786">
        <f t="shared" si="171"/>
        <v>825</v>
      </c>
      <c r="T1046" s="1786" t="str">
        <f t="shared" si="172"/>
        <v>בנק הפועלים בע"מ</v>
      </c>
      <c r="U1046" s="1786" t="str">
        <f t="shared" si="173"/>
        <v>דש אקונומיסט השתלמות</v>
      </c>
      <c r="V1046" s="1786" t="str">
        <f t="shared" si="174"/>
        <v>520043795</v>
      </c>
      <c r="W1046" s="1789" t="str">
        <f t="shared" si="175"/>
        <v>מיטב דש גמל ופנסיה בע"מ</v>
      </c>
      <c r="AC1046" s="1759" t="s">
        <v>1586</v>
      </c>
      <c r="AD1046" s="1760">
        <v>41828.614374999997</v>
      </c>
      <c r="AE1046" s="1760">
        <v>37718</v>
      </c>
      <c r="AF1046" s="1759" t="s">
        <v>1653</v>
      </c>
      <c r="AG1046" s="1759" t="s">
        <v>1653</v>
      </c>
      <c r="AH1046" s="1759" t="s">
        <v>1594</v>
      </c>
      <c r="AI1046" s="1759" t="s">
        <v>2517</v>
      </c>
      <c r="AJ1046" s="1759" t="s">
        <v>2517</v>
      </c>
      <c r="AK1046" s="1759">
        <v>2028</v>
      </c>
      <c r="AL1046" s="1759" t="s">
        <v>616</v>
      </c>
      <c r="AM1046" s="1759">
        <v>825</v>
      </c>
      <c r="AN1046" s="1759" t="s">
        <v>1695</v>
      </c>
      <c r="AO1046" s="1764"/>
      <c r="AP1046" s="1759" t="s">
        <v>5373</v>
      </c>
      <c r="AQ1046" s="1759" t="s">
        <v>5374</v>
      </c>
      <c r="AR1046" s="1759" t="s">
        <v>2899</v>
      </c>
      <c r="AS1046" s="1759" t="s">
        <v>349</v>
      </c>
      <c r="AT1046" s="1759" t="s">
        <v>327</v>
      </c>
      <c r="AU1046" s="1763"/>
      <c r="AV1046" s="1763"/>
    </row>
    <row r="1047" spans="1:48" ht="25" hidden="1">
      <c r="A1047" s="1785" t="str">
        <f t="shared" ref="A1047:A1110" si="176">AT1047</f>
        <v>גמל</v>
      </c>
      <c r="B1047" s="1786">
        <f t="shared" ref="B1047:B1110" si="177">AK1047</f>
        <v>2057</v>
      </c>
      <c r="C1047" s="1787">
        <v>28946</v>
      </c>
      <c r="D1047" s="1786" t="str">
        <f t="shared" ref="D1047:D1110" si="178">AJ1047</f>
        <v>דש אקונומיסט השתלמות חו"ל</v>
      </c>
      <c r="E1047" s="1786" t="s">
        <v>3929</v>
      </c>
      <c r="F1047" s="1786" t="s">
        <v>2958</v>
      </c>
      <c r="G1047" s="1786" t="s">
        <v>2959</v>
      </c>
      <c r="H1047" s="1786" t="str">
        <f t="shared" ref="H1047:H1110" si="179">AC1047</f>
        <v>לא פעיל</v>
      </c>
      <c r="I1047" s="1788">
        <f t="shared" ref="I1047:I1110" si="180">IF(AE1047="","",AE1047)</f>
        <v>37718</v>
      </c>
      <c r="J1047" s="1788">
        <f t="shared" ref="J1047:J1110" si="181">IF(AD1047="","",AD1047)</f>
        <v>41828.617719907401</v>
      </c>
      <c r="K1047" s="1786">
        <v>0</v>
      </c>
      <c r="L1047" s="1786" t="s">
        <v>1594</v>
      </c>
      <c r="M1047" s="1786" t="s">
        <v>1653</v>
      </c>
      <c r="N1047" s="1786" t="s">
        <v>1653</v>
      </c>
      <c r="O1047" s="1786">
        <v>0</v>
      </c>
      <c r="P1047" s="1786"/>
      <c r="Q1047" s="1786">
        <v>0</v>
      </c>
      <c r="R1047" s="1788"/>
      <c r="S1047" s="1786">
        <f t="shared" ref="S1047:S1110" si="182">AM1047</f>
        <v>825</v>
      </c>
      <c r="T1047" s="1786" t="str">
        <f t="shared" ref="T1047:T1110" si="183">AN1047</f>
        <v>בנק הפועלים בע"מ</v>
      </c>
      <c r="U1047" s="1786" t="str">
        <f t="shared" ref="U1047:U1110" si="184">AL1047</f>
        <v>דש אקונומיסט השתלמות</v>
      </c>
      <c r="V1047" s="1786" t="str">
        <f t="shared" ref="V1047:V1110" si="185">AQ1047</f>
        <v>520043795</v>
      </c>
      <c r="W1047" s="1789" t="str">
        <f t="shared" ref="W1047:W1110" si="186">AR1047</f>
        <v>מיטב דש גמל ופנסיה בע"מ</v>
      </c>
      <c r="AC1047" s="1761" t="s">
        <v>1586</v>
      </c>
      <c r="AD1047" s="1762">
        <v>41828.617719907401</v>
      </c>
      <c r="AE1047" s="1762">
        <v>37718</v>
      </c>
      <c r="AF1047" s="1761" t="s">
        <v>1948</v>
      </c>
      <c r="AG1047" s="1761" t="s">
        <v>1947</v>
      </c>
      <c r="AH1047" s="1761" t="s">
        <v>1594</v>
      </c>
      <c r="AI1047" s="1761" t="s">
        <v>2536</v>
      </c>
      <c r="AJ1047" s="1761" t="s">
        <v>2536</v>
      </c>
      <c r="AK1047" s="1761">
        <v>2057</v>
      </c>
      <c r="AL1047" s="1761" t="s">
        <v>616</v>
      </c>
      <c r="AM1047" s="1761">
        <v>825</v>
      </c>
      <c r="AN1047" s="1761" t="s">
        <v>1695</v>
      </c>
      <c r="AO1047" s="1764"/>
      <c r="AP1047" s="1761" t="s">
        <v>5373</v>
      </c>
      <c r="AQ1047" s="1761" t="s">
        <v>5374</v>
      </c>
      <c r="AR1047" s="1761" t="s">
        <v>2899</v>
      </c>
      <c r="AS1047" s="1761" t="s">
        <v>349</v>
      </c>
      <c r="AT1047" s="1761" t="s">
        <v>327</v>
      </c>
      <c r="AU1047" s="1763"/>
      <c r="AV1047" s="1763"/>
    </row>
    <row r="1048" spans="1:48" ht="25" hidden="1">
      <c r="A1048" s="1785" t="str">
        <f t="shared" si="176"/>
        <v>גמל</v>
      </c>
      <c r="B1048" s="1786">
        <f t="shared" si="177"/>
        <v>2029</v>
      </c>
      <c r="C1048" s="1787">
        <v>28946</v>
      </c>
      <c r="D1048" s="1786" t="str">
        <f t="shared" si="178"/>
        <v>דש אקונומיסט השתלמות מניות</v>
      </c>
      <c r="E1048" s="1786" t="s">
        <v>3929</v>
      </c>
      <c r="F1048" s="1786" t="s">
        <v>2958</v>
      </c>
      <c r="G1048" s="1786" t="s">
        <v>2959</v>
      </c>
      <c r="H1048" s="1786" t="str">
        <f t="shared" si="179"/>
        <v>לא פעיל</v>
      </c>
      <c r="I1048" s="1788">
        <f t="shared" si="180"/>
        <v>37718</v>
      </c>
      <c r="J1048" s="1788">
        <f t="shared" si="181"/>
        <v>41828.616562499999</v>
      </c>
      <c r="K1048" s="1786">
        <v>0</v>
      </c>
      <c r="L1048" s="1786" t="s">
        <v>1594</v>
      </c>
      <c r="M1048" s="1786" t="s">
        <v>1653</v>
      </c>
      <c r="N1048" s="1786" t="s">
        <v>1653</v>
      </c>
      <c r="O1048" s="1786">
        <v>0</v>
      </c>
      <c r="P1048" s="1786"/>
      <c r="Q1048" s="1786">
        <v>0</v>
      </c>
      <c r="R1048" s="1788"/>
      <c r="S1048" s="1786">
        <f t="shared" si="182"/>
        <v>825</v>
      </c>
      <c r="T1048" s="1786" t="str">
        <f t="shared" si="183"/>
        <v>בנק הפועלים בע"מ</v>
      </c>
      <c r="U1048" s="1786" t="str">
        <f t="shared" si="184"/>
        <v>דש אקונומיסט השתלמות</v>
      </c>
      <c r="V1048" s="1786" t="str">
        <f t="shared" si="185"/>
        <v>520043795</v>
      </c>
      <c r="W1048" s="1789" t="str">
        <f t="shared" si="186"/>
        <v>מיטב דש גמל ופנסיה בע"מ</v>
      </c>
      <c r="AC1048" s="1759" t="s">
        <v>1586</v>
      </c>
      <c r="AD1048" s="1760">
        <v>41828.616562499999</v>
      </c>
      <c r="AE1048" s="1760">
        <v>37718</v>
      </c>
      <c r="AF1048" s="1759" t="s">
        <v>1595</v>
      </c>
      <c r="AG1048" s="1759" t="s">
        <v>75</v>
      </c>
      <c r="AH1048" s="1759" t="s">
        <v>1594</v>
      </c>
      <c r="AI1048" s="1759" t="s">
        <v>2518</v>
      </c>
      <c r="AJ1048" s="1759" t="s">
        <v>2518</v>
      </c>
      <c r="AK1048" s="1759">
        <v>2029</v>
      </c>
      <c r="AL1048" s="1759" t="s">
        <v>616</v>
      </c>
      <c r="AM1048" s="1759">
        <v>825</v>
      </c>
      <c r="AN1048" s="1759" t="s">
        <v>1695</v>
      </c>
      <c r="AO1048" s="1764"/>
      <c r="AP1048" s="1759" t="s">
        <v>5373</v>
      </c>
      <c r="AQ1048" s="1759" t="s">
        <v>5374</v>
      </c>
      <c r="AR1048" s="1759" t="s">
        <v>2899</v>
      </c>
      <c r="AS1048" s="1759" t="s">
        <v>349</v>
      </c>
      <c r="AT1048" s="1759" t="s">
        <v>327</v>
      </c>
      <c r="AU1048" s="1763"/>
      <c r="AV1048" s="1763"/>
    </row>
    <row r="1049" spans="1:48" ht="25" hidden="1">
      <c r="A1049" s="1785" t="str">
        <f t="shared" si="176"/>
        <v>גמל</v>
      </c>
      <c r="B1049" s="1786">
        <f t="shared" si="177"/>
        <v>2056</v>
      </c>
      <c r="C1049" s="1787">
        <v>28946</v>
      </c>
      <c r="D1049" s="1786" t="str">
        <f t="shared" si="178"/>
        <v>דש אקונומיסט השתלמות שקלי קצר</v>
      </c>
      <c r="E1049" s="1786" t="s">
        <v>3929</v>
      </c>
      <c r="F1049" s="1786" t="s">
        <v>2958</v>
      </c>
      <c r="G1049" s="1786" t="s">
        <v>2959</v>
      </c>
      <c r="H1049" s="1786" t="str">
        <f t="shared" si="179"/>
        <v>לא פעיל</v>
      </c>
      <c r="I1049" s="1788">
        <f t="shared" si="180"/>
        <v>37718</v>
      </c>
      <c r="J1049" s="1788">
        <f t="shared" si="181"/>
        <v>41828.615636574097</v>
      </c>
      <c r="K1049" s="1786">
        <v>0</v>
      </c>
      <c r="L1049" s="1786" t="s">
        <v>1594</v>
      </c>
      <c r="M1049" s="1786" t="s">
        <v>1653</v>
      </c>
      <c r="N1049" s="1786" t="s">
        <v>1653</v>
      </c>
      <c r="O1049" s="1786">
        <v>0</v>
      </c>
      <c r="P1049" s="1786"/>
      <c r="Q1049" s="1786">
        <v>0</v>
      </c>
      <c r="R1049" s="1788"/>
      <c r="S1049" s="1786">
        <f t="shared" si="182"/>
        <v>825</v>
      </c>
      <c r="T1049" s="1786" t="str">
        <f t="shared" si="183"/>
        <v>בנק הפועלים בע"מ</v>
      </c>
      <c r="U1049" s="1786" t="str">
        <f t="shared" si="184"/>
        <v>דש אקונומיסט השתלמות</v>
      </c>
      <c r="V1049" s="1786" t="str">
        <f t="shared" si="185"/>
        <v>520043795</v>
      </c>
      <c r="W1049" s="1789" t="str">
        <f t="shared" si="186"/>
        <v>מיטב דש גמל ופנסיה בע"מ</v>
      </c>
      <c r="AC1049" s="1761" t="s">
        <v>1586</v>
      </c>
      <c r="AD1049" s="1762">
        <v>41828.615636574097</v>
      </c>
      <c r="AE1049" s="1762">
        <v>37718</v>
      </c>
      <c r="AF1049" s="1761" t="s">
        <v>1673</v>
      </c>
      <c r="AG1049" s="1761" t="s">
        <v>1614</v>
      </c>
      <c r="AH1049" s="1761" t="s">
        <v>1594</v>
      </c>
      <c r="AI1049" s="1761" t="s">
        <v>2535</v>
      </c>
      <c r="AJ1049" s="1761" t="s">
        <v>2535</v>
      </c>
      <c r="AK1049" s="1761">
        <v>2056</v>
      </c>
      <c r="AL1049" s="1761" t="s">
        <v>616</v>
      </c>
      <c r="AM1049" s="1761">
        <v>825</v>
      </c>
      <c r="AN1049" s="1761" t="s">
        <v>1695</v>
      </c>
      <c r="AO1049" s="1764"/>
      <c r="AP1049" s="1761" t="s">
        <v>5373</v>
      </c>
      <c r="AQ1049" s="1761" t="s">
        <v>5374</v>
      </c>
      <c r="AR1049" s="1761" t="s">
        <v>2899</v>
      </c>
      <c r="AS1049" s="1761" t="s">
        <v>349</v>
      </c>
      <c r="AT1049" s="1761" t="s">
        <v>327</v>
      </c>
      <c r="AU1049" s="1763"/>
      <c r="AV1049" s="1763"/>
    </row>
    <row r="1050" spans="1:48" ht="25" hidden="1">
      <c r="A1050" s="1785" t="str">
        <f t="shared" si="176"/>
        <v>גמל</v>
      </c>
      <c r="B1050" s="1786">
        <f t="shared" si="177"/>
        <v>2056</v>
      </c>
      <c r="C1050" s="1787">
        <v>28946</v>
      </c>
      <c r="D1050" s="1786" t="str">
        <f t="shared" si="178"/>
        <v>דש אקונומיסט השתלמות שקלי קצר</v>
      </c>
      <c r="E1050" s="1786" t="s">
        <v>3929</v>
      </c>
      <c r="F1050" s="1786" t="s">
        <v>2958</v>
      </c>
      <c r="G1050" s="1786" t="s">
        <v>2959</v>
      </c>
      <c r="H1050" s="1786" t="str">
        <f t="shared" si="179"/>
        <v>לא פעיל</v>
      </c>
      <c r="I1050" s="1788">
        <f t="shared" si="180"/>
        <v>37718</v>
      </c>
      <c r="J1050" s="1788">
        <f t="shared" si="181"/>
        <v>41828.615636574097</v>
      </c>
      <c r="K1050" s="1786">
        <v>0</v>
      </c>
      <c r="L1050" s="1786" t="s">
        <v>1594</v>
      </c>
      <c r="M1050" s="1786" t="s">
        <v>1653</v>
      </c>
      <c r="N1050" s="1786" t="s">
        <v>1653</v>
      </c>
      <c r="O1050" s="1786">
        <v>0</v>
      </c>
      <c r="P1050" s="1786"/>
      <c r="Q1050" s="1786">
        <v>0</v>
      </c>
      <c r="R1050" s="1788"/>
      <c r="S1050" s="1786">
        <f t="shared" si="182"/>
        <v>825</v>
      </c>
      <c r="T1050" s="1786" t="str">
        <f t="shared" si="183"/>
        <v>בנק הפועלים בע"מ</v>
      </c>
      <c r="U1050" s="1786" t="str">
        <f t="shared" si="184"/>
        <v>דש אקונומיסט השתלמות</v>
      </c>
      <c r="V1050" s="1786" t="str">
        <f t="shared" si="185"/>
        <v>520043795</v>
      </c>
      <c r="W1050" s="1789" t="str">
        <f t="shared" si="186"/>
        <v>מיטב דש גמל ופנסיה בע"מ</v>
      </c>
      <c r="AC1050" s="1759" t="s">
        <v>1586</v>
      </c>
      <c r="AD1050" s="1760">
        <v>41828.615636574097</v>
      </c>
      <c r="AE1050" s="1760">
        <v>37718</v>
      </c>
      <c r="AF1050" s="1759" t="s">
        <v>1673</v>
      </c>
      <c r="AG1050" s="1759" t="s">
        <v>1614</v>
      </c>
      <c r="AH1050" s="1759" t="s">
        <v>1594</v>
      </c>
      <c r="AI1050" s="1759" t="s">
        <v>2535</v>
      </c>
      <c r="AJ1050" s="1759" t="s">
        <v>2535</v>
      </c>
      <c r="AK1050" s="1759">
        <v>2056</v>
      </c>
      <c r="AL1050" s="1759" t="s">
        <v>616</v>
      </c>
      <c r="AM1050" s="1759">
        <v>825</v>
      </c>
      <c r="AN1050" s="1759" t="s">
        <v>1695</v>
      </c>
      <c r="AO1050" s="1764"/>
      <c r="AP1050" s="1759" t="s">
        <v>5373</v>
      </c>
      <c r="AQ1050" s="1759" t="s">
        <v>5374</v>
      </c>
      <c r="AR1050" s="1759" t="s">
        <v>2899</v>
      </c>
      <c r="AS1050" s="1759" t="s">
        <v>349</v>
      </c>
      <c r="AT1050" s="1759" t="s">
        <v>327</v>
      </c>
      <c r="AU1050" s="1763"/>
      <c r="AV1050" s="1763"/>
    </row>
    <row r="1051" spans="1:48" ht="25" hidden="1">
      <c r="A1051" s="1785" t="str">
        <f t="shared" si="176"/>
        <v>גמל</v>
      </c>
      <c r="B1051" s="1786">
        <f t="shared" si="177"/>
        <v>2057</v>
      </c>
      <c r="C1051" s="1787">
        <v>28946</v>
      </c>
      <c r="D1051" s="1786" t="str">
        <f t="shared" si="178"/>
        <v>דש אקונומיסט השתלמות חו"ל</v>
      </c>
      <c r="E1051" s="1786" t="s">
        <v>3929</v>
      </c>
      <c r="F1051" s="1786" t="s">
        <v>2958</v>
      </c>
      <c r="G1051" s="1786" t="s">
        <v>2959</v>
      </c>
      <c r="H1051" s="1786" t="str">
        <f t="shared" si="179"/>
        <v>לא פעיל</v>
      </c>
      <c r="I1051" s="1788">
        <f t="shared" si="180"/>
        <v>37718</v>
      </c>
      <c r="J1051" s="1788">
        <f t="shared" si="181"/>
        <v>41828.617719907401</v>
      </c>
      <c r="K1051" s="1786">
        <v>0</v>
      </c>
      <c r="L1051" s="1786" t="s">
        <v>1594</v>
      </c>
      <c r="M1051" s="1786" t="s">
        <v>1653</v>
      </c>
      <c r="N1051" s="1786" t="s">
        <v>1653</v>
      </c>
      <c r="O1051" s="1786">
        <v>0</v>
      </c>
      <c r="P1051" s="1786"/>
      <c r="Q1051" s="1786">
        <v>0</v>
      </c>
      <c r="R1051" s="1788"/>
      <c r="S1051" s="1786">
        <f t="shared" si="182"/>
        <v>825</v>
      </c>
      <c r="T1051" s="1786" t="str">
        <f t="shared" si="183"/>
        <v>בנק הפועלים בע"מ</v>
      </c>
      <c r="U1051" s="1786" t="str">
        <f t="shared" si="184"/>
        <v>דש אקונומיסט השתלמות</v>
      </c>
      <c r="V1051" s="1786" t="str">
        <f t="shared" si="185"/>
        <v>520043795</v>
      </c>
      <c r="W1051" s="1789" t="str">
        <f t="shared" si="186"/>
        <v>מיטב דש גמל ופנסיה בע"מ</v>
      </c>
      <c r="AC1051" s="1761" t="s">
        <v>1586</v>
      </c>
      <c r="AD1051" s="1762">
        <v>41828.617719907401</v>
      </c>
      <c r="AE1051" s="1762">
        <v>37718</v>
      </c>
      <c r="AF1051" s="1761" t="s">
        <v>1948</v>
      </c>
      <c r="AG1051" s="1761" t="s">
        <v>1947</v>
      </c>
      <c r="AH1051" s="1761" t="s">
        <v>1594</v>
      </c>
      <c r="AI1051" s="1761" t="s">
        <v>2536</v>
      </c>
      <c r="AJ1051" s="1761" t="s">
        <v>2536</v>
      </c>
      <c r="AK1051" s="1761">
        <v>2057</v>
      </c>
      <c r="AL1051" s="1761" t="s">
        <v>616</v>
      </c>
      <c r="AM1051" s="1761">
        <v>825</v>
      </c>
      <c r="AN1051" s="1761" t="s">
        <v>1695</v>
      </c>
      <c r="AO1051" s="1764"/>
      <c r="AP1051" s="1761" t="s">
        <v>5373</v>
      </c>
      <c r="AQ1051" s="1761" t="s">
        <v>5374</v>
      </c>
      <c r="AR1051" s="1761" t="s">
        <v>2899</v>
      </c>
      <c r="AS1051" s="1761" t="s">
        <v>349</v>
      </c>
      <c r="AT1051" s="1761" t="s">
        <v>327</v>
      </c>
      <c r="AU1051" s="1763"/>
      <c r="AV1051" s="1763"/>
    </row>
    <row r="1052" spans="1:48" ht="25" hidden="1">
      <c r="A1052" s="1785" t="str">
        <f t="shared" si="176"/>
        <v>גמל</v>
      </c>
      <c r="B1052" s="1786">
        <f t="shared" si="177"/>
        <v>2029</v>
      </c>
      <c r="C1052" s="1787">
        <v>28946</v>
      </c>
      <c r="D1052" s="1786" t="str">
        <f t="shared" si="178"/>
        <v>דש אקונומיסט השתלמות מניות</v>
      </c>
      <c r="E1052" s="1786" t="s">
        <v>3929</v>
      </c>
      <c r="F1052" s="1786" t="s">
        <v>2958</v>
      </c>
      <c r="G1052" s="1786" t="s">
        <v>2959</v>
      </c>
      <c r="H1052" s="1786" t="str">
        <f t="shared" si="179"/>
        <v>לא פעיל</v>
      </c>
      <c r="I1052" s="1788">
        <f t="shared" si="180"/>
        <v>37718</v>
      </c>
      <c r="J1052" s="1788">
        <f t="shared" si="181"/>
        <v>41828.616562499999</v>
      </c>
      <c r="K1052" s="1786">
        <v>0</v>
      </c>
      <c r="L1052" s="1786" t="s">
        <v>1594</v>
      </c>
      <c r="M1052" s="1786" t="s">
        <v>1653</v>
      </c>
      <c r="N1052" s="1786" t="s">
        <v>1653</v>
      </c>
      <c r="O1052" s="1786">
        <v>0</v>
      </c>
      <c r="P1052" s="1786"/>
      <c r="Q1052" s="1786">
        <v>0</v>
      </c>
      <c r="R1052" s="1788"/>
      <c r="S1052" s="1786">
        <f t="shared" si="182"/>
        <v>825</v>
      </c>
      <c r="T1052" s="1786" t="str">
        <f t="shared" si="183"/>
        <v>בנק הפועלים בע"מ</v>
      </c>
      <c r="U1052" s="1786" t="str">
        <f t="shared" si="184"/>
        <v>דש אקונומיסט השתלמות</v>
      </c>
      <c r="V1052" s="1786" t="str">
        <f t="shared" si="185"/>
        <v>520043795</v>
      </c>
      <c r="W1052" s="1789" t="str">
        <f t="shared" si="186"/>
        <v>מיטב דש גמל ופנסיה בע"מ</v>
      </c>
      <c r="AC1052" s="1759" t="s">
        <v>1586</v>
      </c>
      <c r="AD1052" s="1760">
        <v>41828.616562499999</v>
      </c>
      <c r="AE1052" s="1760">
        <v>37718</v>
      </c>
      <c r="AF1052" s="1759" t="s">
        <v>1595</v>
      </c>
      <c r="AG1052" s="1759" t="s">
        <v>75</v>
      </c>
      <c r="AH1052" s="1759" t="s">
        <v>1594</v>
      </c>
      <c r="AI1052" s="1759" t="s">
        <v>2518</v>
      </c>
      <c r="AJ1052" s="1759" t="s">
        <v>2518</v>
      </c>
      <c r="AK1052" s="1759">
        <v>2029</v>
      </c>
      <c r="AL1052" s="1759" t="s">
        <v>616</v>
      </c>
      <c r="AM1052" s="1759">
        <v>825</v>
      </c>
      <c r="AN1052" s="1759" t="s">
        <v>1695</v>
      </c>
      <c r="AO1052" s="1764"/>
      <c r="AP1052" s="1759" t="s">
        <v>5373</v>
      </c>
      <c r="AQ1052" s="1759" t="s">
        <v>5374</v>
      </c>
      <c r="AR1052" s="1759" t="s">
        <v>2899</v>
      </c>
      <c r="AS1052" s="1759" t="s">
        <v>349</v>
      </c>
      <c r="AT1052" s="1759" t="s">
        <v>327</v>
      </c>
      <c r="AU1052" s="1763"/>
      <c r="AV1052" s="1763"/>
    </row>
    <row r="1053" spans="1:48" ht="25" hidden="1">
      <c r="A1053" s="1785" t="str">
        <f t="shared" si="176"/>
        <v>גמל</v>
      </c>
      <c r="B1053" s="1786">
        <f t="shared" si="177"/>
        <v>824</v>
      </c>
      <c r="C1053" s="1787">
        <v>28946</v>
      </c>
      <c r="D1053" s="1786" t="str">
        <f t="shared" si="178"/>
        <v>דש אקונומיסט - קופת תגמולים ופיצויים</v>
      </c>
      <c r="E1053" s="1786" t="s">
        <v>3929</v>
      </c>
      <c r="F1053" s="1786" t="s">
        <v>2958</v>
      </c>
      <c r="G1053" s="1786" t="s">
        <v>2959</v>
      </c>
      <c r="H1053" s="1786" t="str">
        <f t="shared" si="179"/>
        <v>לא פעיל</v>
      </c>
      <c r="I1053" s="1788">
        <f t="shared" si="180"/>
        <v>37718</v>
      </c>
      <c r="J1053" s="1788">
        <f t="shared" si="181"/>
        <v>40917.767789351798</v>
      </c>
      <c r="K1053" s="1786">
        <v>0</v>
      </c>
      <c r="L1053" s="1786" t="s">
        <v>1594</v>
      </c>
      <c r="M1053" s="1786" t="s">
        <v>1653</v>
      </c>
      <c r="N1053" s="1786" t="s">
        <v>1653</v>
      </c>
      <c r="O1053" s="1786">
        <v>0</v>
      </c>
      <c r="P1053" s="1786"/>
      <c r="Q1053" s="1786">
        <v>0</v>
      </c>
      <c r="R1053" s="1788"/>
      <c r="S1053" s="1786">
        <f t="shared" si="182"/>
        <v>824</v>
      </c>
      <c r="T1053" s="1786" t="str">
        <f t="shared" si="183"/>
        <v>בנק הפועלים בע"מ</v>
      </c>
      <c r="U1053" s="1786" t="str">
        <f t="shared" si="184"/>
        <v>דש אקונומיסט - קופת תגמולים ופיצויים</v>
      </c>
      <c r="V1053" s="1786" t="str">
        <f t="shared" si="185"/>
        <v>520043795</v>
      </c>
      <c r="W1053" s="1789" t="str">
        <f t="shared" si="186"/>
        <v>מיטב דש גמל ופנסיה בע"מ</v>
      </c>
      <c r="AC1053" s="1761" t="s">
        <v>1586</v>
      </c>
      <c r="AD1053" s="1762">
        <v>40917.767789351798</v>
      </c>
      <c r="AE1053" s="1762">
        <v>37718</v>
      </c>
      <c r="AF1053" s="1761" t="s">
        <v>1583</v>
      </c>
      <c r="AG1053" s="1761" t="s">
        <v>1583</v>
      </c>
      <c r="AH1053" s="1761" t="s">
        <v>1583</v>
      </c>
      <c r="AI1053" s="1761" t="s">
        <v>3331</v>
      </c>
      <c r="AJ1053" s="1761" t="s">
        <v>2070</v>
      </c>
      <c r="AK1053" s="1761">
        <v>824</v>
      </c>
      <c r="AL1053" s="1761" t="s">
        <v>2070</v>
      </c>
      <c r="AM1053" s="1761">
        <v>824</v>
      </c>
      <c r="AN1053" s="1761" t="s">
        <v>1695</v>
      </c>
      <c r="AO1053" s="1764"/>
      <c r="AP1053" s="1761" t="s">
        <v>5373</v>
      </c>
      <c r="AQ1053" s="1761" t="s">
        <v>5374</v>
      </c>
      <c r="AR1053" s="1761" t="s">
        <v>2899</v>
      </c>
      <c r="AS1053" s="1761" t="s">
        <v>349</v>
      </c>
      <c r="AT1053" s="1761" t="s">
        <v>327</v>
      </c>
      <c r="AU1053" s="1763"/>
      <c r="AV1053" s="1763"/>
    </row>
    <row r="1054" spans="1:48" ht="25" hidden="1">
      <c r="A1054" s="1785" t="str">
        <f t="shared" si="176"/>
        <v>גמל</v>
      </c>
      <c r="B1054" s="1786">
        <f t="shared" si="177"/>
        <v>824</v>
      </c>
      <c r="C1054" s="1787">
        <v>28946</v>
      </c>
      <c r="D1054" s="1786" t="str">
        <f t="shared" si="178"/>
        <v>דש אקונומיסט - קופת תגמולים ופיצויים</v>
      </c>
      <c r="E1054" s="1786" t="s">
        <v>3929</v>
      </c>
      <c r="F1054" s="1786" t="s">
        <v>2958</v>
      </c>
      <c r="G1054" s="1786" t="s">
        <v>2959</v>
      </c>
      <c r="H1054" s="1786" t="str">
        <f t="shared" si="179"/>
        <v>לא פעיל</v>
      </c>
      <c r="I1054" s="1788">
        <f t="shared" si="180"/>
        <v>37718</v>
      </c>
      <c r="J1054" s="1788">
        <f t="shared" si="181"/>
        <v>40917.767789351798</v>
      </c>
      <c r="K1054" s="1786">
        <v>0</v>
      </c>
      <c r="L1054" s="1786" t="s">
        <v>1594</v>
      </c>
      <c r="M1054" s="1786" t="s">
        <v>1653</v>
      </c>
      <c r="N1054" s="1786" t="s">
        <v>1653</v>
      </c>
      <c r="O1054" s="1786">
        <v>0</v>
      </c>
      <c r="P1054" s="1786"/>
      <c r="Q1054" s="1786">
        <v>0</v>
      </c>
      <c r="R1054" s="1788"/>
      <c r="S1054" s="1786">
        <f t="shared" si="182"/>
        <v>824</v>
      </c>
      <c r="T1054" s="1786" t="str">
        <f t="shared" si="183"/>
        <v>בנק הפועלים בע"מ</v>
      </c>
      <c r="U1054" s="1786" t="str">
        <f t="shared" si="184"/>
        <v>דש אקונומיסט - קופת תגמולים ופיצויים</v>
      </c>
      <c r="V1054" s="1786" t="str">
        <f t="shared" si="185"/>
        <v>520043795</v>
      </c>
      <c r="W1054" s="1789" t="str">
        <f t="shared" si="186"/>
        <v>מיטב דש גמל ופנסיה בע"מ</v>
      </c>
      <c r="AC1054" s="1759" t="s">
        <v>1586</v>
      </c>
      <c r="AD1054" s="1760">
        <v>40917.767789351798</v>
      </c>
      <c r="AE1054" s="1760">
        <v>37718</v>
      </c>
      <c r="AF1054" s="1759" t="s">
        <v>1583</v>
      </c>
      <c r="AG1054" s="1759" t="s">
        <v>1583</v>
      </c>
      <c r="AH1054" s="1759" t="s">
        <v>1583</v>
      </c>
      <c r="AI1054" s="1759" t="s">
        <v>3331</v>
      </c>
      <c r="AJ1054" s="1759" t="s">
        <v>2070</v>
      </c>
      <c r="AK1054" s="1759">
        <v>824</v>
      </c>
      <c r="AL1054" s="1759" t="s">
        <v>2070</v>
      </c>
      <c r="AM1054" s="1759">
        <v>824</v>
      </c>
      <c r="AN1054" s="1759" t="s">
        <v>1695</v>
      </c>
      <c r="AO1054" s="1764"/>
      <c r="AP1054" s="1759" t="s">
        <v>5373</v>
      </c>
      <c r="AQ1054" s="1759" t="s">
        <v>5374</v>
      </c>
      <c r="AR1054" s="1759" t="s">
        <v>2899</v>
      </c>
      <c r="AS1054" s="1759" t="s">
        <v>349</v>
      </c>
      <c r="AT1054" s="1759" t="s">
        <v>327</v>
      </c>
      <c r="AU1054" s="1763"/>
      <c r="AV1054" s="1763"/>
    </row>
    <row r="1055" spans="1:48" ht="25" hidden="1">
      <c r="A1055" s="1785" t="str">
        <f t="shared" si="176"/>
        <v>גמל</v>
      </c>
      <c r="B1055" s="1786">
        <f t="shared" si="177"/>
        <v>823</v>
      </c>
      <c r="C1055" s="1787">
        <v>28946</v>
      </c>
      <c r="D1055" s="1786" t="str">
        <f t="shared" si="178"/>
        <v>הראל - אורן קופה מרכזית לפיצויים</v>
      </c>
      <c r="E1055" s="1786" t="s">
        <v>3929</v>
      </c>
      <c r="F1055" s="1786" t="s">
        <v>2958</v>
      </c>
      <c r="G1055" s="1786" t="s">
        <v>2959</v>
      </c>
      <c r="H1055" s="1786" t="str">
        <f t="shared" si="179"/>
        <v>לא פעיל</v>
      </c>
      <c r="I1055" s="1788">
        <f t="shared" si="180"/>
        <v>37685</v>
      </c>
      <c r="J1055" s="1788">
        <f t="shared" si="181"/>
        <v>39600</v>
      </c>
      <c r="K1055" s="1786">
        <v>0</v>
      </c>
      <c r="L1055" s="1786" t="s">
        <v>1594</v>
      </c>
      <c r="M1055" s="1786" t="s">
        <v>1653</v>
      </c>
      <c r="N1055" s="1786" t="s">
        <v>1653</v>
      </c>
      <c r="O1055" s="1786">
        <v>0</v>
      </c>
      <c r="P1055" s="1786"/>
      <c r="Q1055" s="1786">
        <v>0</v>
      </c>
      <c r="R1055" s="1788"/>
      <c r="S1055" s="1786">
        <f t="shared" si="182"/>
        <v>823</v>
      </c>
      <c r="T1055" s="1786" t="str">
        <f t="shared" si="183"/>
        <v>הראל גמל</v>
      </c>
      <c r="U1055" s="1786" t="str">
        <f t="shared" si="184"/>
        <v>הראל - אורן קופה מרכזית לפיצויים</v>
      </c>
      <c r="V1055" s="1786">
        <f t="shared" si="185"/>
        <v>0</v>
      </c>
      <c r="W1055" s="1789" t="str">
        <f t="shared" si="186"/>
        <v>הראל עתידית קופות גמל בע"מ</v>
      </c>
      <c r="AC1055" s="1761" t="s">
        <v>1586</v>
      </c>
      <c r="AD1055" s="1762">
        <v>39600</v>
      </c>
      <c r="AE1055" s="1762">
        <v>37685</v>
      </c>
      <c r="AF1055" s="1761" t="s">
        <v>1583</v>
      </c>
      <c r="AG1055" s="1761" t="s">
        <v>1583</v>
      </c>
      <c r="AH1055" s="1761" t="s">
        <v>1583</v>
      </c>
      <c r="AI1055" s="1761" t="s">
        <v>3330</v>
      </c>
      <c r="AJ1055" s="1761" t="s">
        <v>2069</v>
      </c>
      <c r="AK1055" s="1761">
        <v>823</v>
      </c>
      <c r="AL1055" s="1761" t="s">
        <v>2069</v>
      </c>
      <c r="AM1055" s="1761">
        <v>823</v>
      </c>
      <c r="AN1055" s="1761" t="s">
        <v>5411</v>
      </c>
      <c r="AO1055" s="1764"/>
      <c r="AP1055" s="1761"/>
      <c r="AQ1055" s="1761"/>
      <c r="AR1055" s="1761" t="s">
        <v>530</v>
      </c>
      <c r="AS1055" s="1761" t="s">
        <v>531</v>
      </c>
      <c r="AT1055" s="1761" t="s">
        <v>327</v>
      </c>
      <c r="AU1055" s="1763"/>
      <c r="AV1055" s="1763"/>
    </row>
    <row r="1056" spans="1:48" ht="25" hidden="1">
      <c r="A1056" s="1785" t="str">
        <f t="shared" si="176"/>
        <v>גמל</v>
      </c>
      <c r="B1056" s="1786">
        <f t="shared" si="177"/>
        <v>822</v>
      </c>
      <c r="C1056" s="1787">
        <v>28946</v>
      </c>
      <c r="D1056" s="1786" t="str">
        <f t="shared" si="178"/>
        <v>הראל רקנאטי - ארז קופה לתגמולים ופיצויים</v>
      </c>
      <c r="E1056" s="1786" t="s">
        <v>3929</v>
      </c>
      <c r="F1056" s="1786" t="s">
        <v>2958</v>
      </c>
      <c r="G1056" s="1786" t="s">
        <v>2959</v>
      </c>
      <c r="H1056" s="1786" t="str">
        <f t="shared" si="179"/>
        <v>לא פעיל</v>
      </c>
      <c r="I1056" s="1788">
        <f t="shared" si="180"/>
        <v>37685</v>
      </c>
      <c r="J1056" s="1788">
        <f t="shared" si="181"/>
        <v>40179</v>
      </c>
      <c r="K1056" s="1786">
        <v>0</v>
      </c>
      <c r="L1056" s="1786" t="s">
        <v>1594</v>
      </c>
      <c r="M1056" s="1786" t="s">
        <v>1653</v>
      </c>
      <c r="N1056" s="1786" t="s">
        <v>1653</v>
      </c>
      <c r="O1056" s="1786">
        <v>0</v>
      </c>
      <c r="P1056" s="1786"/>
      <c r="Q1056" s="1786">
        <v>0</v>
      </c>
      <c r="R1056" s="1788"/>
      <c r="S1056" s="1786">
        <f t="shared" si="182"/>
        <v>822</v>
      </c>
      <c r="T1056" s="1786" t="str">
        <f t="shared" si="183"/>
        <v>בנק הפועלים בע"מ</v>
      </c>
      <c r="U1056" s="1786" t="str">
        <f t="shared" si="184"/>
        <v>הראל רקנאטי - ארז קופה לתגמולים ופיצויים</v>
      </c>
      <c r="V1056" s="1786">
        <f t="shared" si="185"/>
        <v>0</v>
      </c>
      <c r="W1056" s="1789" t="str">
        <f t="shared" si="186"/>
        <v>הראל עתידית קופות גמל בע"מ</v>
      </c>
      <c r="AC1056" s="1759" t="s">
        <v>1586</v>
      </c>
      <c r="AD1056" s="1760">
        <v>40179</v>
      </c>
      <c r="AE1056" s="1760">
        <v>37685</v>
      </c>
      <c r="AF1056" s="1759" t="s">
        <v>1583</v>
      </c>
      <c r="AG1056" s="1759" t="s">
        <v>1583</v>
      </c>
      <c r="AH1056" s="1759" t="s">
        <v>1583</v>
      </c>
      <c r="AI1056" s="1759" t="s">
        <v>3329</v>
      </c>
      <c r="AJ1056" s="1759" t="s">
        <v>2068</v>
      </c>
      <c r="AK1056" s="1759">
        <v>822</v>
      </c>
      <c r="AL1056" s="1759" t="s">
        <v>2068</v>
      </c>
      <c r="AM1056" s="1759">
        <v>822</v>
      </c>
      <c r="AN1056" s="1759" t="s">
        <v>1695</v>
      </c>
      <c r="AO1056" s="1764"/>
      <c r="AP1056" s="1759"/>
      <c r="AQ1056" s="1759"/>
      <c r="AR1056" s="1759" t="s">
        <v>530</v>
      </c>
      <c r="AS1056" s="1759" t="s">
        <v>531</v>
      </c>
      <c r="AT1056" s="1759" t="s">
        <v>327</v>
      </c>
      <c r="AU1056" s="1763"/>
      <c r="AV1056" s="1763"/>
    </row>
    <row r="1057" spans="1:48" ht="37.5" hidden="1">
      <c r="A1057" s="1785" t="str">
        <f t="shared" si="176"/>
        <v>גמל</v>
      </c>
      <c r="B1057" s="1786">
        <f t="shared" si="177"/>
        <v>821</v>
      </c>
      <c r="C1057" s="1787">
        <v>28946</v>
      </c>
      <c r="D1057" s="1786" t="str">
        <f t="shared" si="178"/>
        <v>הראל רקנאטי - אלון קרן השתלמות לשכירים ועצמאים</v>
      </c>
      <c r="E1057" s="1786" t="s">
        <v>3929</v>
      </c>
      <c r="F1057" s="1786" t="s">
        <v>2958</v>
      </c>
      <c r="G1057" s="1786" t="s">
        <v>2959</v>
      </c>
      <c r="H1057" s="1786" t="str">
        <f t="shared" si="179"/>
        <v>לא פעיל</v>
      </c>
      <c r="I1057" s="1788">
        <f t="shared" si="180"/>
        <v>37685</v>
      </c>
      <c r="J1057" s="1788">
        <f t="shared" si="181"/>
        <v>40179</v>
      </c>
      <c r="K1057" s="1786">
        <v>0</v>
      </c>
      <c r="L1057" s="1786" t="s">
        <v>1594</v>
      </c>
      <c r="M1057" s="1786" t="s">
        <v>1653</v>
      </c>
      <c r="N1057" s="1786" t="s">
        <v>1653</v>
      </c>
      <c r="O1057" s="1786">
        <v>0</v>
      </c>
      <c r="P1057" s="1786"/>
      <c r="Q1057" s="1786">
        <v>0</v>
      </c>
      <c r="R1057" s="1788"/>
      <c r="S1057" s="1786">
        <f t="shared" si="182"/>
        <v>821</v>
      </c>
      <c r="T1057" s="1786" t="str">
        <f t="shared" si="183"/>
        <v>בנק הפועלים בע"מ</v>
      </c>
      <c r="U1057" s="1786" t="str">
        <f t="shared" si="184"/>
        <v>הראל רקנאטי - אלון קרן השתלמות לשכירים ועצמאים</v>
      </c>
      <c r="V1057" s="1786">
        <f t="shared" si="185"/>
        <v>0</v>
      </c>
      <c r="W1057" s="1789" t="str">
        <f t="shared" si="186"/>
        <v>הראל עתידית קופות גמל בע"מ</v>
      </c>
      <c r="AC1057" s="1761" t="s">
        <v>1586</v>
      </c>
      <c r="AD1057" s="1762">
        <v>40179</v>
      </c>
      <c r="AE1057" s="1762">
        <v>37685</v>
      </c>
      <c r="AF1057" s="1761" t="s">
        <v>1583</v>
      </c>
      <c r="AG1057" s="1761" t="s">
        <v>1583</v>
      </c>
      <c r="AH1057" s="1761" t="s">
        <v>1583</v>
      </c>
      <c r="AI1057" s="1761" t="s">
        <v>3328</v>
      </c>
      <c r="AJ1057" s="1761" t="s">
        <v>2067</v>
      </c>
      <c r="AK1057" s="1761">
        <v>821</v>
      </c>
      <c r="AL1057" s="1761" t="s">
        <v>2067</v>
      </c>
      <c r="AM1057" s="1761">
        <v>821</v>
      </c>
      <c r="AN1057" s="1761" t="s">
        <v>1695</v>
      </c>
      <c r="AO1057" s="1764"/>
      <c r="AP1057" s="1761"/>
      <c r="AQ1057" s="1761"/>
      <c r="AR1057" s="1761" t="s">
        <v>530</v>
      </c>
      <c r="AS1057" s="1761" t="s">
        <v>531</v>
      </c>
      <c r="AT1057" s="1761" t="s">
        <v>327</v>
      </c>
      <c r="AU1057" s="1763"/>
      <c r="AV1057" s="1763"/>
    </row>
    <row r="1058" spans="1:48" ht="37.5" hidden="1">
      <c r="A1058" s="1785" t="str">
        <f t="shared" si="176"/>
        <v>גמל</v>
      </c>
      <c r="B1058" s="1786">
        <f t="shared" si="177"/>
        <v>820</v>
      </c>
      <c r="C1058" s="1787">
        <v>28946</v>
      </c>
      <c r="D1058" s="1786" t="str">
        <f t="shared" si="178"/>
        <v>הראל פרופיל אישי למעסיק</v>
      </c>
      <c r="E1058" s="1786" t="s">
        <v>3929</v>
      </c>
      <c r="F1058" s="1786" t="s">
        <v>2958</v>
      </c>
      <c r="G1058" s="1786" t="s">
        <v>2959</v>
      </c>
      <c r="H1058" s="1786" t="str">
        <f t="shared" si="179"/>
        <v>פעיל</v>
      </c>
      <c r="I1058" s="1788">
        <f t="shared" si="180"/>
        <v>37650</v>
      </c>
      <c r="J1058" s="1788" t="str">
        <f t="shared" si="181"/>
        <v/>
      </c>
      <c r="K1058" s="1786">
        <v>0</v>
      </c>
      <c r="L1058" s="1786" t="s">
        <v>1594</v>
      </c>
      <c r="M1058" s="1786" t="s">
        <v>1653</v>
      </c>
      <c r="N1058" s="1786" t="s">
        <v>1653</v>
      </c>
      <c r="O1058" s="1786">
        <v>0</v>
      </c>
      <c r="P1058" s="1786"/>
      <c r="Q1058" s="1786">
        <v>0</v>
      </c>
      <c r="R1058" s="1788"/>
      <c r="S1058" s="1786">
        <f t="shared" si="182"/>
        <v>820</v>
      </c>
      <c r="T1058" s="1786" t="str">
        <f t="shared" si="183"/>
        <v>לאומי</v>
      </c>
      <c r="U1058" s="1786" t="str">
        <f t="shared" si="184"/>
        <v>הראל פרופיל אישי למעסיק</v>
      </c>
      <c r="V1058" s="1786" t="str">
        <f t="shared" si="185"/>
        <v>520033986</v>
      </c>
      <c r="W1058" s="1789" t="str">
        <f t="shared" si="186"/>
        <v>הראל פנסיה וגמל בע"מ</v>
      </c>
      <c r="AC1058" s="1759" t="s">
        <v>346</v>
      </c>
      <c r="AD1058" s="1759"/>
      <c r="AE1058" s="1760">
        <v>37650</v>
      </c>
      <c r="AF1058" s="1759"/>
      <c r="AG1058" s="1759"/>
      <c r="AH1058" s="1759" t="s">
        <v>1812</v>
      </c>
      <c r="AI1058" s="1759" t="s">
        <v>3327</v>
      </c>
      <c r="AJ1058" s="1759" t="s">
        <v>615</v>
      </c>
      <c r="AK1058" s="1759">
        <v>820</v>
      </c>
      <c r="AL1058" s="1759" t="s">
        <v>615</v>
      </c>
      <c r="AM1058" s="1759">
        <v>820</v>
      </c>
      <c r="AN1058" s="1759" t="s">
        <v>5305</v>
      </c>
      <c r="AO1058" s="1764"/>
      <c r="AP1058" s="1759" t="s">
        <v>5396</v>
      </c>
      <c r="AQ1058" s="1759" t="s">
        <v>5397</v>
      </c>
      <c r="AR1058" s="1759" t="s">
        <v>4588</v>
      </c>
      <c r="AS1058" s="1759" t="s">
        <v>405</v>
      </c>
      <c r="AT1058" s="1759" t="s">
        <v>327</v>
      </c>
      <c r="AU1058" s="1763"/>
      <c r="AV1058" s="1763"/>
    </row>
    <row r="1059" spans="1:48" ht="25" hidden="1">
      <c r="A1059" s="1785" t="str">
        <f t="shared" si="176"/>
        <v>גמל</v>
      </c>
      <c r="B1059" s="1786">
        <f t="shared" si="177"/>
        <v>819</v>
      </c>
      <c r="C1059" s="1787">
        <v>28946</v>
      </c>
      <c r="D1059" s="1786" t="str">
        <f t="shared" si="178"/>
        <v>מעלות כלל השתלמות</v>
      </c>
      <c r="E1059" s="1786" t="s">
        <v>3929</v>
      </c>
      <c r="F1059" s="1786" t="s">
        <v>2958</v>
      </c>
      <c r="G1059" s="1786" t="s">
        <v>2959</v>
      </c>
      <c r="H1059" s="1786" t="str">
        <f t="shared" si="179"/>
        <v>לא פעיל</v>
      </c>
      <c r="I1059" s="1788">
        <f t="shared" si="180"/>
        <v>37648</v>
      </c>
      <c r="J1059" s="1788">
        <f t="shared" si="181"/>
        <v>41562.521342592598</v>
      </c>
      <c r="K1059" s="1786">
        <v>0</v>
      </c>
      <c r="L1059" s="1786" t="s">
        <v>1594</v>
      </c>
      <c r="M1059" s="1786" t="s">
        <v>1653</v>
      </c>
      <c r="N1059" s="1786" t="s">
        <v>1653</v>
      </c>
      <c r="O1059" s="1786">
        <v>0</v>
      </c>
      <c r="P1059" s="1786"/>
      <c r="Q1059" s="1786">
        <v>0</v>
      </c>
      <c r="R1059" s="1788"/>
      <c r="S1059" s="1786">
        <f t="shared" si="182"/>
        <v>819</v>
      </c>
      <c r="T1059" s="1786" t="str">
        <f t="shared" si="183"/>
        <v>בנק הפועלים בע"מ</v>
      </c>
      <c r="U1059" s="1786" t="str">
        <f t="shared" si="184"/>
        <v>מעלות כלל השתלמות</v>
      </c>
      <c r="V1059" s="1786">
        <f t="shared" si="185"/>
        <v>0</v>
      </c>
      <c r="W1059" s="1789" t="str">
        <f t="shared" si="186"/>
        <v>כלל פנסיה וגמל בע"מ</v>
      </c>
      <c r="AC1059" s="1761" t="s">
        <v>1586</v>
      </c>
      <c r="AD1059" s="1762">
        <v>41562.521342592598</v>
      </c>
      <c r="AE1059" s="1762">
        <v>37648</v>
      </c>
      <c r="AF1059" s="1761" t="s">
        <v>1583</v>
      </c>
      <c r="AG1059" s="1761" t="s">
        <v>1583</v>
      </c>
      <c r="AH1059" s="1761" t="s">
        <v>1583</v>
      </c>
      <c r="AI1059" s="1761" t="s">
        <v>3326</v>
      </c>
      <c r="AJ1059" s="1761" t="s">
        <v>614</v>
      </c>
      <c r="AK1059" s="1761">
        <v>819</v>
      </c>
      <c r="AL1059" s="1761" t="s">
        <v>614</v>
      </c>
      <c r="AM1059" s="1761">
        <v>819</v>
      </c>
      <c r="AN1059" s="1761" t="s">
        <v>1695</v>
      </c>
      <c r="AO1059" s="1764"/>
      <c r="AP1059" s="1761"/>
      <c r="AQ1059" s="1761"/>
      <c r="AR1059" s="1761" t="s">
        <v>378</v>
      </c>
      <c r="AS1059" s="1761" t="s">
        <v>379</v>
      </c>
      <c r="AT1059" s="1761" t="s">
        <v>327</v>
      </c>
      <c r="AU1059" s="1763"/>
      <c r="AV1059" s="1763"/>
    </row>
    <row r="1060" spans="1:48" ht="37.5" hidden="1">
      <c r="A1060" s="1785" t="str">
        <f t="shared" si="176"/>
        <v>גמל</v>
      </c>
      <c r="B1060" s="1786">
        <f t="shared" si="177"/>
        <v>811</v>
      </c>
      <c r="C1060" s="1787">
        <v>28946</v>
      </c>
      <c r="D1060" s="1786" t="str">
        <f t="shared" si="178"/>
        <v>אנליסט מסלולית קופת גמל - ישראל</v>
      </c>
      <c r="E1060" s="1786" t="s">
        <v>3929</v>
      </c>
      <c r="F1060" s="1786" t="s">
        <v>2958</v>
      </c>
      <c r="G1060" s="1786" t="s">
        <v>2959</v>
      </c>
      <c r="H1060" s="1786" t="str">
        <f t="shared" si="179"/>
        <v>פעיל</v>
      </c>
      <c r="I1060" s="1788">
        <f t="shared" si="180"/>
        <v>36161</v>
      </c>
      <c r="J1060" s="1788" t="str">
        <f t="shared" si="181"/>
        <v/>
      </c>
      <c r="K1060" s="1786">
        <v>0</v>
      </c>
      <c r="L1060" s="1786" t="s">
        <v>1594</v>
      </c>
      <c r="M1060" s="1786" t="s">
        <v>1653</v>
      </c>
      <c r="N1060" s="1786" t="s">
        <v>1653</v>
      </c>
      <c r="O1060" s="1786">
        <v>0</v>
      </c>
      <c r="P1060" s="1786"/>
      <c r="Q1060" s="1786">
        <v>0</v>
      </c>
      <c r="R1060" s="1788"/>
      <c r="S1060" s="1786">
        <f t="shared" si="182"/>
        <v>811</v>
      </c>
      <c r="T1060" s="1786" t="str">
        <f t="shared" si="183"/>
        <v>הבנק הבינלאומי הראשון</v>
      </c>
      <c r="U1060" s="1786" t="str">
        <f t="shared" si="184"/>
        <v xml:space="preserve">אנליסט מסלולית קופת גמל </v>
      </c>
      <c r="V1060" s="1786" t="str">
        <f t="shared" si="185"/>
        <v>520041963</v>
      </c>
      <c r="W1060" s="1789" t="str">
        <f t="shared" si="186"/>
        <v>אנליסט קופות גמל בע"מ</v>
      </c>
      <c r="AC1060" s="1759" t="s">
        <v>346</v>
      </c>
      <c r="AD1060" s="1759"/>
      <c r="AE1060" s="1760">
        <v>36161</v>
      </c>
      <c r="AF1060" s="1759" t="s">
        <v>3672</v>
      </c>
      <c r="AG1060" s="1759" t="s">
        <v>3672</v>
      </c>
      <c r="AH1060" s="1759" t="s">
        <v>1594</v>
      </c>
      <c r="AI1060" s="1759" t="s">
        <v>3993</v>
      </c>
      <c r="AJ1060" s="1759" t="s">
        <v>3992</v>
      </c>
      <c r="AK1060" s="1759">
        <v>811</v>
      </c>
      <c r="AL1060" s="1759" t="s">
        <v>4601</v>
      </c>
      <c r="AM1060" s="1759">
        <v>811</v>
      </c>
      <c r="AN1060" s="1759" t="s">
        <v>5384</v>
      </c>
      <c r="AO1060" s="1764"/>
      <c r="AP1060" s="1759" t="s">
        <v>5387</v>
      </c>
      <c r="AQ1060" s="1759" t="s">
        <v>5388</v>
      </c>
      <c r="AR1060" s="1759" t="s">
        <v>360</v>
      </c>
      <c r="AS1060" s="1759" t="s">
        <v>361</v>
      </c>
      <c r="AT1060" s="1759" t="s">
        <v>327</v>
      </c>
      <c r="AU1060" s="1763"/>
      <c r="AV1060" s="1763"/>
    </row>
    <row r="1061" spans="1:48" ht="37.5" hidden="1">
      <c r="A1061" s="1785" t="str">
        <f t="shared" si="176"/>
        <v>גמל</v>
      </c>
      <c r="B1061" s="1786">
        <f t="shared" si="177"/>
        <v>1412</v>
      </c>
      <c r="C1061" s="1787">
        <v>28946</v>
      </c>
      <c r="D1061" s="1786" t="str">
        <f t="shared" si="178"/>
        <v>אנליסט גמל אג"ח ממשלת ישראל</v>
      </c>
      <c r="E1061" s="1786" t="s">
        <v>3929</v>
      </c>
      <c r="F1061" s="1786" t="s">
        <v>2958</v>
      </c>
      <c r="G1061" s="1786" t="s">
        <v>2959</v>
      </c>
      <c r="H1061" s="1786" t="str">
        <f t="shared" si="179"/>
        <v>פעיל</v>
      </c>
      <c r="I1061" s="1788">
        <f t="shared" si="180"/>
        <v>36161</v>
      </c>
      <c r="J1061" s="1788" t="str">
        <f t="shared" si="181"/>
        <v/>
      </c>
      <c r="K1061" s="1786">
        <v>0</v>
      </c>
      <c r="L1061" s="1786" t="s">
        <v>1594</v>
      </c>
      <c r="M1061" s="1786" t="s">
        <v>1653</v>
      </c>
      <c r="N1061" s="1786" t="s">
        <v>1653</v>
      </c>
      <c r="O1061" s="1786">
        <v>0</v>
      </c>
      <c r="P1061" s="1786"/>
      <c r="Q1061" s="1786">
        <v>0</v>
      </c>
      <c r="R1061" s="1788"/>
      <c r="S1061" s="1786">
        <f t="shared" si="182"/>
        <v>811</v>
      </c>
      <c r="T1061" s="1786" t="str">
        <f t="shared" si="183"/>
        <v>הבנק הבינלאומי הראשון</v>
      </c>
      <c r="U1061" s="1786" t="str">
        <f t="shared" si="184"/>
        <v xml:space="preserve">אנליסט מסלולית קופת גמל </v>
      </c>
      <c r="V1061" s="1786" t="str">
        <f t="shared" si="185"/>
        <v>520041963</v>
      </c>
      <c r="W1061" s="1789" t="str">
        <f t="shared" si="186"/>
        <v>אנליסט קופות גמל בע"מ</v>
      </c>
      <c r="AC1061" s="1761" t="s">
        <v>346</v>
      </c>
      <c r="AD1061" s="1759"/>
      <c r="AE1061" s="1762">
        <v>36161</v>
      </c>
      <c r="AF1061" s="1761" t="s">
        <v>2009</v>
      </c>
      <c r="AG1061" s="1761" t="s">
        <v>1653</v>
      </c>
      <c r="AH1061" s="1761" t="s">
        <v>1594</v>
      </c>
      <c r="AI1061" s="1761" t="s">
        <v>4095</v>
      </c>
      <c r="AJ1061" s="1761" t="s">
        <v>4095</v>
      </c>
      <c r="AK1061" s="1761">
        <v>1412</v>
      </c>
      <c r="AL1061" s="1761" t="s">
        <v>4601</v>
      </c>
      <c r="AM1061" s="1761">
        <v>811</v>
      </c>
      <c r="AN1061" s="1761" t="s">
        <v>5384</v>
      </c>
      <c r="AO1061" s="1764"/>
      <c r="AP1061" s="1761" t="s">
        <v>5387</v>
      </c>
      <c r="AQ1061" s="1761" t="s">
        <v>5388</v>
      </c>
      <c r="AR1061" s="1761" t="s">
        <v>360</v>
      </c>
      <c r="AS1061" s="1761" t="s">
        <v>361</v>
      </c>
      <c r="AT1061" s="1761" t="s">
        <v>327</v>
      </c>
      <c r="AU1061" s="1763"/>
      <c r="AV1061" s="1763"/>
    </row>
    <row r="1062" spans="1:48" ht="37.5" hidden="1">
      <c r="A1062" s="1785" t="str">
        <f t="shared" si="176"/>
        <v>גמל</v>
      </c>
      <c r="B1062" s="1786">
        <f t="shared" si="177"/>
        <v>813</v>
      </c>
      <c r="C1062" s="1787">
        <v>28946</v>
      </c>
      <c r="D1062" s="1786" t="str">
        <f t="shared" si="178"/>
        <v>אנליסט גמל אג"ח</v>
      </c>
      <c r="E1062" s="1786" t="s">
        <v>3929</v>
      </c>
      <c r="F1062" s="1786" t="s">
        <v>2958</v>
      </c>
      <c r="G1062" s="1786" t="s">
        <v>2959</v>
      </c>
      <c r="H1062" s="1786" t="str">
        <f t="shared" si="179"/>
        <v>פעיל</v>
      </c>
      <c r="I1062" s="1788">
        <f t="shared" si="180"/>
        <v>36161</v>
      </c>
      <c r="J1062" s="1788" t="str">
        <f t="shared" si="181"/>
        <v/>
      </c>
      <c r="K1062" s="1786">
        <v>0</v>
      </c>
      <c r="L1062" s="1786" t="s">
        <v>1594</v>
      </c>
      <c r="M1062" s="1786" t="s">
        <v>1653</v>
      </c>
      <c r="N1062" s="1786" t="s">
        <v>1653</v>
      </c>
      <c r="O1062" s="1786">
        <v>0</v>
      </c>
      <c r="P1062" s="1786"/>
      <c r="Q1062" s="1786">
        <v>0</v>
      </c>
      <c r="R1062" s="1788"/>
      <c r="S1062" s="1786">
        <f t="shared" si="182"/>
        <v>811</v>
      </c>
      <c r="T1062" s="1786" t="str">
        <f t="shared" si="183"/>
        <v>הבנק הבינלאומי הראשון</v>
      </c>
      <c r="U1062" s="1786" t="str">
        <f t="shared" si="184"/>
        <v xml:space="preserve">אנליסט מסלולית קופת גמל </v>
      </c>
      <c r="V1062" s="1786" t="str">
        <f t="shared" si="185"/>
        <v>520041963</v>
      </c>
      <c r="W1062" s="1789" t="str">
        <f t="shared" si="186"/>
        <v>אנליסט קופות גמל בע"מ</v>
      </c>
      <c r="AC1062" s="1759" t="s">
        <v>346</v>
      </c>
      <c r="AD1062" s="1759"/>
      <c r="AE1062" s="1760">
        <v>36161</v>
      </c>
      <c r="AF1062" s="1759" t="s">
        <v>1681</v>
      </c>
      <c r="AG1062" s="1759" t="s">
        <v>1653</v>
      </c>
      <c r="AH1062" s="1759" t="s">
        <v>1594</v>
      </c>
      <c r="AI1062" s="1759" t="s">
        <v>2063</v>
      </c>
      <c r="AJ1062" s="1759" t="s">
        <v>2063</v>
      </c>
      <c r="AK1062" s="1759">
        <v>813</v>
      </c>
      <c r="AL1062" s="1759" t="s">
        <v>4601</v>
      </c>
      <c r="AM1062" s="1759">
        <v>811</v>
      </c>
      <c r="AN1062" s="1759" t="s">
        <v>5384</v>
      </c>
      <c r="AO1062" s="1764"/>
      <c r="AP1062" s="1759" t="s">
        <v>5387</v>
      </c>
      <c r="AQ1062" s="1759" t="s">
        <v>5388</v>
      </c>
      <c r="AR1062" s="1759" t="s">
        <v>360</v>
      </c>
      <c r="AS1062" s="1759" t="s">
        <v>361</v>
      </c>
      <c r="AT1062" s="1759" t="s">
        <v>327</v>
      </c>
      <c r="AU1062" s="1763"/>
      <c r="AV1062" s="1763"/>
    </row>
    <row r="1063" spans="1:48" ht="37.5" hidden="1">
      <c r="A1063" s="1785" t="str">
        <f t="shared" si="176"/>
        <v>גמל</v>
      </c>
      <c r="B1063" s="1786">
        <f t="shared" si="177"/>
        <v>814</v>
      </c>
      <c r="C1063" s="1787">
        <v>28946</v>
      </c>
      <c r="D1063" s="1786" t="str">
        <f t="shared" si="178"/>
        <v>אנליסט גמל מניות</v>
      </c>
      <c r="E1063" s="1786" t="s">
        <v>3929</v>
      </c>
      <c r="F1063" s="1786" t="s">
        <v>2958</v>
      </c>
      <c r="G1063" s="1786" t="s">
        <v>2959</v>
      </c>
      <c r="H1063" s="1786" t="str">
        <f t="shared" si="179"/>
        <v>פעיל</v>
      </c>
      <c r="I1063" s="1788">
        <f t="shared" si="180"/>
        <v>36161</v>
      </c>
      <c r="J1063" s="1788" t="str">
        <f t="shared" si="181"/>
        <v/>
      </c>
      <c r="K1063" s="1786">
        <v>0</v>
      </c>
      <c r="L1063" s="1786" t="s">
        <v>1594</v>
      </c>
      <c r="M1063" s="1786" t="s">
        <v>1653</v>
      </c>
      <c r="N1063" s="1786" t="s">
        <v>1653</v>
      </c>
      <c r="O1063" s="1786">
        <v>0</v>
      </c>
      <c r="P1063" s="1786"/>
      <c r="Q1063" s="1786">
        <v>0</v>
      </c>
      <c r="R1063" s="1788"/>
      <c r="S1063" s="1786">
        <f t="shared" si="182"/>
        <v>811</v>
      </c>
      <c r="T1063" s="1786" t="str">
        <f t="shared" si="183"/>
        <v>הבנק הבינלאומי הראשון</v>
      </c>
      <c r="U1063" s="1786" t="str">
        <f t="shared" si="184"/>
        <v xml:space="preserve">אנליסט מסלולית קופת גמל </v>
      </c>
      <c r="V1063" s="1786" t="str">
        <f t="shared" si="185"/>
        <v>520041963</v>
      </c>
      <c r="W1063" s="1789" t="str">
        <f t="shared" si="186"/>
        <v>אנליסט קופות גמל בע"מ</v>
      </c>
      <c r="AC1063" s="1761" t="s">
        <v>346</v>
      </c>
      <c r="AD1063" s="1761"/>
      <c r="AE1063" s="1762">
        <v>36161</v>
      </c>
      <c r="AF1063" s="1761" t="s">
        <v>1595</v>
      </c>
      <c r="AG1063" s="1761" t="s">
        <v>75</v>
      </c>
      <c r="AH1063" s="1761" t="s">
        <v>1594</v>
      </c>
      <c r="AI1063" s="1761" t="s">
        <v>2064</v>
      </c>
      <c r="AJ1063" s="1761" t="s">
        <v>2064</v>
      </c>
      <c r="AK1063" s="1761">
        <v>814</v>
      </c>
      <c r="AL1063" s="1761" t="s">
        <v>4601</v>
      </c>
      <c r="AM1063" s="1761">
        <v>811</v>
      </c>
      <c r="AN1063" s="1761" t="s">
        <v>5384</v>
      </c>
      <c r="AO1063" s="1764"/>
      <c r="AP1063" s="1761" t="s">
        <v>5387</v>
      </c>
      <c r="AQ1063" s="1761" t="s">
        <v>5388</v>
      </c>
      <c r="AR1063" s="1761" t="s">
        <v>360</v>
      </c>
      <c r="AS1063" s="1761" t="s">
        <v>361</v>
      </c>
      <c r="AT1063" s="1761" t="s">
        <v>327</v>
      </c>
      <c r="AU1063" s="1763"/>
      <c r="AV1063" s="1763"/>
    </row>
    <row r="1064" spans="1:48" ht="37.5" hidden="1">
      <c r="A1064" s="1785" t="str">
        <f t="shared" si="176"/>
        <v>גמל</v>
      </c>
      <c r="B1064" s="1786">
        <f t="shared" si="177"/>
        <v>815</v>
      </c>
      <c r="C1064" s="1787">
        <v>28946</v>
      </c>
      <c r="D1064" s="1786" t="str">
        <f t="shared" si="178"/>
        <v>אנליסט גמל שקלי טווח קצר</v>
      </c>
      <c r="E1064" s="1786" t="s">
        <v>3929</v>
      </c>
      <c r="F1064" s="1786" t="s">
        <v>2958</v>
      </c>
      <c r="G1064" s="1786" t="s">
        <v>2959</v>
      </c>
      <c r="H1064" s="1786" t="str">
        <f t="shared" si="179"/>
        <v>פעיל</v>
      </c>
      <c r="I1064" s="1788">
        <f t="shared" si="180"/>
        <v>36161</v>
      </c>
      <c r="J1064" s="1788" t="str">
        <f t="shared" si="181"/>
        <v/>
      </c>
      <c r="K1064" s="1786">
        <v>0</v>
      </c>
      <c r="L1064" s="1786" t="s">
        <v>1594</v>
      </c>
      <c r="M1064" s="1786" t="s">
        <v>1653</v>
      </c>
      <c r="N1064" s="1786" t="s">
        <v>1653</v>
      </c>
      <c r="O1064" s="1786">
        <v>0</v>
      </c>
      <c r="P1064" s="1786"/>
      <c r="Q1064" s="1786">
        <v>0</v>
      </c>
      <c r="R1064" s="1788"/>
      <c r="S1064" s="1786">
        <f t="shared" si="182"/>
        <v>811</v>
      </c>
      <c r="T1064" s="1786" t="str">
        <f t="shared" si="183"/>
        <v>הבנק הבינלאומי הראשון</v>
      </c>
      <c r="U1064" s="1786" t="str">
        <f t="shared" si="184"/>
        <v xml:space="preserve">אנליסט מסלולית קופת גמל </v>
      </c>
      <c r="V1064" s="1786" t="str">
        <f t="shared" si="185"/>
        <v>520041963</v>
      </c>
      <c r="W1064" s="1789" t="str">
        <f t="shared" si="186"/>
        <v>אנליסט קופות גמל בע"מ</v>
      </c>
      <c r="AC1064" s="1759" t="s">
        <v>346</v>
      </c>
      <c r="AD1064" s="1759"/>
      <c r="AE1064" s="1760">
        <v>36161</v>
      </c>
      <c r="AF1064" s="1759" t="s">
        <v>1673</v>
      </c>
      <c r="AG1064" s="1759" t="s">
        <v>1614</v>
      </c>
      <c r="AH1064" s="1759" t="s">
        <v>1594</v>
      </c>
      <c r="AI1064" s="1759" t="s">
        <v>2065</v>
      </c>
      <c r="AJ1064" s="1759" t="s">
        <v>3994</v>
      </c>
      <c r="AK1064" s="1759">
        <v>815</v>
      </c>
      <c r="AL1064" s="1759" t="s">
        <v>4601</v>
      </c>
      <c r="AM1064" s="1759">
        <v>811</v>
      </c>
      <c r="AN1064" s="1759" t="s">
        <v>5384</v>
      </c>
      <c r="AO1064" s="1764"/>
      <c r="AP1064" s="1759" t="s">
        <v>5387</v>
      </c>
      <c r="AQ1064" s="1759" t="s">
        <v>5388</v>
      </c>
      <c r="AR1064" s="1759" t="s">
        <v>360</v>
      </c>
      <c r="AS1064" s="1759" t="s">
        <v>361</v>
      </c>
      <c r="AT1064" s="1759" t="s">
        <v>327</v>
      </c>
      <c r="AU1064" s="1763"/>
      <c r="AV1064" s="1763"/>
    </row>
    <row r="1065" spans="1:48" ht="37.5" hidden="1">
      <c r="A1065" s="1785" t="str">
        <f t="shared" si="176"/>
        <v>גמל</v>
      </c>
      <c r="B1065" s="1786">
        <f t="shared" si="177"/>
        <v>816</v>
      </c>
      <c r="C1065" s="1787">
        <v>28946</v>
      </c>
      <c r="D1065" s="1786" t="str">
        <f t="shared" si="178"/>
        <v>אנליסט גמל מט"ח</v>
      </c>
      <c r="E1065" s="1786" t="s">
        <v>3929</v>
      </c>
      <c r="F1065" s="1786" t="s">
        <v>2958</v>
      </c>
      <c r="G1065" s="1786" t="s">
        <v>2959</v>
      </c>
      <c r="H1065" s="1786" t="str">
        <f t="shared" si="179"/>
        <v>לא פעיל</v>
      </c>
      <c r="I1065" s="1788">
        <f t="shared" si="180"/>
        <v>36161</v>
      </c>
      <c r="J1065" s="1788">
        <f t="shared" si="181"/>
        <v>42380.416111111103</v>
      </c>
      <c r="K1065" s="1786">
        <v>0</v>
      </c>
      <c r="L1065" s="1786" t="s">
        <v>1594</v>
      </c>
      <c r="M1065" s="1786" t="s">
        <v>1653</v>
      </c>
      <c r="N1065" s="1786" t="s">
        <v>1653</v>
      </c>
      <c r="O1065" s="1786">
        <v>0</v>
      </c>
      <c r="P1065" s="1786"/>
      <c r="Q1065" s="1786">
        <v>0</v>
      </c>
      <c r="R1065" s="1788"/>
      <c r="S1065" s="1786">
        <f t="shared" si="182"/>
        <v>811</v>
      </c>
      <c r="T1065" s="1786" t="str">
        <f t="shared" si="183"/>
        <v>הבנק הבינלאומי הראשון</v>
      </c>
      <c r="U1065" s="1786" t="str">
        <f t="shared" si="184"/>
        <v xml:space="preserve">אנליסט מסלולית קופת גמל </v>
      </c>
      <c r="V1065" s="1786" t="str">
        <f t="shared" si="185"/>
        <v>520041963</v>
      </c>
      <c r="W1065" s="1789" t="str">
        <f t="shared" si="186"/>
        <v>אנליסט קופות גמל בע"מ</v>
      </c>
      <c r="AC1065" s="1761" t="s">
        <v>1586</v>
      </c>
      <c r="AD1065" s="1762">
        <v>42380.416111111103</v>
      </c>
      <c r="AE1065" s="1762">
        <v>36161</v>
      </c>
      <c r="AF1065" s="1761" t="s">
        <v>1611</v>
      </c>
      <c r="AG1065" s="1761" t="s">
        <v>1611</v>
      </c>
      <c r="AH1065" s="1761" t="s">
        <v>1594</v>
      </c>
      <c r="AI1065" s="1761" t="s">
        <v>2066</v>
      </c>
      <c r="AJ1065" s="1761" t="s">
        <v>2066</v>
      </c>
      <c r="AK1065" s="1761">
        <v>816</v>
      </c>
      <c r="AL1065" s="1761" t="s">
        <v>4601</v>
      </c>
      <c r="AM1065" s="1761">
        <v>811</v>
      </c>
      <c r="AN1065" s="1761" t="s">
        <v>5384</v>
      </c>
      <c r="AO1065" s="1764"/>
      <c r="AP1065" s="1761" t="s">
        <v>5387</v>
      </c>
      <c r="AQ1065" s="1761" t="s">
        <v>5388</v>
      </c>
      <c r="AR1065" s="1761" t="s">
        <v>360</v>
      </c>
      <c r="AS1065" s="1761" t="s">
        <v>361</v>
      </c>
      <c r="AT1065" s="1761" t="s">
        <v>327</v>
      </c>
      <c r="AU1065" s="1763"/>
      <c r="AV1065" s="1763"/>
    </row>
    <row r="1066" spans="1:48" ht="37.5" hidden="1">
      <c r="A1066" s="1785" t="str">
        <f t="shared" si="176"/>
        <v>גמל</v>
      </c>
      <c r="B1066" s="1786">
        <f t="shared" si="177"/>
        <v>817</v>
      </c>
      <c r="C1066" s="1787">
        <v>28946</v>
      </c>
      <c r="D1066" s="1786" t="str">
        <f t="shared" si="178"/>
        <v>אנליסט גמל מניות בחו"ל</v>
      </c>
      <c r="E1066" s="1786" t="s">
        <v>3929</v>
      </c>
      <c r="F1066" s="1786" t="s">
        <v>2958</v>
      </c>
      <c r="G1066" s="1786" t="s">
        <v>2959</v>
      </c>
      <c r="H1066" s="1786" t="str">
        <f t="shared" si="179"/>
        <v>פעיל</v>
      </c>
      <c r="I1066" s="1788">
        <f t="shared" si="180"/>
        <v>36161</v>
      </c>
      <c r="J1066" s="1788" t="str">
        <f t="shared" si="181"/>
        <v/>
      </c>
      <c r="K1066" s="1786">
        <v>0</v>
      </c>
      <c r="L1066" s="1786" t="s">
        <v>1594</v>
      </c>
      <c r="M1066" s="1786" t="s">
        <v>1653</v>
      </c>
      <c r="N1066" s="1786" t="s">
        <v>1653</v>
      </c>
      <c r="O1066" s="1786">
        <v>0</v>
      </c>
      <c r="P1066" s="1786"/>
      <c r="Q1066" s="1786">
        <v>0</v>
      </c>
      <c r="R1066" s="1788"/>
      <c r="S1066" s="1786">
        <f t="shared" si="182"/>
        <v>811</v>
      </c>
      <c r="T1066" s="1786" t="str">
        <f t="shared" si="183"/>
        <v>הבנק הבינלאומי הראשון</v>
      </c>
      <c r="U1066" s="1786" t="str">
        <f t="shared" si="184"/>
        <v xml:space="preserve">אנליסט מסלולית קופת גמל </v>
      </c>
      <c r="V1066" s="1786" t="str">
        <f t="shared" si="185"/>
        <v>520041963</v>
      </c>
      <c r="W1066" s="1789" t="str">
        <f t="shared" si="186"/>
        <v>אנליסט קופות גמל בע"מ</v>
      </c>
      <c r="AC1066" s="1759" t="s">
        <v>346</v>
      </c>
      <c r="AD1066" s="1759"/>
      <c r="AE1066" s="1760">
        <v>36161</v>
      </c>
      <c r="AF1066" s="1759" t="s">
        <v>1948</v>
      </c>
      <c r="AG1066" s="1759" t="s">
        <v>75</v>
      </c>
      <c r="AH1066" s="1759" t="s">
        <v>1594</v>
      </c>
      <c r="AI1066" s="1759" t="s">
        <v>3995</v>
      </c>
      <c r="AJ1066" s="1759" t="s">
        <v>3995</v>
      </c>
      <c r="AK1066" s="1759">
        <v>817</v>
      </c>
      <c r="AL1066" s="1759" t="s">
        <v>4601</v>
      </c>
      <c r="AM1066" s="1759">
        <v>811</v>
      </c>
      <c r="AN1066" s="1759" t="s">
        <v>5384</v>
      </c>
      <c r="AO1066" s="1764"/>
      <c r="AP1066" s="1759" t="s">
        <v>5387</v>
      </c>
      <c r="AQ1066" s="1759" t="s">
        <v>5388</v>
      </c>
      <c r="AR1066" s="1759" t="s">
        <v>360</v>
      </c>
      <c r="AS1066" s="1759" t="s">
        <v>361</v>
      </c>
      <c r="AT1066" s="1759" t="s">
        <v>327</v>
      </c>
      <c r="AU1066" s="1763"/>
      <c r="AV1066" s="1763"/>
    </row>
    <row r="1067" spans="1:48" ht="37.5" hidden="1">
      <c r="A1067" s="1785" t="str">
        <f t="shared" si="176"/>
        <v>גמל</v>
      </c>
      <c r="B1067" s="1786">
        <f t="shared" si="177"/>
        <v>818</v>
      </c>
      <c r="C1067" s="1787">
        <v>28946</v>
      </c>
      <c r="D1067" s="1786" t="str">
        <f t="shared" si="178"/>
        <v>אנליסט גמל חו"ל</v>
      </c>
      <c r="E1067" s="1786" t="s">
        <v>3929</v>
      </c>
      <c r="F1067" s="1786" t="s">
        <v>2958</v>
      </c>
      <c r="G1067" s="1786" t="s">
        <v>2959</v>
      </c>
      <c r="H1067" s="1786" t="str">
        <f t="shared" si="179"/>
        <v>פעיל</v>
      </c>
      <c r="I1067" s="1788">
        <f t="shared" si="180"/>
        <v>36161</v>
      </c>
      <c r="J1067" s="1788" t="str">
        <f t="shared" si="181"/>
        <v/>
      </c>
      <c r="K1067" s="1786">
        <v>0</v>
      </c>
      <c r="L1067" s="1786" t="s">
        <v>1594</v>
      </c>
      <c r="M1067" s="1786" t="s">
        <v>1653</v>
      </c>
      <c r="N1067" s="1786" t="s">
        <v>1653</v>
      </c>
      <c r="O1067" s="1786">
        <v>0</v>
      </c>
      <c r="P1067" s="1786"/>
      <c r="Q1067" s="1786">
        <v>0</v>
      </c>
      <c r="R1067" s="1788"/>
      <c r="S1067" s="1786">
        <f t="shared" si="182"/>
        <v>811</v>
      </c>
      <c r="T1067" s="1786" t="str">
        <f t="shared" si="183"/>
        <v>הבנק הבינלאומי הראשון</v>
      </c>
      <c r="U1067" s="1786" t="str">
        <f t="shared" si="184"/>
        <v xml:space="preserve">אנליסט מסלולית קופת גמל </v>
      </c>
      <c r="V1067" s="1786" t="str">
        <f t="shared" si="185"/>
        <v>520041963</v>
      </c>
      <c r="W1067" s="1789" t="str">
        <f t="shared" si="186"/>
        <v>אנליסט קופות גמל בע"מ</v>
      </c>
      <c r="AC1067" s="1761" t="s">
        <v>346</v>
      </c>
      <c r="AD1067" s="1759"/>
      <c r="AE1067" s="1762">
        <v>36161</v>
      </c>
      <c r="AF1067" s="1761" t="s">
        <v>1948</v>
      </c>
      <c r="AG1067" s="1761" t="s">
        <v>1948</v>
      </c>
      <c r="AH1067" s="1761" t="s">
        <v>1594</v>
      </c>
      <c r="AI1067" s="1761" t="s">
        <v>3996</v>
      </c>
      <c r="AJ1067" s="1761" t="s">
        <v>4604</v>
      </c>
      <c r="AK1067" s="1761">
        <v>818</v>
      </c>
      <c r="AL1067" s="1761" t="s">
        <v>4601</v>
      </c>
      <c r="AM1067" s="1761">
        <v>811</v>
      </c>
      <c r="AN1067" s="1761" t="s">
        <v>5384</v>
      </c>
      <c r="AO1067" s="1764"/>
      <c r="AP1067" s="1761" t="s">
        <v>5387</v>
      </c>
      <c r="AQ1067" s="1761" t="s">
        <v>5388</v>
      </c>
      <c r="AR1067" s="1761" t="s">
        <v>360</v>
      </c>
      <c r="AS1067" s="1761" t="s">
        <v>361</v>
      </c>
      <c r="AT1067" s="1761" t="s">
        <v>327</v>
      </c>
      <c r="AU1067" s="1763"/>
      <c r="AV1067" s="1763"/>
    </row>
    <row r="1068" spans="1:48" ht="37.5" hidden="1">
      <c r="A1068" s="1785" t="str">
        <f t="shared" si="176"/>
        <v>גמל</v>
      </c>
      <c r="B1068" s="1786">
        <f t="shared" si="177"/>
        <v>730</v>
      </c>
      <c r="C1068" s="1787">
        <v>28946</v>
      </c>
      <c r="D1068" s="1786" t="str">
        <f t="shared" si="178"/>
        <v>אנליסט קתדרה כללי</v>
      </c>
      <c r="E1068" s="1786" t="s">
        <v>3929</v>
      </c>
      <c r="F1068" s="1786" t="s">
        <v>2958</v>
      </c>
      <c r="G1068" s="1786" t="s">
        <v>2959</v>
      </c>
      <c r="H1068" s="1786" t="str">
        <f t="shared" si="179"/>
        <v>לא פעיל</v>
      </c>
      <c r="I1068" s="1788">
        <f t="shared" si="180"/>
        <v>36161</v>
      </c>
      <c r="J1068" s="1788">
        <f t="shared" si="181"/>
        <v>42373.414074074099</v>
      </c>
      <c r="K1068" s="1786">
        <v>0</v>
      </c>
      <c r="L1068" s="1786" t="s">
        <v>1594</v>
      </c>
      <c r="M1068" s="1786" t="s">
        <v>1653</v>
      </c>
      <c r="N1068" s="1786" t="s">
        <v>1653</v>
      </c>
      <c r="O1068" s="1786">
        <v>0</v>
      </c>
      <c r="P1068" s="1786"/>
      <c r="Q1068" s="1786">
        <v>0</v>
      </c>
      <c r="R1068" s="1788"/>
      <c r="S1068" s="1786">
        <f t="shared" si="182"/>
        <v>811</v>
      </c>
      <c r="T1068" s="1786" t="str">
        <f t="shared" si="183"/>
        <v>הבנק הבינלאומי הראשון</v>
      </c>
      <c r="U1068" s="1786" t="str">
        <f t="shared" si="184"/>
        <v xml:space="preserve">אנליסט מסלולית קופת גמל </v>
      </c>
      <c r="V1068" s="1786" t="str">
        <f t="shared" si="185"/>
        <v>520041963</v>
      </c>
      <c r="W1068" s="1789" t="str">
        <f t="shared" si="186"/>
        <v>אנליסט קופות גמל בע"מ</v>
      </c>
      <c r="AC1068" s="1759" t="s">
        <v>1586</v>
      </c>
      <c r="AD1068" s="1760">
        <v>42373.414074074099</v>
      </c>
      <c r="AE1068" s="1760">
        <v>36161</v>
      </c>
      <c r="AF1068" s="1759" t="s">
        <v>1583</v>
      </c>
      <c r="AG1068" s="1759" t="s">
        <v>1583</v>
      </c>
      <c r="AH1068" s="1759" t="s">
        <v>1583</v>
      </c>
      <c r="AI1068" s="1759" t="s">
        <v>3277</v>
      </c>
      <c r="AJ1068" s="1759" t="s">
        <v>3277</v>
      </c>
      <c r="AK1068" s="1759">
        <v>730</v>
      </c>
      <c r="AL1068" s="1759" t="s">
        <v>4601</v>
      </c>
      <c r="AM1068" s="1759">
        <v>811</v>
      </c>
      <c r="AN1068" s="1759" t="s">
        <v>5384</v>
      </c>
      <c r="AO1068" s="1764"/>
      <c r="AP1068" s="1759" t="s">
        <v>5387</v>
      </c>
      <c r="AQ1068" s="1759" t="s">
        <v>5388</v>
      </c>
      <c r="AR1068" s="1759" t="s">
        <v>360</v>
      </c>
      <c r="AS1068" s="1759" t="s">
        <v>361</v>
      </c>
      <c r="AT1068" s="1759" t="s">
        <v>327</v>
      </c>
      <c r="AU1068" s="1763"/>
      <c r="AV1068" s="1763"/>
    </row>
    <row r="1069" spans="1:48" ht="37.5" hidden="1">
      <c r="A1069" s="1785" t="str">
        <f t="shared" si="176"/>
        <v>גמל</v>
      </c>
      <c r="B1069" s="1786">
        <f t="shared" si="177"/>
        <v>732</v>
      </c>
      <c r="C1069" s="1787">
        <v>28946</v>
      </c>
      <c r="D1069" s="1786" t="str">
        <f t="shared" si="178"/>
        <v>אנליסט קתדרה קופת גמל - מסלול אג"ח</v>
      </c>
      <c r="E1069" s="1786" t="s">
        <v>3929</v>
      </c>
      <c r="F1069" s="1786" t="s">
        <v>2958</v>
      </c>
      <c r="G1069" s="1786" t="s">
        <v>2959</v>
      </c>
      <c r="H1069" s="1786" t="str">
        <f t="shared" si="179"/>
        <v>לא פעיל</v>
      </c>
      <c r="I1069" s="1788">
        <f t="shared" si="180"/>
        <v>36161</v>
      </c>
      <c r="J1069" s="1788">
        <f t="shared" si="181"/>
        <v>42380.416111111103</v>
      </c>
      <c r="K1069" s="1786">
        <v>0</v>
      </c>
      <c r="L1069" s="1786" t="s">
        <v>1594</v>
      </c>
      <c r="M1069" s="1786" t="s">
        <v>1653</v>
      </c>
      <c r="N1069" s="1786" t="s">
        <v>1653</v>
      </c>
      <c r="O1069" s="1786">
        <v>0</v>
      </c>
      <c r="P1069" s="1786"/>
      <c r="Q1069" s="1786">
        <v>0</v>
      </c>
      <c r="R1069" s="1788"/>
      <c r="S1069" s="1786">
        <f t="shared" si="182"/>
        <v>811</v>
      </c>
      <c r="T1069" s="1786" t="str">
        <f t="shared" si="183"/>
        <v>הבנק הבינלאומי הראשון</v>
      </c>
      <c r="U1069" s="1786" t="str">
        <f t="shared" si="184"/>
        <v xml:space="preserve">אנליסט מסלולית קופת גמל </v>
      </c>
      <c r="V1069" s="1786" t="str">
        <f t="shared" si="185"/>
        <v>520041963</v>
      </c>
      <c r="W1069" s="1789" t="str">
        <f t="shared" si="186"/>
        <v>אנליסט קופות גמל בע"מ</v>
      </c>
      <c r="AC1069" s="1761" t="s">
        <v>1586</v>
      </c>
      <c r="AD1069" s="1762">
        <v>42380.416111111103</v>
      </c>
      <c r="AE1069" s="1762">
        <v>36161</v>
      </c>
      <c r="AF1069" s="1761" t="s">
        <v>1653</v>
      </c>
      <c r="AG1069" s="1761" t="s">
        <v>1653</v>
      </c>
      <c r="AH1069" s="1761" t="s">
        <v>1594</v>
      </c>
      <c r="AI1069" s="1761" t="s">
        <v>3279</v>
      </c>
      <c r="AJ1069" s="1761" t="s">
        <v>2007</v>
      </c>
      <c r="AK1069" s="1761">
        <v>732</v>
      </c>
      <c r="AL1069" s="1761" t="s">
        <v>4601</v>
      </c>
      <c r="AM1069" s="1761">
        <v>811</v>
      </c>
      <c r="AN1069" s="1761" t="s">
        <v>5384</v>
      </c>
      <c r="AO1069" s="1764"/>
      <c r="AP1069" s="1761" t="s">
        <v>5387</v>
      </c>
      <c r="AQ1069" s="1761" t="s">
        <v>5388</v>
      </c>
      <c r="AR1069" s="1761" t="s">
        <v>360</v>
      </c>
      <c r="AS1069" s="1761" t="s">
        <v>361</v>
      </c>
      <c r="AT1069" s="1761" t="s">
        <v>327</v>
      </c>
      <c r="AU1069" s="1763"/>
      <c r="AV1069" s="1763"/>
    </row>
    <row r="1070" spans="1:48" ht="37.5" hidden="1">
      <c r="A1070" s="1785" t="str">
        <f t="shared" si="176"/>
        <v>גמל</v>
      </c>
      <c r="B1070" s="1786">
        <f t="shared" si="177"/>
        <v>7704</v>
      </c>
      <c r="C1070" s="1787">
        <v>28946</v>
      </c>
      <c r="D1070" s="1786" t="str">
        <f t="shared" si="178"/>
        <v>אנליסט מסלולית קופת גמל - מסלול פאסיבי מדדי אג"ח</v>
      </c>
      <c r="E1070" s="1786" t="s">
        <v>3929</v>
      </c>
      <c r="F1070" s="1786" t="s">
        <v>2958</v>
      </c>
      <c r="G1070" s="1786" t="s">
        <v>2959</v>
      </c>
      <c r="H1070" s="1786" t="str">
        <f t="shared" si="179"/>
        <v>לא פעיל</v>
      </c>
      <c r="I1070" s="1788">
        <f t="shared" si="180"/>
        <v>36161</v>
      </c>
      <c r="J1070" s="1788">
        <f t="shared" si="181"/>
        <v>43032.6000810185</v>
      </c>
      <c r="K1070" s="1786">
        <v>0</v>
      </c>
      <c r="L1070" s="1786" t="s">
        <v>1594</v>
      </c>
      <c r="M1070" s="1786" t="s">
        <v>1653</v>
      </c>
      <c r="N1070" s="1786" t="s">
        <v>1653</v>
      </c>
      <c r="O1070" s="1786">
        <v>0</v>
      </c>
      <c r="P1070" s="1786"/>
      <c r="Q1070" s="1786">
        <v>0</v>
      </c>
      <c r="R1070" s="1788"/>
      <c r="S1070" s="1786">
        <f t="shared" si="182"/>
        <v>811</v>
      </c>
      <c r="T1070" s="1786" t="str">
        <f t="shared" si="183"/>
        <v>הבנק הבינלאומי הראשון</v>
      </c>
      <c r="U1070" s="1786" t="str">
        <f t="shared" si="184"/>
        <v xml:space="preserve">אנליסט מסלולית קופת גמל </v>
      </c>
      <c r="V1070" s="1786" t="str">
        <f t="shared" si="185"/>
        <v>520041963</v>
      </c>
      <c r="W1070" s="1789" t="str">
        <f t="shared" si="186"/>
        <v>אנליסט קופות גמל בע"מ</v>
      </c>
      <c r="AC1070" s="1759" t="s">
        <v>1586</v>
      </c>
      <c r="AD1070" s="1760">
        <v>43032.6000810185</v>
      </c>
      <c r="AE1070" s="1760">
        <v>36161</v>
      </c>
      <c r="AF1070" s="1759" t="s">
        <v>1653</v>
      </c>
      <c r="AG1070" s="1759" t="s">
        <v>1094</v>
      </c>
      <c r="AH1070" s="1759" t="s">
        <v>1594</v>
      </c>
      <c r="AI1070" s="1759" t="s">
        <v>4637</v>
      </c>
      <c r="AJ1070" s="1759" t="s">
        <v>4636</v>
      </c>
      <c r="AK1070" s="1759">
        <v>7704</v>
      </c>
      <c r="AL1070" s="1759" t="s">
        <v>4601</v>
      </c>
      <c r="AM1070" s="1759">
        <v>811</v>
      </c>
      <c r="AN1070" s="1759" t="s">
        <v>5384</v>
      </c>
      <c r="AO1070" s="1764"/>
      <c r="AP1070" s="1759" t="s">
        <v>5387</v>
      </c>
      <c r="AQ1070" s="1759" t="s">
        <v>5388</v>
      </c>
      <c r="AR1070" s="1759" t="s">
        <v>360</v>
      </c>
      <c r="AS1070" s="1759" t="s">
        <v>361</v>
      </c>
      <c r="AT1070" s="1759" t="s">
        <v>327</v>
      </c>
      <c r="AU1070" s="1763"/>
      <c r="AV1070" s="1763"/>
    </row>
    <row r="1071" spans="1:48" ht="37.5" hidden="1">
      <c r="A1071" s="1785" t="str">
        <f t="shared" si="176"/>
        <v>גמל</v>
      </c>
      <c r="B1071" s="1786">
        <f t="shared" si="177"/>
        <v>9730</v>
      </c>
      <c r="C1071" s="1787">
        <v>28946</v>
      </c>
      <c r="D1071" s="1786" t="str">
        <f t="shared" si="178"/>
        <v>אנליסט מסלולית קופת גמל - מסלול לבני 50 ומטה</v>
      </c>
      <c r="E1071" s="1786" t="s">
        <v>3929</v>
      </c>
      <c r="F1071" s="1786" t="s">
        <v>2958</v>
      </c>
      <c r="G1071" s="1786" t="s">
        <v>2959</v>
      </c>
      <c r="H1071" s="1786" t="str">
        <f t="shared" si="179"/>
        <v>פעיל</v>
      </c>
      <c r="I1071" s="1788">
        <f t="shared" si="180"/>
        <v>36161</v>
      </c>
      <c r="J1071" s="1788" t="str">
        <f t="shared" si="181"/>
        <v/>
      </c>
      <c r="K1071" s="1786">
        <v>0</v>
      </c>
      <c r="L1071" s="1786" t="s">
        <v>1594</v>
      </c>
      <c r="M1071" s="1786" t="s">
        <v>1653</v>
      </c>
      <c r="N1071" s="1786" t="s">
        <v>1653</v>
      </c>
      <c r="O1071" s="1786">
        <v>0</v>
      </c>
      <c r="P1071" s="1786"/>
      <c r="Q1071" s="1786">
        <v>0</v>
      </c>
      <c r="R1071" s="1788"/>
      <c r="S1071" s="1786">
        <f t="shared" si="182"/>
        <v>811</v>
      </c>
      <c r="T1071" s="1786" t="str">
        <f t="shared" si="183"/>
        <v>הבנק הבינלאומי הראשון</v>
      </c>
      <c r="U1071" s="1786" t="str">
        <f t="shared" si="184"/>
        <v xml:space="preserve">אנליסט מסלולית קופת גמל </v>
      </c>
      <c r="V1071" s="1786" t="str">
        <f t="shared" si="185"/>
        <v>520041963</v>
      </c>
      <c r="W1071" s="1789" t="str">
        <f t="shared" si="186"/>
        <v>אנליסט קופות גמל בע"מ</v>
      </c>
      <c r="AC1071" s="1761" t="s">
        <v>346</v>
      </c>
      <c r="AD1071" s="1761"/>
      <c r="AE1071" s="1762">
        <v>36161</v>
      </c>
      <c r="AF1071" s="1761" t="s">
        <v>4151</v>
      </c>
      <c r="AG1071" s="1761" t="s">
        <v>3931</v>
      </c>
      <c r="AH1071" s="1761" t="s">
        <v>3658</v>
      </c>
      <c r="AI1071" s="1761" t="s">
        <v>4322</v>
      </c>
      <c r="AJ1071" s="1761" t="s">
        <v>4321</v>
      </c>
      <c r="AK1071" s="1761">
        <v>9730</v>
      </c>
      <c r="AL1071" s="1761" t="s">
        <v>4601</v>
      </c>
      <c r="AM1071" s="1761">
        <v>811</v>
      </c>
      <c r="AN1071" s="1761" t="s">
        <v>5384</v>
      </c>
      <c r="AO1071" s="1764"/>
      <c r="AP1071" s="1761" t="s">
        <v>5387</v>
      </c>
      <c r="AQ1071" s="1761" t="s">
        <v>5388</v>
      </c>
      <c r="AR1071" s="1761" t="s">
        <v>360</v>
      </c>
      <c r="AS1071" s="1761" t="s">
        <v>361</v>
      </c>
      <c r="AT1071" s="1761" t="s">
        <v>327</v>
      </c>
      <c r="AU1071" s="1763"/>
      <c r="AV1071" s="1763"/>
    </row>
    <row r="1072" spans="1:48" ht="37.5" hidden="1">
      <c r="A1072" s="1785" t="str">
        <f t="shared" si="176"/>
        <v>גמל</v>
      </c>
      <c r="B1072" s="1786">
        <f t="shared" si="177"/>
        <v>9731</v>
      </c>
      <c r="C1072" s="1787">
        <v>28946</v>
      </c>
      <c r="D1072" s="1786" t="str">
        <f t="shared" si="178"/>
        <v xml:space="preserve">אנליסט מסלולית קופת גמל - מסלול לבני 50-60 </v>
      </c>
      <c r="E1072" s="1786" t="s">
        <v>3929</v>
      </c>
      <c r="F1072" s="1786" t="s">
        <v>2958</v>
      </c>
      <c r="G1072" s="1786" t="s">
        <v>2959</v>
      </c>
      <c r="H1072" s="1786" t="str">
        <f t="shared" si="179"/>
        <v>פעיל</v>
      </c>
      <c r="I1072" s="1788">
        <f t="shared" si="180"/>
        <v>36161</v>
      </c>
      <c r="J1072" s="1788" t="str">
        <f t="shared" si="181"/>
        <v/>
      </c>
      <c r="K1072" s="1786">
        <v>0</v>
      </c>
      <c r="L1072" s="1786" t="s">
        <v>1594</v>
      </c>
      <c r="M1072" s="1786" t="s">
        <v>1653</v>
      </c>
      <c r="N1072" s="1786" t="s">
        <v>1653</v>
      </c>
      <c r="O1072" s="1786">
        <v>0</v>
      </c>
      <c r="P1072" s="1786"/>
      <c r="Q1072" s="1786">
        <v>0</v>
      </c>
      <c r="R1072" s="1788"/>
      <c r="S1072" s="1786">
        <f t="shared" si="182"/>
        <v>811</v>
      </c>
      <c r="T1072" s="1786" t="str">
        <f t="shared" si="183"/>
        <v>הבנק הבינלאומי הראשון</v>
      </c>
      <c r="U1072" s="1786" t="str">
        <f t="shared" si="184"/>
        <v xml:space="preserve">אנליסט מסלולית קופת גמל </v>
      </c>
      <c r="V1072" s="1786" t="str">
        <f t="shared" si="185"/>
        <v>520041963</v>
      </c>
      <c r="W1072" s="1789" t="str">
        <f t="shared" si="186"/>
        <v>אנליסט קופות גמל בע"מ</v>
      </c>
      <c r="AC1072" s="1759" t="s">
        <v>346</v>
      </c>
      <c r="AD1072" s="1759"/>
      <c r="AE1072" s="1760">
        <v>36161</v>
      </c>
      <c r="AF1072" s="1759" t="s">
        <v>3932</v>
      </c>
      <c r="AG1072" s="1759" t="s">
        <v>3931</v>
      </c>
      <c r="AH1072" s="1759" t="s">
        <v>3658</v>
      </c>
      <c r="AI1072" s="1759" t="s">
        <v>4324</v>
      </c>
      <c r="AJ1072" s="1759" t="s">
        <v>4323</v>
      </c>
      <c r="AK1072" s="1759">
        <v>9731</v>
      </c>
      <c r="AL1072" s="1759" t="s">
        <v>4601</v>
      </c>
      <c r="AM1072" s="1759">
        <v>811</v>
      </c>
      <c r="AN1072" s="1759" t="s">
        <v>5384</v>
      </c>
      <c r="AO1072" s="1764"/>
      <c r="AP1072" s="1759" t="s">
        <v>5387</v>
      </c>
      <c r="AQ1072" s="1759" t="s">
        <v>5388</v>
      </c>
      <c r="AR1072" s="1759" t="s">
        <v>360</v>
      </c>
      <c r="AS1072" s="1759" t="s">
        <v>361</v>
      </c>
      <c r="AT1072" s="1759" t="s">
        <v>327</v>
      </c>
      <c r="AU1072" s="1763"/>
      <c r="AV1072" s="1763"/>
    </row>
    <row r="1073" spans="1:48" ht="37.5" hidden="1">
      <c r="A1073" s="1785" t="str">
        <f t="shared" si="176"/>
        <v>גמל</v>
      </c>
      <c r="B1073" s="1786">
        <f t="shared" si="177"/>
        <v>9732</v>
      </c>
      <c r="C1073" s="1787">
        <v>28946</v>
      </c>
      <c r="D1073" s="1786" t="str">
        <f t="shared" si="178"/>
        <v>אנליסט מסלולית קופת גמל - מסלול לבני 60 ומעלה</v>
      </c>
      <c r="E1073" s="1786" t="s">
        <v>3929</v>
      </c>
      <c r="F1073" s="1786" t="s">
        <v>2958</v>
      </c>
      <c r="G1073" s="1786" t="s">
        <v>2959</v>
      </c>
      <c r="H1073" s="1786" t="str">
        <f t="shared" si="179"/>
        <v>פעיל</v>
      </c>
      <c r="I1073" s="1788">
        <f t="shared" si="180"/>
        <v>36161</v>
      </c>
      <c r="J1073" s="1788" t="str">
        <f t="shared" si="181"/>
        <v/>
      </c>
      <c r="K1073" s="1786">
        <v>0</v>
      </c>
      <c r="L1073" s="1786" t="s">
        <v>1594</v>
      </c>
      <c r="M1073" s="1786" t="s">
        <v>1653</v>
      </c>
      <c r="N1073" s="1786" t="s">
        <v>1653</v>
      </c>
      <c r="O1073" s="1786">
        <v>0</v>
      </c>
      <c r="P1073" s="1786"/>
      <c r="Q1073" s="1786">
        <v>0</v>
      </c>
      <c r="R1073" s="1788"/>
      <c r="S1073" s="1786">
        <f t="shared" si="182"/>
        <v>811</v>
      </c>
      <c r="T1073" s="1786" t="str">
        <f t="shared" si="183"/>
        <v>הבנק הבינלאומי הראשון</v>
      </c>
      <c r="U1073" s="1786" t="str">
        <f t="shared" si="184"/>
        <v xml:space="preserve">אנליסט מסלולית קופת גמל </v>
      </c>
      <c r="V1073" s="1786" t="str">
        <f t="shared" si="185"/>
        <v>520041963</v>
      </c>
      <c r="W1073" s="1789" t="str">
        <f t="shared" si="186"/>
        <v>אנליסט קופות גמל בע"מ</v>
      </c>
      <c r="AC1073" s="1761" t="s">
        <v>346</v>
      </c>
      <c r="AD1073" s="1761"/>
      <c r="AE1073" s="1762">
        <v>36161</v>
      </c>
      <c r="AF1073" s="1761" t="s">
        <v>3963</v>
      </c>
      <c r="AG1073" s="1761" t="s">
        <v>3931</v>
      </c>
      <c r="AH1073" s="1761" t="s">
        <v>3658</v>
      </c>
      <c r="AI1073" s="1761" t="s">
        <v>4326</v>
      </c>
      <c r="AJ1073" s="1761" t="s">
        <v>4325</v>
      </c>
      <c r="AK1073" s="1761">
        <v>9732</v>
      </c>
      <c r="AL1073" s="1761" t="s">
        <v>4601</v>
      </c>
      <c r="AM1073" s="1761">
        <v>811</v>
      </c>
      <c r="AN1073" s="1761" t="s">
        <v>5384</v>
      </c>
      <c r="AO1073" s="1764"/>
      <c r="AP1073" s="1761" t="s">
        <v>5387</v>
      </c>
      <c r="AQ1073" s="1761" t="s">
        <v>5388</v>
      </c>
      <c r="AR1073" s="1761" t="s">
        <v>360</v>
      </c>
      <c r="AS1073" s="1761" t="s">
        <v>361</v>
      </c>
      <c r="AT1073" s="1761" t="s">
        <v>327</v>
      </c>
      <c r="AU1073" s="1763"/>
      <c r="AV1073" s="1763"/>
    </row>
    <row r="1074" spans="1:48" ht="37.5" hidden="1">
      <c r="A1074" s="1785" t="str">
        <f t="shared" si="176"/>
        <v>גמל</v>
      </c>
      <c r="B1074" s="1786">
        <f t="shared" si="177"/>
        <v>8128</v>
      </c>
      <c r="C1074" s="1787">
        <v>28946</v>
      </c>
      <c r="D1074" s="1786" t="str">
        <f t="shared" si="178"/>
        <v>אנליסט מסלולית קופת גמל - אג"ח עד 10% במניות</v>
      </c>
      <c r="E1074" s="1786" t="s">
        <v>3929</v>
      </c>
      <c r="F1074" s="1786" t="s">
        <v>2958</v>
      </c>
      <c r="G1074" s="1786" t="s">
        <v>2959</v>
      </c>
      <c r="H1074" s="1786" t="str">
        <f t="shared" si="179"/>
        <v>פעיל</v>
      </c>
      <c r="I1074" s="1788">
        <f t="shared" si="180"/>
        <v>36161</v>
      </c>
      <c r="J1074" s="1788" t="str">
        <f t="shared" si="181"/>
        <v/>
      </c>
      <c r="K1074" s="1786">
        <v>0</v>
      </c>
      <c r="L1074" s="1786" t="s">
        <v>1594</v>
      </c>
      <c r="M1074" s="1786" t="s">
        <v>1653</v>
      </c>
      <c r="N1074" s="1786" t="s">
        <v>1653</v>
      </c>
      <c r="O1074" s="1786">
        <v>0</v>
      </c>
      <c r="P1074" s="1786"/>
      <c r="Q1074" s="1786">
        <v>0</v>
      </c>
      <c r="R1074" s="1788"/>
      <c r="S1074" s="1786">
        <f t="shared" si="182"/>
        <v>811</v>
      </c>
      <c r="T1074" s="1786" t="str">
        <f t="shared" si="183"/>
        <v>הבנק הבינלאומי הראשון</v>
      </c>
      <c r="U1074" s="1786" t="str">
        <f t="shared" si="184"/>
        <v xml:space="preserve">אנליסט מסלולית קופת גמל </v>
      </c>
      <c r="V1074" s="1786" t="str">
        <f t="shared" si="185"/>
        <v>520041963</v>
      </c>
      <c r="W1074" s="1789" t="str">
        <f t="shared" si="186"/>
        <v>אנליסט קופות גמל בע"מ</v>
      </c>
      <c r="AC1074" s="1759" t="s">
        <v>346</v>
      </c>
      <c r="AD1074" s="1759"/>
      <c r="AE1074" s="1760">
        <v>36161</v>
      </c>
      <c r="AF1074" s="1759" t="s">
        <v>1653</v>
      </c>
      <c r="AG1074" s="1759" t="s">
        <v>1653</v>
      </c>
      <c r="AH1074" s="1759" t="s">
        <v>1594</v>
      </c>
      <c r="AI1074" s="1759" t="s">
        <v>4240</v>
      </c>
      <c r="AJ1074" s="1759" t="s">
        <v>4239</v>
      </c>
      <c r="AK1074" s="1759">
        <v>8128</v>
      </c>
      <c r="AL1074" s="1759" t="s">
        <v>4601</v>
      </c>
      <c r="AM1074" s="1759">
        <v>811</v>
      </c>
      <c r="AN1074" s="1759" t="s">
        <v>5384</v>
      </c>
      <c r="AO1074" s="1764"/>
      <c r="AP1074" s="1759" t="s">
        <v>5387</v>
      </c>
      <c r="AQ1074" s="1759" t="s">
        <v>5388</v>
      </c>
      <c r="AR1074" s="1759" t="s">
        <v>360</v>
      </c>
      <c r="AS1074" s="1759" t="s">
        <v>361</v>
      </c>
      <c r="AT1074" s="1759" t="s">
        <v>327</v>
      </c>
      <c r="AU1074" s="1763"/>
      <c r="AV1074" s="1763"/>
    </row>
    <row r="1075" spans="1:48" ht="37.5" hidden="1">
      <c r="A1075" s="1785" t="str">
        <f t="shared" si="176"/>
        <v>גמל</v>
      </c>
      <c r="B1075" s="1786">
        <f t="shared" si="177"/>
        <v>812</v>
      </c>
      <c r="C1075" s="1787">
        <v>28946</v>
      </c>
      <c r="D1075" s="1786" t="str">
        <f t="shared" si="178"/>
        <v>אנליסט גמל כללי</v>
      </c>
      <c r="E1075" s="1786" t="s">
        <v>3929</v>
      </c>
      <c r="F1075" s="1786" t="s">
        <v>2958</v>
      </c>
      <c r="G1075" s="1786" t="s">
        <v>2959</v>
      </c>
      <c r="H1075" s="1786" t="str">
        <f t="shared" si="179"/>
        <v>לא פעיל</v>
      </c>
      <c r="I1075" s="1788">
        <f t="shared" si="180"/>
        <v>36161</v>
      </c>
      <c r="J1075" s="1788">
        <f t="shared" si="181"/>
        <v>42373.414074074099</v>
      </c>
      <c r="K1075" s="1786">
        <v>0</v>
      </c>
      <c r="L1075" s="1786" t="s">
        <v>1594</v>
      </c>
      <c r="M1075" s="1786" t="s">
        <v>1653</v>
      </c>
      <c r="N1075" s="1786" t="s">
        <v>1653</v>
      </c>
      <c r="O1075" s="1786">
        <v>0</v>
      </c>
      <c r="P1075" s="1786"/>
      <c r="Q1075" s="1786">
        <v>0</v>
      </c>
      <c r="R1075" s="1788"/>
      <c r="S1075" s="1786">
        <f t="shared" si="182"/>
        <v>811</v>
      </c>
      <c r="T1075" s="1786" t="str">
        <f t="shared" si="183"/>
        <v>הבנק הבינלאומי הראשון</v>
      </c>
      <c r="U1075" s="1786" t="str">
        <f t="shared" si="184"/>
        <v xml:space="preserve">אנליסט מסלולית קופת גמל </v>
      </c>
      <c r="V1075" s="1786" t="str">
        <f t="shared" si="185"/>
        <v>520041963</v>
      </c>
      <c r="W1075" s="1789" t="str">
        <f t="shared" si="186"/>
        <v>אנליסט קופות גמל בע"מ</v>
      </c>
      <c r="AC1075" s="1761" t="s">
        <v>1586</v>
      </c>
      <c r="AD1075" s="1762">
        <v>42373.414074074099</v>
      </c>
      <c r="AE1075" s="1762">
        <v>36161</v>
      </c>
      <c r="AF1075" s="1761" t="s">
        <v>1583</v>
      </c>
      <c r="AG1075" s="1761" t="s">
        <v>1583</v>
      </c>
      <c r="AH1075" s="1761" t="s">
        <v>1583</v>
      </c>
      <c r="AI1075" s="1761" t="s">
        <v>2062</v>
      </c>
      <c r="AJ1075" s="1761" t="s">
        <v>2062</v>
      </c>
      <c r="AK1075" s="1761">
        <v>812</v>
      </c>
      <c r="AL1075" s="1761" t="s">
        <v>4601</v>
      </c>
      <c r="AM1075" s="1761">
        <v>811</v>
      </c>
      <c r="AN1075" s="1761" t="s">
        <v>5384</v>
      </c>
      <c r="AO1075" s="1764"/>
      <c r="AP1075" s="1761" t="s">
        <v>5387</v>
      </c>
      <c r="AQ1075" s="1761" t="s">
        <v>5388</v>
      </c>
      <c r="AR1075" s="1761" t="s">
        <v>360</v>
      </c>
      <c r="AS1075" s="1761" t="s">
        <v>361</v>
      </c>
      <c r="AT1075" s="1761" t="s">
        <v>327</v>
      </c>
      <c r="AU1075" s="1763"/>
      <c r="AV1075" s="1763"/>
    </row>
    <row r="1076" spans="1:48" ht="25" hidden="1">
      <c r="A1076" s="1785" t="str">
        <f t="shared" si="176"/>
        <v>גמל</v>
      </c>
      <c r="B1076" s="1786">
        <f t="shared" si="177"/>
        <v>810</v>
      </c>
      <c r="C1076" s="1787">
        <v>28946</v>
      </c>
      <c r="D1076" s="1786" t="str">
        <f t="shared" si="178"/>
        <v>כוכב-מרכזית לפיצויים</v>
      </c>
      <c r="E1076" s="1786" t="s">
        <v>3929</v>
      </c>
      <c r="F1076" s="1786" t="s">
        <v>2958</v>
      </c>
      <c r="G1076" s="1786" t="s">
        <v>2959</v>
      </c>
      <c r="H1076" s="1786" t="str">
        <f t="shared" si="179"/>
        <v>לא פעיל</v>
      </c>
      <c r="I1076" s="1788">
        <f t="shared" si="180"/>
        <v>37591</v>
      </c>
      <c r="J1076" s="1788">
        <f t="shared" si="181"/>
        <v>40178</v>
      </c>
      <c r="K1076" s="1786">
        <v>0</v>
      </c>
      <c r="L1076" s="1786" t="s">
        <v>1594</v>
      </c>
      <c r="M1076" s="1786" t="s">
        <v>1653</v>
      </c>
      <c r="N1076" s="1786" t="s">
        <v>1653</v>
      </c>
      <c r="O1076" s="1786">
        <v>0</v>
      </c>
      <c r="P1076" s="1786"/>
      <c r="Q1076" s="1786">
        <v>0</v>
      </c>
      <c r="R1076" s="1788"/>
      <c r="S1076" s="1786">
        <f t="shared" si="182"/>
        <v>810</v>
      </c>
      <c r="T1076" s="1786" t="str">
        <f t="shared" si="183"/>
        <v>הבנק הבינלאומי הראשון</v>
      </c>
      <c r="U1076" s="1786" t="str">
        <f t="shared" si="184"/>
        <v>כוכב-מרכזית לפיצויים</v>
      </c>
      <c r="V1076" s="1786" t="str">
        <f t="shared" si="185"/>
        <v>520017450</v>
      </c>
      <c r="W1076" s="1789" t="str">
        <f t="shared" si="186"/>
        <v xml:space="preserve">הפניקס אקסלנס פנסיה וגמל בע"מ </v>
      </c>
      <c r="AC1076" s="1759" t="s">
        <v>1586</v>
      </c>
      <c r="AD1076" s="1760">
        <v>40178</v>
      </c>
      <c r="AE1076" s="1760">
        <v>37591</v>
      </c>
      <c r="AF1076" s="1759" t="s">
        <v>1583</v>
      </c>
      <c r="AG1076" s="1759" t="s">
        <v>1583</v>
      </c>
      <c r="AH1076" s="1759" t="s">
        <v>1583</v>
      </c>
      <c r="AI1076" s="1759" t="s">
        <v>3325</v>
      </c>
      <c r="AJ1076" s="1759" t="s">
        <v>2061</v>
      </c>
      <c r="AK1076" s="1759">
        <v>810</v>
      </c>
      <c r="AL1076" s="1759" t="s">
        <v>2061</v>
      </c>
      <c r="AM1076" s="1759">
        <v>810</v>
      </c>
      <c r="AN1076" s="1759" t="s">
        <v>5384</v>
      </c>
      <c r="AO1076" s="1764"/>
      <c r="AP1076" s="1759" t="s">
        <v>5379</v>
      </c>
      <c r="AQ1076" s="1759" t="s">
        <v>5380</v>
      </c>
      <c r="AR1076" s="1759" t="s">
        <v>5381</v>
      </c>
      <c r="AS1076" s="1759" t="s">
        <v>347</v>
      </c>
      <c r="AT1076" s="1759" t="s">
        <v>327</v>
      </c>
      <c r="AU1076" s="1763"/>
      <c r="AV1076" s="1763"/>
    </row>
    <row r="1077" spans="1:48" ht="25" hidden="1">
      <c r="A1077" s="1785" t="str">
        <f t="shared" si="176"/>
        <v>גמל</v>
      </c>
      <c r="B1077" s="1786">
        <f t="shared" si="177"/>
        <v>242</v>
      </c>
      <c r="C1077" s="1787">
        <v>28946</v>
      </c>
      <c r="D1077" s="1786" t="str">
        <f t="shared" si="178"/>
        <v>אקסלנס מרכזית לפיצויים</v>
      </c>
      <c r="E1077" s="1786" t="s">
        <v>3929</v>
      </c>
      <c r="F1077" s="1786" t="s">
        <v>2958</v>
      </c>
      <c r="G1077" s="1786" t="s">
        <v>2959</v>
      </c>
      <c r="H1077" s="1786" t="str">
        <f t="shared" si="179"/>
        <v>פעיל</v>
      </c>
      <c r="I1077" s="1788">
        <f t="shared" si="180"/>
        <v>37586</v>
      </c>
      <c r="J1077" s="1788" t="str">
        <f t="shared" si="181"/>
        <v/>
      </c>
      <c r="K1077" s="1786">
        <v>0</v>
      </c>
      <c r="L1077" s="1786" t="s">
        <v>1594</v>
      </c>
      <c r="M1077" s="1786" t="s">
        <v>1653</v>
      </c>
      <c r="N1077" s="1786" t="s">
        <v>1653</v>
      </c>
      <c r="O1077" s="1786">
        <v>0</v>
      </c>
      <c r="P1077" s="1786"/>
      <c r="Q1077" s="1786">
        <v>0</v>
      </c>
      <c r="R1077" s="1788"/>
      <c r="S1077" s="1786">
        <f t="shared" si="182"/>
        <v>801</v>
      </c>
      <c r="T1077" s="1786" t="str">
        <f t="shared" si="183"/>
        <v>בנק מזרחי טפחות בע"מ</v>
      </c>
      <c r="U1077" s="1786" t="str">
        <f t="shared" si="184"/>
        <v xml:space="preserve">אקסלנס מרכזית לפיצויים </v>
      </c>
      <c r="V1077" s="1786" t="str">
        <f t="shared" si="185"/>
        <v>520017450</v>
      </c>
      <c r="W1077" s="1789" t="str">
        <f t="shared" si="186"/>
        <v xml:space="preserve">הפניקס אקסלנס פנסיה וגמל בע"מ </v>
      </c>
      <c r="AC1077" s="1761" t="s">
        <v>346</v>
      </c>
      <c r="AD1077" s="1761"/>
      <c r="AE1077" s="1762">
        <v>37586</v>
      </c>
      <c r="AF1077" s="1761" t="s">
        <v>1583</v>
      </c>
      <c r="AG1077" s="1761" t="s">
        <v>1583</v>
      </c>
      <c r="AH1077" s="1761" t="s">
        <v>1583</v>
      </c>
      <c r="AI1077" s="1761" t="s">
        <v>596</v>
      </c>
      <c r="AJ1077" s="1761" t="s">
        <v>596</v>
      </c>
      <c r="AK1077" s="1761">
        <v>242</v>
      </c>
      <c r="AL1077" s="1761" t="s">
        <v>5554</v>
      </c>
      <c r="AM1077" s="1761">
        <v>801</v>
      </c>
      <c r="AN1077" s="1761" t="s">
        <v>5370</v>
      </c>
      <c r="AO1077" s="1764"/>
      <c r="AP1077" s="1761" t="s">
        <v>5379</v>
      </c>
      <c r="AQ1077" s="1761" t="s">
        <v>5380</v>
      </c>
      <c r="AR1077" s="1761" t="s">
        <v>5381</v>
      </c>
      <c r="AS1077" s="1761" t="s">
        <v>347</v>
      </c>
      <c r="AT1077" s="1761" t="s">
        <v>327</v>
      </c>
      <c r="AU1077" s="1763"/>
      <c r="AV1077" s="1763"/>
    </row>
    <row r="1078" spans="1:48" ht="25" hidden="1">
      <c r="A1078" s="1785" t="str">
        <f t="shared" si="176"/>
        <v>גמל</v>
      </c>
      <c r="B1078" s="1786">
        <f t="shared" si="177"/>
        <v>384</v>
      </c>
      <c r="C1078" s="1787">
        <v>28946</v>
      </c>
      <c r="D1078" s="1786" t="str">
        <f t="shared" si="178"/>
        <v>אקסלנס מרכזית לפיצויים עד 15% מניות</v>
      </c>
      <c r="E1078" s="1786" t="s">
        <v>3929</v>
      </c>
      <c r="F1078" s="1786" t="s">
        <v>2958</v>
      </c>
      <c r="G1078" s="1786" t="s">
        <v>2959</v>
      </c>
      <c r="H1078" s="1786" t="str">
        <f t="shared" si="179"/>
        <v>פעיל</v>
      </c>
      <c r="I1078" s="1788">
        <f t="shared" si="180"/>
        <v>37586</v>
      </c>
      <c r="J1078" s="1788" t="str">
        <f t="shared" si="181"/>
        <v/>
      </c>
      <c r="K1078" s="1786">
        <v>0</v>
      </c>
      <c r="L1078" s="1786" t="s">
        <v>1594</v>
      </c>
      <c r="M1078" s="1786" t="s">
        <v>1653</v>
      </c>
      <c r="N1078" s="1786" t="s">
        <v>1653</v>
      </c>
      <c r="O1078" s="1786">
        <v>0</v>
      </c>
      <c r="P1078" s="1786"/>
      <c r="Q1078" s="1786">
        <v>0</v>
      </c>
      <c r="R1078" s="1788"/>
      <c r="S1078" s="1786">
        <f t="shared" si="182"/>
        <v>801</v>
      </c>
      <c r="T1078" s="1786" t="str">
        <f t="shared" si="183"/>
        <v>בנק מזרחי טפחות בע"מ</v>
      </c>
      <c r="U1078" s="1786" t="str">
        <f t="shared" si="184"/>
        <v xml:space="preserve">אקסלנס מרכזית לפיצויים </v>
      </c>
      <c r="V1078" s="1786" t="str">
        <f t="shared" si="185"/>
        <v>520017450</v>
      </c>
      <c r="W1078" s="1789" t="str">
        <f t="shared" si="186"/>
        <v xml:space="preserve">הפניקס אקסלנס פנסיה וגמל בע"מ </v>
      </c>
      <c r="AC1078" s="1759" t="s">
        <v>346</v>
      </c>
      <c r="AD1078" s="1759"/>
      <c r="AE1078" s="1760">
        <v>37586</v>
      </c>
      <c r="AF1078" s="1759" t="s">
        <v>1583</v>
      </c>
      <c r="AG1078" s="1759" t="s">
        <v>1583</v>
      </c>
      <c r="AH1078" s="1759" t="s">
        <v>1583</v>
      </c>
      <c r="AI1078" s="1759" t="s">
        <v>3093</v>
      </c>
      <c r="AJ1078" s="1759" t="s">
        <v>3093</v>
      </c>
      <c r="AK1078" s="1759">
        <v>384</v>
      </c>
      <c r="AL1078" s="1759" t="s">
        <v>5554</v>
      </c>
      <c r="AM1078" s="1759">
        <v>801</v>
      </c>
      <c r="AN1078" s="1759" t="s">
        <v>5370</v>
      </c>
      <c r="AO1078" s="1764"/>
      <c r="AP1078" s="1759" t="s">
        <v>5379</v>
      </c>
      <c r="AQ1078" s="1759" t="s">
        <v>5380</v>
      </c>
      <c r="AR1078" s="1759" t="s">
        <v>5381</v>
      </c>
      <c r="AS1078" s="1759" t="s">
        <v>347</v>
      </c>
      <c r="AT1078" s="1759" t="s">
        <v>327</v>
      </c>
      <c r="AU1078" s="1763"/>
      <c r="AV1078" s="1763"/>
    </row>
    <row r="1079" spans="1:48" ht="25" hidden="1">
      <c r="A1079" s="1785" t="str">
        <f t="shared" si="176"/>
        <v>גמל</v>
      </c>
      <c r="B1079" s="1786">
        <f t="shared" si="177"/>
        <v>801</v>
      </c>
      <c r="C1079" s="1787">
        <v>28946</v>
      </c>
      <c r="D1079" s="1786" t="str">
        <f t="shared" si="178"/>
        <v>אקסלנס מרכזית לפיצויים שקלי</v>
      </c>
      <c r="E1079" s="1786" t="s">
        <v>3929</v>
      </c>
      <c r="F1079" s="1786" t="s">
        <v>2958</v>
      </c>
      <c r="G1079" s="1786" t="s">
        <v>2959</v>
      </c>
      <c r="H1079" s="1786" t="str">
        <f t="shared" si="179"/>
        <v>פעיל</v>
      </c>
      <c r="I1079" s="1788">
        <f t="shared" si="180"/>
        <v>37586</v>
      </c>
      <c r="J1079" s="1788" t="str">
        <f t="shared" si="181"/>
        <v/>
      </c>
      <c r="K1079" s="1786">
        <v>0</v>
      </c>
      <c r="L1079" s="1786" t="s">
        <v>1594</v>
      </c>
      <c r="M1079" s="1786" t="s">
        <v>1653</v>
      </c>
      <c r="N1079" s="1786" t="s">
        <v>1653</v>
      </c>
      <c r="O1079" s="1786">
        <v>0</v>
      </c>
      <c r="P1079" s="1786"/>
      <c r="Q1079" s="1786">
        <v>0</v>
      </c>
      <c r="R1079" s="1788"/>
      <c r="S1079" s="1786">
        <f t="shared" si="182"/>
        <v>801</v>
      </c>
      <c r="T1079" s="1786" t="str">
        <f t="shared" si="183"/>
        <v>בנק מזרחי טפחות בע"מ</v>
      </c>
      <c r="U1079" s="1786" t="str">
        <f t="shared" si="184"/>
        <v xml:space="preserve">אקסלנס מרכזית לפיצויים </v>
      </c>
      <c r="V1079" s="1786" t="str">
        <f t="shared" si="185"/>
        <v>520017450</v>
      </c>
      <c r="W1079" s="1789" t="str">
        <f t="shared" si="186"/>
        <v xml:space="preserve">הפניקס אקסלנס פנסיה וגמל בע"מ </v>
      </c>
      <c r="AC1079" s="1761" t="s">
        <v>346</v>
      </c>
      <c r="AD1079" s="1761"/>
      <c r="AE1079" s="1762">
        <v>37586</v>
      </c>
      <c r="AF1079" s="1761" t="s">
        <v>1076</v>
      </c>
      <c r="AG1079" s="1761" t="s">
        <v>1614</v>
      </c>
      <c r="AH1079" s="1761" t="s">
        <v>1594</v>
      </c>
      <c r="AI1079" s="1761" t="s">
        <v>3030</v>
      </c>
      <c r="AJ1079" s="1761" t="s">
        <v>3030</v>
      </c>
      <c r="AK1079" s="1761">
        <v>801</v>
      </c>
      <c r="AL1079" s="1761" t="s">
        <v>5554</v>
      </c>
      <c r="AM1079" s="1761">
        <v>801</v>
      </c>
      <c r="AN1079" s="1761" t="s">
        <v>5370</v>
      </c>
      <c r="AO1079" s="1764"/>
      <c r="AP1079" s="1761" t="s">
        <v>5379</v>
      </c>
      <c r="AQ1079" s="1761" t="s">
        <v>5380</v>
      </c>
      <c r="AR1079" s="1761" t="s">
        <v>5381</v>
      </c>
      <c r="AS1079" s="1761" t="s">
        <v>347</v>
      </c>
      <c r="AT1079" s="1761" t="s">
        <v>327</v>
      </c>
      <c r="AU1079" s="1763"/>
      <c r="AV1079" s="1763"/>
    </row>
    <row r="1080" spans="1:48" ht="25" hidden="1">
      <c r="A1080" s="1785" t="str">
        <f t="shared" si="176"/>
        <v>גמל</v>
      </c>
      <c r="B1080" s="1786">
        <f t="shared" si="177"/>
        <v>802</v>
      </c>
      <c r="C1080" s="1787">
        <v>28946</v>
      </c>
      <c r="D1080" s="1786" t="str">
        <f t="shared" si="178"/>
        <v>אקסלנס משכית - מסלול כללי</v>
      </c>
      <c r="E1080" s="1786" t="s">
        <v>3929</v>
      </c>
      <c r="F1080" s="1786" t="s">
        <v>2958</v>
      </c>
      <c r="G1080" s="1786" t="s">
        <v>2959</v>
      </c>
      <c r="H1080" s="1786" t="str">
        <f t="shared" si="179"/>
        <v>לא פעיל</v>
      </c>
      <c r="I1080" s="1788">
        <f t="shared" si="180"/>
        <v>37586</v>
      </c>
      <c r="J1080" s="1788">
        <f t="shared" si="181"/>
        <v>41654.716643518499</v>
      </c>
      <c r="K1080" s="1786">
        <v>0</v>
      </c>
      <c r="L1080" s="1786" t="s">
        <v>1594</v>
      </c>
      <c r="M1080" s="1786" t="s">
        <v>1653</v>
      </c>
      <c r="N1080" s="1786" t="s">
        <v>1653</v>
      </c>
      <c r="O1080" s="1786">
        <v>0</v>
      </c>
      <c r="P1080" s="1786"/>
      <c r="Q1080" s="1786">
        <v>0</v>
      </c>
      <c r="R1080" s="1788"/>
      <c r="S1080" s="1786">
        <f t="shared" si="182"/>
        <v>801</v>
      </c>
      <c r="T1080" s="1786" t="str">
        <f t="shared" si="183"/>
        <v>בנק מזרחי טפחות בע"מ</v>
      </c>
      <c r="U1080" s="1786" t="str">
        <f t="shared" si="184"/>
        <v>אקסלנס משכית - מסלול שקלי</v>
      </c>
      <c r="V1080" s="1786" t="str">
        <f t="shared" si="185"/>
        <v>520017450</v>
      </c>
      <c r="W1080" s="1789" t="str">
        <f t="shared" si="186"/>
        <v xml:space="preserve">הפניקס אקסלנס פנסיה וגמל בע"מ </v>
      </c>
      <c r="AC1080" s="1759" t="s">
        <v>1586</v>
      </c>
      <c r="AD1080" s="1760">
        <v>41654.716643518499</v>
      </c>
      <c r="AE1080" s="1760">
        <v>37586</v>
      </c>
      <c r="AF1080" s="1759" t="s">
        <v>1583</v>
      </c>
      <c r="AG1080" s="1759" t="s">
        <v>1583</v>
      </c>
      <c r="AH1080" s="1759" t="s">
        <v>1583</v>
      </c>
      <c r="AI1080" s="1759" t="s">
        <v>3320</v>
      </c>
      <c r="AJ1080" s="1759" t="s">
        <v>2055</v>
      </c>
      <c r="AK1080" s="1759">
        <v>802</v>
      </c>
      <c r="AL1080" s="1759" t="s">
        <v>613</v>
      </c>
      <c r="AM1080" s="1759">
        <v>801</v>
      </c>
      <c r="AN1080" s="1759" t="s">
        <v>5370</v>
      </c>
      <c r="AO1080" s="1764"/>
      <c r="AP1080" s="1759" t="s">
        <v>5379</v>
      </c>
      <c r="AQ1080" s="1759" t="s">
        <v>5380</v>
      </c>
      <c r="AR1080" s="1759" t="s">
        <v>5381</v>
      </c>
      <c r="AS1080" s="1759" t="s">
        <v>347</v>
      </c>
      <c r="AT1080" s="1759" t="s">
        <v>327</v>
      </c>
      <c r="AU1080" s="1763"/>
      <c r="AV1080" s="1763"/>
    </row>
    <row r="1081" spans="1:48" ht="25" hidden="1">
      <c r="A1081" s="1785" t="str">
        <f t="shared" si="176"/>
        <v>גמל</v>
      </c>
      <c r="B1081" s="1786">
        <f t="shared" si="177"/>
        <v>803</v>
      </c>
      <c r="C1081" s="1787">
        <v>28946</v>
      </c>
      <c r="D1081" s="1786" t="str">
        <f t="shared" si="178"/>
        <v>אקסלנס משכית - מסלול מט"חי</v>
      </c>
      <c r="E1081" s="1786" t="s">
        <v>3929</v>
      </c>
      <c r="F1081" s="1786" t="s">
        <v>2958</v>
      </c>
      <c r="G1081" s="1786" t="s">
        <v>2959</v>
      </c>
      <c r="H1081" s="1786" t="str">
        <f t="shared" si="179"/>
        <v>לא פעיל</v>
      </c>
      <c r="I1081" s="1788">
        <f t="shared" si="180"/>
        <v>37586</v>
      </c>
      <c r="J1081" s="1788">
        <f t="shared" si="181"/>
        <v>41654.715312499997</v>
      </c>
      <c r="K1081" s="1786">
        <v>0</v>
      </c>
      <c r="L1081" s="1786" t="s">
        <v>1594</v>
      </c>
      <c r="M1081" s="1786" t="s">
        <v>1653</v>
      </c>
      <c r="N1081" s="1786" t="s">
        <v>1653</v>
      </c>
      <c r="O1081" s="1786">
        <v>0</v>
      </c>
      <c r="P1081" s="1786"/>
      <c r="Q1081" s="1786">
        <v>0</v>
      </c>
      <c r="R1081" s="1788"/>
      <c r="S1081" s="1786">
        <f t="shared" si="182"/>
        <v>801</v>
      </c>
      <c r="T1081" s="1786" t="str">
        <f t="shared" si="183"/>
        <v>בנק מזרחי טפחות בע"מ</v>
      </c>
      <c r="U1081" s="1786" t="str">
        <f t="shared" si="184"/>
        <v>אקסלנס משכית - מסלול שקלי</v>
      </c>
      <c r="V1081" s="1786" t="str">
        <f t="shared" si="185"/>
        <v>520017450</v>
      </c>
      <c r="W1081" s="1789" t="str">
        <f t="shared" si="186"/>
        <v xml:space="preserve">הפניקס אקסלנס פנסיה וגמל בע"מ </v>
      </c>
      <c r="AC1081" s="1761" t="s">
        <v>1586</v>
      </c>
      <c r="AD1081" s="1762">
        <v>41654.715312499997</v>
      </c>
      <c r="AE1081" s="1762">
        <v>37586</v>
      </c>
      <c r="AF1081" s="1761" t="s">
        <v>1611</v>
      </c>
      <c r="AG1081" s="1761" t="s">
        <v>1611</v>
      </c>
      <c r="AH1081" s="1761" t="s">
        <v>1594</v>
      </c>
      <c r="AI1081" s="1761" t="s">
        <v>3321</v>
      </c>
      <c r="AJ1081" s="1761" t="s">
        <v>2056</v>
      </c>
      <c r="AK1081" s="1761">
        <v>803</v>
      </c>
      <c r="AL1081" s="1761" t="s">
        <v>613</v>
      </c>
      <c r="AM1081" s="1761">
        <v>801</v>
      </c>
      <c r="AN1081" s="1761" t="s">
        <v>5370</v>
      </c>
      <c r="AO1081" s="1764"/>
      <c r="AP1081" s="1761" t="s">
        <v>5379</v>
      </c>
      <c r="AQ1081" s="1761" t="s">
        <v>5380</v>
      </c>
      <c r="AR1081" s="1761" t="s">
        <v>5381</v>
      </c>
      <c r="AS1081" s="1761" t="s">
        <v>347</v>
      </c>
      <c r="AT1081" s="1761" t="s">
        <v>327</v>
      </c>
      <c r="AU1081" s="1763"/>
      <c r="AV1081" s="1763"/>
    </row>
    <row r="1082" spans="1:48" ht="25" hidden="1">
      <c r="A1082" s="1785" t="str">
        <f t="shared" si="176"/>
        <v>גמל</v>
      </c>
      <c r="B1082" s="1786">
        <f t="shared" si="177"/>
        <v>804</v>
      </c>
      <c r="C1082" s="1787">
        <v>28946</v>
      </c>
      <c r="D1082" s="1786" t="str">
        <f t="shared" si="178"/>
        <v>אקסלנס מרכזית לפיצויים מחקה מדדי מניות</v>
      </c>
      <c r="E1082" s="1786" t="s">
        <v>3929</v>
      </c>
      <c r="F1082" s="1786" t="s">
        <v>2958</v>
      </c>
      <c r="G1082" s="1786" t="s">
        <v>2959</v>
      </c>
      <c r="H1082" s="1786" t="str">
        <f t="shared" si="179"/>
        <v>פעיל</v>
      </c>
      <c r="I1082" s="1788">
        <f t="shared" si="180"/>
        <v>37586</v>
      </c>
      <c r="J1082" s="1788" t="str">
        <f t="shared" si="181"/>
        <v/>
      </c>
      <c r="K1082" s="1786">
        <v>0</v>
      </c>
      <c r="L1082" s="1786" t="s">
        <v>1594</v>
      </c>
      <c r="M1082" s="1786" t="s">
        <v>1653</v>
      </c>
      <c r="N1082" s="1786" t="s">
        <v>1653</v>
      </c>
      <c r="O1082" s="1786">
        <v>0</v>
      </c>
      <c r="P1082" s="1786"/>
      <c r="Q1082" s="1786">
        <v>0</v>
      </c>
      <c r="R1082" s="1788"/>
      <c r="S1082" s="1786">
        <f t="shared" si="182"/>
        <v>801</v>
      </c>
      <c r="T1082" s="1786" t="str">
        <f t="shared" si="183"/>
        <v>בנק מזרחי טפחות בע"מ</v>
      </c>
      <c r="U1082" s="1786" t="str">
        <f t="shared" si="184"/>
        <v xml:space="preserve">אקסלנס מרכזית לפיצויים </v>
      </c>
      <c r="V1082" s="1786" t="str">
        <f t="shared" si="185"/>
        <v>520017450</v>
      </c>
      <c r="W1082" s="1789" t="str">
        <f t="shared" si="186"/>
        <v xml:space="preserve">הפניקס אקסלנס פנסיה וגמל בע"מ </v>
      </c>
      <c r="AC1082" s="1759" t="s">
        <v>346</v>
      </c>
      <c r="AD1082" s="1759"/>
      <c r="AE1082" s="1760">
        <v>37586</v>
      </c>
      <c r="AF1082" s="1759" t="s">
        <v>75</v>
      </c>
      <c r="AG1082" s="1759" t="s">
        <v>1094</v>
      </c>
      <c r="AH1082" s="1759" t="s">
        <v>1594</v>
      </c>
      <c r="AI1082" s="1759" t="s">
        <v>3991</v>
      </c>
      <c r="AJ1082" s="1759" t="s">
        <v>3991</v>
      </c>
      <c r="AK1082" s="1759">
        <v>804</v>
      </c>
      <c r="AL1082" s="1759" t="s">
        <v>5554</v>
      </c>
      <c r="AM1082" s="1759">
        <v>801</v>
      </c>
      <c r="AN1082" s="1759" t="s">
        <v>5370</v>
      </c>
      <c r="AO1082" s="1764"/>
      <c r="AP1082" s="1759" t="s">
        <v>5379</v>
      </c>
      <c r="AQ1082" s="1759" t="s">
        <v>5380</v>
      </c>
      <c r="AR1082" s="1759" t="s">
        <v>5381</v>
      </c>
      <c r="AS1082" s="1759" t="s">
        <v>347</v>
      </c>
      <c r="AT1082" s="1759" t="s">
        <v>327</v>
      </c>
      <c r="AU1082" s="1763"/>
      <c r="AV1082" s="1763"/>
    </row>
    <row r="1083" spans="1:48" ht="25" hidden="1">
      <c r="A1083" s="1785" t="str">
        <f t="shared" si="176"/>
        <v>גמל</v>
      </c>
      <c r="B1083" s="1786">
        <f t="shared" si="177"/>
        <v>9475</v>
      </c>
      <c r="C1083" s="1787">
        <v>28946</v>
      </c>
      <c r="D1083" s="1786" t="str">
        <f t="shared" si="178"/>
        <v>אקסלנס מרכזית לפיצויים שקלי קצר</v>
      </c>
      <c r="E1083" s="1786" t="s">
        <v>3929</v>
      </c>
      <c r="F1083" s="1786" t="s">
        <v>2958</v>
      </c>
      <c r="G1083" s="1786" t="s">
        <v>2959</v>
      </c>
      <c r="H1083" s="1786" t="str">
        <f t="shared" si="179"/>
        <v>פעיל</v>
      </c>
      <c r="I1083" s="1788">
        <f t="shared" si="180"/>
        <v>37586</v>
      </c>
      <c r="J1083" s="1788" t="str">
        <f t="shared" si="181"/>
        <v/>
      </c>
      <c r="K1083" s="1786">
        <v>0</v>
      </c>
      <c r="L1083" s="1786" t="s">
        <v>1594</v>
      </c>
      <c r="M1083" s="1786" t="s">
        <v>1653</v>
      </c>
      <c r="N1083" s="1786" t="s">
        <v>1653</v>
      </c>
      <c r="O1083" s="1786">
        <v>0</v>
      </c>
      <c r="P1083" s="1786"/>
      <c r="Q1083" s="1786">
        <v>0</v>
      </c>
      <c r="R1083" s="1788"/>
      <c r="S1083" s="1786">
        <f t="shared" si="182"/>
        <v>801</v>
      </c>
      <c r="T1083" s="1786" t="str">
        <f t="shared" si="183"/>
        <v>בנק מזרחי טפחות בע"מ</v>
      </c>
      <c r="U1083" s="1786" t="str">
        <f t="shared" si="184"/>
        <v xml:space="preserve">אקסלנס מרכזית לפיצויים </v>
      </c>
      <c r="V1083" s="1786" t="str">
        <f t="shared" si="185"/>
        <v>520017450</v>
      </c>
      <c r="W1083" s="1789" t="str">
        <f t="shared" si="186"/>
        <v xml:space="preserve">הפניקס אקסלנס פנסיה וגמל בע"מ </v>
      </c>
      <c r="AC1083" s="1761" t="s">
        <v>346</v>
      </c>
      <c r="AD1083" s="1759"/>
      <c r="AE1083" s="1762">
        <v>37586</v>
      </c>
      <c r="AF1083" s="1761" t="s">
        <v>1673</v>
      </c>
      <c r="AG1083" s="1761" t="s">
        <v>1614</v>
      </c>
      <c r="AH1083" s="1761" t="s">
        <v>1594</v>
      </c>
      <c r="AI1083" s="1761" t="s">
        <v>4270</v>
      </c>
      <c r="AJ1083" s="1761" t="s">
        <v>4270</v>
      </c>
      <c r="AK1083" s="1761">
        <v>9475</v>
      </c>
      <c r="AL1083" s="1761" t="s">
        <v>5554</v>
      </c>
      <c r="AM1083" s="1761">
        <v>801</v>
      </c>
      <c r="AN1083" s="1761" t="s">
        <v>5370</v>
      </c>
      <c r="AO1083" s="1764"/>
      <c r="AP1083" s="1761" t="s">
        <v>5379</v>
      </c>
      <c r="AQ1083" s="1761" t="s">
        <v>5380</v>
      </c>
      <c r="AR1083" s="1761" t="s">
        <v>5381</v>
      </c>
      <c r="AS1083" s="1761" t="s">
        <v>347</v>
      </c>
      <c r="AT1083" s="1761" t="s">
        <v>327</v>
      </c>
      <c r="AU1083" s="1763"/>
      <c r="AV1083" s="1763"/>
    </row>
    <row r="1084" spans="1:48" ht="25" hidden="1">
      <c r="A1084" s="1785" t="str">
        <f t="shared" si="176"/>
        <v>גמל</v>
      </c>
      <c r="B1084" s="1786">
        <f t="shared" si="177"/>
        <v>806</v>
      </c>
      <c r="C1084" s="1787">
        <v>28946</v>
      </c>
      <c r="D1084" s="1786" t="str">
        <f t="shared" si="178"/>
        <v>אקסלנס מרכזית לפיצויים צמוד מדד</v>
      </c>
      <c r="E1084" s="1786" t="s">
        <v>3929</v>
      </c>
      <c r="F1084" s="1786" t="s">
        <v>2958</v>
      </c>
      <c r="G1084" s="1786" t="s">
        <v>2959</v>
      </c>
      <c r="H1084" s="1786" t="str">
        <f t="shared" si="179"/>
        <v>פעיל</v>
      </c>
      <c r="I1084" s="1788">
        <f t="shared" si="180"/>
        <v>37586</v>
      </c>
      <c r="J1084" s="1788" t="str">
        <f t="shared" si="181"/>
        <v/>
      </c>
      <c r="K1084" s="1786">
        <v>0</v>
      </c>
      <c r="L1084" s="1786" t="s">
        <v>1594</v>
      </c>
      <c r="M1084" s="1786" t="s">
        <v>1653</v>
      </c>
      <c r="N1084" s="1786" t="s">
        <v>1653</v>
      </c>
      <c r="O1084" s="1786">
        <v>0</v>
      </c>
      <c r="P1084" s="1786"/>
      <c r="Q1084" s="1786">
        <v>0</v>
      </c>
      <c r="R1084" s="1788"/>
      <c r="S1084" s="1786">
        <f t="shared" si="182"/>
        <v>801</v>
      </c>
      <c r="T1084" s="1786" t="str">
        <f t="shared" si="183"/>
        <v>בנק מזרחי טפחות בע"מ</v>
      </c>
      <c r="U1084" s="1786" t="str">
        <f t="shared" si="184"/>
        <v xml:space="preserve">אקסלנס מרכזית לפיצויים </v>
      </c>
      <c r="V1084" s="1786" t="str">
        <f t="shared" si="185"/>
        <v>520017450</v>
      </c>
      <c r="W1084" s="1789" t="str">
        <f t="shared" si="186"/>
        <v xml:space="preserve">הפניקס אקסלנס פנסיה וגמל בע"מ </v>
      </c>
      <c r="AC1084" s="1759" t="s">
        <v>346</v>
      </c>
      <c r="AD1084" s="1759"/>
      <c r="AE1084" s="1760">
        <v>37586</v>
      </c>
      <c r="AF1084" s="1759" t="s">
        <v>1094</v>
      </c>
      <c r="AG1084" s="1759" t="s">
        <v>1094</v>
      </c>
      <c r="AH1084" s="1759" t="s">
        <v>1594</v>
      </c>
      <c r="AI1084" s="1759" t="s">
        <v>3323</v>
      </c>
      <c r="AJ1084" s="1759" t="s">
        <v>3323</v>
      </c>
      <c r="AK1084" s="1759">
        <v>806</v>
      </c>
      <c r="AL1084" s="1759" t="s">
        <v>5554</v>
      </c>
      <c r="AM1084" s="1759">
        <v>801</v>
      </c>
      <c r="AN1084" s="1759" t="s">
        <v>5370</v>
      </c>
      <c r="AO1084" s="1764"/>
      <c r="AP1084" s="1759" t="s">
        <v>5379</v>
      </c>
      <c r="AQ1084" s="1759" t="s">
        <v>5380</v>
      </c>
      <c r="AR1084" s="1759" t="s">
        <v>5381</v>
      </c>
      <c r="AS1084" s="1759" t="s">
        <v>347</v>
      </c>
      <c r="AT1084" s="1759" t="s">
        <v>327</v>
      </c>
      <c r="AU1084" s="1763"/>
      <c r="AV1084" s="1763"/>
    </row>
    <row r="1085" spans="1:48" ht="53.15" hidden="1" customHeight="1">
      <c r="A1085" s="1785" t="str">
        <f t="shared" si="176"/>
        <v>גמל</v>
      </c>
      <c r="B1085" s="1786">
        <f t="shared" si="177"/>
        <v>807</v>
      </c>
      <c r="C1085" s="1787">
        <v>28946</v>
      </c>
      <c r="D1085" s="1786" t="str">
        <f t="shared" si="178"/>
        <v>אקסלנס משכית - מסלול מט"ח טווח קצר</v>
      </c>
      <c r="E1085" s="1786" t="s">
        <v>3929</v>
      </c>
      <c r="F1085" s="1786" t="s">
        <v>2958</v>
      </c>
      <c r="G1085" s="1786" t="s">
        <v>2959</v>
      </c>
      <c r="H1085" s="1786" t="str">
        <f t="shared" si="179"/>
        <v>לא פעיל</v>
      </c>
      <c r="I1085" s="1788">
        <f t="shared" si="180"/>
        <v>37586</v>
      </c>
      <c r="J1085" s="1788">
        <f t="shared" si="181"/>
        <v>41003.602256944403</v>
      </c>
      <c r="K1085" s="1786">
        <v>0</v>
      </c>
      <c r="L1085" s="1786" t="s">
        <v>1594</v>
      </c>
      <c r="M1085" s="1786" t="s">
        <v>1653</v>
      </c>
      <c r="N1085" s="1786" t="s">
        <v>1653</v>
      </c>
      <c r="O1085" s="1786">
        <v>0</v>
      </c>
      <c r="P1085" s="1786"/>
      <c r="Q1085" s="1786">
        <v>0</v>
      </c>
      <c r="R1085" s="1788"/>
      <c r="S1085" s="1786">
        <f t="shared" si="182"/>
        <v>801</v>
      </c>
      <c r="T1085" s="1786" t="str">
        <f t="shared" si="183"/>
        <v>בנק מזרחי טפחות בע"מ</v>
      </c>
      <c r="U1085" s="1786" t="str">
        <f t="shared" si="184"/>
        <v>אקסלנס משכית - מסלול שקלי</v>
      </c>
      <c r="V1085" s="1786" t="str">
        <f t="shared" si="185"/>
        <v>520017450</v>
      </c>
      <c r="W1085" s="1789" t="str">
        <f t="shared" si="186"/>
        <v xml:space="preserve">הפניקס אקסלנס פנסיה וגמל בע"מ </v>
      </c>
      <c r="AC1085" s="1761" t="s">
        <v>1586</v>
      </c>
      <c r="AD1085" s="1762">
        <v>41003.602256944403</v>
      </c>
      <c r="AE1085" s="1762">
        <v>37586</v>
      </c>
      <c r="AF1085" s="1761" t="s">
        <v>1673</v>
      </c>
      <c r="AG1085" s="1761" t="s">
        <v>1611</v>
      </c>
      <c r="AH1085" s="1761" t="s">
        <v>1594</v>
      </c>
      <c r="AI1085" s="1761" t="s">
        <v>3324</v>
      </c>
      <c r="AJ1085" s="1761" t="s">
        <v>2058</v>
      </c>
      <c r="AK1085" s="1761">
        <v>807</v>
      </c>
      <c r="AL1085" s="1761" t="s">
        <v>613</v>
      </c>
      <c r="AM1085" s="1761">
        <v>801</v>
      </c>
      <c r="AN1085" s="1761" t="s">
        <v>5370</v>
      </c>
      <c r="AO1085" s="1764"/>
      <c r="AP1085" s="1761" t="s">
        <v>5379</v>
      </c>
      <c r="AQ1085" s="1761" t="s">
        <v>5380</v>
      </c>
      <c r="AR1085" s="1761" t="s">
        <v>5381</v>
      </c>
      <c r="AS1085" s="1761" t="s">
        <v>347</v>
      </c>
      <c r="AT1085" s="1761" t="s">
        <v>327</v>
      </c>
      <c r="AU1085" s="1763"/>
      <c r="AV1085" s="1763"/>
    </row>
    <row r="1086" spans="1:48" ht="37.5" hidden="1">
      <c r="A1086" s="1785" t="str">
        <f t="shared" si="176"/>
        <v>גמל</v>
      </c>
      <c r="B1086" s="1786">
        <f t="shared" si="177"/>
        <v>1101</v>
      </c>
      <c r="C1086" s="1787">
        <v>28946</v>
      </c>
      <c r="D1086" s="1786" t="str">
        <f t="shared" si="178"/>
        <v>משכית מסלול חו"ל</v>
      </c>
      <c r="E1086" s="1786" t="s">
        <v>3929</v>
      </c>
      <c r="F1086" s="1786" t="s">
        <v>2958</v>
      </c>
      <c r="G1086" s="1786" t="s">
        <v>2959</v>
      </c>
      <c r="H1086" s="1786" t="str">
        <f t="shared" si="179"/>
        <v>לא פעיל</v>
      </c>
      <c r="I1086" s="1788">
        <f t="shared" si="180"/>
        <v>37586</v>
      </c>
      <c r="J1086" s="1788">
        <f t="shared" si="181"/>
        <v>39300.690104166701</v>
      </c>
      <c r="K1086" s="1786">
        <v>0</v>
      </c>
      <c r="L1086" s="1786" t="s">
        <v>1594</v>
      </c>
      <c r="M1086" s="1786" t="s">
        <v>1653</v>
      </c>
      <c r="N1086" s="1786" t="s">
        <v>1653</v>
      </c>
      <c r="O1086" s="1786">
        <v>0</v>
      </c>
      <c r="P1086" s="1786"/>
      <c r="Q1086" s="1786">
        <v>0</v>
      </c>
      <c r="R1086" s="1788"/>
      <c r="S1086" s="1786">
        <f t="shared" si="182"/>
        <v>801</v>
      </c>
      <c r="T1086" s="1786" t="str">
        <f t="shared" si="183"/>
        <v>בנק מזרחי טפחות בע"מ</v>
      </c>
      <c r="U1086" s="1786" t="str">
        <f t="shared" si="184"/>
        <v>משכית קופה מסלולית מרכזית לפיצויים - מסלול שקלי</v>
      </c>
      <c r="V1086" s="1786">
        <f t="shared" si="185"/>
        <v>0</v>
      </c>
      <c r="W1086" s="1789" t="str">
        <f t="shared" si="186"/>
        <v>אקסלנס מזרחי לשעבר בע"מ</v>
      </c>
      <c r="AC1086" s="1759" t="s">
        <v>1586</v>
      </c>
      <c r="AD1086" s="1760">
        <v>39300.690104166701</v>
      </c>
      <c r="AE1086" s="1760">
        <v>37586</v>
      </c>
      <c r="AF1086" s="1759" t="s">
        <v>1948</v>
      </c>
      <c r="AG1086" s="1759" t="s">
        <v>1947</v>
      </c>
      <c r="AH1086" s="1759" t="s">
        <v>1594</v>
      </c>
      <c r="AI1086" s="1759" t="s">
        <v>3520</v>
      </c>
      <c r="AJ1086" s="1759" t="s">
        <v>2267</v>
      </c>
      <c r="AK1086" s="1759">
        <v>1101</v>
      </c>
      <c r="AL1086" s="1759" t="s">
        <v>3521</v>
      </c>
      <c r="AM1086" s="1759">
        <v>801</v>
      </c>
      <c r="AN1086" s="1759" t="s">
        <v>5370</v>
      </c>
      <c r="AO1086" s="1764"/>
      <c r="AP1086" s="1759"/>
      <c r="AQ1086" s="1759"/>
      <c r="AR1086" s="1759" t="s">
        <v>3523</v>
      </c>
      <c r="AS1086" s="1759" t="s">
        <v>3522</v>
      </c>
      <c r="AT1086" s="1759" t="s">
        <v>327</v>
      </c>
      <c r="AU1086" s="1763"/>
      <c r="AV1086" s="1763"/>
    </row>
    <row r="1087" spans="1:48" ht="25" hidden="1">
      <c r="A1087" s="1785" t="str">
        <f t="shared" si="176"/>
        <v>גמל</v>
      </c>
      <c r="B1087" s="1786">
        <f t="shared" si="177"/>
        <v>8765</v>
      </c>
      <c r="C1087" s="1787">
        <v>28946</v>
      </c>
      <c r="D1087" s="1786" t="str">
        <f t="shared" si="178"/>
        <v>אקסלנס מרכזית לפיצויים מחקה מדדים</v>
      </c>
      <c r="E1087" s="1786" t="s">
        <v>3929</v>
      </c>
      <c r="F1087" s="1786" t="s">
        <v>2958</v>
      </c>
      <c r="G1087" s="1786" t="s">
        <v>2959</v>
      </c>
      <c r="H1087" s="1786" t="str">
        <f t="shared" si="179"/>
        <v>פעיל</v>
      </c>
      <c r="I1087" s="1788">
        <f t="shared" si="180"/>
        <v>37586</v>
      </c>
      <c r="J1087" s="1788" t="str">
        <f t="shared" si="181"/>
        <v/>
      </c>
      <c r="K1087" s="1786">
        <v>0</v>
      </c>
      <c r="L1087" s="1786" t="s">
        <v>1594</v>
      </c>
      <c r="M1087" s="1786" t="s">
        <v>1653</v>
      </c>
      <c r="N1087" s="1786" t="s">
        <v>1653</v>
      </c>
      <c r="O1087" s="1786">
        <v>0</v>
      </c>
      <c r="P1087" s="1786"/>
      <c r="Q1087" s="1786">
        <v>0</v>
      </c>
      <c r="R1087" s="1788"/>
      <c r="S1087" s="1786">
        <f t="shared" si="182"/>
        <v>801</v>
      </c>
      <c r="T1087" s="1786" t="str">
        <f t="shared" si="183"/>
        <v>בנק מזרחי טפחות בע"מ</v>
      </c>
      <c r="U1087" s="1786" t="str">
        <f t="shared" si="184"/>
        <v xml:space="preserve">אקסלנס מרכזית לפיצויים </v>
      </c>
      <c r="V1087" s="1786" t="str">
        <f t="shared" si="185"/>
        <v>520017450</v>
      </c>
      <c r="W1087" s="1789" t="str">
        <f t="shared" si="186"/>
        <v xml:space="preserve">הפניקס אקסלנס פנסיה וגמל בע"מ </v>
      </c>
      <c r="AC1087" s="1761" t="s">
        <v>346</v>
      </c>
      <c r="AD1087" s="1761"/>
      <c r="AE1087" s="1762">
        <v>37586</v>
      </c>
      <c r="AF1087" s="1761" t="s">
        <v>1583</v>
      </c>
      <c r="AG1087" s="1761" t="s">
        <v>1583</v>
      </c>
      <c r="AH1087" s="1761" t="s">
        <v>1583</v>
      </c>
      <c r="AI1087" s="1761" t="s">
        <v>5555</v>
      </c>
      <c r="AJ1087" s="1761" t="s">
        <v>5555</v>
      </c>
      <c r="AK1087" s="1761">
        <v>8765</v>
      </c>
      <c r="AL1087" s="1761" t="s">
        <v>5554</v>
      </c>
      <c r="AM1087" s="1761">
        <v>801</v>
      </c>
      <c r="AN1087" s="1761" t="s">
        <v>5370</v>
      </c>
      <c r="AO1087" s="1764"/>
      <c r="AP1087" s="1761" t="s">
        <v>5379</v>
      </c>
      <c r="AQ1087" s="1761" t="s">
        <v>5380</v>
      </c>
      <c r="AR1087" s="1761" t="s">
        <v>5381</v>
      </c>
      <c r="AS1087" s="1761" t="s">
        <v>347</v>
      </c>
      <c r="AT1087" s="1761" t="s">
        <v>327</v>
      </c>
      <c r="AU1087" s="1763"/>
      <c r="AV1087" s="1763"/>
    </row>
    <row r="1088" spans="1:48" ht="25" hidden="1">
      <c r="A1088" s="1785" t="str">
        <f t="shared" si="176"/>
        <v>גמל</v>
      </c>
      <c r="B1088" s="1786">
        <f t="shared" si="177"/>
        <v>8766</v>
      </c>
      <c r="C1088" s="1787">
        <v>28946</v>
      </c>
      <c r="D1088" s="1786" t="str">
        <f t="shared" si="178"/>
        <v>אקסלנס מרכזית לפיצויים מחקה מדדי אג"ח</v>
      </c>
      <c r="E1088" s="1786" t="s">
        <v>3929</v>
      </c>
      <c r="F1088" s="1786" t="s">
        <v>2958</v>
      </c>
      <c r="G1088" s="1786" t="s">
        <v>2959</v>
      </c>
      <c r="H1088" s="1786" t="str">
        <f t="shared" si="179"/>
        <v>פעיל</v>
      </c>
      <c r="I1088" s="1788">
        <f t="shared" si="180"/>
        <v>37586</v>
      </c>
      <c r="J1088" s="1788" t="str">
        <f t="shared" si="181"/>
        <v/>
      </c>
      <c r="K1088" s="1786">
        <v>0</v>
      </c>
      <c r="L1088" s="1786" t="s">
        <v>1594</v>
      </c>
      <c r="M1088" s="1786" t="s">
        <v>1653</v>
      </c>
      <c r="N1088" s="1786" t="s">
        <v>1653</v>
      </c>
      <c r="O1088" s="1786">
        <v>0</v>
      </c>
      <c r="P1088" s="1786"/>
      <c r="Q1088" s="1786">
        <v>0</v>
      </c>
      <c r="R1088" s="1788"/>
      <c r="S1088" s="1786">
        <f t="shared" si="182"/>
        <v>801</v>
      </c>
      <c r="T1088" s="1786" t="str">
        <f t="shared" si="183"/>
        <v>בנק מזרחי טפחות בע"מ</v>
      </c>
      <c r="U1088" s="1786" t="str">
        <f t="shared" si="184"/>
        <v xml:space="preserve">אקסלנס מרכזית לפיצויים </v>
      </c>
      <c r="V1088" s="1786" t="str">
        <f t="shared" si="185"/>
        <v>520017450</v>
      </c>
      <c r="W1088" s="1789" t="str">
        <f t="shared" si="186"/>
        <v xml:space="preserve">הפניקס אקסלנס פנסיה וגמל בע"מ </v>
      </c>
      <c r="AC1088" s="1759" t="s">
        <v>346</v>
      </c>
      <c r="AD1088" s="1759"/>
      <c r="AE1088" s="1760">
        <v>37586</v>
      </c>
      <c r="AF1088" s="1759" t="s">
        <v>3959</v>
      </c>
      <c r="AG1088" s="1759" t="s">
        <v>1653</v>
      </c>
      <c r="AH1088" s="1759" t="s">
        <v>1594</v>
      </c>
      <c r="AI1088" s="1759" t="s">
        <v>5556</v>
      </c>
      <c r="AJ1088" s="1759" t="s">
        <v>5556</v>
      </c>
      <c r="AK1088" s="1759">
        <v>8766</v>
      </c>
      <c r="AL1088" s="1759" t="s">
        <v>5554</v>
      </c>
      <c r="AM1088" s="1759">
        <v>801</v>
      </c>
      <c r="AN1088" s="1759" t="s">
        <v>5370</v>
      </c>
      <c r="AO1088" s="1764"/>
      <c r="AP1088" s="1759" t="s">
        <v>5379</v>
      </c>
      <c r="AQ1088" s="1759" t="s">
        <v>5380</v>
      </c>
      <c r="AR1088" s="1759" t="s">
        <v>5381</v>
      </c>
      <c r="AS1088" s="1759" t="s">
        <v>347</v>
      </c>
      <c r="AT1088" s="1759" t="s">
        <v>327</v>
      </c>
      <c r="AU1088" s="1763"/>
      <c r="AV1088" s="1763"/>
    </row>
    <row r="1089" spans="1:48" ht="25" hidden="1">
      <c r="A1089" s="1785" t="str">
        <f t="shared" si="176"/>
        <v>גמל</v>
      </c>
      <c r="B1089" s="1786">
        <f t="shared" si="177"/>
        <v>805</v>
      </c>
      <c r="C1089" s="1787">
        <v>28946</v>
      </c>
      <c r="D1089" s="1786" t="str">
        <f t="shared" si="178"/>
        <v>אקסלנס משכית - מסלול שקלי טווח קצר</v>
      </c>
      <c r="E1089" s="1786" t="s">
        <v>3929</v>
      </c>
      <c r="F1089" s="1786" t="s">
        <v>2958</v>
      </c>
      <c r="G1089" s="1786" t="s">
        <v>2959</v>
      </c>
      <c r="H1089" s="1786" t="str">
        <f t="shared" si="179"/>
        <v>לא פעיל</v>
      </c>
      <c r="I1089" s="1788">
        <f t="shared" si="180"/>
        <v>37586</v>
      </c>
      <c r="J1089" s="1788">
        <f t="shared" si="181"/>
        <v>41654.713842592602</v>
      </c>
      <c r="K1089" s="1786">
        <v>0</v>
      </c>
      <c r="L1089" s="1786" t="s">
        <v>1594</v>
      </c>
      <c r="M1089" s="1786" t="s">
        <v>1653</v>
      </c>
      <c r="N1089" s="1786" t="s">
        <v>1653</v>
      </c>
      <c r="O1089" s="1786">
        <v>0</v>
      </c>
      <c r="P1089" s="1786"/>
      <c r="Q1089" s="1786">
        <v>0</v>
      </c>
      <c r="R1089" s="1788"/>
      <c r="S1089" s="1786">
        <f t="shared" si="182"/>
        <v>801</v>
      </c>
      <c r="T1089" s="1786" t="str">
        <f t="shared" si="183"/>
        <v>בנק מזרחי טפחות בע"מ</v>
      </c>
      <c r="U1089" s="1786" t="str">
        <f t="shared" si="184"/>
        <v>אקסלנס משכית - מסלול שקלי</v>
      </c>
      <c r="V1089" s="1786" t="str">
        <f t="shared" si="185"/>
        <v>520017450</v>
      </c>
      <c r="W1089" s="1789" t="str">
        <f t="shared" si="186"/>
        <v xml:space="preserve">הפניקס אקסלנס פנסיה וגמל בע"מ </v>
      </c>
      <c r="AC1089" s="1761" t="s">
        <v>1586</v>
      </c>
      <c r="AD1089" s="1762">
        <v>41654.713842592602</v>
      </c>
      <c r="AE1089" s="1762">
        <v>37586</v>
      </c>
      <c r="AF1089" s="1761" t="s">
        <v>1673</v>
      </c>
      <c r="AG1089" s="1761" t="s">
        <v>1614</v>
      </c>
      <c r="AH1089" s="1761" t="s">
        <v>1594</v>
      </c>
      <c r="AI1089" s="1761" t="s">
        <v>3322</v>
      </c>
      <c r="AJ1089" s="1761" t="s">
        <v>2057</v>
      </c>
      <c r="AK1089" s="1761">
        <v>805</v>
      </c>
      <c r="AL1089" s="1761" t="s">
        <v>613</v>
      </c>
      <c r="AM1089" s="1761">
        <v>801</v>
      </c>
      <c r="AN1089" s="1761" t="s">
        <v>5370</v>
      </c>
      <c r="AO1089" s="1764"/>
      <c r="AP1089" s="1761" t="s">
        <v>5379</v>
      </c>
      <c r="AQ1089" s="1761" t="s">
        <v>5380</v>
      </c>
      <c r="AR1089" s="1761" t="s">
        <v>5381</v>
      </c>
      <c r="AS1089" s="1761" t="s">
        <v>347</v>
      </c>
      <c r="AT1089" s="1761" t="s">
        <v>327</v>
      </c>
      <c r="AU1089" s="1763"/>
      <c r="AV1089" s="1763"/>
    </row>
    <row r="1090" spans="1:48" ht="25" hidden="1">
      <c r="A1090" s="1785" t="str">
        <f t="shared" si="176"/>
        <v>גמל</v>
      </c>
      <c r="B1090" s="1786">
        <f t="shared" si="177"/>
        <v>795</v>
      </c>
      <c r="C1090" s="1787">
        <v>28946</v>
      </c>
      <c r="D1090" s="1786" t="str">
        <f t="shared" si="178"/>
        <v>אקסלנס עדי - מסלול כללי</v>
      </c>
      <c r="E1090" s="1786" t="s">
        <v>3929</v>
      </c>
      <c r="F1090" s="1786" t="s">
        <v>2958</v>
      </c>
      <c r="G1090" s="1786" t="s">
        <v>2959</v>
      </c>
      <c r="H1090" s="1786" t="str">
        <f t="shared" si="179"/>
        <v>לא פעיל</v>
      </c>
      <c r="I1090" s="1788">
        <f t="shared" si="180"/>
        <v>37586</v>
      </c>
      <c r="J1090" s="1788">
        <f t="shared" si="181"/>
        <v>40917.740243055603</v>
      </c>
      <c r="K1090" s="1786">
        <v>0</v>
      </c>
      <c r="L1090" s="1786" t="s">
        <v>1594</v>
      </c>
      <c r="M1090" s="1786" t="s">
        <v>1653</v>
      </c>
      <c r="N1090" s="1786" t="s">
        <v>1653</v>
      </c>
      <c r="O1090" s="1786">
        <v>0</v>
      </c>
      <c r="P1090" s="1786"/>
      <c r="Q1090" s="1786">
        <v>0</v>
      </c>
      <c r="R1090" s="1788"/>
      <c r="S1090" s="1786">
        <f t="shared" si="182"/>
        <v>794</v>
      </c>
      <c r="T1090" s="1786" t="str">
        <f t="shared" si="183"/>
        <v>בנק מזרחי טפחות בע"מ</v>
      </c>
      <c r="U1090" s="1786" t="str">
        <f t="shared" si="184"/>
        <v>אקסלנס עדי - מסלול שקלי</v>
      </c>
      <c r="V1090" s="1786" t="str">
        <f t="shared" si="185"/>
        <v>520017450</v>
      </c>
      <c r="W1090" s="1789" t="str">
        <f t="shared" si="186"/>
        <v xml:space="preserve">הפניקס אקסלנס פנסיה וגמל בע"מ </v>
      </c>
      <c r="AC1090" s="1759" t="s">
        <v>1586</v>
      </c>
      <c r="AD1090" s="1760">
        <v>40917.740243055603</v>
      </c>
      <c r="AE1090" s="1760">
        <v>37586</v>
      </c>
      <c r="AF1090" s="1759" t="s">
        <v>1583</v>
      </c>
      <c r="AG1090" s="1759" t="s">
        <v>1583</v>
      </c>
      <c r="AH1090" s="1759" t="s">
        <v>1583</v>
      </c>
      <c r="AI1090" s="1759" t="s">
        <v>3316</v>
      </c>
      <c r="AJ1090" s="1759" t="s">
        <v>2051</v>
      </c>
      <c r="AK1090" s="1759">
        <v>795</v>
      </c>
      <c r="AL1090" s="1759" t="s">
        <v>2052</v>
      </c>
      <c r="AM1090" s="1759">
        <v>794</v>
      </c>
      <c r="AN1090" s="1759" t="s">
        <v>5370</v>
      </c>
      <c r="AO1090" s="1764"/>
      <c r="AP1090" s="1759" t="s">
        <v>5379</v>
      </c>
      <c r="AQ1090" s="1759" t="s">
        <v>5380</v>
      </c>
      <c r="AR1090" s="1759" t="s">
        <v>5381</v>
      </c>
      <c r="AS1090" s="1759" t="s">
        <v>347</v>
      </c>
      <c r="AT1090" s="1759" t="s">
        <v>327</v>
      </c>
      <c r="AU1090" s="1763"/>
      <c r="AV1090" s="1763"/>
    </row>
    <row r="1091" spans="1:48" ht="25" hidden="1">
      <c r="A1091" s="1785" t="str">
        <f t="shared" si="176"/>
        <v>גמל</v>
      </c>
      <c r="B1091" s="1786">
        <f t="shared" si="177"/>
        <v>800</v>
      </c>
      <c r="C1091" s="1787">
        <v>28946</v>
      </c>
      <c r="D1091" s="1786" t="str">
        <f t="shared" si="178"/>
        <v>אקסלנס עדי - מסלול מט"ח טווח קצר</v>
      </c>
      <c r="E1091" s="1786" t="s">
        <v>3929</v>
      </c>
      <c r="F1091" s="1786" t="s">
        <v>2958</v>
      </c>
      <c r="G1091" s="1786" t="s">
        <v>2959</v>
      </c>
      <c r="H1091" s="1786" t="str">
        <f t="shared" si="179"/>
        <v>לא פעיל</v>
      </c>
      <c r="I1091" s="1788">
        <f t="shared" si="180"/>
        <v>37586</v>
      </c>
      <c r="J1091" s="1788">
        <f t="shared" si="181"/>
        <v>40917.732986111099</v>
      </c>
      <c r="K1091" s="1786">
        <v>0</v>
      </c>
      <c r="L1091" s="1786" t="s">
        <v>1594</v>
      </c>
      <c r="M1091" s="1786" t="s">
        <v>1653</v>
      </c>
      <c r="N1091" s="1786" t="s">
        <v>1653</v>
      </c>
      <c r="O1091" s="1786">
        <v>0</v>
      </c>
      <c r="P1091" s="1786"/>
      <c r="Q1091" s="1786">
        <v>0</v>
      </c>
      <c r="R1091" s="1788"/>
      <c r="S1091" s="1786">
        <f t="shared" si="182"/>
        <v>794</v>
      </c>
      <c r="T1091" s="1786" t="str">
        <f t="shared" si="183"/>
        <v>בנק מזרחי טפחות בע"מ</v>
      </c>
      <c r="U1091" s="1786" t="str">
        <f t="shared" si="184"/>
        <v>אקסלנס עדי - מסלול שקלי</v>
      </c>
      <c r="V1091" s="1786" t="str">
        <f t="shared" si="185"/>
        <v>520017450</v>
      </c>
      <c r="W1091" s="1789" t="str">
        <f t="shared" si="186"/>
        <v xml:space="preserve">הפניקס אקסלנס פנסיה וגמל בע"מ </v>
      </c>
      <c r="AC1091" s="1761" t="s">
        <v>1586</v>
      </c>
      <c r="AD1091" s="1762">
        <v>40917.732986111099</v>
      </c>
      <c r="AE1091" s="1762">
        <v>37586</v>
      </c>
      <c r="AF1091" s="1761" t="s">
        <v>1673</v>
      </c>
      <c r="AG1091" s="1761" t="s">
        <v>1611</v>
      </c>
      <c r="AH1091" s="1761" t="s">
        <v>1594</v>
      </c>
      <c r="AI1091" s="1761" t="s">
        <v>3319</v>
      </c>
      <c r="AJ1091" s="1761" t="s">
        <v>2054</v>
      </c>
      <c r="AK1091" s="1761">
        <v>800</v>
      </c>
      <c r="AL1091" s="1761" t="s">
        <v>2052</v>
      </c>
      <c r="AM1091" s="1761">
        <v>794</v>
      </c>
      <c r="AN1091" s="1761" t="s">
        <v>5370</v>
      </c>
      <c r="AO1091" s="1764"/>
      <c r="AP1091" s="1761" t="s">
        <v>5379</v>
      </c>
      <c r="AQ1091" s="1761" t="s">
        <v>5380</v>
      </c>
      <c r="AR1091" s="1761" t="s">
        <v>5381</v>
      </c>
      <c r="AS1091" s="1761" t="s">
        <v>347</v>
      </c>
      <c r="AT1091" s="1761" t="s">
        <v>327</v>
      </c>
      <c r="AU1091" s="1763"/>
      <c r="AV1091" s="1763"/>
    </row>
    <row r="1092" spans="1:48" ht="25" hidden="1">
      <c r="A1092" s="1785" t="str">
        <f t="shared" si="176"/>
        <v>גמל</v>
      </c>
      <c r="B1092" s="1786">
        <f t="shared" si="177"/>
        <v>798</v>
      </c>
      <c r="C1092" s="1787">
        <v>28946</v>
      </c>
      <c r="D1092" s="1786" t="str">
        <f t="shared" si="178"/>
        <v>אקסלנס עדי - מסלול שקלי טווח קצר</v>
      </c>
      <c r="E1092" s="1786" t="s">
        <v>3929</v>
      </c>
      <c r="F1092" s="1786" t="s">
        <v>2958</v>
      </c>
      <c r="G1092" s="1786" t="s">
        <v>2959</v>
      </c>
      <c r="H1092" s="1786" t="str">
        <f t="shared" si="179"/>
        <v>לא פעיל</v>
      </c>
      <c r="I1092" s="1788">
        <f t="shared" si="180"/>
        <v>37586</v>
      </c>
      <c r="J1092" s="1788">
        <f t="shared" si="181"/>
        <v>40917.732384259303</v>
      </c>
      <c r="K1092" s="1786">
        <v>0</v>
      </c>
      <c r="L1092" s="1786" t="s">
        <v>1594</v>
      </c>
      <c r="M1092" s="1786" t="s">
        <v>1653</v>
      </c>
      <c r="N1092" s="1786" t="s">
        <v>1653</v>
      </c>
      <c r="O1092" s="1786">
        <v>0</v>
      </c>
      <c r="P1092" s="1786"/>
      <c r="Q1092" s="1786">
        <v>0</v>
      </c>
      <c r="R1092" s="1788"/>
      <c r="S1092" s="1786">
        <f t="shared" si="182"/>
        <v>794</v>
      </c>
      <c r="T1092" s="1786" t="str">
        <f t="shared" si="183"/>
        <v>בנק מזרחי טפחות בע"מ</v>
      </c>
      <c r="U1092" s="1786" t="str">
        <f t="shared" si="184"/>
        <v>אקסלנס עדי - מסלול שקלי</v>
      </c>
      <c r="V1092" s="1786" t="str">
        <f t="shared" si="185"/>
        <v>520017450</v>
      </c>
      <c r="W1092" s="1789" t="str">
        <f t="shared" si="186"/>
        <v xml:space="preserve">הפניקס אקסלנס פנסיה וגמל בע"מ </v>
      </c>
      <c r="AC1092" s="1759" t="s">
        <v>1586</v>
      </c>
      <c r="AD1092" s="1760">
        <v>40917.732384259303</v>
      </c>
      <c r="AE1092" s="1760">
        <v>37586</v>
      </c>
      <c r="AF1092" s="1759" t="s">
        <v>1673</v>
      </c>
      <c r="AG1092" s="1759" t="s">
        <v>1614</v>
      </c>
      <c r="AH1092" s="1759" t="s">
        <v>1594</v>
      </c>
      <c r="AI1092" s="1759" t="s">
        <v>3318</v>
      </c>
      <c r="AJ1092" s="1759" t="s">
        <v>2053</v>
      </c>
      <c r="AK1092" s="1759">
        <v>798</v>
      </c>
      <c r="AL1092" s="1759" t="s">
        <v>2052</v>
      </c>
      <c r="AM1092" s="1759">
        <v>794</v>
      </c>
      <c r="AN1092" s="1759" t="s">
        <v>5370</v>
      </c>
      <c r="AO1092" s="1764"/>
      <c r="AP1092" s="1759" t="s">
        <v>5379</v>
      </c>
      <c r="AQ1092" s="1759" t="s">
        <v>5380</v>
      </c>
      <c r="AR1092" s="1759" t="s">
        <v>5381</v>
      </c>
      <c r="AS1092" s="1759" t="s">
        <v>347</v>
      </c>
      <c r="AT1092" s="1759" t="s">
        <v>327</v>
      </c>
      <c r="AU1092" s="1763"/>
      <c r="AV1092" s="1763"/>
    </row>
    <row r="1093" spans="1:48" ht="37.5" hidden="1">
      <c r="A1093" s="1785" t="str">
        <f t="shared" si="176"/>
        <v>גמל</v>
      </c>
      <c r="B1093" s="1786">
        <f t="shared" si="177"/>
        <v>1102</v>
      </c>
      <c r="C1093" s="1787">
        <v>28946</v>
      </c>
      <c r="D1093" s="1786" t="str">
        <f t="shared" si="178"/>
        <v>אופיר מסלול חו"ל</v>
      </c>
      <c r="E1093" s="1786" t="s">
        <v>3929</v>
      </c>
      <c r="F1093" s="1786" t="s">
        <v>2958</v>
      </c>
      <c r="G1093" s="1786" t="s">
        <v>2959</v>
      </c>
      <c r="H1093" s="1786" t="str">
        <f t="shared" si="179"/>
        <v>לא פעיל</v>
      </c>
      <c r="I1093" s="1788">
        <f t="shared" si="180"/>
        <v>37586</v>
      </c>
      <c r="J1093" s="1788">
        <f t="shared" si="181"/>
        <v>39300.690937500003</v>
      </c>
      <c r="K1093" s="1786">
        <v>0</v>
      </c>
      <c r="L1093" s="1786" t="s">
        <v>1594</v>
      </c>
      <c r="M1093" s="1786" t="s">
        <v>1653</v>
      </c>
      <c r="N1093" s="1786" t="s">
        <v>1653</v>
      </c>
      <c r="O1093" s="1786">
        <v>0</v>
      </c>
      <c r="P1093" s="1786"/>
      <c r="Q1093" s="1786">
        <v>0</v>
      </c>
      <c r="R1093" s="1788"/>
      <c r="S1093" s="1786">
        <f t="shared" si="182"/>
        <v>787</v>
      </c>
      <c r="T1093" s="1786" t="str">
        <f t="shared" si="183"/>
        <v>בנק מזרחי טפחות בע"מ</v>
      </c>
      <c r="U1093" s="1786" t="str">
        <f t="shared" si="184"/>
        <v>אופיר קופה מסלולית לתגמולים ולפיצויים - מסלול שקלי</v>
      </c>
      <c r="V1093" s="1786">
        <f t="shared" si="185"/>
        <v>0</v>
      </c>
      <c r="W1093" s="1789" t="str">
        <f t="shared" si="186"/>
        <v>אקסלנס מזרחי לשעבר בע"מ</v>
      </c>
      <c r="AC1093" s="1761" t="s">
        <v>1586</v>
      </c>
      <c r="AD1093" s="1762">
        <v>39300.690937500003</v>
      </c>
      <c r="AE1093" s="1762">
        <v>37586</v>
      </c>
      <c r="AF1093" s="1761" t="s">
        <v>1948</v>
      </c>
      <c r="AG1093" s="1761" t="s">
        <v>1947</v>
      </c>
      <c r="AH1093" s="1761" t="s">
        <v>1594</v>
      </c>
      <c r="AI1093" s="1761" t="s">
        <v>3524</v>
      </c>
      <c r="AJ1093" s="1761" t="s">
        <v>2268</v>
      </c>
      <c r="AK1093" s="1761">
        <v>1102</v>
      </c>
      <c r="AL1093" s="1761" t="s">
        <v>3525</v>
      </c>
      <c r="AM1093" s="1761">
        <v>787</v>
      </c>
      <c r="AN1093" s="1761" t="s">
        <v>5370</v>
      </c>
      <c r="AO1093" s="1764"/>
      <c r="AP1093" s="1761"/>
      <c r="AQ1093" s="1761"/>
      <c r="AR1093" s="1761" t="s">
        <v>3523</v>
      </c>
      <c r="AS1093" s="1761" t="s">
        <v>3522</v>
      </c>
      <c r="AT1093" s="1761" t="s">
        <v>327</v>
      </c>
      <c r="AU1093" s="1763"/>
      <c r="AV1093" s="1763"/>
    </row>
    <row r="1094" spans="1:48" ht="25" hidden="1">
      <c r="A1094" s="1785" t="str">
        <f t="shared" si="176"/>
        <v>גמל</v>
      </c>
      <c r="B1094" s="1786">
        <f t="shared" si="177"/>
        <v>793</v>
      </c>
      <c r="C1094" s="1787">
        <v>28946</v>
      </c>
      <c r="D1094" s="1786" t="str">
        <f t="shared" si="178"/>
        <v>אקסלנס אופיר - מסלול מט"ח טווח קצר</v>
      </c>
      <c r="E1094" s="1786" t="s">
        <v>3929</v>
      </c>
      <c r="F1094" s="1786" t="s">
        <v>2958</v>
      </c>
      <c r="G1094" s="1786" t="s">
        <v>2959</v>
      </c>
      <c r="H1094" s="1786" t="str">
        <f t="shared" si="179"/>
        <v>לא פעיל</v>
      </c>
      <c r="I1094" s="1788">
        <f t="shared" si="180"/>
        <v>37586</v>
      </c>
      <c r="J1094" s="1788">
        <f t="shared" si="181"/>
        <v>40917.730960648201</v>
      </c>
      <c r="K1094" s="1786">
        <v>0</v>
      </c>
      <c r="L1094" s="1786" t="s">
        <v>1594</v>
      </c>
      <c r="M1094" s="1786" t="s">
        <v>1653</v>
      </c>
      <c r="N1094" s="1786" t="s">
        <v>1653</v>
      </c>
      <c r="O1094" s="1786">
        <v>0</v>
      </c>
      <c r="P1094" s="1786"/>
      <c r="Q1094" s="1786">
        <v>0</v>
      </c>
      <c r="R1094" s="1788"/>
      <c r="S1094" s="1786">
        <f t="shared" si="182"/>
        <v>787</v>
      </c>
      <c r="T1094" s="1786" t="str">
        <f t="shared" si="183"/>
        <v>בנק מזרחי טפחות בע"מ</v>
      </c>
      <c r="U1094" s="1786" t="str">
        <f t="shared" si="184"/>
        <v>אקסלנס אופיר - מסלול שקלי</v>
      </c>
      <c r="V1094" s="1786" t="str">
        <f t="shared" si="185"/>
        <v>520017450</v>
      </c>
      <c r="W1094" s="1789" t="str">
        <f t="shared" si="186"/>
        <v xml:space="preserve">הפניקס אקסלנס פנסיה וגמל בע"מ </v>
      </c>
      <c r="AC1094" s="1759" t="s">
        <v>1586</v>
      </c>
      <c r="AD1094" s="1760">
        <v>40917.730960648201</v>
      </c>
      <c r="AE1094" s="1760">
        <v>37586</v>
      </c>
      <c r="AF1094" s="1759" t="s">
        <v>1673</v>
      </c>
      <c r="AG1094" s="1759" t="s">
        <v>1611</v>
      </c>
      <c r="AH1094" s="1759" t="s">
        <v>1594</v>
      </c>
      <c r="AI1094" s="1759" t="s">
        <v>3315</v>
      </c>
      <c r="AJ1094" s="1759" t="s">
        <v>2049</v>
      </c>
      <c r="AK1094" s="1759">
        <v>793</v>
      </c>
      <c r="AL1094" s="1759" t="s">
        <v>2046</v>
      </c>
      <c r="AM1094" s="1759">
        <v>787</v>
      </c>
      <c r="AN1094" s="1759" t="s">
        <v>5370</v>
      </c>
      <c r="AO1094" s="1764"/>
      <c r="AP1094" s="1759" t="s">
        <v>5379</v>
      </c>
      <c r="AQ1094" s="1759" t="s">
        <v>5380</v>
      </c>
      <c r="AR1094" s="1759" t="s">
        <v>5381</v>
      </c>
      <c r="AS1094" s="1759" t="s">
        <v>347</v>
      </c>
      <c r="AT1094" s="1759" t="s">
        <v>327</v>
      </c>
      <c r="AU1094" s="1763"/>
      <c r="AV1094" s="1763"/>
    </row>
    <row r="1095" spans="1:48" ht="25" hidden="1">
      <c r="A1095" s="1785" t="str">
        <f t="shared" si="176"/>
        <v>גמל</v>
      </c>
      <c r="B1095" s="1786">
        <f t="shared" si="177"/>
        <v>791</v>
      </c>
      <c r="C1095" s="1787">
        <v>28946</v>
      </c>
      <c r="D1095" s="1786" t="str">
        <f t="shared" si="178"/>
        <v>אקסלנס אופיר - מסלול שקלי טווח קצר</v>
      </c>
      <c r="E1095" s="1786" t="s">
        <v>3929</v>
      </c>
      <c r="F1095" s="1786" t="s">
        <v>2958</v>
      </c>
      <c r="G1095" s="1786" t="s">
        <v>2959</v>
      </c>
      <c r="H1095" s="1786" t="str">
        <f t="shared" si="179"/>
        <v>לא פעיל</v>
      </c>
      <c r="I1095" s="1788">
        <f t="shared" si="180"/>
        <v>37586</v>
      </c>
      <c r="J1095" s="1788">
        <f t="shared" si="181"/>
        <v>40917.727916666699</v>
      </c>
      <c r="K1095" s="1786">
        <v>0</v>
      </c>
      <c r="L1095" s="1786" t="s">
        <v>1594</v>
      </c>
      <c r="M1095" s="1786" t="s">
        <v>1653</v>
      </c>
      <c r="N1095" s="1786" t="s">
        <v>1653</v>
      </c>
      <c r="O1095" s="1786">
        <v>0</v>
      </c>
      <c r="P1095" s="1786"/>
      <c r="Q1095" s="1786">
        <v>0</v>
      </c>
      <c r="R1095" s="1788"/>
      <c r="S1095" s="1786">
        <f t="shared" si="182"/>
        <v>787</v>
      </c>
      <c r="T1095" s="1786" t="str">
        <f t="shared" si="183"/>
        <v>בנק מזרחי טפחות בע"מ</v>
      </c>
      <c r="U1095" s="1786" t="str">
        <f t="shared" si="184"/>
        <v>אקסלנס אופיר - מסלול שקלי</v>
      </c>
      <c r="V1095" s="1786" t="str">
        <f t="shared" si="185"/>
        <v>520017450</v>
      </c>
      <c r="W1095" s="1789" t="str">
        <f t="shared" si="186"/>
        <v xml:space="preserve">הפניקס אקסלנס פנסיה וגמל בע"מ </v>
      </c>
      <c r="AC1095" s="1761" t="s">
        <v>1586</v>
      </c>
      <c r="AD1095" s="1762">
        <v>40917.727916666699</v>
      </c>
      <c r="AE1095" s="1762">
        <v>37586</v>
      </c>
      <c r="AF1095" s="1761" t="s">
        <v>1673</v>
      </c>
      <c r="AG1095" s="1761" t="s">
        <v>1614</v>
      </c>
      <c r="AH1095" s="1761" t="s">
        <v>1594</v>
      </c>
      <c r="AI1095" s="1761" t="s">
        <v>3314</v>
      </c>
      <c r="AJ1095" s="1761" t="s">
        <v>2048</v>
      </c>
      <c r="AK1095" s="1761">
        <v>791</v>
      </c>
      <c r="AL1095" s="1761" t="s">
        <v>2046</v>
      </c>
      <c r="AM1095" s="1761">
        <v>787</v>
      </c>
      <c r="AN1095" s="1761" t="s">
        <v>5370</v>
      </c>
      <c r="AO1095" s="1764"/>
      <c r="AP1095" s="1761" t="s">
        <v>5379</v>
      </c>
      <c r="AQ1095" s="1761" t="s">
        <v>5380</v>
      </c>
      <c r="AR1095" s="1761" t="s">
        <v>5381</v>
      </c>
      <c r="AS1095" s="1761" t="s">
        <v>347</v>
      </c>
      <c r="AT1095" s="1761" t="s">
        <v>327</v>
      </c>
      <c r="AU1095" s="1763"/>
      <c r="AV1095" s="1763"/>
    </row>
    <row r="1096" spans="1:48" ht="25" hidden="1">
      <c r="A1096" s="1785" t="str">
        <f t="shared" si="176"/>
        <v>גמל</v>
      </c>
      <c r="B1096" s="1786">
        <f t="shared" si="177"/>
        <v>788</v>
      </c>
      <c r="C1096" s="1787">
        <v>28946</v>
      </c>
      <c r="D1096" s="1786" t="str">
        <f t="shared" si="178"/>
        <v>אקסלנס אופיר - מסלול כללי</v>
      </c>
      <c r="E1096" s="1786" t="s">
        <v>3929</v>
      </c>
      <c r="F1096" s="1786" t="s">
        <v>2958</v>
      </c>
      <c r="G1096" s="1786" t="s">
        <v>2959</v>
      </c>
      <c r="H1096" s="1786" t="str">
        <f t="shared" si="179"/>
        <v>לא פעיל</v>
      </c>
      <c r="I1096" s="1788">
        <f t="shared" si="180"/>
        <v>37586</v>
      </c>
      <c r="J1096" s="1788">
        <f t="shared" si="181"/>
        <v>40917.7196064815</v>
      </c>
      <c r="K1096" s="1786">
        <v>0</v>
      </c>
      <c r="L1096" s="1786" t="s">
        <v>1594</v>
      </c>
      <c r="M1096" s="1786" t="s">
        <v>1653</v>
      </c>
      <c r="N1096" s="1786" t="s">
        <v>1653</v>
      </c>
      <c r="O1096" s="1786">
        <v>0</v>
      </c>
      <c r="P1096" s="1786"/>
      <c r="Q1096" s="1786">
        <v>0</v>
      </c>
      <c r="R1096" s="1788"/>
      <c r="S1096" s="1786">
        <f t="shared" si="182"/>
        <v>787</v>
      </c>
      <c r="T1096" s="1786" t="str">
        <f t="shared" si="183"/>
        <v>בנק מזרחי טפחות בע"מ</v>
      </c>
      <c r="U1096" s="1786" t="str">
        <f t="shared" si="184"/>
        <v>אקסלנס אופיר - מסלול שקלי</v>
      </c>
      <c r="V1096" s="1786" t="str">
        <f t="shared" si="185"/>
        <v>520017450</v>
      </c>
      <c r="W1096" s="1789" t="str">
        <f t="shared" si="186"/>
        <v xml:space="preserve">הפניקס אקסלנס פנסיה וגמל בע"מ </v>
      </c>
      <c r="AC1096" s="1759" t="s">
        <v>1586</v>
      </c>
      <c r="AD1096" s="1760">
        <v>40917.7196064815</v>
      </c>
      <c r="AE1096" s="1760">
        <v>37586</v>
      </c>
      <c r="AF1096" s="1759" t="s">
        <v>1583</v>
      </c>
      <c r="AG1096" s="1759" t="s">
        <v>1583</v>
      </c>
      <c r="AH1096" s="1759" t="s">
        <v>1583</v>
      </c>
      <c r="AI1096" s="1759" t="s">
        <v>3312</v>
      </c>
      <c r="AJ1096" s="1759" t="s">
        <v>2045</v>
      </c>
      <c r="AK1096" s="1759">
        <v>788</v>
      </c>
      <c r="AL1096" s="1759" t="s">
        <v>2046</v>
      </c>
      <c r="AM1096" s="1759">
        <v>787</v>
      </c>
      <c r="AN1096" s="1759" t="s">
        <v>5370</v>
      </c>
      <c r="AO1096" s="1764"/>
      <c r="AP1096" s="1759" t="s">
        <v>5379</v>
      </c>
      <c r="AQ1096" s="1759" t="s">
        <v>5380</v>
      </c>
      <c r="AR1096" s="1759" t="s">
        <v>5381</v>
      </c>
      <c r="AS1096" s="1759" t="s">
        <v>347</v>
      </c>
      <c r="AT1096" s="1759" t="s">
        <v>327</v>
      </c>
      <c r="AU1096" s="1763"/>
      <c r="AV1096" s="1763"/>
    </row>
    <row r="1097" spans="1:48" ht="25" hidden="1">
      <c r="A1097" s="1785" t="str">
        <f t="shared" si="176"/>
        <v>גמל</v>
      </c>
      <c r="B1097" s="1786">
        <f t="shared" si="177"/>
        <v>783</v>
      </c>
      <c r="C1097" s="1787">
        <v>28946</v>
      </c>
      <c r="D1097" s="1786" t="str">
        <f t="shared" si="178"/>
        <v>מיטב גאון גמל-מסלול מט"ח</v>
      </c>
      <c r="E1097" s="1786" t="s">
        <v>3929</v>
      </c>
      <c r="F1097" s="1786" t="s">
        <v>2958</v>
      </c>
      <c r="G1097" s="1786" t="s">
        <v>2959</v>
      </c>
      <c r="H1097" s="1786" t="str">
        <f t="shared" si="179"/>
        <v>לא פעיל</v>
      </c>
      <c r="I1097" s="1788">
        <f t="shared" si="180"/>
        <v>37552</v>
      </c>
      <c r="J1097" s="1788">
        <f t="shared" si="181"/>
        <v>40371.7250810185</v>
      </c>
      <c r="K1097" s="1786">
        <v>0</v>
      </c>
      <c r="L1097" s="1786" t="s">
        <v>1594</v>
      </c>
      <c r="M1097" s="1786" t="s">
        <v>1653</v>
      </c>
      <c r="N1097" s="1786" t="s">
        <v>1653</v>
      </c>
      <c r="O1097" s="1786">
        <v>0</v>
      </c>
      <c r="P1097" s="1786"/>
      <c r="Q1097" s="1786">
        <v>0</v>
      </c>
      <c r="R1097" s="1788"/>
      <c r="S1097" s="1786">
        <f t="shared" si="182"/>
        <v>783</v>
      </c>
      <c r="T1097" s="1786" t="str">
        <f t="shared" si="183"/>
        <v>בנק הפועלים בע"מ</v>
      </c>
      <c r="U1097" s="1786" t="str">
        <f t="shared" si="184"/>
        <v>מיטב גאון גמל-מסלול מט"ח</v>
      </c>
      <c r="V1097" s="1786">
        <f t="shared" si="185"/>
        <v>0</v>
      </c>
      <c r="W1097" s="1789" t="str">
        <f t="shared" si="186"/>
        <v>מיטב גמל ופנסיה בע"מ</v>
      </c>
      <c r="AC1097" s="1761" t="s">
        <v>1586</v>
      </c>
      <c r="AD1097" s="1762">
        <v>40371.7250810185</v>
      </c>
      <c r="AE1097" s="1762">
        <v>37552</v>
      </c>
      <c r="AF1097" s="1761" t="s">
        <v>1611</v>
      </c>
      <c r="AG1097" s="1761" t="s">
        <v>1611</v>
      </c>
      <c r="AH1097" s="1761" t="s">
        <v>1594</v>
      </c>
      <c r="AI1097" s="1761" t="s">
        <v>3309</v>
      </c>
      <c r="AJ1097" s="1761" t="s">
        <v>2040</v>
      </c>
      <c r="AK1097" s="1761">
        <v>783</v>
      </c>
      <c r="AL1097" s="1761" t="s">
        <v>2040</v>
      </c>
      <c r="AM1097" s="1761">
        <v>783</v>
      </c>
      <c r="AN1097" s="1761" t="s">
        <v>1695</v>
      </c>
      <c r="AO1097" s="1764"/>
      <c r="AP1097" s="1761"/>
      <c r="AQ1097" s="1761"/>
      <c r="AR1097" s="1761" t="s">
        <v>365</v>
      </c>
      <c r="AS1097" s="1761" t="s">
        <v>366</v>
      </c>
      <c r="AT1097" s="1761" t="s">
        <v>327</v>
      </c>
      <c r="AU1097" s="1763"/>
      <c r="AV1097" s="1763"/>
    </row>
    <row r="1098" spans="1:48" ht="25" hidden="1">
      <c r="A1098" s="1785" t="str">
        <f t="shared" si="176"/>
        <v>גמל</v>
      </c>
      <c r="B1098" s="1786">
        <f t="shared" si="177"/>
        <v>779</v>
      </c>
      <c r="C1098" s="1787">
        <v>28946</v>
      </c>
      <c r="D1098" s="1786" t="str">
        <f t="shared" si="178"/>
        <v>מיטב גאון השתלמות מסלולית-מסלול מט"ח</v>
      </c>
      <c r="E1098" s="1786" t="s">
        <v>3929</v>
      </c>
      <c r="F1098" s="1786" t="s">
        <v>2958</v>
      </c>
      <c r="G1098" s="1786" t="s">
        <v>2959</v>
      </c>
      <c r="H1098" s="1786" t="str">
        <f t="shared" si="179"/>
        <v>לא פעיל</v>
      </c>
      <c r="I1098" s="1788">
        <f t="shared" si="180"/>
        <v>37552</v>
      </c>
      <c r="J1098" s="1788">
        <f t="shared" si="181"/>
        <v>40360</v>
      </c>
      <c r="K1098" s="1786">
        <v>0</v>
      </c>
      <c r="L1098" s="1786" t="s">
        <v>1594</v>
      </c>
      <c r="M1098" s="1786" t="s">
        <v>1653</v>
      </c>
      <c r="N1098" s="1786" t="s">
        <v>1653</v>
      </c>
      <c r="O1098" s="1786">
        <v>0</v>
      </c>
      <c r="P1098" s="1786"/>
      <c r="Q1098" s="1786">
        <v>0</v>
      </c>
      <c r="R1098" s="1788"/>
      <c r="S1098" s="1786">
        <f t="shared" si="182"/>
        <v>779</v>
      </c>
      <c r="T1098" s="1786" t="str">
        <f t="shared" si="183"/>
        <v>בנק הפועלים בע"מ</v>
      </c>
      <c r="U1098" s="1786" t="str">
        <f t="shared" si="184"/>
        <v>מיטב גאון השתלמות מסלולית-מסלול מט"ח</v>
      </c>
      <c r="V1098" s="1786">
        <f t="shared" si="185"/>
        <v>0</v>
      </c>
      <c r="W1098" s="1789" t="str">
        <f t="shared" si="186"/>
        <v>מיטב גמל ופנסיה בע"מ</v>
      </c>
      <c r="AC1098" s="1759" t="s">
        <v>1586</v>
      </c>
      <c r="AD1098" s="1760">
        <v>40360</v>
      </c>
      <c r="AE1098" s="1760">
        <v>37552</v>
      </c>
      <c r="AF1098" s="1759" t="s">
        <v>1611</v>
      </c>
      <c r="AG1098" s="1759" t="s">
        <v>1611</v>
      </c>
      <c r="AH1098" s="1759" t="s">
        <v>1594</v>
      </c>
      <c r="AI1098" s="1759" t="s">
        <v>3305</v>
      </c>
      <c r="AJ1098" s="1759" t="s">
        <v>2036</v>
      </c>
      <c r="AK1098" s="1759">
        <v>779</v>
      </c>
      <c r="AL1098" s="1759" t="s">
        <v>2036</v>
      </c>
      <c r="AM1098" s="1759">
        <v>779</v>
      </c>
      <c r="AN1098" s="1759" t="s">
        <v>1695</v>
      </c>
      <c r="AO1098" s="1764"/>
      <c r="AP1098" s="1759"/>
      <c r="AQ1098" s="1759"/>
      <c r="AR1098" s="1759" t="s">
        <v>365</v>
      </c>
      <c r="AS1098" s="1759" t="s">
        <v>366</v>
      </c>
      <c r="AT1098" s="1759" t="s">
        <v>327</v>
      </c>
      <c r="AU1098" s="1763"/>
      <c r="AV1098" s="1763"/>
    </row>
    <row r="1099" spans="1:48" ht="25" hidden="1">
      <c r="A1099" s="1785" t="str">
        <f t="shared" si="176"/>
        <v>גמל</v>
      </c>
      <c r="B1099" s="1786">
        <f t="shared" si="177"/>
        <v>772</v>
      </c>
      <c r="C1099" s="1787">
        <v>28946</v>
      </c>
      <c r="D1099" s="1786" t="str">
        <f t="shared" si="178"/>
        <v>כלל השתלמות מסלולית מסלול כללי</v>
      </c>
      <c r="E1099" s="1786" t="s">
        <v>3929</v>
      </c>
      <c r="F1099" s="1786" t="s">
        <v>2958</v>
      </c>
      <c r="G1099" s="1786" t="s">
        <v>2959</v>
      </c>
      <c r="H1099" s="1786" t="str">
        <f t="shared" si="179"/>
        <v>לא פעיל</v>
      </c>
      <c r="I1099" s="1788">
        <f t="shared" si="180"/>
        <v>37320</v>
      </c>
      <c r="J1099" s="1788">
        <f t="shared" si="181"/>
        <v>40918.367824074099</v>
      </c>
      <c r="K1099" s="1786">
        <v>0</v>
      </c>
      <c r="L1099" s="1786" t="s">
        <v>1594</v>
      </c>
      <c r="M1099" s="1786" t="s">
        <v>1653</v>
      </c>
      <c r="N1099" s="1786" t="s">
        <v>1653</v>
      </c>
      <c r="O1099" s="1786">
        <v>0</v>
      </c>
      <c r="P1099" s="1786"/>
      <c r="Q1099" s="1786">
        <v>0</v>
      </c>
      <c r="R1099" s="1788"/>
      <c r="S1099" s="1786">
        <f t="shared" si="182"/>
        <v>772</v>
      </c>
      <c r="T1099" s="1786" t="str">
        <f t="shared" si="183"/>
        <v>ד.ס.ש ייעוץ ושירותים בע"מ</v>
      </c>
      <c r="U1099" s="1786" t="str">
        <f t="shared" si="184"/>
        <v>כלל השתלמות מסלולית מסלול כללי</v>
      </c>
      <c r="V1099" s="1786">
        <f t="shared" si="185"/>
        <v>0</v>
      </c>
      <c r="W1099" s="1789" t="str">
        <f t="shared" si="186"/>
        <v>כלל פנסיה וגמל בע"מ</v>
      </c>
      <c r="AC1099" s="1761" t="s">
        <v>1586</v>
      </c>
      <c r="AD1099" s="1762">
        <v>40918.367824074099</v>
      </c>
      <c r="AE1099" s="1762">
        <v>37320</v>
      </c>
      <c r="AF1099" s="1761" t="s">
        <v>1583</v>
      </c>
      <c r="AG1099" s="1761" t="s">
        <v>1583</v>
      </c>
      <c r="AH1099" s="1761" t="s">
        <v>1583</v>
      </c>
      <c r="AI1099" s="1761" t="s">
        <v>2031</v>
      </c>
      <c r="AJ1099" s="1761" t="s">
        <v>2031</v>
      </c>
      <c r="AK1099" s="1761">
        <v>772</v>
      </c>
      <c r="AL1099" s="1761" t="s">
        <v>2031</v>
      </c>
      <c r="AM1099" s="1761">
        <v>772</v>
      </c>
      <c r="AN1099" s="1761" t="s">
        <v>5393</v>
      </c>
      <c r="AO1099" s="1764"/>
      <c r="AP1099" s="1761"/>
      <c r="AQ1099" s="1761"/>
      <c r="AR1099" s="1761" t="s">
        <v>378</v>
      </c>
      <c r="AS1099" s="1761" t="s">
        <v>379</v>
      </c>
      <c r="AT1099" s="1761" t="s">
        <v>327</v>
      </c>
      <c r="AU1099" s="1763"/>
      <c r="AV1099" s="1763"/>
    </row>
    <row r="1100" spans="1:48" ht="25" hidden="1">
      <c r="A1100" s="1785" t="str">
        <f t="shared" si="176"/>
        <v>גמל</v>
      </c>
      <c r="B1100" s="1786">
        <f t="shared" si="177"/>
        <v>771</v>
      </c>
      <c r="C1100" s="1787">
        <v>28946</v>
      </c>
      <c r="D1100" s="1786" t="str">
        <f t="shared" si="178"/>
        <v>מוטורולה קופת תגמולים לעצמאים ולשכירים</v>
      </c>
      <c r="E1100" s="1786" t="s">
        <v>3929</v>
      </c>
      <c r="F1100" s="1786" t="s">
        <v>2958</v>
      </c>
      <c r="G1100" s="1786" t="s">
        <v>2959</v>
      </c>
      <c r="H1100" s="1786" t="str">
        <f t="shared" si="179"/>
        <v>לא פעיל</v>
      </c>
      <c r="I1100" s="1788">
        <f t="shared" si="180"/>
        <v>37633</v>
      </c>
      <c r="J1100" s="1788">
        <f t="shared" si="181"/>
        <v>39832.495069444398</v>
      </c>
      <c r="K1100" s="1786">
        <v>0</v>
      </c>
      <c r="L1100" s="1786" t="s">
        <v>1594</v>
      </c>
      <c r="M1100" s="1786" t="s">
        <v>1653</v>
      </c>
      <c r="N1100" s="1786" t="s">
        <v>1653</v>
      </c>
      <c r="O1100" s="1786">
        <v>0</v>
      </c>
      <c r="P1100" s="1786"/>
      <c r="Q1100" s="1786">
        <v>0</v>
      </c>
      <c r="R1100" s="1788"/>
      <c r="S1100" s="1786">
        <f t="shared" si="182"/>
        <v>771</v>
      </c>
      <c r="T1100" s="1786" t="str">
        <f t="shared" si="183"/>
        <v>בנק לאומי בע"מ</v>
      </c>
      <c r="U1100" s="1786" t="str">
        <f t="shared" si="184"/>
        <v>מוטורולה קופת תגמולים לעצמאים ולשכירים</v>
      </c>
      <c r="V1100" s="1786">
        <f t="shared" si="185"/>
        <v>0</v>
      </c>
      <c r="W1100" s="1789" t="str">
        <f t="shared" si="186"/>
        <v>הראל גמל והשתלמות בע"מ</v>
      </c>
      <c r="AC1100" s="1759" t="s">
        <v>1586</v>
      </c>
      <c r="AD1100" s="1760">
        <v>39832.495069444398</v>
      </c>
      <c r="AE1100" s="1760">
        <v>37633</v>
      </c>
      <c r="AF1100" s="1759" t="s">
        <v>1583</v>
      </c>
      <c r="AG1100" s="1759" t="s">
        <v>1583</v>
      </c>
      <c r="AH1100" s="1759" t="s">
        <v>1583</v>
      </c>
      <c r="AI1100" s="1759" t="s">
        <v>3301</v>
      </c>
      <c r="AJ1100" s="1759" t="s">
        <v>2030</v>
      </c>
      <c r="AK1100" s="1759">
        <v>771</v>
      </c>
      <c r="AL1100" s="1759" t="s">
        <v>2030</v>
      </c>
      <c r="AM1100" s="1759">
        <v>771</v>
      </c>
      <c r="AN1100" s="1759" t="s">
        <v>5470</v>
      </c>
      <c r="AO1100" s="1764"/>
      <c r="AP1100" s="1759"/>
      <c r="AQ1100" s="1759"/>
      <c r="AR1100" s="1759" t="s">
        <v>344</v>
      </c>
      <c r="AS1100" s="1759" t="s">
        <v>345</v>
      </c>
      <c r="AT1100" s="1759" t="s">
        <v>327</v>
      </c>
      <c r="AU1100" s="1763"/>
      <c r="AV1100" s="1763"/>
    </row>
    <row r="1101" spans="1:48" ht="25" hidden="1">
      <c r="A1101" s="1785" t="str">
        <f t="shared" si="176"/>
        <v>גמל</v>
      </c>
      <c r="B1101" s="1786">
        <f t="shared" si="177"/>
        <v>766</v>
      </c>
      <c r="C1101" s="1787">
        <v>28946</v>
      </c>
      <c r="D1101" s="1786" t="str">
        <f t="shared" si="178"/>
        <v>עיט מרכזית לפיצויים</v>
      </c>
      <c r="E1101" s="1786" t="s">
        <v>3929</v>
      </c>
      <c r="F1101" s="1786" t="s">
        <v>2958</v>
      </c>
      <c r="G1101" s="1786" t="s">
        <v>2959</v>
      </c>
      <c r="H1101" s="1786" t="str">
        <f t="shared" si="179"/>
        <v>לא פעיל</v>
      </c>
      <c r="I1101" s="1788">
        <f t="shared" si="180"/>
        <v>37250</v>
      </c>
      <c r="J1101" s="1788">
        <f t="shared" si="181"/>
        <v>37798.657604166699</v>
      </c>
      <c r="K1101" s="1786">
        <v>0</v>
      </c>
      <c r="L1101" s="1786" t="s">
        <v>1594</v>
      </c>
      <c r="M1101" s="1786" t="s">
        <v>1653</v>
      </c>
      <c r="N1101" s="1786" t="s">
        <v>1653</v>
      </c>
      <c r="O1101" s="1786">
        <v>0</v>
      </c>
      <c r="P1101" s="1786"/>
      <c r="Q1101" s="1786">
        <v>0</v>
      </c>
      <c r="R1101" s="1788"/>
      <c r="S1101" s="1786">
        <f t="shared" si="182"/>
        <v>766</v>
      </c>
      <c r="T1101" s="1786">
        <f t="shared" si="183"/>
        <v>0</v>
      </c>
      <c r="U1101" s="1786" t="str">
        <f t="shared" si="184"/>
        <v>עיט מרכזית לפיצויים</v>
      </c>
      <c r="V1101" s="1786">
        <f t="shared" si="185"/>
        <v>0</v>
      </c>
      <c r="W1101" s="1789" t="str">
        <f t="shared" si="186"/>
        <v>הראל גמל והשתלמות בע"מ</v>
      </c>
      <c r="AC1101" s="1761" t="s">
        <v>1586</v>
      </c>
      <c r="AD1101" s="1762">
        <v>37798.657604166699</v>
      </c>
      <c r="AE1101" s="1762">
        <v>37250</v>
      </c>
      <c r="AF1101" s="1761" t="s">
        <v>1583</v>
      </c>
      <c r="AG1101" s="1761" t="s">
        <v>1583</v>
      </c>
      <c r="AH1101" s="1761" t="s">
        <v>1583</v>
      </c>
      <c r="AI1101" s="1761" t="s">
        <v>2027</v>
      </c>
      <c r="AJ1101" s="1761" t="s">
        <v>2027</v>
      </c>
      <c r="AK1101" s="1761">
        <v>766</v>
      </c>
      <c r="AL1101" s="1761" t="s">
        <v>2027</v>
      </c>
      <c r="AM1101" s="1761">
        <v>766</v>
      </c>
      <c r="AN1101" s="1761"/>
      <c r="AO1101" s="1764"/>
      <c r="AP1101" s="1761"/>
      <c r="AQ1101" s="1761"/>
      <c r="AR1101" s="1761" t="s">
        <v>344</v>
      </c>
      <c r="AS1101" s="1761" t="s">
        <v>345</v>
      </c>
      <c r="AT1101" s="1761" t="s">
        <v>327</v>
      </c>
      <c r="AU1101" s="1763"/>
      <c r="AV1101" s="1763"/>
    </row>
    <row r="1102" spans="1:48" ht="25" hidden="1">
      <c r="A1102" s="1785" t="str">
        <f t="shared" si="176"/>
        <v>גמל</v>
      </c>
      <c r="B1102" s="1786">
        <f t="shared" si="177"/>
        <v>765</v>
      </c>
      <c r="C1102" s="1787">
        <v>28946</v>
      </c>
      <c r="D1102" s="1786" t="str">
        <f t="shared" si="178"/>
        <v>אנפה מרכזית לפיצויים</v>
      </c>
      <c r="E1102" s="1786" t="s">
        <v>3929</v>
      </c>
      <c r="F1102" s="1786" t="s">
        <v>2958</v>
      </c>
      <c r="G1102" s="1786" t="s">
        <v>2959</v>
      </c>
      <c r="H1102" s="1786" t="str">
        <f t="shared" si="179"/>
        <v>לא פעיל</v>
      </c>
      <c r="I1102" s="1788">
        <f t="shared" si="180"/>
        <v>37250</v>
      </c>
      <c r="J1102" s="1788">
        <f t="shared" si="181"/>
        <v>37798.657442129603</v>
      </c>
      <c r="K1102" s="1786">
        <v>0</v>
      </c>
      <c r="L1102" s="1786" t="s">
        <v>1594</v>
      </c>
      <c r="M1102" s="1786" t="s">
        <v>1653</v>
      </c>
      <c r="N1102" s="1786" t="s">
        <v>1653</v>
      </c>
      <c r="O1102" s="1786">
        <v>0</v>
      </c>
      <c r="P1102" s="1786"/>
      <c r="Q1102" s="1786">
        <v>0</v>
      </c>
      <c r="R1102" s="1788"/>
      <c r="S1102" s="1786">
        <f t="shared" si="182"/>
        <v>765</v>
      </c>
      <c r="T1102" s="1786">
        <f t="shared" si="183"/>
        <v>0</v>
      </c>
      <c r="U1102" s="1786" t="str">
        <f t="shared" si="184"/>
        <v>אנפה מרכזית לפיצויים</v>
      </c>
      <c r="V1102" s="1786">
        <f t="shared" si="185"/>
        <v>0</v>
      </c>
      <c r="W1102" s="1789" t="str">
        <f t="shared" si="186"/>
        <v>הראל גמל והשתלמות בע"מ</v>
      </c>
      <c r="AC1102" s="1759" t="s">
        <v>1586</v>
      </c>
      <c r="AD1102" s="1760">
        <v>37798.657442129603</v>
      </c>
      <c r="AE1102" s="1760">
        <v>37250</v>
      </c>
      <c r="AF1102" s="1759" t="s">
        <v>1583</v>
      </c>
      <c r="AG1102" s="1759" t="s">
        <v>1583</v>
      </c>
      <c r="AH1102" s="1759" t="s">
        <v>1583</v>
      </c>
      <c r="AI1102" s="1759" t="s">
        <v>2026</v>
      </c>
      <c r="AJ1102" s="1759" t="s">
        <v>2026</v>
      </c>
      <c r="AK1102" s="1759">
        <v>765</v>
      </c>
      <c r="AL1102" s="1759" t="s">
        <v>2026</v>
      </c>
      <c r="AM1102" s="1759">
        <v>765</v>
      </c>
      <c r="AN1102" s="1759"/>
      <c r="AO1102" s="1764"/>
      <c r="AP1102" s="1759"/>
      <c r="AQ1102" s="1759"/>
      <c r="AR1102" s="1759" t="s">
        <v>344</v>
      </c>
      <c r="AS1102" s="1759" t="s">
        <v>345</v>
      </c>
      <c r="AT1102" s="1759" t="s">
        <v>327</v>
      </c>
      <c r="AU1102" s="1763"/>
      <c r="AV1102" s="1763"/>
    </row>
    <row r="1103" spans="1:48" ht="25" hidden="1">
      <c r="A1103" s="1785" t="str">
        <f t="shared" si="176"/>
        <v>גמל</v>
      </c>
      <c r="B1103" s="1786">
        <f t="shared" si="177"/>
        <v>760</v>
      </c>
      <c r="C1103" s="1787">
        <v>28946</v>
      </c>
      <c r="D1103" s="1786" t="str">
        <f t="shared" si="178"/>
        <v>הלמן אלדובי מרכזית לפיצויים מעגן</v>
      </c>
      <c r="E1103" s="1786" t="s">
        <v>3929</v>
      </c>
      <c r="F1103" s="1786" t="s">
        <v>2958</v>
      </c>
      <c r="G1103" s="1786" t="s">
        <v>2959</v>
      </c>
      <c r="H1103" s="1786" t="str">
        <f t="shared" si="179"/>
        <v>לא פעיל</v>
      </c>
      <c r="I1103" s="1788">
        <f t="shared" si="180"/>
        <v>37243</v>
      </c>
      <c r="J1103" s="1788">
        <f t="shared" si="181"/>
        <v>39813</v>
      </c>
      <c r="K1103" s="1786">
        <v>0</v>
      </c>
      <c r="L1103" s="1786" t="s">
        <v>1594</v>
      </c>
      <c r="M1103" s="1786" t="s">
        <v>1653</v>
      </c>
      <c r="N1103" s="1786" t="s">
        <v>1653</v>
      </c>
      <c r="O1103" s="1786">
        <v>0</v>
      </c>
      <c r="P1103" s="1786"/>
      <c r="Q1103" s="1786">
        <v>0</v>
      </c>
      <c r="R1103" s="1788"/>
      <c r="S1103" s="1786">
        <f t="shared" si="182"/>
        <v>760</v>
      </c>
      <c r="T1103" s="1786" t="str">
        <f t="shared" si="183"/>
        <v>בנק מזרחי טפחות בע"מ</v>
      </c>
      <c r="U1103" s="1786" t="str">
        <f t="shared" si="184"/>
        <v>הלמן אלדובי מרכזית לפיצויים מעגן</v>
      </c>
      <c r="V1103" s="1786" t="str">
        <f t="shared" si="185"/>
        <v>513163105</v>
      </c>
      <c r="W1103" s="1789" t="str">
        <f t="shared" si="186"/>
        <v>הלמן - אלדובי קופות גמל ופנסיה בע"מ</v>
      </c>
      <c r="AC1103" s="1761" t="s">
        <v>1586</v>
      </c>
      <c r="AD1103" s="1762">
        <v>39813</v>
      </c>
      <c r="AE1103" s="1762">
        <v>37243</v>
      </c>
      <c r="AF1103" s="1761" t="s">
        <v>1583</v>
      </c>
      <c r="AG1103" s="1761" t="s">
        <v>1583</v>
      </c>
      <c r="AH1103" s="1761" t="s">
        <v>1583</v>
      </c>
      <c r="AI1103" s="1761" t="s">
        <v>2024</v>
      </c>
      <c r="AJ1103" s="1761" t="s">
        <v>2024</v>
      </c>
      <c r="AK1103" s="1761">
        <v>760</v>
      </c>
      <c r="AL1103" s="1761" t="s">
        <v>2024</v>
      </c>
      <c r="AM1103" s="1761">
        <v>760</v>
      </c>
      <c r="AN1103" s="1761" t="s">
        <v>5370</v>
      </c>
      <c r="AO1103" s="1764"/>
      <c r="AP1103" s="1761" t="s">
        <v>5371</v>
      </c>
      <c r="AQ1103" s="1761" t="s">
        <v>5372</v>
      </c>
      <c r="AR1103" s="1761" t="s">
        <v>354</v>
      </c>
      <c r="AS1103" s="1761" t="s">
        <v>355</v>
      </c>
      <c r="AT1103" s="1761" t="s">
        <v>327</v>
      </c>
      <c r="AU1103" s="1763"/>
      <c r="AV1103" s="1763"/>
    </row>
    <row r="1104" spans="1:48" ht="25" hidden="1">
      <c r="A1104" s="1785" t="str">
        <f t="shared" si="176"/>
        <v>גמל</v>
      </c>
      <c r="B1104" s="1786">
        <f t="shared" si="177"/>
        <v>759</v>
      </c>
      <c r="C1104" s="1787">
        <v>28946</v>
      </c>
      <c r="D1104" s="1786" t="str">
        <f t="shared" si="178"/>
        <v>הלמן אלדובי קרן מט"ח</v>
      </c>
      <c r="E1104" s="1786" t="s">
        <v>3929</v>
      </c>
      <c r="F1104" s="1786" t="s">
        <v>2958</v>
      </c>
      <c r="G1104" s="1786" t="s">
        <v>2959</v>
      </c>
      <c r="H1104" s="1786" t="str">
        <f t="shared" si="179"/>
        <v>לא פעיל</v>
      </c>
      <c r="I1104" s="1788">
        <f t="shared" si="180"/>
        <v>37243</v>
      </c>
      <c r="J1104" s="1788">
        <f t="shared" si="181"/>
        <v>39873</v>
      </c>
      <c r="K1104" s="1786">
        <v>0</v>
      </c>
      <c r="L1104" s="1786" t="s">
        <v>1594</v>
      </c>
      <c r="M1104" s="1786" t="s">
        <v>1653</v>
      </c>
      <c r="N1104" s="1786" t="s">
        <v>1653</v>
      </c>
      <c r="O1104" s="1786">
        <v>0</v>
      </c>
      <c r="P1104" s="1786"/>
      <c r="Q1104" s="1786">
        <v>0</v>
      </c>
      <c r="R1104" s="1788"/>
      <c r="S1104" s="1786">
        <f t="shared" si="182"/>
        <v>759</v>
      </c>
      <c r="T1104" s="1786" t="str">
        <f t="shared" si="183"/>
        <v>בנק מזרחי טפחות בע"מ</v>
      </c>
      <c r="U1104" s="1786" t="str">
        <f t="shared" si="184"/>
        <v>הלמן אלדובי קרן מט"ח</v>
      </c>
      <c r="V1104" s="1786" t="str">
        <f t="shared" si="185"/>
        <v>513163105</v>
      </c>
      <c r="W1104" s="1789" t="str">
        <f t="shared" si="186"/>
        <v>הלמן - אלדובי קופות גמל ופנסיה בע"מ</v>
      </c>
      <c r="AC1104" s="1759" t="s">
        <v>1586</v>
      </c>
      <c r="AD1104" s="1760">
        <v>39873</v>
      </c>
      <c r="AE1104" s="1760">
        <v>37243</v>
      </c>
      <c r="AF1104" s="1759" t="s">
        <v>1611</v>
      </c>
      <c r="AG1104" s="1759" t="s">
        <v>1611</v>
      </c>
      <c r="AH1104" s="1759" t="s">
        <v>1594</v>
      </c>
      <c r="AI1104" s="1759" t="s">
        <v>2023</v>
      </c>
      <c r="AJ1104" s="1759" t="s">
        <v>2023</v>
      </c>
      <c r="AK1104" s="1759">
        <v>759</v>
      </c>
      <c r="AL1104" s="1759" t="s">
        <v>2023</v>
      </c>
      <c r="AM1104" s="1759">
        <v>759</v>
      </c>
      <c r="AN1104" s="1759" t="s">
        <v>5370</v>
      </c>
      <c r="AO1104" s="1764"/>
      <c r="AP1104" s="1759" t="s">
        <v>5371</v>
      </c>
      <c r="AQ1104" s="1759" t="s">
        <v>5372</v>
      </c>
      <c r="AR1104" s="1759" t="s">
        <v>354</v>
      </c>
      <c r="AS1104" s="1759" t="s">
        <v>355</v>
      </c>
      <c r="AT1104" s="1759" t="s">
        <v>327</v>
      </c>
      <c r="AU1104" s="1763"/>
      <c r="AV1104" s="1763"/>
    </row>
    <row r="1105" spans="1:48" ht="25" hidden="1">
      <c r="A1105" s="1785" t="str">
        <f t="shared" si="176"/>
        <v>גמל</v>
      </c>
      <c r="B1105" s="1786">
        <f t="shared" si="177"/>
        <v>758</v>
      </c>
      <c r="C1105" s="1787">
        <v>28946</v>
      </c>
      <c r="D1105" s="1786" t="str">
        <f t="shared" si="178"/>
        <v>הלמן אלדובי גמל מט"ח</v>
      </c>
      <c r="E1105" s="1786" t="s">
        <v>3929</v>
      </c>
      <c r="F1105" s="1786" t="s">
        <v>2958</v>
      </c>
      <c r="G1105" s="1786" t="s">
        <v>2959</v>
      </c>
      <c r="H1105" s="1786" t="str">
        <f t="shared" si="179"/>
        <v>לא פעיל</v>
      </c>
      <c r="I1105" s="1788">
        <f t="shared" si="180"/>
        <v>37226</v>
      </c>
      <c r="J1105" s="1788">
        <f t="shared" si="181"/>
        <v>39873</v>
      </c>
      <c r="K1105" s="1786">
        <v>0</v>
      </c>
      <c r="L1105" s="1786" t="s">
        <v>1594</v>
      </c>
      <c r="M1105" s="1786" t="s">
        <v>1653</v>
      </c>
      <c r="N1105" s="1786" t="s">
        <v>1653</v>
      </c>
      <c r="O1105" s="1786">
        <v>0</v>
      </c>
      <c r="P1105" s="1786"/>
      <c r="Q1105" s="1786">
        <v>0</v>
      </c>
      <c r="R1105" s="1788"/>
      <c r="S1105" s="1786">
        <f t="shared" si="182"/>
        <v>758</v>
      </c>
      <c r="T1105" s="1786" t="str">
        <f t="shared" si="183"/>
        <v>בנק מזרחי טפחות בע"מ</v>
      </c>
      <c r="U1105" s="1786" t="str">
        <f t="shared" si="184"/>
        <v>הלמן אלדובי גמל מט"ח</v>
      </c>
      <c r="V1105" s="1786" t="str">
        <f t="shared" si="185"/>
        <v>513163105</v>
      </c>
      <c r="W1105" s="1789" t="str">
        <f t="shared" si="186"/>
        <v>הלמן - אלדובי קופות גמל ופנסיה בע"מ</v>
      </c>
      <c r="AC1105" s="1761" t="s">
        <v>1586</v>
      </c>
      <c r="AD1105" s="1762">
        <v>39873</v>
      </c>
      <c r="AE1105" s="1762">
        <v>37226</v>
      </c>
      <c r="AF1105" s="1761" t="s">
        <v>1611</v>
      </c>
      <c r="AG1105" s="1761" t="s">
        <v>1611</v>
      </c>
      <c r="AH1105" s="1761" t="s">
        <v>1594</v>
      </c>
      <c r="AI1105" s="1761" t="s">
        <v>2022</v>
      </c>
      <c r="AJ1105" s="1761" t="s">
        <v>2022</v>
      </c>
      <c r="AK1105" s="1761">
        <v>758</v>
      </c>
      <c r="AL1105" s="1761" t="s">
        <v>2022</v>
      </c>
      <c r="AM1105" s="1761">
        <v>758</v>
      </c>
      <c r="AN1105" s="1761" t="s">
        <v>5370</v>
      </c>
      <c r="AO1105" s="1764"/>
      <c r="AP1105" s="1761" t="s">
        <v>5371</v>
      </c>
      <c r="AQ1105" s="1761" t="s">
        <v>5372</v>
      </c>
      <c r="AR1105" s="1761" t="s">
        <v>354</v>
      </c>
      <c r="AS1105" s="1761" t="s">
        <v>355</v>
      </c>
      <c r="AT1105" s="1761" t="s">
        <v>327</v>
      </c>
      <c r="AU1105" s="1763"/>
      <c r="AV1105" s="1763"/>
    </row>
    <row r="1106" spans="1:48" ht="25" hidden="1">
      <c r="A1106" s="1785" t="str">
        <f t="shared" si="176"/>
        <v>גמל</v>
      </c>
      <c r="B1106" s="1786">
        <f t="shared" si="177"/>
        <v>757</v>
      </c>
      <c r="C1106" s="1787">
        <v>28946</v>
      </c>
      <c r="D1106" s="1786" t="str">
        <f t="shared" si="178"/>
        <v>אלטשולר שחם קרנות השתלמות</v>
      </c>
      <c r="E1106" s="1786" t="s">
        <v>3929</v>
      </c>
      <c r="F1106" s="1786" t="s">
        <v>2958</v>
      </c>
      <c r="G1106" s="1786" t="s">
        <v>2959</v>
      </c>
      <c r="H1106" s="1786" t="str">
        <f t="shared" si="179"/>
        <v>לא פעיל</v>
      </c>
      <c r="I1106" s="1788">
        <f t="shared" si="180"/>
        <v>37228</v>
      </c>
      <c r="J1106" s="1788">
        <f t="shared" si="181"/>
        <v>41197.473368055602</v>
      </c>
      <c r="K1106" s="1786">
        <v>0</v>
      </c>
      <c r="L1106" s="1786" t="s">
        <v>1594</v>
      </c>
      <c r="M1106" s="1786" t="s">
        <v>1653</v>
      </c>
      <c r="N1106" s="1786" t="s">
        <v>1653</v>
      </c>
      <c r="O1106" s="1786">
        <v>0</v>
      </c>
      <c r="P1106" s="1786"/>
      <c r="Q1106" s="1786">
        <v>0</v>
      </c>
      <c r="R1106" s="1788"/>
      <c r="S1106" s="1786">
        <f t="shared" si="182"/>
        <v>757</v>
      </c>
      <c r="T1106" s="1786" t="str">
        <f t="shared" si="183"/>
        <v>הבנק הבינלאומי הראשון</v>
      </c>
      <c r="U1106" s="1786" t="str">
        <f t="shared" si="184"/>
        <v>אלטשולר שחם קרנות השתלמות</v>
      </c>
      <c r="V1106" s="1786" t="str">
        <f t="shared" si="185"/>
        <v>511446551</v>
      </c>
      <c r="W1106" s="1789" t="str">
        <f t="shared" si="186"/>
        <v>אלטשולר שחם גמל ופנסיה בע"מ</v>
      </c>
      <c r="AC1106" s="1759" t="s">
        <v>1586</v>
      </c>
      <c r="AD1106" s="1760">
        <v>41197.473368055602</v>
      </c>
      <c r="AE1106" s="1760">
        <v>37228</v>
      </c>
      <c r="AF1106" s="1759" t="s">
        <v>1583</v>
      </c>
      <c r="AG1106" s="1759" t="s">
        <v>1583</v>
      </c>
      <c r="AH1106" s="1759" t="s">
        <v>1583</v>
      </c>
      <c r="AI1106" s="1759" t="s">
        <v>610</v>
      </c>
      <c r="AJ1106" s="1759" t="s">
        <v>610</v>
      </c>
      <c r="AK1106" s="1759">
        <v>757</v>
      </c>
      <c r="AL1106" s="1759" t="s">
        <v>610</v>
      </c>
      <c r="AM1106" s="1759">
        <v>757</v>
      </c>
      <c r="AN1106" s="1759" t="s">
        <v>5384</v>
      </c>
      <c r="AO1106" s="1764"/>
      <c r="AP1106" s="1759" t="s">
        <v>5375</v>
      </c>
      <c r="AQ1106" s="1759" t="s">
        <v>5376</v>
      </c>
      <c r="AR1106" s="1759" t="s">
        <v>2963</v>
      </c>
      <c r="AS1106" s="1759" t="s">
        <v>523</v>
      </c>
      <c r="AT1106" s="1759" t="s">
        <v>327</v>
      </c>
      <c r="AU1106" s="1763"/>
      <c r="AV1106" s="1763"/>
    </row>
    <row r="1107" spans="1:48" ht="25" hidden="1">
      <c r="A1107" s="1785" t="str">
        <f t="shared" si="176"/>
        <v>גמל</v>
      </c>
      <c r="B1107" s="1786">
        <f t="shared" si="177"/>
        <v>1389</v>
      </c>
      <c r="C1107" s="1787">
        <v>28946</v>
      </c>
      <c r="D1107" s="1786" t="str">
        <f t="shared" si="178"/>
        <v>אלטשולר שחם קרנות השתלמות מסלול אג"ח ממשלתי</v>
      </c>
      <c r="E1107" s="1786" t="s">
        <v>3929</v>
      </c>
      <c r="F1107" s="1786" t="s">
        <v>2958</v>
      </c>
      <c r="G1107" s="1786" t="s">
        <v>2959</v>
      </c>
      <c r="H1107" s="1786" t="str">
        <f t="shared" si="179"/>
        <v>לא פעיל</v>
      </c>
      <c r="I1107" s="1788">
        <f t="shared" si="180"/>
        <v>37228</v>
      </c>
      <c r="J1107" s="1788">
        <f t="shared" si="181"/>
        <v>41197.472870370402</v>
      </c>
      <c r="K1107" s="1786">
        <v>0</v>
      </c>
      <c r="L1107" s="1786" t="s">
        <v>1594</v>
      </c>
      <c r="M1107" s="1786" t="s">
        <v>1653</v>
      </c>
      <c r="N1107" s="1786" t="s">
        <v>1653</v>
      </c>
      <c r="O1107" s="1786">
        <v>0</v>
      </c>
      <c r="P1107" s="1786"/>
      <c r="Q1107" s="1786">
        <v>0</v>
      </c>
      <c r="R1107" s="1788"/>
      <c r="S1107" s="1786">
        <f t="shared" si="182"/>
        <v>757</v>
      </c>
      <c r="T1107" s="1786" t="str">
        <f t="shared" si="183"/>
        <v>הבנק הבינלאומי הראשון</v>
      </c>
      <c r="U1107" s="1786" t="str">
        <f t="shared" si="184"/>
        <v>אלטשולר שחם קרנות השתלמות</v>
      </c>
      <c r="V1107" s="1786" t="str">
        <f t="shared" si="185"/>
        <v>511446551</v>
      </c>
      <c r="W1107" s="1789" t="str">
        <f t="shared" si="186"/>
        <v>אלטשולר שחם גמל ופנסיה בע"מ</v>
      </c>
      <c r="AC1107" s="1761" t="s">
        <v>1586</v>
      </c>
      <c r="AD1107" s="1762">
        <v>41197.472870370402</v>
      </c>
      <c r="AE1107" s="1762">
        <v>37228</v>
      </c>
      <c r="AF1107" s="1761" t="s">
        <v>2009</v>
      </c>
      <c r="AG1107" s="1761" t="s">
        <v>1653</v>
      </c>
      <c r="AH1107" s="1761" t="s">
        <v>1594</v>
      </c>
      <c r="AI1107" s="1761" t="s">
        <v>2436</v>
      </c>
      <c r="AJ1107" s="1761" t="s">
        <v>2436</v>
      </c>
      <c r="AK1107" s="1761">
        <v>1389</v>
      </c>
      <c r="AL1107" s="1761" t="s">
        <v>610</v>
      </c>
      <c r="AM1107" s="1761">
        <v>757</v>
      </c>
      <c r="AN1107" s="1761" t="s">
        <v>5384</v>
      </c>
      <c r="AO1107" s="1764"/>
      <c r="AP1107" s="1761" t="s">
        <v>5375</v>
      </c>
      <c r="AQ1107" s="1761" t="s">
        <v>5376</v>
      </c>
      <c r="AR1107" s="1761" t="s">
        <v>2963</v>
      </c>
      <c r="AS1107" s="1761" t="s">
        <v>523</v>
      </c>
      <c r="AT1107" s="1761" t="s">
        <v>327</v>
      </c>
      <c r="AU1107" s="1763"/>
      <c r="AV1107" s="1763"/>
    </row>
    <row r="1108" spans="1:48" ht="25" hidden="1">
      <c r="A1108" s="1785" t="str">
        <f t="shared" si="176"/>
        <v>גמל</v>
      </c>
      <c r="B1108" s="1786">
        <f t="shared" si="177"/>
        <v>1388</v>
      </c>
      <c r="C1108" s="1787">
        <v>28946</v>
      </c>
      <c r="D1108" s="1786" t="str">
        <f t="shared" si="178"/>
        <v>אלשטשולר שחם קרנות השתלמות מסלול שקלי</v>
      </c>
      <c r="E1108" s="1786" t="s">
        <v>3929</v>
      </c>
      <c r="F1108" s="1786" t="s">
        <v>2958</v>
      </c>
      <c r="G1108" s="1786" t="s">
        <v>2959</v>
      </c>
      <c r="H1108" s="1786" t="str">
        <f t="shared" si="179"/>
        <v>לא פעיל</v>
      </c>
      <c r="I1108" s="1788">
        <f t="shared" si="180"/>
        <v>37228</v>
      </c>
      <c r="J1108" s="1788">
        <f t="shared" si="181"/>
        <v>41197.472962963002</v>
      </c>
      <c r="K1108" s="1786">
        <v>0</v>
      </c>
      <c r="L1108" s="1786" t="s">
        <v>1594</v>
      </c>
      <c r="M1108" s="1786" t="s">
        <v>1653</v>
      </c>
      <c r="N1108" s="1786" t="s">
        <v>1653</v>
      </c>
      <c r="O1108" s="1786">
        <v>0</v>
      </c>
      <c r="P1108" s="1786"/>
      <c r="Q1108" s="1786">
        <v>0</v>
      </c>
      <c r="R1108" s="1788"/>
      <c r="S1108" s="1786">
        <f t="shared" si="182"/>
        <v>757</v>
      </c>
      <c r="T1108" s="1786" t="str">
        <f t="shared" si="183"/>
        <v>הבנק הבינלאומי הראשון</v>
      </c>
      <c r="U1108" s="1786" t="str">
        <f t="shared" si="184"/>
        <v>אלטשולר שחם קרנות השתלמות</v>
      </c>
      <c r="V1108" s="1786" t="str">
        <f t="shared" si="185"/>
        <v>511446551</v>
      </c>
      <c r="W1108" s="1789" t="str">
        <f t="shared" si="186"/>
        <v>אלטשולר שחם גמל ופנסיה בע"מ</v>
      </c>
      <c r="AC1108" s="1759" t="s">
        <v>1586</v>
      </c>
      <c r="AD1108" s="1760">
        <v>41197.472962963002</v>
      </c>
      <c r="AE1108" s="1760">
        <v>37228</v>
      </c>
      <c r="AF1108" s="1759" t="s">
        <v>1076</v>
      </c>
      <c r="AG1108" s="1759" t="s">
        <v>1614</v>
      </c>
      <c r="AH1108" s="1759" t="s">
        <v>1594</v>
      </c>
      <c r="AI1108" s="1759" t="s">
        <v>3623</v>
      </c>
      <c r="AJ1108" s="1759" t="s">
        <v>2435</v>
      </c>
      <c r="AK1108" s="1759">
        <v>1388</v>
      </c>
      <c r="AL1108" s="1759" t="s">
        <v>610</v>
      </c>
      <c r="AM1108" s="1759">
        <v>757</v>
      </c>
      <c r="AN1108" s="1759" t="s">
        <v>5384</v>
      </c>
      <c r="AO1108" s="1764"/>
      <c r="AP1108" s="1759" t="s">
        <v>5375</v>
      </c>
      <c r="AQ1108" s="1759" t="s">
        <v>5376</v>
      </c>
      <c r="AR1108" s="1759" t="s">
        <v>2963</v>
      </c>
      <c r="AS1108" s="1759" t="s">
        <v>523</v>
      </c>
      <c r="AT1108" s="1759" t="s">
        <v>327</v>
      </c>
      <c r="AU1108" s="1763"/>
      <c r="AV1108" s="1763"/>
    </row>
    <row r="1109" spans="1:48" ht="25" hidden="1">
      <c r="A1109" s="1785" t="str">
        <f t="shared" si="176"/>
        <v>גמל</v>
      </c>
      <c r="B1109" s="1786">
        <f t="shared" si="177"/>
        <v>756</v>
      </c>
      <c r="C1109" s="1787">
        <v>28946</v>
      </c>
      <c r="D1109" s="1786" t="str">
        <f t="shared" si="178"/>
        <v>אלטשולר שחם יהלום מסלול כללי</v>
      </c>
      <c r="E1109" s="1786" t="s">
        <v>3929</v>
      </c>
      <c r="F1109" s="1786" t="s">
        <v>2958</v>
      </c>
      <c r="G1109" s="1786" t="s">
        <v>2959</v>
      </c>
      <c r="H1109" s="1786" t="str">
        <f t="shared" si="179"/>
        <v>לא פעיל</v>
      </c>
      <c r="I1109" s="1788">
        <f t="shared" si="180"/>
        <v>37228</v>
      </c>
      <c r="J1109" s="1788">
        <f t="shared" si="181"/>
        <v>41197.470659722203</v>
      </c>
      <c r="K1109" s="1786">
        <v>0</v>
      </c>
      <c r="L1109" s="1786" t="s">
        <v>1594</v>
      </c>
      <c r="M1109" s="1786" t="s">
        <v>1653</v>
      </c>
      <c r="N1109" s="1786" t="s">
        <v>1653</v>
      </c>
      <c r="O1109" s="1786">
        <v>0</v>
      </c>
      <c r="P1109" s="1786"/>
      <c r="Q1109" s="1786">
        <v>0</v>
      </c>
      <c r="R1109" s="1788"/>
      <c r="S1109" s="1786">
        <f t="shared" si="182"/>
        <v>756</v>
      </c>
      <c r="T1109" s="1786" t="str">
        <f t="shared" si="183"/>
        <v>הבנק הבינלאומי הראשון</v>
      </c>
      <c r="U1109" s="1786" t="str">
        <f t="shared" si="184"/>
        <v>אלטשולר שחם יהלום מסלול כללי</v>
      </c>
      <c r="V1109" s="1786" t="str">
        <f t="shared" si="185"/>
        <v>511446551</v>
      </c>
      <c r="W1109" s="1789" t="str">
        <f t="shared" si="186"/>
        <v>אלטשולר שחם גמל ופנסיה בע"מ</v>
      </c>
      <c r="AC1109" s="1761" t="s">
        <v>1586</v>
      </c>
      <c r="AD1109" s="1762">
        <v>41197.470659722203</v>
      </c>
      <c r="AE1109" s="1762">
        <v>37228</v>
      </c>
      <c r="AF1109" s="1761" t="s">
        <v>1583</v>
      </c>
      <c r="AG1109" s="1761" t="s">
        <v>1583</v>
      </c>
      <c r="AH1109" s="1761" t="s">
        <v>1583</v>
      </c>
      <c r="AI1109" s="1761" t="s">
        <v>609</v>
      </c>
      <c r="AJ1109" s="1761" t="s">
        <v>609</v>
      </c>
      <c r="AK1109" s="1761">
        <v>756</v>
      </c>
      <c r="AL1109" s="1761" t="s">
        <v>609</v>
      </c>
      <c r="AM1109" s="1761">
        <v>756</v>
      </c>
      <c r="AN1109" s="1761" t="s">
        <v>5384</v>
      </c>
      <c r="AO1109" s="1764"/>
      <c r="AP1109" s="1761" t="s">
        <v>5375</v>
      </c>
      <c r="AQ1109" s="1761" t="s">
        <v>5376</v>
      </c>
      <c r="AR1109" s="1761" t="s">
        <v>2963</v>
      </c>
      <c r="AS1109" s="1761" t="s">
        <v>523</v>
      </c>
      <c r="AT1109" s="1761" t="s">
        <v>327</v>
      </c>
      <c r="AU1109" s="1763"/>
      <c r="AV1109" s="1763"/>
    </row>
    <row r="1110" spans="1:48" ht="25" hidden="1">
      <c r="A1110" s="1785" t="str">
        <f t="shared" si="176"/>
        <v>גמל</v>
      </c>
      <c r="B1110" s="1786">
        <f t="shared" si="177"/>
        <v>1397</v>
      </c>
      <c r="C1110" s="1787">
        <v>28946</v>
      </c>
      <c r="D1110" s="1786" t="str">
        <f t="shared" si="178"/>
        <v>אלטשולר שחם יהלום מסלול אג"ח ממשלתי</v>
      </c>
      <c r="E1110" s="1786" t="s">
        <v>3929</v>
      </c>
      <c r="F1110" s="1786" t="s">
        <v>2958</v>
      </c>
      <c r="G1110" s="1786" t="s">
        <v>2959</v>
      </c>
      <c r="H1110" s="1786" t="str">
        <f t="shared" si="179"/>
        <v>לא פעיל</v>
      </c>
      <c r="I1110" s="1788">
        <f t="shared" si="180"/>
        <v>37228</v>
      </c>
      <c r="J1110" s="1788">
        <f t="shared" si="181"/>
        <v>41197.466736111099</v>
      </c>
      <c r="K1110" s="1786">
        <v>0</v>
      </c>
      <c r="L1110" s="1786" t="s">
        <v>1594</v>
      </c>
      <c r="M1110" s="1786" t="s">
        <v>1653</v>
      </c>
      <c r="N1110" s="1786" t="s">
        <v>1653</v>
      </c>
      <c r="O1110" s="1786">
        <v>0</v>
      </c>
      <c r="P1110" s="1786"/>
      <c r="Q1110" s="1786">
        <v>0</v>
      </c>
      <c r="R1110" s="1788"/>
      <c r="S1110" s="1786">
        <f t="shared" si="182"/>
        <v>756</v>
      </c>
      <c r="T1110" s="1786" t="str">
        <f t="shared" si="183"/>
        <v>הבנק הבינלאומי הראשון</v>
      </c>
      <c r="U1110" s="1786" t="str">
        <f t="shared" si="184"/>
        <v>אלטשולר שחם יהלום מסלול כללי</v>
      </c>
      <c r="V1110" s="1786" t="str">
        <f t="shared" si="185"/>
        <v>511446551</v>
      </c>
      <c r="W1110" s="1789" t="str">
        <f t="shared" si="186"/>
        <v>אלטשולר שחם גמל ופנסיה בע"מ</v>
      </c>
      <c r="AC1110" s="1759" t="s">
        <v>1586</v>
      </c>
      <c r="AD1110" s="1760">
        <v>41197.466736111099</v>
      </c>
      <c r="AE1110" s="1760">
        <v>37228</v>
      </c>
      <c r="AF1110" s="1759" t="s">
        <v>2009</v>
      </c>
      <c r="AG1110" s="1759" t="s">
        <v>1653</v>
      </c>
      <c r="AH1110" s="1759" t="s">
        <v>1594</v>
      </c>
      <c r="AI1110" s="1759" t="s">
        <v>2442</v>
      </c>
      <c r="AJ1110" s="1759" t="s">
        <v>2442</v>
      </c>
      <c r="AK1110" s="1759">
        <v>1397</v>
      </c>
      <c r="AL1110" s="1759" t="s">
        <v>609</v>
      </c>
      <c r="AM1110" s="1759">
        <v>756</v>
      </c>
      <c r="AN1110" s="1759" t="s">
        <v>5384</v>
      </c>
      <c r="AO1110" s="1764"/>
      <c r="AP1110" s="1759" t="s">
        <v>5375</v>
      </c>
      <c r="AQ1110" s="1759" t="s">
        <v>5376</v>
      </c>
      <c r="AR1110" s="1759" t="s">
        <v>2963</v>
      </c>
      <c r="AS1110" s="1759" t="s">
        <v>523</v>
      </c>
      <c r="AT1110" s="1759" t="s">
        <v>327</v>
      </c>
      <c r="AU1110" s="1763"/>
      <c r="AV1110" s="1763"/>
    </row>
    <row r="1111" spans="1:48" ht="25" hidden="1">
      <c r="A1111" s="1785" t="str">
        <f t="shared" ref="A1111:A1174" si="187">AT1111</f>
        <v>גמל</v>
      </c>
      <c r="B1111" s="1786">
        <f t="shared" ref="B1111:B1174" si="188">AK1111</f>
        <v>1396</v>
      </c>
      <c r="C1111" s="1787">
        <v>28946</v>
      </c>
      <c r="D1111" s="1786" t="str">
        <f t="shared" ref="D1111:D1174" si="189">AJ1111</f>
        <v>אלטשולר שחם יהלום מסלול שקלי</v>
      </c>
      <c r="E1111" s="1786" t="s">
        <v>3929</v>
      </c>
      <c r="F1111" s="1786" t="s">
        <v>2958</v>
      </c>
      <c r="G1111" s="1786" t="s">
        <v>2959</v>
      </c>
      <c r="H1111" s="1786" t="str">
        <f t="shared" ref="H1111:H1174" si="190">AC1111</f>
        <v>לא פעיל</v>
      </c>
      <c r="I1111" s="1788">
        <f t="shared" ref="I1111:I1174" si="191">IF(AE1111="","",AE1111)</f>
        <v>37228</v>
      </c>
      <c r="J1111" s="1788">
        <f t="shared" ref="J1111:J1174" si="192">IF(AD1111="","",AD1111)</f>
        <v>41197.4668634259</v>
      </c>
      <c r="K1111" s="1786">
        <v>0</v>
      </c>
      <c r="L1111" s="1786" t="s">
        <v>1594</v>
      </c>
      <c r="M1111" s="1786" t="s">
        <v>1653</v>
      </c>
      <c r="N1111" s="1786" t="s">
        <v>1653</v>
      </c>
      <c r="O1111" s="1786">
        <v>0</v>
      </c>
      <c r="P1111" s="1786"/>
      <c r="Q1111" s="1786">
        <v>0</v>
      </c>
      <c r="R1111" s="1788"/>
      <c r="S1111" s="1786">
        <f t="shared" ref="S1111:S1174" si="193">AM1111</f>
        <v>756</v>
      </c>
      <c r="T1111" s="1786" t="str">
        <f t="shared" ref="T1111:T1174" si="194">AN1111</f>
        <v>הבנק הבינלאומי הראשון</v>
      </c>
      <c r="U1111" s="1786" t="str">
        <f t="shared" ref="U1111:U1174" si="195">AL1111</f>
        <v>אלטשולר שחם יהלום מסלול כללי</v>
      </c>
      <c r="V1111" s="1786" t="str">
        <f t="shared" ref="V1111:V1174" si="196">AQ1111</f>
        <v>511446551</v>
      </c>
      <c r="W1111" s="1789" t="str">
        <f t="shared" ref="W1111:W1174" si="197">AR1111</f>
        <v>אלטשולר שחם גמל ופנסיה בע"מ</v>
      </c>
      <c r="AC1111" s="1761" t="s">
        <v>1586</v>
      </c>
      <c r="AD1111" s="1762">
        <v>41197.4668634259</v>
      </c>
      <c r="AE1111" s="1762">
        <v>37228</v>
      </c>
      <c r="AF1111" s="1761" t="s">
        <v>1076</v>
      </c>
      <c r="AG1111" s="1761" t="s">
        <v>1614</v>
      </c>
      <c r="AH1111" s="1761" t="s">
        <v>1594</v>
      </c>
      <c r="AI1111" s="1761" t="s">
        <v>2441</v>
      </c>
      <c r="AJ1111" s="1761" t="s">
        <v>2441</v>
      </c>
      <c r="AK1111" s="1761">
        <v>1396</v>
      </c>
      <c r="AL1111" s="1761" t="s">
        <v>609</v>
      </c>
      <c r="AM1111" s="1761">
        <v>756</v>
      </c>
      <c r="AN1111" s="1761" t="s">
        <v>5384</v>
      </c>
      <c r="AO1111" s="1764"/>
      <c r="AP1111" s="1761" t="s">
        <v>5375</v>
      </c>
      <c r="AQ1111" s="1761" t="s">
        <v>5376</v>
      </c>
      <c r="AR1111" s="1761" t="s">
        <v>2963</v>
      </c>
      <c r="AS1111" s="1761" t="s">
        <v>523</v>
      </c>
      <c r="AT1111" s="1761" t="s">
        <v>327</v>
      </c>
      <c r="AU1111" s="1763"/>
      <c r="AV1111" s="1763"/>
    </row>
    <row r="1112" spans="1:48" ht="25" hidden="1">
      <c r="A1112" s="1785" t="str">
        <f t="shared" si="187"/>
        <v>גמל</v>
      </c>
      <c r="B1112" s="1786">
        <f t="shared" si="188"/>
        <v>755</v>
      </c>
      <c r="C1112" s="1787">
        <v>28946</v>
      </c>
      <c r="D1112" s="1786" t="str">
        <f t="shared" si="189"/>
        <v>אלטשולר שחם ברקת</v>
      </c>
      <c r="E1112" s="1786" t="s">
        <v>3929</v>
      </c>
      <c r="F1112" s="1786" t="s">
        <v>2958</v>
      </c>
      <c r="G1112" s="1786" t="s">
        <v>2959</v>
      </c>
      <c r="H1112" s="1786" t="str">
        <f t="shared" si="190"/>
        <v>לא פעיל</v>
      </c>
      <c r="I1112" s="1788">
        <f t="shared" si="191"/>
        <v>37228</v>
      </c>
      <c r="J1112" s="1788">
        <f t="shared" si="192"/>
        <v>40178</v>
      </c>
      <c r="K1112" s="1786">
        <v>0</v>
      </c>
      <c r="L1112" s="1786" t="s">
        <v>1594</v>
      </c>
      <c r="M1112" s="1786" t="s">
        <v>1653</v>
      </c>
      <c r="N1112" s="1786" t="s">
        <v>1653</v>
      </c>
      <c r="O1112" s="1786">
        <v>0</v>
      </c>
      <c r="P1112" s="1786"/>
      <c r="Q1112" s="1786">
        <v>0</v>
      </c>
      <c r="R1112" s="1788"/>
      <c r="S1112" s="1786">
        <f t="shared" si="193"/>
        <v>755</v>
      </c>
      <c r="T1112" s="1786" t="str">
        <f t="shared" si="194"/>
        <v>בנק הפועלים בע"מ</v>
      </c>
      <c r="U1112" s="1786" t="str">
        <f t="shared" si="195"/>
        <v>אלטשולר שחם ברקת</v>
      </c>
      <c r="V1112" s="1786" t="str">
        <f t="shared" si="196"/>
        <v>511446551</v>
      </c>
      <c r="W1112" s="1789" t="str">
        <f t="shared" si="197"/>
        <v>אלטשולר שחם גמל ופנסיה בע"מ</v>
      </c>
      <c r="AC1112" s="1759" t="s">
        <v>1586</v>
      </c>
      <c r="AD1112" s="1760">
        <v>40178</v>
      </c>
      <c r="AE1112" s="1760">
        <v>37228</v>
      </c>
      <c r="AF1112" s="1759" t="s">
        <v>1595</v>
      </c>
      <c r="AG1112" s="1759" t="s">
        <v>75</v>
      </c>
      <c r="AH1112" s="1759" t="s">
        <v>1594</v>
      </c>
      <c r="AI1112" s="1759" t="s">
        <v>2021</v>
      </c>
      <c r="AJ1112" s="1759" t="s">
        <v>2021</v>
      </c>
      <c r="AK1112" s="1759">
        <v>755</v>
      </c>
      <c r="AL1112" s="1759" t="s">
        <v>2021</v>
      </c>
      <c r="AM1112" s="1759">
        <v>755</v>
      </c>
      <c r="AN1112" s="1759" t="s">
        <v>1695</v>
      </c>
      <c r="AO1112" s="1764"/>
      <c r="AP1112" s="1759" t="s">
        <v>5375</v>
      </c>
      <c r="AQ1112" s="1759" t="s">
        <v>5376</v>
      </c>
      <c r="AR1112" s="1759" t="s">
        <v>2963</v>
      </c>
      <c r="AS1112" s="1759" t="s">
        <v>523</v>
      </c>
      <c r="AT1112" s="1759" t="s">
        <v>327</v>
      </c>
      <c r="AU1112" s="1763"/>
      <c r="AV1112" s="1763"/>
    </row>
    <row r="1113" spans="1:48" ht="25" hidden="1">
      <c r="A1113" s="1785" t="str">
        <f t="shared" si="187"/>
        <v>גמל</v>
      </c>
      <c r="B1113" s="1786">
        <f t="shared" si="188"/>
        <v>754</v>
      </c>
      <c r="C1113" s="1787">
        <v>28946</v>
      </c>
      <c r="D1113" s="1786" t="str">
        <f t="shared" si="189"/>
        <v>אלטשולר שחם קופה מרכזית לפיצויים</v>
      </c>
      <c r="E1113" s="1786" t="s">
        <v>3929</v>
      </c>
      <c r="F1113" s="1786" t="s">
        <v>2958</v>
      </c>
      <c r="G1113" s="1786" t="s">
        <v>2959</v>
      </c>
      <c r="H1113" s="1786" t="str">
        <f t="shared" si="190"/>
        <v>לא פעיל</v>
      </c>
      <c r="I1113" s="1788">
        <f t="shared" si="191"/>
        <v>37228</v>
      </c>
      <c r="J1113" s="1788">
        <f t="shared" si="192"/>
        <v>41197.473773148202</v>
      </c>
      <c r="K1113" s="1786">
        <v>0</v>
      </c>
      <c r="L1113" s="1786" t="s">
        <v>1594</v>
      </c>
      <c r="M1113" s="1786" t="s">
        <v>1653</v>
      </c>
      <c r="N1113" s="1786" t="s">
        <v>1653</v>
      </c>
      <c r="O1113" s="1786">
        <v>0</v>
      </c>
      <c r="P1113" s="1786"/>
      <c r="Q1113" s="1786">
        <v>0</v>
      </c>
      <c r="R1113" s="1788"/>
      <c r="S1113" s="1786">
        <f t="shared" si="193"/>
        <v>754</v>
      </c>
      <c r="T1113" s="1786" t="str">
        <f t="shared" si="194"/>
        <v>הבנק הבינלאומי הראשון</v>
      </c>
      <c r="U1113" s="1786" t="str">
        <f t="shared" si="195"/>
        <v>אלטשולר שחם קופה מרכזית לפיצויים</v>
      </c>
      <c r="V1113" s="1786" t="str">
        <f t="shared" si="196"/>
        <v>511446551</v>
      </c>
      <c r="W1113" s="1789" t="str">
        <f t="shared" si="197"/>
        <v>אלטשולר שחם גמל ופנסיה בע"מ</v>
      </c>
      <c r="AC1113" s="1761" t="s">
        <v>1586</v>
      </c>
      <c r="AD1113" s="1762">
        <v>41197.473773148202</v>
      </c>
      <c r="AE1113" s="1762">
        <v>37228</v>
      </c>
      <c r="AF1113" s="1761" t="s">
        <v>1583</v>
      </c>
      <c r="AG1113" s="1761" t="s">
        <v>1583</v>
      </c>
      <c r="AH1113" s="1761" t="s">
        <v>1583</v>
      </c>
      <c r="AI1113" s="1761" t="s">
        <v>3296</v>
      </c>
      <c r="AJ1113" s="1761" t="s">
        <v>608</v>
      </c>
      <c r="AK1113" s="1761">
        <v>754</v>
      </c>
      <c r="AL1113" s="1761" t="s">
        <v>608</v>
      </c>
      <c r="AM1113" s="1761">
        <v>754</v>
      </c>
      <c r="AN1113" s="1761" t="s">
        <v>5384</v>
      </c>
      <c r="AO1113" s="1764"/>
      <c r="AP1113" s="1761" t="s">
        <v>5375</v>
      </c>
      <c r="AQ1113" s="1761" t="s">
        <v>5376</v>
      </c>
      <c r="AR1113" s="1761" t="s">
        <v>2963</v>
      </c>
      <c r="AS1113" s="1761" t="s">
        <v>523</v>
      </c>
      <c r="AT1113" s="1761" t="s">
        <v>327</v>
      </c>
      <c r="AU1113" s="1763"/>
      <c r="AV1113" s="1763"/>
    </row>
    <row r="1114" spans="1:48" ht="25" hidden="1">
      <c r="A1114" s="1785" t="str">
        <f t="shared" si="187"/>
        <v>גמל</v>
      </c>
      <c r="B1114" s="1786">
        <f t="shared" si="188"/>
        <v>753</v>
      </c>
      <c r="C1114" s="1787">
        <v>28946</v>
      </c>
      <c r="D1114" s="1786" t="str">
        <f t="shared" si="189"/>
        <v>אומגה קופת תגמולים ופיצויים</v>
      </c>
      <c r="E1114" s="1786" t="s">
        <v>3929</v>
      </c>
      <c r="F1114" s="1786" t="s">
        <v>2958</v>
      </c>
      <c r="G1114" s="1786" t="s">
        <v>2959</v>
      </c>
      <c r="H1114" s="1786" t="str">
        <f t="shared" si="190"/>
        <v>לא פעיל</v>
      </c>
      <c r="I1114" s="1788">
        <f t="shared" si="191"/>
        <v>37228</v>
      </c>
      <c r="J1114" s="1788">
        <f t="shared" si="192"/>
        <v>37740.495543981502</v>
      </c>
      <c r="K1114" s="1786">
        <v>0</v>
      </c>
      <c r="L1114" s="1786" t="s">
        <v>1594</v>
      </c>
      <c r="M1114" s="1786" t="s">
        <v>1653</v>
      </c>
      <c r="N1114" s="1786" t="s">
        <v>1653</v>
      </c>
      <c r="O1114" s="1786">
        <v>0</v>
      </c>
      <c r="P1114" s="1786"/>
      <c r="Q1114" s="1786">
        <v>0</v>
      </c>
      <c r="R1114" s="1788"/>
      <c r="S1114" s="1786">
        <f t="shared" si="193"/>
        <v>753</v>
      </c>
      <c r="T1114" s="1786">
        <f t="shared" si="194"/>
        <v>0</v>
      </c>
      <c r="U1114" s="1786" t="str">
        <f t="shared" si="195"/>
        <v>אומגה קופת תגמולים ופיצויים</v>
      </c>
      <c r="V1114" s="1786">
        <f t="shared" si="196"/>
        <v>0</v>
      </c>
      <c r="W1114" s="1789" t="str">
        <f t="shared" si="197"/>
        <v>אומגה קופות גמל בע"מ</v>
      </c>
      <c r="AC1114" s="1759" t="s">
        <v>1586</v>
      </c>
      <c r="AD1114" s="1760">
        <v>37740.495543981502</v>
      </c>
      <c r="AE1114" s="1760">
        <v>37228</v>
      </c>
      <c r="AF1114" s="1759" t="s">
        <v>1583</v>
      </c>
      <c r="AG1114" s="1759" t="s">
        <v>1583</v>
      </c>
      <c r="AH1114" s="1759" t="s">
        <v>1583</v>
      </c>
      <c r="AI1114" s="1759" t="s">
        <v>3295</v>
      </c>
      <c r="AJ1114" s="1759" t="s">
        <v>2020</v>
      </c>
      <c r="AK1114" s="1759">
        <v>753</v>
      </c>
      <c r="AL1114" s="1759" t="s">
        <v>2020</v>
      </c>
      <c r="AM1114" s="1759">
        <v>753</v>
      </c>
      <c r="AN1114" s="1759"/>
      <c r="AO1114" s="1764"/>
      <c r="AP1114" s="1759"/>
      <c r="AQ1114" s="1759"/>
      <c r="AR1114" s="1759" t="s">
        <v>2018</v>
      </c>
      <c r="AS1114" s="1759" t="s">
        <v>1920</v>
      </c>
      <c r="AT1114" s="1759" t="s">
        <v>327</v>
      </c>
      <c r="AU1114" s="1763"/>
      <c r="AV1114" s="1763"/>
    </row>
    <row r="1115" spans="1:48" ht="25" hidden="1">
      <c r="A1115" s="1785" t="str">
        <f t="shared" si="187"/>
        <v>גמל</v>
      </c>
      <c r="B1115" s="1786">
        <f t="shared" si="188"/>
        <v>752</v>
      </c>
      <c r="C1115" s="1787">
        <v>28946</v>
      </c>
      <c r="D1115" s="1786" t="str">
        <f t="shared" si="189"/>
        <v>אומגה קרן השתלמות לשכירים ולעצמאיים</v>
      </c>
      <c r="E1115" s="1786" t="s">
        <v>3929</v>
      </c>
      <c r="F1115" s="1786" t="s">
        <v>2958</v>
      </c>
      <c r="G1115" s="1786" t="s">
        <v>2959</v>
      </c>
      <c r="H1115" s="1786" t="str">
        <f t="shared" si="190"/>
        <v>לא פעיל</v>
      </c>
      <c r="I1115" s="1788">
        <f t="shared" si="191"/>
        <v>37228</v>
      </c>
      <c r="J1115" s="1788">
        <f t="shared" si="192"/>
        <v>37740.495381944398</v>
      </c>
      <c r="K1115" s="1786">
        <v>0</v>
      </c>
      <c r="L1115" s="1786" t="s">
        <v>1594</v>
      </c>
      <c r="M1115" s="1786" t="s">
        <v>1653</v>
      </c>
      <c r="N1115" s="1786" t="s">
        <v>1653</v>
      </c>
      <c r="O1115" s="1786">
        <v>0</v>
      </c>
      <c r="P1115" s="1786"/>
      <c r="Q1115" s="1786">
        <v>0</v>
      </c>
      <c r="R1115" s="1788"/>
      <c r="S1115" s="1786">
        <f t="shared" si="193"/>
        <v>752</v>
      </c>
      <c r="T1115" s="1786">
        <f t="shared" si="194"/>
        <v>0</v>
      </c>
      <c r="U1115" s="1786" t="str">
        <f t="shared" si="195"/>
        <v>אומגה קרן השתלמות לשכירים ולעצמאיים</v>
      </c>
      <c r="V1115" s="1786">
        <f t="shared" si="196"/>
        <v>0</v>
      </c>
      <c r="W1115" s="1789" t="str">
        <f t="shared" si="197"/>
        <v>אומגה קופות גמל בע"מ</v>
      </c>
      <c r="AC1115" s="1761" t="s">
        <v>1586</v>
      </c>
      <c r="AD1115" s="1762">
        <v>37740.495381944398</v>
      </c>
      <c r="AE1115" s="1762">
        <v>37228</v>
      </c>
      <c r="AF1115" s="1761" t="s">
        <v>1583</v>
      </c>
      <c r="AG1115" s="1761" t="s">
        <v>1583</v>
      </c>
      <c r="AH1115" s="1761" t="s">
        <v>1583</v>
      </c>
      <c r="AI1115" s="1761" t="s">
        <v>3294</v>
      </c>
      <c r="AJ1115" s="1761" t="s">
        <v>2019</v>
      </c>
      <c r="AK1115" s="1761">
        <v>752</v>
      </c>
      <c r="AL1115" s="1761" t="s">
        <v>2019</v>
      </c>
      <c r="AM1115" s="1761">
        <v>752</v>
      </c>
      <c r="AN1115" s="1761"/>
      <c r="AO1115" s="1764"/>
      <c r="AP1115" s="1761"/>
      <c r="AQ1115" s="1761"/>
      <c r="AR1115" s="1761" t="s">
        <v>2018</v>
      </c>
      <c r="AS1115" s="1761" t="s">
        <v>1920</v>
      </c>
      <c r="AT1115" s="1761" t="s">
        <v>327</v>
      </c>
      <c r="AU1115" s="1763"/>
      <c r="AV1115" s="1763"/>
    </row>
    <row r="1116" spans="1:48" ht="25" hidden="1">
      <c r="A1116" s="1785" t="str">
        <f t="shared" si="187"/>
        <v>גמל</v>
      </c>
      <c r="B1116" s="1786">
        <f t="shared" si="188"/>
        <v>751</v>
      </c>
      <c r="C1116" s="1787">
        <v>28946</v>
      </c>
      <c r="D1116" s="1786" t="str">
        <f t="shared" si="189"/>
        <v>אומגה קופת פיצויים מרכזית</v>
      </c>
      <c r="E1116" s="1786" t="s">
        <v>3929</v>
      </c>
      <c r="F1116" s="1786" t="s">
        <v>2958</v>
      </c>
      <c r="G1116" s="1786" t="s">
        <v>2959</v>
      </c>
      <c r="H1116" s="1786" t="str">
        <f t="shared" si="190"/>
        <v>לא פעיל</v>
      </c>
      <c r="I1116" s="1788">
        <f t="shared" si="191"/>
        <v>37228</v>
      </c>
      <c r="J1116" s="1788">
        <f t="shared" si="192"/>
        <v>37740.495196759301</v>
      </c>
      <c r="K1116" s="1786">
        <v>0</v>
      </c>
      <c r="L1116" s="1786" t="s">
        <v>1594</v>
      </c>
      <c r="M1116" s="1786" t="s">
        <v>1653</v>
      </c>
      <c r="N1116" s="1786" t="s">
        <v>1653</v>
      </c>
      <c r="O1116" s="1786">
        <v>0</v>
      </c>
      <c r="P1116" s="1786"/>
      <c r="Q1116" s="1786">
        <v>0</v>
      </c>
      <c r="R1116" s="1788"/>
      <c r="S1116" s="1786">
        <f t="shared" si="193"/>
        <v>751</v>
      </c>
      <c r="T1116" s="1786">
        <f t="shared" si="194"/>
        <v>0</v>
      </c>
      <c r="U1116" s="1786" t="str">
        <f t="shared" si="195"/>
        <v>אומגה קופת פיצויים מרכזית</v>
      </c>
      <c r="V1116" s="1786">
        <f t="shared" si="196"/>
        <v>0</v>
      </c>
      <c r="W1116" s="1789" t="str">
        <f t="shared" si="197"/>
        <v>אומגה קופות גמל בע"מ</v>
      </c>
      <c r="AC1116" s="1759" t="s">
        <v>1586</v>
      </c>
      <c r="AD1116" s="1760">
        <v>37740.495196759301</v>
      </c>
      <c r="AE1116" s="1760">
        <v>37228</v>
      </c>
      <c r="AF1116" s="1759" t="s">
        <v>1583</v>
      </c>
      <c r="AG1116" s="1759" t="s">
        <v>1583</v>
      </c>
      <c r="AH1116" s="1759" t="s">
        <v>1583</v>
      </c>
      <c r="AI1116" s="1759" t="s">
        <v>3293</v>
      </c>
      <c r="AJ1116" s="1759" t="s">
        <v>2017</v>
      </c>
      <c r="AK1116" s="1759">
        <v>751</v>
      </c>
      <c r="AL1116" s="1759" t="s">
        <v>2017</v>
      </c>
      <c r="AM1116" s="1759">
        <v>751</v>
      </c>
      <c r="AN1116" s="1759"/>
      <c r="AO1116" s="1764"/>
      <c r="AP1116" s="1759"/>
      <c r="AQ1116" s="1759"/>
      <c r="AR1116" s="1759" t="s">
        <v>2018</v>
      </c>
      <c r="AS1116" s="1759" t="s">
        <v>1920</v>
      </c>
      <c r="AT1116" s="1759" t="s">
        <v>327</v>
      </c>
      <c r="AU1116" s="1763"/>
      <c r="AV1116" s="1763"/>
    </row>
    <row r="1117" spans="1:48" ht="37.5" hidden="1">
      <c r="A1117" s="1785" t="str">
        <f t="shared" si="187"/>
        <v>גמל</v>
      </c>
      <c r="B1117" s="1786">
        <f t="shared" si="188"/>
        <v>750</v>
      </c>
      <c r="C1117" s="1787">
        <v>28946</v>
      </c>
      <c r="D1117" s="1786" t="str">
        <f t="shared" si="189"/>
        <v>קרן השתלמות לשכירים ועצמאיים של הפניקס הישראלי</v>
      </c>
      <c r="E1117" s="1786" t="s">
        <v>3929</v>
      </c>
      <c r="F1117" s="1786" t="s">
        <v>2958</v>
      </c>
      <c r="G1117" s="1786" t="s">
        <v>2959</v>
      </c>
      <c r="H1117" s="1786" t="str">
        <f t="shared" si="190"/>
        <v>לא פעיל</v>
      </c>
      <c r="I1117" s="1788">
        <f t="shared" si="191"/>
        <v>37228</v>
      </c>
      <c r="J1117" s="1788">
        <f t="shared" si="192"/>
        <v>37798.658425925903</v>
      </c>
      <c r="K1117" s="1786">
        <v>0</v>
      </c>
      <c r="L1117" s="1786" t="s">
        <v>1594</v>
      </c>
      <c r="M1117" s="1786" t="s">
        <v>1653</v>
      </c>
      <c r="N1117" s="1786" t="s">
        <v>1653</v>
      </c>
      <c r="O1117" s="1786">
        <v>0</v>
      </c>
      <c r="P1117" s="1786"/>
      <c r="Q1117" s="1786">
        <v>0</v>
      </c>
      <c r="R1117" s="1788"/>
      <c r="S1117" s="1786">
        <f t="shared" si="193"/>
        <v>750</v>
      </c>
      <c r="T1117" s="1786">
        <f t="shared" si="194"/>
        <v>0</v>
      </c>
      <c r="U1117" s="1786" t="str">
        <f t="shared" si="195"/>
        <v>קרן השתלמות לשכירים ועצמאיים של הפניקס הישראלי</v>
      </c>
      <c r="V1117" s="1786">
        <f t="shared" si="196"/>
        <v>0</v>
      </c>
      <c r="W1117" s="1789" t="str">
        <f t="shared" si="197"/>
        <v>הפניקס ניהול קופות גמל בע"מ</v>
      </c>
      <c r="AC1117" s="1761" t="s">
        <v>1586</v>
      </c>
      <c r="AD1117" s="1762">
        <v>37798.658425925903</v>
      </c>
      <c r="AE1117" s="1762">
        <v>37228</v>
      </c>
      <c r="AF1117" s="1761" t="s">
        <v>1583</v>
      </c>
      <c r="AG1117" s="1761" t="s">
        <v>1583</v>
      </c>
      <c r="AH1117" s="1761" t="s">
        <v>1583</v>
      </c>
      <c r="AI1117" s="1761" t="s">
        <v>3292</v>
      </c>
      <c r="AJ1117" s="1761" t="s">
        <v>2015</v>
      </c>
      <c r="AK1117" s="1761">
        <v>750</v>
      </c>
      <c r="AL1117" s="1761" t="s">
        <v>2015</v>
      </c>
      <c r="AM1117" s="1761">
        <v>750</v>
      </c>
      <c r="AN1117" s="1761"/>
      <c r="AO1117" s="1764"/>
      <c r="AP1117" s="1761"/>
      <c r="AQ1117" s="1761"/>
      <c r="AR1117" s="1761" t="s">
        <v>2016</v>
      </c>
      <c r="AS1117" s="1761"/>
      <c r="AT1117" s="1761" t="s">
        <v>327</v>
      </c>
      <c r="AU1117" s="1763"/>
      <c r="AV1117" s="1763"/>
    </row>
    <row r="1118" spans="1:48" ht="25" hidden="1">
      <c r="A1118" s="1785" t="str">
        <f t="shared" si="187"/>
        <v>גמל</v>
      </c>
      <c r="B1118" s="1786">
        <f t="shared" si="188"/>
        <v>749</v>
      </c>
      <c r="C1118" s="1787">
        <v>28946</v>
      </c>
      <c r="D1118" s="1786" t="str">
        <f t="shared" si="189"/>
        <v>איפקס השתלמות כללי</v>
      </c>
      <c r="E1118" s="1786" t="s">
        <v>3929</v>
      </c>
      <c r="F1118" s="1786" t="s">
        <v>2958</v>
      </c>
      <c r="G1118" s="1786" t="s">
        <v>2959</v>
      </c>
      <c r="H1118" s="1786" t="str">
        <f t="shared" si="190"/>
        <v>לא פעיל</v>
      </c>
      <c r="I1118" s="1788">
        <f t="shared" si="191"/>
        <v>37226</v>
      </c>
      <c r="J1118" s="1788">
        <f t="shared" si="192"/>
        <v>41828.559074074103</v>
      </c>
      <c r="K1118" s="1786">
        <v>0</v>
      </c>
      <c r="L1118" s="1786" t="s">
        <v>1594</v>
      </c>
      <c r="M1118" s="1786" t="s">
        <v>1653</v>
      </c>
      <c r="N1118" s="1786" t="s">
        <v>1653</v>
      </c>
      <c r="O1118" s="1786">
        <v>0</v>
      </c>
      <c r="P1118" s="1786"/>
      <c r="Q1118" s="1786">
        <v>0</v>
      </c>
      <c r="R1118" s="1788"/>
      <c r="S1118" s="1786">
        <f t="shared" si="193"/>
        <v>749</v>
      </c>
      <c r="T1118" s="1786" t="str">
        <f t="shared" si="194"/>
        <v>בנק הפועלים בע"מ</v>
      </c>
      <c r="U1118" s="1786" t="str">
        <f t="shared" si="195"/>
        <v>איפקס קרן השתלמות</v>
      </c>
      <c r="V1118" s="1786" t="str">
        <f t="shared" si="196"/>
        <v>520043795</v>
      </c>
      <c r="W1118" s="1789" t="str">
        <f t="shared" si="197"/>
        <v>מיטב דש גמל ופנסיה בע"מ</v>
      </c>
      <c r="AC1118" s="1759" t="s">
        <v>1586</v>
      </c>
      <c r="AD1118" s="1760">
        <v>41828.559074074103</v>
      </c>
      <c r="AE1118" s="1760">
        <v>37226</v>
      </c>
      <c r="AF1118" s="1759" t="s">
        <v>1583</v>
      </c>
      <c r="AG1118" s="1759" t="s">
        <v>1583</v>
      </c>
      <c r="AH1118" s="1759" t="s">
        <v>1583</v>
      </c>
      <c r="AI1118" s="1759" t="s">
        <v>2014</v>
      </c>
      <c r="AJ1118" s="1759" t="s">
        <v>2014</v>
      </c>
      <c r="AK1118" s="1759">
        <v>749</v>
      </c>
      <c r="AL1118" s="1759" t="s">
        <v>607</v>
      </c>
      <c r="AM1118" s="1759">
        <v>749</v>
      </c>
      <c r="AN1118" s="1759" t="s">
        <v>1695</v>
      </c>
      <c r="AO1118" s="1764"/>
      <c r="AP1118" s="1759" t="s">
        <v>5373</v>
      </c>
      <c r="AQ1118" s="1759" t="s">
        <v>5374</v>
      </c>
      <c r="AR1118" s="1759" t="s">
        <v>2899</v>
      </c>
      <c r="AS1118" s="1759" t="s">
        <v>349</v>
      </c>
      <c r="AT1118" s="1759" t="s">
        <v>327</v>
      </c>
      <c r="AU1118" s="1763"/>
      <c r="AV1118" s="1763"/>
    </row>
    <row r="1119" spans="1:48" ht="25" hidden="1">
      <c r="A1119" s="1785" t="str">
        <f t="shared" si="187"/>
        <v>גמל</v>
      </c>
      <c r="B1119" s="1786">
        <f t="shared" si="188"/>
        <v>749</v>
      </c>
      <c r="C1119" s="1787">
        <v>28946</v>
      </c>
      <c r="D1119" s="1786" t="str">
        <f t="shared" si="189"/>
        <v>איפקס השתלמות כללי</v>
      </c>
      <c r="E1119" s="1786" t="s">
        <v>3929</v>
      </c>
      <c r="F1119" s="1786" t="s">
        <v>2958</v>
      </c>
      <c r="G1119" s="1786" t="s">
        <v>2959</v>
      </c>
      <c r="H1119" s="1786" t="str">
        <f t="shared" si="190"/>
        <v>לא פעיל</v>
      </c>
      <c r="I1119" s="1788">
        <f t="shared" si="191"/>
        <v>37226</v>
      </c>
      <c r="J1119" s="1788">
        <f t="shared" si="192"/>
        <v>41828.559074074103</v>
      </c>
      <c r="K1119" s="1786">
        <v>0</v>
      </c>
      <c r="L1119" s="1786" t="s">
        <v>1594</v>
      </c>
      <c r="M1119" s="1786" t="s">
        <v>1653</v>
      </c>
      <c r="N1119" s="1786" t="s">
        <v>1653</v>
      </c>
      <c r="O1119" s="1786">
        <v>0</v>
      </c>
      <c r="P1119" s="1786"/>
      <c r="Q1119" s="1786">
        <v>0</v>
      </c>
      <c r="R1119" s="1788"/>
      <c r="S1119" s="1786">
        <f t="shared" si="193"/>
        <v>749</v>
      </c>
      <c r="T1119" s="1786" t="str">
        <f t="shared" si="194"/>
        <v>בנק הפועלים בע"מ</v>
      </c>
      <c r="U1119" s="1786" t="str">
        <f t="shared" si="195"/>
        <v>איפקס קרן השתלמות</v>
      </c>
      <c r="V1119" s="1786" t="str">
        <f t="shared" si="196"/>
        <v>520043795</v>
      </c>
      <c r="W1119" s="1789" t="str">
        <f t="shared" si="197"/>
        <v>מיטב דש גמל ופנסיה בע"מ</v>
      </c>
      <c r="AC1119" s="1761" t="s">
        <v>1586</v>
      </c>
      <c r="AD1119" s="1762">
        <v>41828.559074074103</v>
      </c>
      <c r="AE1119" s="1762">
        <v>37226</v>
      </c>
      <c r="AF1119" s="1761" t="s">
        <v>1583</v>
      </c>
      <c r="AG1119" s="1761" t="s">
        <v>1583</v>
      </c>
      <c r="AH1119" s="1761" t="s">
        <v>1583</v>
      </c>
      <c r="AI1119" s="1761" t="s">
        <v>2014</v>
      </c>
      <c r="AJ1119" s="1761" t="s">
        <v>2014</v>
      </c>
      <c r="AK1119" s="1761">
        <v>749</v>
      </c>
      <c r="AL1119" s="1761" t="s">
        <v>607</v>
      </c>
      <c r="AM1119" s="1761">
        <v>749</v>
      </c>
      <c r="AN1119" s="1761" t="s">
        <v>1695</v>
      </c>
      <c r="AO1119" s="1764"/>
      <c r="AP1119" s="1761" t="s">
        <v>5373</v>
      </c>
      <c r="AQ1119" s="1761" t="s">
        <v>5374</v>
      </c>
      <c r="AR1119" s="1761" t="s">
        <v>2899</v>
      </c>
      <c r="AS1119" s="1761" t="s">
        <v>349</v>
      </c>
      <c r="AT1119" s="1761" t="s">
        <v>327</v>
      </c>
      <c r="AU1119" s="1763"/>
      <c r="AV1119" s="1763"/>
    </row>
    <row r="1120" spans="1:48" ht="25" hidden="1">
      <c r="A1120" s="1785" t="str">
        <f t="shared" si="187"/>
        <v>גמל</v>
      </c>
      <c r="B1120" s="1786">
        <f t="shared" si="188"/>
        <v>2021</v>
      </c>
      <c r="C1120" s="1787">
        <v>28946</v>
      </c>
      <c r="D1120" s="1786" t="str">
        <f t="shared" si="189"/>
        <v>איפקס השתלמות אג"ח ממשלתי</v>
      </c>
      <c r="E1120" s="1786" t="s">
        <v>3929</v>
      </c>
      <c r="F1120" s="1786" t="s">
        <v>2958</v>
      </c>
      <c r="G1120" s="1786" t="s">
        <v>2959</v>
      </c>
      <c r="H1120" s="1786" t="str">
        <f t="shared" si="190"/>
        <v>לא פעיל</v>
      </c>
      <c r="I1120" s="1788">
        <f t="shared" si="191"/>
        <v>37226</v>
      </c>
      <c r="J1120" s="1788">
        <f t="shared" si="192"/>
        <v>41828.605821759302</v>
      </c>
      <c r="K1120" s="1786">
        <v>0</v>
      </c>
      <c r="L1120" s="1786" t="s">
        <v>1594</v>
      </c>
      <c r="M1120" s="1786" t="s">
        <v>1653</v>
      </c>
      <c r="N1120" s="1786" t="s">
        <v>1653</v>
      </c>
      <c r="O1120" s="1786">
        <v>0</v>
      </c>
      <c r="P1120" s="1786"/>
      <c r="Q1120" s="1786">
        <v>0</v>
      </c>
      <c r="R1120" s="1788"/>
      <c r="S1120" s="1786">
        <f t="shared" si="193"/>
        <v>749</v>
      </c>
      <c r="T1120" s="1786" t="str">
        <f t="shared" si="194"/>
        <v>בנק הפועלים בע"מ</v>
      </c>
      <c r="U1120" s="1786" t="str">
        <f t="shared" si="195"/>
        <v>איפקס קרן השתלמות</v>
      </c>
      <c r="V1120" s="1786" t="str">
        <f t="shared" si="196"/>
        <v>520043795</v>
      </c>
      <c r="W1120" s="1789" t="str">
        <f t="shared" si="197"/>
        <v>מיטב דש גמל ופנסיה בע"מ</v>
      </c>
      <c r="AC1120" s="1759" t="s">
        <v>1586</v>
      </c>
      <c r="AD1120" s="1760">
        <v>41828.605821759302</v>
      </c>
      <c r="AE1120" s="1760">
        <v>37226</v>
      </c>
      <c r="AF1120" s="1759" t="s">
        <v>2009</v>
      </c>
      <c r="AG1120" s="1759" t="s">
        <v>1653</v>
      </c>
      <c r="AH1120" s="1759" t="s">
        <v>1594</v>
      </c>
      <c r="AI1120" s="1759" t="s">
        <v>2511</v>
      </c>
      <c r="AJ1120" s="1759" t="s">
        <v>2511</v>
      </c>
      <c r="AK1120" s="1759">
        <v>2021</v>
      </c>
      <c r="AL1120" s="1759" t="s">
        <v>607</v>
      </c>
      <c r="AM1120" s="1759">
        <v>749</v>
      </c>
      <c r="AN1120" s="1759" t="s">
        <v>1695</v>
      </c>
      <c r="AO1120" s="1764"/>
      <c r="AP1120" s="1759" t="s">
        <v>5373</v>
      </c>
      <c r="AQ1120" s="1759" t="s">
        <v>5374</v>
      </c>
      <c r="AR1120" s="1759" t="s">
        <v>2899</v>
      </c>
      <c r="AS1120" s="1759" t="s">
        <v>349</v>
      </c>
      <c r="AT1120" s="1759" t="s">
        <v>327</v>
      </c>
      <c r="AU1120" s="1763"/>
      <c r="AV1120" s="1763"/>
    </row>
    <row r="1121" spans="1:48" ht="25" hidden="1">
      <c r="A1121" s="1785" t="str">
        <f t="shared" si="187"/>
        <v>גמל</v>
      </c>
      <c r="B1121" s="1786">
        <f t="shared" si="188"/>
        <v>2021</v>
      </c>
      <c r="C1121" s="1787">
        <v>28946</v>
      </c>
      <c r="D1121" s="1786" t="str">
        <f t="shared" si="189"/>
        <v>איפקס השתלמות אג"ח ממשלתי</v>
      </c>
      <c r="E1121" s="1786" t="s">
        <v>3929</v>
      </c>
      <c r="F1121" s="1786" t="s">
        <v>2958</v>
      </c>
      <c r="G1121" s="1786" t="s">
        <v>2959</v>
      </c>
      <c r="H1121" s="1786" t="str">
        <f t="shared" si="190"/>
        <v>לא פעיל</v>
      </c>
      <c r="I1121" s="1788">
        <f t="shared" si="191"/>
        <v>37226</v>
      </c>
      <c r="J1121" s="1788">
        <f t="shared" si="192"/>
        <v>41828.605821759302</v>
      </c>
      <c r="K1121" s="1786">
        <v>0</v>
      </c>
      <c r="L1121" s="1786" t="s">
        <v>1594</v>
      </c>
      <c r="M1121" s="1786" t="s">
        <v>1653</v>
      </c>
      <c r="N1121" s="1786" t="s">
        <v>1653</v>
      </c>
      <c r="O1121" s="1786">
        <v>0</v>
      </c>
      <c r="P1121" s="1786"/>
      <c r="Q1121" s="1786">
        <v>0</v>
      </c>
      <c r="R1121" s="1788"/>
      <c r="S1121" s="1786">
        <f t="shared" si="193"/>
        <v>749</v>
      </c>
      <c r="T1121" s="1786" t="str">
        <f t="shared" si="194"/>
        <v>בנק הפועלים בע"מ</v>
      </c>
      <c r="U1121" s="1786" t="str">
        <f t="shared" si="195"/>
        <v>איפקס קרן השתלמות</v>
      </c>
      <c r="V1121" s="1786" t="str">
        <f t="shared" si="196"/>
        <v>520043795</v>
      </c>
      <c r="W1121" s="1789" t="str">
        <f t="shared" si="197"/>
        <v>מיטב דש גמל ופנסיה בע"מ</v>
      </c>
      <c r="AC1121" s="1761" t="s">
        <v>1586</v>
      </c>
      <c r="AD1121" s="1762">
        <v>41828.605821759302</v>
      </c>
      <c r="AE1121" s="1762">
        <v>37226</v>
      </c>
      <c r="AF1121" s="1761" t="s">
        <v>2009</v>
      </c>
      <c r="AG1121" s="1761" t="s">
        <v>1653</v>
      </c>
      <c r="AH1121" s="1761" t="s">
        <v>1594</v>
      </c>
      <c r="AI1121" s="1761" t="s">
        <v>2511</v>
      </c>
      <c r="AJ1121" s="1761" t="s">
        <v>2511</v>
      </c>
      <c r="AK1121" s="1761">
        <v>2021</v>
      </c>
      <c r="AL1121" s="1761" t="s">
        <v>607</v>
      </c>
      <c r="AM1121" s="1761">
        <v>749</v>
      </c>
      <c r="AN1121" s="1761" t="s">
        <v>1695</v>
      </c>
      <c r="AO1121" s="1764"/>
      <c r="AP1121" s="1761" t="s">
        <v>5373</v>
      </c>
      <c r="AQ1121" s="1761" t="s">
        <v>5374</v>
      </c>
      <c r="AR1121" s="1761" t="s">
        <v>2899</v>
      </c>
      <c r="AS1121" s="1761" t="s">
        <v>349</v>
      </c>
      <c r="AT1121" s="1761" t="s">
        <v>327</v>
      </c>
      <c r="AU1121" s="1763"/>
      <c r="AV1121" s="1763"/>
    </row>
    <row r="1122" spans="1:48" ht="25" hidden="1">
      <c r="A1122" s="1785" t="str">
        <f t="shared" si="187"/>
        <v>גמל</v>
      </c>
      <c r="B1122" s="1786">
        <f t="shared" si="188"/>
        <v>1275</v>
      </c>
      <c r="C1122" s="1787">
        <v>28946</v>
      </c>
      <c r="D1122" s="1786" t="str">
        <f t="shared" si="189"/>
        <v>איפקס עוז השתלמות</v>
      </c>
      <c r="E1122" s="1786" t="s">
        <v>3929</v>
      </c>
      <c r="F1122" s="1786" t="s">
        <v>2958</v>
      </c>
      <c r="G1122" s="1786" t="s">
        <v>2959</v>
      </c>
      <c r="H1122" s="1786" t="str">
        <f t="shared" si="190"/>
        <v>לא פעיל</v>
      </c>
      <c r="I1122" s="1788">
        <f t="shared" si="191"/>
        <v>37226</v>
      </c>
      <c r="J1122" s="1788">
        <f t="shared" si="192"/>
        <v>41828.603379629603</v>
      </c>
      <c r="K1122" s="1786">
        <v>0</v>
      </c>
      <c r="L1122" s="1786" t="s">
        <v>1594</v>
      </c>
      <c r="M1122" s="1786" t="s">
        <v>1653</v>
      </c>
      <c r="N1122" s="1786" t="s">
        <v>1653</v>
      </c>
      <c r="O1122" s="1786">
        <v>0</v>
      </c>
      <c r="P1122" s="1786"/>
      <c r="Q1122" s="1786">
        <v>0</v>
      </c>
      <c r="R1122" s="1788"/>
      <c r="S1122" s="1786">
        <f t="shared" si="193"/>
        <v>749</v>
      </c>
      <c r="T1122" s="1786" t="str">
        <f t="shared" si="194"/>
        <v>בנק הפועלים בע"מ</v>
      </c>
      <c r="U1122" s="1786" t="str">
        <f t="shared" si="195"/>
        <v>איפקס קרן השתלמות</v>
      </c>
      <c r="V1122" s="1786" t="str">
        <f t="shared" si="196"/>
        <v>520043795</v>
      </c>
      <c r="W1122" s="1789" t="str">
        <f t="shared" si="197"/>
        <v>מיטב דש גמל ופנסיה בע"מ</v>
      </c>
      <c r="AC1122" s="1759" t="s">
        <v>1586</v>
      </c>
      <c r="AD1122" s="1760">
        <v>41828.603379629603</v>
      </c>
      <c r="AE1122" s="1760">
        <v>37226</v>
      </c>
      <c r="AF1122" s="1759" t="s">
        <v>1583</v>
      </c>
      <c r="AG1122" s="1759" t="s">
        <v>1583</v>
      </c>
      <c r="AH1122" s="1759" t="s">
        <v>1583</v>
      </c>
      <c r="AI1122" s="1759" t="s">
        <v>2377</v>
      </c>
      <c r="AJ1122" s="1759" t="s">
        <v>2377</v>
      </c>
      <c r="AK1122" s="1759">
        <v>1275</v>
      </c>
      <c r="AL1122" s="1759" t="s">
        <v>607</v>
      </c>
      <c r="AM1122" s="1759">
        <v>749</v>
      </c>
      <c r="AN1122" s="1759" t="s">
        <v>1695</v>
      </c>
      <c r="AO1122" s="1764"/>
      <c r="AP1122" s="1759" t="s">
        <v>5373</v>
      </c>
      <c r="AQ1122" s="1759" t="s">
        <v>5374</v>
      </c>
      <c r="AR1122" s="1759" t="s">
        <v>2899</v>
      </c>
      <c r="AS1122" s="1759" t="s">
        <v>349</v>
      </c>
      <c r="AT1122" s="1759" t="s">
        <v>327</v>
      </c>
      <c r="AU1122" s="1763"/>
      <c r="AV1122" s="1763"/>
    </row>
    <row r="1123" spans="1:48" ht="25" hidden="1">
      <c r="A1123" s="1785" t="str">
        <f t="shared" si="187"/>
        <v>גמל</v>
      </c>
      <c r="B1123" s="1786">
        <f t="shared" si="188"/>
        <v>2022</v>
      </c>
      <c r="C1123" s="1787">
        <v>28946</v>
      </c>
      <c r="D1123" s="1786" t="str">
        <f t="shared" si="189"/>
        <v>איפקס השתלמות מניות</v>
      </c>
      <c r="E1123" s="1786" t="s">
        <v>3929</v>
      </c>
      <c r="F1123" s="1786" t="s">
        <v>2958</v>
      </c>
      <c r="G1123" s="1786" t="s">
        <v>2959</v>
      </c>
      <c r="H1123" s="1786" t="str">
        <f t="shared" si="190"/>
        <v>לא פעיל</v>
      </c>
      <c r="I1123" s="1788">
        <f t="shared" si="191"/>
        <v>37226</v>
      </c>
      <c r="J1123" s="1788">
        <f t="shared" si="192"/>
        <v>41828.606770833299</v>
      </c>
      <c r="K1123" s="1786">
        <v>0</v>
      </c>
      <c r="L1123" s="1786" t="s">
        <v>1594</v>
      </c>
      <c r="M1123" s="1786" t="s">
        <v>1653</v>
      </c>
      <c r="N1123" s="1786" t="s">
        <v>1653</v>
      </c>
      <c r="O1123" s="1786">
        <v>0</v>
      </c>
      <c r="P1123" s="1786"/>
      <c r="Q1123" s="1786">
        <v>0</v>
      </c>
      <c r="R1123" s="1788"/>
      <c r="S1123" s="1786">
        <f t="shared" si="193"/>
        <v>749</v>
      </c>
      <c r="T1123" s="1786" t="str">
        <f t="shared" si="194"/>
        <v>בנק הפועלים בע"מ</v>
      </c>
      <c r="U1123" s="1786" t="str">
        <f t="shared" si="195"/>
        <v>איפקס קרן השתלמות</v>
      </c>
      <c r="V1123" s="1786" t="str">
        <f t="shared" si="196"/>
        <v>520043795</v>
      </c>
      <c r="W1123" s="1789" t="str">
        <f t="shared" si="197"/>
        <v>מיטב דש גמל ופנסיה בע"מ</v>
      </c>
      <c r="AC1123" s="1761" t="s">
        <v>1586</v>
      </c>
      <c r="AD1123" s="1762">
        <v>41828.606770833299</v>
      </c>
      <c r="AE1123" s="1762">
        <v>37226</v>
      </c>
      <c r="AF1123" s="1761" t="s">
        <v>1595</v>
      </c>
      <c r="AG1123" s="1761" t="s">
        <v>75</v>
      </c>
      <c r="AH1123" s="1761" t="s">
        <v>1594</v>
      </c>
      <c r="AI1123" s="1761" t="s">
        <v>2512</v>
      </c>
      <c r="AJ1123" s="1761" t="s">
        <v>2512</v>
      </c>
      <c r="AK1123" s="1761">
        <v>2022</v>
      </c>
      <c r="AL1123" s="1761" t="s">
        <v>607</v>
      </c>
      <c r="AM1123" s="1761">
        <v>749</v>
      </c>
      <c r="AN1123" s="1761" t="s">
        <v>1695</v>
      </c>
      <c r="AO1123" s="1764"/>
      <c r="AP1123" s="1761" t="s">
        <v>5373</v>
      </c>
      <c r="AQ1123" s="1761" t="s">
        <v>5374</v>
      </c>
      <c r="AR1123" s="1761" t="s">
        <v>2899</v>
      </c>
      <c r="AS1123" s="1761" t="s">
        <v>349</v>
      </c>
      <c r="AT1123" s="1761" t="s">
        <v>327</v>
      </c>
      <c r="AU1123" s="1763"/>
      <c r="AV1123" s="1763"/>
    </row>
    <row r="1124" spans="1:48" ht="25" hidden="1">
      <c r="A1124" s="1785" t="str">
        <f t="shared" si="187"/>
        <v>גמל</v>
      </c>
      <c r="B1124" s="1786">
        <f t="shared" si="188"/>
        <v>1274</v>
      </c>
      <c r="C1124" s="1787">
        <v>28946</v>
      </c>
      <c r="D1124" s="1786" t="str">
        <f t="shared" si="189"/>
        <v>איפקס סלע השתלמות</v>
      </c>
      <c r="E1124" s="1786" t="s">
        <v>3929</v>
      </c>
      <c r="F1124" s="1786" t="s">
        <v>2958</v>
      </c>
      <c r="G1124" s="1786" t="s">
        <v>2959</v>
      </c>
      <c r="H1124" s="1786" t="str">
        <f t="shared" si="190"/>
        <v>לא פעיל</v>
      </c>
      <c r="I1124" s="1788">
        <f t="shared" si="191"/>
        <v>37226</v>
      </c>
      <c r="J1124" s="1788">
        <f t="shared" si="192"/>
        <v>41828.604421296302</v>
      </c>
      <c r="K1124" s="1786">
        <v>0</v>
      </c>
      <c r="L1124" s="1786" t="s">
        <v>1594</v>
      </c>
      <c r="M1124" s="1786" t="s">
        <v>1653</v>
      </c>
      <c r="N1124" s="1786" t="s">
        <v>1653</v>
      </c>
      <c r="O1124" s="1786">
        <v>0</v>
      </c>
      <c r="P1124" s="1786"/>
      <c r="Q1124" s="1786">
        <v>0</v>
      </c>
      <c r="R1124" s="1788"/>
      <c r="S1124" s="1786">
        <f t="shared" si="193"/>
        <v>749</v>
      </c>
      <c r="T1124" s="1786" t="str">
        <f t="shared" si="194"/>
        <v>בנק הפועלים בע"מ</v>
      </c>
      <c r="U1124" s="1786" t="str">
        <f t="shared" si="195"/>
        <v>איפקס קרן השתלמות</v>
      </c>
      <c r="V1124" s="1786" t="str">
        <f t="shared" si="196"/>
        <v>520043795</v>
      </c>
      <c r="W1124" s="1789" t="str">
        <f t="shared" si="197"/>
        <v>מיטב דש גמל ופנסיה בע"מ</v>
      </c>
      <c r="AC1124" s="1759" t="s">
        <v>1586</v>
      </c>
      <c r="AD1124" s="1760">
        <v>41828.604421296302</v>
      </c>
      <c r="AE1124" s="1760">
        <v>37226</v>
      </c>
      <c r="AF1124" s="1759" t="s">
        <v>2025</v>
      </c>
      <c r="AG1124" s="1759" t="s">
        <v>1583</v>
      </c>
      <c r="AH1124" s="1759" t="s">
        <v>1583</v>
      </c>
      <c r="AI1124" s="1759" t="s">
        <v>2376</v>
      </c>
      <c r="AJ1124" s="1759" t="s">
        <v>2376</v>
      </c>
      <c r="AK1124" s="1759">
        <v>1274</v>
      </c>
      <c r="AL1124" s="1759" t="s">
        <v>607</v>
      </c>
      <c r="AM1124" s="1759">
        <v>749</v>
      </c>
      <c r="AN1124" s="1759" t="s">
        <v>1695</v>
      </c>
      <c r="AO1124" s="1764"/>
      <c r="AP1124" s="1759" t="s">
        <v>5373</v>
      </c>
      <c r="AQ1124" s="1759" t="s">
        <v>5374</v>
      </c>
      <c r="AR1124" s="1759" t="s">
        <v>2899</v>
      </c>
      <c r="AS1124" s="1759" t="s">
        <v>349</v>
      </c>
      <c r="AT1124" s="1759" t="s">
        <v>327</v>
      </c>
      <c r="AU1124" s="1763"/>
      <c r="AV1124" s="1763"/>
    </row>
    <row r="1125" spans="1:48" ht="25" hidden="1">
      <c r="A1125" s="1785" t="str">
        <f t="shared" si="187"/>
        <v>גמל</v>
      </c>
      <c r="B1125" s="1786">
        <f t="shared" si="188"/>
        <v>1274</v>
      </c>
      <c r="C1125" s="1787">
        <v>28946</v>
      </c>
      <c r="D1125" s="1786" t="str">
        <f t="shared" si="189"/>
        <v>איפקס סלע השתלמות</v>
      </c>
      <c r="E1125" s="1786" t="s">
        <v>3929</v>
      </c>
      <c r="F1125" s="1786" t="s">
        <v>2958</v>
      </c>
      <c r="G1125" s="1786" t="s">
        <v>2959</v>
      </c>
      <c r="H1125" s="1786" t="str">
        <f t="shared" si="190"/>
        <v>לא פעיל</v>
      </c>
      <c r="I1125" s="1788">
        <f t="shared" si="191"/>
        <v>37226</v>
      </c>
      <c r="J1125" s="1788">
        <f t="shared" si="192"/>
        <v>41828.604421296302</v>
      </c>
      <c r="K1125" s="1786">
        <v>0</v>
      </c>
      <c r="L1125" s="1786" t="s">
        <v>1594</v>
      </c>
      <c r="M1125" s="1786" t="s">
        <v>1653</v>
      </c>
      <c r="N1125" s="1786" t="s">
        <v>1653</v>
      </c>
      <c r="O1125" s="1786">
        <v>0</v>
      </c>
      <c r="P1125" s="1786"/>
      <c r="Q1125" s="1786">
        <v>0</v>
      </c>
      <c r="R1125" s="1788"/>
      <c r="S1125" s="1786">
        <f t="shared" si="193"/>
        <v>749</v>
      </c>
      <c r="T1125" s="1786" t="str">
        <f t="shared" si="194"/>
        <v>בנק הפועלים בע"מ</v>
      </c>
      <c r="U1125" s="1786" t="str">
        <f t="shared" si="195"/>
        <v>איפקס קרן השתלמות</v>
      </c>
      <c r="V1125" s="1786" t="str">
        <f t="shared" si="196"/>
        <v>520043795</v>
      </c>
      <c r="W1125" s="1789" t="str">
        <f t="shared" si="197"/>
        <v>מיטב דש גמל ופנסיה בע"מ</v>
      </c>
      <c r="AC1125" s="1761" t="s">
        <v>1586</v>
      </c>
      <c r="AD1125" s="1762">
        <v>41828.604421296302</v>
      </c>
      <c r="AE1125" s="1762">
        <v>37226</v>
      </c>
      <c r="AF1125" s="1761" t="s">
        <v>2025</v>
      </c>
      <c r="AG1125" s="1761" t="s">
        <v>1583</v>
      </c>
      <c r="AH1125" s="1761" t="s">
        <v>1583</v>
      </c>
      <c r="AI1125" s="1761" t="s">
        <v>2376</v>
      </c>
      <c r="AJ1125" s="1761" t="s">
        <v>2376</v>
      </c>
      <c r="AK1125" s="1761">
        <v>1274</v>
      </c>
      <c r="AL1125" s="1761" t="s">
        <v>607</v>
      </c>
      <c r="AM1125" s="1761">
        <v>749</v>
      </c>
      <c r="AN1125" s="1761" t="s">
        <v>1695</v>
      </c>
      <c r="AO1125" s="1764"/>
      <c r="AP1125" s="1761" t="s">
        <v>5373</v>
      </c>
      <c r="AQ1125" s="1761" t="s">
        <v>5374</v>
      </c>
      <c r="AR1125" s="1761" t="s">
        <v>2899</v>
      </c>
      <c r="AS1125" s="1761" t="s">
        <v>349</v>
      </c>
      <c r="AT1125" s="1761" t="s">
        <v>327</v>
      </c>
      <c r="AU1125" s="1763"/>
      <c r="AV1125" s="1763"/>
    </row>
    <row r="1126" spans="1:48" ht="25" hidden="1">
      <c r="A1126" s="1785" t="str">
        <f t="shared" si="187"/>
        <v>גמל</v>
      </c>
      <c r="B1126" s="1786">
        <f t="shared" si="188"/>
        <v>1275</v>
      </c>
      <c r="C1126" s="1787">
        <v>28946</v>
      </c>
      <c r="D1126" s="1786" t="str">
        <f t="shared" si="189"/>
        <v>איפקס עוז השתלמות</v>
      </c>
      <c r="E1126" s="1786" t="s">
        <v>3929</v>
      </c>
      <c r="F1126" s="1786" t="s">
        <v>2958</v>
      </c>
      <c r="G1126" s="1786" t="s">
        <v>2959</v>
      </c>
      <c r="H1126" s="1786" t="str">
        <f t="shared" si="190"/>
        <v>לא פעיל</v>
      </c>
      <c r="I1126" s="1788">
        <f t="shared" si="191"/>
        <v>37226</v>
      </c>
      <c r="J1126" s="1788">
        <f t="shared" si="192"/>
        <v>41828.603379629603</v>
      </c>
      <c r="K1126" s="1786">
        <v>0</v>
      </c>
      <c r="L1126" s="1786" t="s">
        <v>1594</v>
      </c>
      <c r="M1126" s="1786" t="s">
        <v>1653</v>
      </c>
      <c r="N1126" s="1786" t="s">
        <v>1653</v>
      </c>
      <c r="O1126" s="1786">
        <v>0</v>
      </c>
      <c r="P1126" s="1786"/>
      <c r="Q1126" s="1786">
        <v>0</v>
      </c>
      <c r="R1126" s="1788"/>
      <c r="S1126" s="1786">
        <f t="shared" si="193"/>
        <v>749</v>
      </c>
      <c r="T1126" s="1786" t="str">
        <f t="shared" si="194"/>
        <v>בנק הפועלים בע"מ</v>
      </c>
      <c r="U1126" s="1786" t="str">
        <f t="shared" si="195"/>
        <v>איפקס קרן השתלמות</v>
      </c>
      <c r="V1126" s="1786" t="str">
        <f t="shared" si="196"/>
        <v>520043795</v>
      </c>
      <c r="W1126" s="1789" t="str">
        <f t="shared" si="197"/>
        <v>מיטב דש גמל ופנסיה בע"מ</v>
      </c>
      <c r="AC1126" s="1759" t="s">
        <v>1586</v>
      </c>
      <c r="AD1126" s="1760">
        <v>41828.603379629603</v>
      </c>
      <c r="AE1126" s="1760">
        <v>37226</v>
      </c>
      <c r="AF1126" s="1759" t="s">
        <v>1583</v>
      </c>
      <c r="AG1126" s="1759" t="s">
        <v>1583</v>
      </c>
      <c r="AH1126" s="1759" t="s">
        <v>1583</v>
      </c>
      <c r="AI1126" s="1759" t="s">
        <v>2377</v>
      </c>
      <c r="AJ1126" s="1759" t="s">
        <v>2377</v>
      </c>
      <c r="AK1126" s="1759">
        <v>1275</v>
      </c>
      <c r="AL1126" s="1759" t="s">
        <v>607</v>
      </c>
      <c r="AM1126" s="1759">
        <v>749</v>
      </c>
      <c r="AN1126" s="1759" t="s">
        <v>1695</v>
      </c>
      <c r="AO1126" s="1764"/>
      <c r="AP1126" s="1759" t="s">
        <v>5373</v>
      </c>
      <c r="AQ1126" s="1759" t="s">
        <v>5374</v>
      </c>
      <c r="AR1126" s="1759" t="s">
        <v>2899</v>
      </c>
      <c r="AS1126" s="1759" t="s">
        <v>349</v>
      </c>
      <c r="AT1126" s="1759" t="s">
        <v>327</v>
      </c>
      <c r="AU1126" s="1763"/>
      <c r="AV1126" s="1763"/>
    </row>
    <row r="1127" spans="1:48" ht="25" hidden="1">
      <c r="A1127" s="1785" t="str">
        <f t="shared" si="187"/>
        <v>גמל</v>
      </c>
      <c r="B1127" s="1786">
        <f t="shared" si="188"/>
        <v>2022</v>
      </c>
      <c r="C1127" s="1787">
        <v>28946</v>
      </c>
      <c r="D1127" s="1786" t="str">
        <f t="shared" si="189"/>
        <v>איפקס השתלמות מניות</v>
      </c>
      <c r="E1127" s="1786" t="s">
        <v>3929</v>
      </c>
      <c r="F1127" s="1786" t="s">
        <v>2958</v>
      </c>
      <c r="G1127" s="1786" t="s">
        <v>2959</v>
      </c>
      <c r="H1127" s="1786" t="str">
        <f t="shared" si="190"/>
        <v>לא פעיל</v>
      </c>
      <c r="I1127" s="1788">
        <f t="shared" si="191"/>
        <v>37226</v>
      </c>
      <c r="J1127" s="1788">
        <f t="shared" si="192"/>
        <v>41828.606770833299</v>
      </c>
      <c r="K1127" s="1786">
        <v>0</v>
      </c>
      <c r="L1127" s="1786" t="s">
        <v>1594</v>
      </c>
      <c r="M1127" s="1786" t="s">
        <v>1653</v>
      </c>
      <c r="N1127" s="1786" t="s">
        <v>1653</v>
      </c>
      <c r="O1127" s="1786">
        <v>0</v>
      </c>
      <c r="P1127" s="1786"/>
      <c r="Q1127" s="1786">
        <v>0</v>
      </c>
      <c r="R1127" s="1788"/>
      <c r="S1127" s="1786">
        <f t="shared" si="193"/>
        <v>749</v>
      </c>
      <c r="T1127" s="1786" t="str">
        <f t="shared" si="194"/>
        <v>בנק הפועלים בע"מ</v>
      </c>
      <c r="U1127" s="1786" t="str">
        <f t="shared" si="195"/>
        <v>איפקס קרן השתלמות</v>
      </c>
      <c r="V1127" s="1786" t="str">
        <f t="shared" si="196"/>
        <v>520043795</v>
      </c>
      <c r="W1127" s="1789" t="str">
        <f t="shared" si="197"/>
        <v>מיטב דש גמל ופנסיה בע"מ</v>
      </c>
      <c r="AC1127" s="1761" t="s">
        <v>1586</v>
      </c>
      <c r="AD1127" s="1762">
        <v>41828.606770833299</v>
      </c>
      <c r="AE1127" s="1762">
        <v>37226</v>
      </c>
      <c r="AF1127" s="1761" t="s">
        <v>1595</v>
      </c>
      <c r="AG1127" s="1761" t="s">
        <v>75</v>
      </c>
      <c r="AH1127" s="1761" t="s">
        <v>1594</v>
      </c>
      <c r="AI1127" s="1761" t="s">
        <v>2512</v>
      </c>
      <c r="AJ1127" s="1761" t="s">
        <v>2512</v>
      </c>
      <c r="AK1127" s="1761">
        <v>2022</v>
      </c>
      <c r="AL1127" s="1761" t="s">
        <v>607</v>
      </c>
      <c r="AM1127" s="1761">
        <v>749</v>
      </c>
      <c r="AN1127" s="1761" t="s">
        <v>1695</v>
      </c>
      <c r="AO1127" s="1764"/>
      <c r="AP1127" s="1761" t="s">
        <v>5373</v>
      </c>
      <c r="AQ1127" s="1761" t="s">
        <v>5374</v>
      </c>
      <c r="AR1127" s="1761" t="s">
        <v>2899</v>
      </c>
      <c r="AS1127" s="1761" t="s">
        <v>349</v>
      </c>
      <c r="AT1127" s="1761" t="s">
        <v>327</v>
      </c>
      <c r="AU1127" s="1763"/>
      <c r="AV1127" s="1763"/>
    </row>
    <row r="1128" spans="1:48" ht="25" hidden="1">
      <c r="A1128" s="1785" t="str">
        <f t="shared" si="187"/>
        <v>גמל</v>
      </c>
      <c r="B1128" s="1786">
        <f t="shared" si="188"/>
        <v>748</v>
      </c>
      <c r="C1128" s="1787">
        <v>28946</v>
      </c>
      <c r="D1128" s="1786" t="str">
        <f t="shared" si="189"/>
        <v>איפקס קופה מרכזית לפיצויים</v>
      </c>
      <c r="E1128" s="1786" t="s">
        <v>3929</v>
      </c>
      <c r="F1128" s="1786" t="s">
        <v>2958</v>
      </c>
      <c r="G1128" s="1786" t="s">
        <v>2959</v>
      </c>
      <c r="H1128" s="1786" t="str">
        <f t="shared" si="190"/>
        <v>לא פעיל</v>
      </c>
      <c r="I1128" s="1788">
        <f t="shared" si="191"/>
        <v>37227</v>
      </c>
      <c r="J1128" s="1788">
        <f t="shared" si="192"/>
        <v>41863.416111111103</v>
      </c>
      <c r="K1128" s="1786">
        <v>0</v>
      </c>
      <c r="L1128" s="1786" t="s">
        <v>1594</v>
      </c>
      <c r="M1128" s="1786" t="s">
        <v>1653</v>
      </c>
      <c r="N1128" s="1786" t="s">
        <v>1653</v>
      </c>
      <c r="O1128" s="1786">
        <v>0</v>
      </c>
      <c r="P1128" s="1786"/>
      <c r="Q1128" s="1786">
        <v>0</v>
      </c>
      <c r="R1128" s="1788"/>
      <c r="S1128" s="1786">
        <f t="shared" si="193"/>
        <v>748</v>
      </c>
      <c r="T1128" s="1786" t="str">
        <f t="shared" si="194"/>
        <v>בנק הפועלים בע"מ</v>
      </c>
      <c r="U1128" s="1786" t="str">
        <f t="shared" si="195"/>
        <v>איפקס קופה מרכזית לפיצויים</v>
      </c>
      <c r="V1128" s="1786" t="str">
        <f t="shared" si="196"/>
        <v>520043795</v>
      </c>
      <c r="W1128" s="1789" t="str">
        <f t="shared" si="197"/>
        <v>מיטב דש גמל ופנסיה בע"מ</v>
      </c>
      <c r="AC1128" s="1759" t="s">
        <v>1586</v>
      </c>
      <c r="AD1128" s="1760">
        <v>41863.416111111103</v>
      </c>
      <c r="AE1128" s="1760">
        <v>37227</v>
      </c>
      <c r="AF1128" s="1759" t="s">
        <v>1583</v>
      </c>
      <c r="AG1128" s="1759" t="s">
        <v>1583</v>
      </c>
      <c r="AH1128" s="1759" t="s">
        <v>1583</v>
      </c>
      <c r="AI1128" s="1759" t="s">
        <v>3291</v>
      </c>
      <c r="AJ1128" s="1759" t="s">
        <v>606</v>
      </c>
      <c r="AK1128" s="1759">
        <v>748</v>
      </c>
      <c r="AL1128" s="1759" t="s">
        <v>606</v>
      </c>
      <c r="AM1128" s="1759">
        <v>748</v>
      </c>
      <c r="AN1128" s="1759" t="s">
        <v>1695</v>
      </c>
      <c r="AO1128" s="1764"/>
      <c r="AP1128" s="1759" t="s">
        <v>5373</v>
      </c>
      <c r="AQ1128" s="1759" t="s">
        <v>5374</v>
      </c>
      <c r="AR1128" s="1759" t="s">
        <v>2899</v>
      </c>
      <c r="AS1128" s="1759" t="s">
        <v>349</v>
      </c>
      <c r="AT1128" s="1759" t="s">
        <v>327</v>
      </c>
      <c r="AU1128" s="1763"/>
      <c r="AV1128" s="1763"/>
    </row>
    <row r="1129" spans="1:48" ht="25" hidden="1">
      <c r="A1129" s="1785" t="str">
        <f t="shared" si="187"/>
        <v>גמל</v>
      </c>
      <c r="B1129" s="1786">
        <f t="shared" si="188"/>
        <v>748</v>
      </c>
      <c r="C1129" s="1787">
        <v>28946</v>
      </c>
      <c r="D1129" s="1786" t="str">
        <f t="shared" si="189"/>
        <v>איפקס קופה מרכזית לפיצויים</v>
      </c>
      <c r="E1129" s="1786" t="s">
        <v>3929</v>
      </c>
      <c r="F1129" s="1786" t="s">
        <v>2958</v>
      </c>
      <c r="G1129" s="1786" t="s">
        <v>2959</v>
      </c>
      <c r="H1129" s="1786" t="str">
        <f t="shared" si="190"/>
        <v>לא פעיל</v>
      </c>
      <c r="I1129" s="1788">
        <f t="shared" si="191"/>
        <v>37227</v>
      </c>
      <c r="J1129" s="1788">
        <f t="shared" si="192"/>
        <v>41863.416111111103</v>
      </c>
      <c r="K1129" s="1786">
        <v>0</v>
      </c>
      <c r="L1129" s="1786" t="s">
        <v>1594</v>
      </c>
      <c r="M1129" s="1786" t="s">
        <v>1653</v>
      </c>
      <c r="N1129" s="1786" t="s">
        <v>1653</v>
      </c>
      <c r="O1129" s="1786">
        <v>0</v>
      </c>
      <c r="P1129" s="1786"/>
      <c r="Q1129" s="1786">
        <v>0</v>
      </c>
      <c r="R1129" s="1788"/>
      <c r="S1129" s="1786">
        <f t="shared" si="193"/>
        <v>748</v>
      </c>
      <c r="T1129" s="1786" t="str">
        <f t="shared" si="194"/>
        <v>בנק הפועלים בע"מ</v>
      </c>
      <c r="U1129" s="1786" t="str">
        <f t="shared" si="195"/>
        <v>איפקס קופה מרכזית לפיצויים</v>
      </c>
      <c r="V1129" s="1786" t="str">
        <f t="shared" si="196"/>
        <v>520043795</v>
      </c>
      <c r="W1129" s="1789" t="str">
        <f t="shared" si="197"/>
        <v>מיטב דש גמל ופנסיה בע"מ</v>
      </c>
      <c r="AC1129" s="1761" t="s">
        <v>1586</v>
      </c>
      <c r="AD1129" s="1762">
        <v>41863.416111111103</v>
      </c>
      <c r="AE1129" s="1762">
        <v>37227</v>
      </c>
      <c r="AF1129" s="1761" t="s">
        <v>1583</v>
      </c>
      <c r="AG1129" s="1761" t="s">
        <v>1583</v>
      </c>
      <c r="AH1129" s="1761" t="s">
        <v>1583</v>
      </c>
      <c r="AI1129" s="1761" t="s">
        <v>3291</v>
      </c>
      <c r="AJ1129" s="1761" t="s">
        <v>606</v>
      </c>
      <c r="AK1129" s="1761">
        <v>748</v>
      </c>
      <c r="AL1129" s="1761" t="s">
        <v>606</v>
      </c>
      <c r="AM1129" s="1761">
        <v>748</v>
      </c>
      <c r="AN1129" s="1761" t="s">
        <v>1695</v>
      </c>
      <c r="AO1129" s="1764"/>
      <c r="AP1129" s="1761" t="s">
        <v>5373</v>
      </c>
      <c r="AQ1129" s="1761" t="s">
        <v>5374</v>
      </c>
      <c r="AR1129" s="1761" t="s">
        <v>2899</v>
      </c>
      <c r="AS1129" s="1761" t="s">
        <v>349</v>
      </c>
      <c r="AT1129" s="1761" t="s">
        <v>327</v>
      </c>
      <c r="AU1129" s="1763"/>
      <c r="AV1129" s="1763"/>
    </row>
    <row r="1130" spans="1:48" ht="25" hidden="1">
      <c r="A1130" s="1785" t="str">
        <f t="shared" si="187"/>
        <v>גמל</v>
      </c>
      <c r="B1130" s="1786">
        <f t="shared" si="188"/>
        <v>747</v>
      </c>
      <c r="C1130" s="1787">
        <v>28946</v>
      </c>
      <c r="D1130" s="1786" t="str">
        <f t="shared" si="189"/>
        <v>איפקס תגמולים כללי</v>
      </c>
      <c r="E1130" s="1786" t="s">
        <v>3929</v>
      </c>
      <c r="F1130" s="1786" t="s">
        <v>2958</v>
      </c>
      <c r="G1130" s="1786" t="s">
        <v>2959</v>
      </c>
      <c r="H1130" s="1786" t="str">
        <f t="shared" si="190"/>
        <v>לא פעיל</v>
      </c>
      <c r="I1130" s="1788">
        <f t="shared" si="191"/>
        <v>37226</v>
      </c>
      <c r="J1130" s="1788">
        <f t="shared" si="192"/>
        <v>41828.464942129598</v>
      </c>
      <c r="K1130" s="1786">
        <v>0</v>
      </c>
      <c r="L1130" s="1786" t="s">
        <v>1594</v>
      </c>
      <c r="M1130" s="1786" t="s">
        <v>1653</v>
      </c>
      <c r="N1130" s="1786" t="s">
        <v>1653</v>
      </c>
      <c r="O1130" s="1786">
        <v>0</v>
      </c>
      <c r="P1130" s="1786"/>
      <c r="Q1130" s="1786">
        <v>0</v>
      </c>
      <c r="R1130" s="1788"/>
      <c r="S1130" s="1786">
        <f t="shared" si="193"/>
        <v>747</v>
      </c>
      <c r="T1130" s="1786" t="str">
        <f t="shared" si="194"/>
        <v>בנק הפועלים בע"מ</v>
      </c>
      <c r="U1130" s="1786" t="str">
        <f t="shared" si="195"/>
        <v>איפקס-קופה לתגמולים ופיצויים</v>
      </c>
      <c r="V1130" s="1786" t="str">
        <f t="shared" si="196"/>
        <v>520043795</v>
      </c>
      <c r="W1130" s="1789" t="str">
        <f t="shared" si="197"/>
        <v>מיטב דש גמל ופנסיה בע"מ</v>
      </c>
      <c r="AC1130" s="1759" t="s">
        <v>1586</v>
      </c>
      <c r="AD1130" s="1760">
        <v>41828.464942129598</v>
      </c>
      <c r="AE1130" s="1760">
        <v>37226</v>
      </c>
      <c r="AF1130" s="1759" t="s">
        <v>1583</v>
      </c>
      <c r="AG1130" s="1759" t="s">
        <v>1583</v>
      </c>
      <c r="AH1130" s="1759" t="s">
        <v>1583</v>
      </c>
      <c r="AI1130" s="1759" t="s">
        <v>2013</v>
      </c>
      <c r="AJ1130" s="1759" t="s">
        <v>2013</v>
      </c>
      <c r="AK1130" s="1759">
        <v>747</v>
      </c>
      <c r="AL1130" s="1759" t="s">
        <v>605</v>
      </c>
      <c r="AM1130" s="1759">
        <v>747</v>
      </c>
      <c r="AN1130" s="1759" t="s">
        <v>1695</v>
      </c>
      <c r="AO1130" s="1764"/>
      <c r="AP1130" s="1759" t="s">
        <v>5373</v>
      </c>
      <c r="AQ1130" s="1759" t="s">
        <v>5374</v>
      </c>
      <c r="AR1130" s="1759" t="s">
        <v>2899</v>
      </c>
      <c r="AS1130" s="1759" t="s">
        <v>349</v>
      </c>
      <c r="AT1130" s="1759" t="s">
        <v>327</v>
      </c>
      <c r="AU1130" s="1763"/>
      <c r="AV1130" s="1763"/>
    </row>
    <row r="1131" spans="1:48" ht="25" hidden="1">
      <c r="A1131" s="1785" t="str">
        <f t="shared" si="187"/>
        <v>גמל</v>
      </c>
      <c r="B1131" s="1786">
        <f t="shared" si="188"/>
        <v>747</v>
      </c>
      <c r="C1131" s="1787">
        <v>28946</v>
      </c>
      <c r="D1131" s="1786" t="str">
        <f t="shared" si="189"/>
        <v>איפקס תגמולים כללי</v>
      </c>
      <c r="E1131" s="1786" t="s">
        <v>3929</v>
      </c>
      <c r="F1131" s="1786" t="s">
        <v>2958</v>
      </c>
      <c r="G1131" s="1786" t="s">
        <v>2959</v>
      </c>
      <c r="H1131" s="1786" t="str">
        <f t="shared" si="190"/>
        <v>לא פעיל</v>
      </c>
      <c r="I1131" s="1788">
        <f t="shared" si="191"/>
        <v>37226</v>
      </c>
      <c r="J1131" s="1788">
        <f t="shared" si="192"/>
        <v>41828.464942129598</v>
      </c>
      <c r="K1131" s="1786">
        <v>0</v>
      </c>
      <c r="L1131" s="1786" t="s">
        <v>1594</v>
      </c>
      <c r="M1131" s="1786" t="s">
        <v>1653</v>
      </c>
      <c r="N1131" s="1786" t="s">
        <v>1653</v>
      </c>
      <c r="O1131" s="1786">
        <v>0</v>
      </c>
      <c r="P1131" s="1786"/>
      <c r="Q1131" s="1786">
        <v>0</v>
      </c>
      <c r="R1131" s="1788"/>
      <c r="S1131" s="1786">
        <f t="shared" si="193"/>
        <v>747</v>
      </c>
      <c r="T1131" s="1786" t="str">
        <f t="shared" si="194"/>
        <v>בנק הפועלים בע"מ</v>
      </c>
      <c r="U1131" s="1786" t="str">
        <f t="shared" si="195"/>
        <v>איפקס-קופה לתגמולים ופיצויים</v>
      </c>
      <c r="V1131" s="1786" t="str">
        <f t="shared" si="196"/>
        <v>520043795</v>
      </c>
      <c r="W1131" s="1789" t="str">
        <f t="shared" si="197"/>
        <v>מיטב דש גמל ופנסיה בע"מ</v>
      </c>
      <c r="AC1131" s="1761" t="s">
        <v>1586</v>
      </c>
      <c r="AD1131" s="1762">
        <v>41828.464942129598</v>
      </c>
      <c r="AE1131" s="1762">
        <v>37226</v>
      </c>
      <c r="AF1131" s="1761" t="s">
        <v>1583</v>
      </c>
      <c r="AG1131" s="1761" t="s">
        <v>1583</v>
      </c>
      <c r="AH1131" s="1761" t="s">
        <v>1583</v>
      </c>
      <c r="AI1131" s="1761" t="s">
        <v>2013</v>
      </c>
      <c r="AJ1131" s="1761" t="s">
        <v>2013</v>
      </c>
      <c r="AK1131" s="1761">
        <v>747</v>
      </c>
      <c r="AL1131" s="1761" t="s">
        <v>605</v>
      </c>
      <c r="AM1131" s="1761">
        <v>747</v>
      </c>
      <c r="AN1131" s="1761" t="s">
        <v>1695</v>
      </c>
      <c r="AO1131" s="1764"/>
      <c r="AP1131" s="1761" t="s">
        <v>5373</v>
      </c>
      <c r="AQ1131" s="1761" t="s">
        <v>5374</v>
      </c>
      <c r="AR1131" s="1761" t="s">
        <v>2899</v>
      </c>
      <c r="AS1131" s="1761" t="s">
        <v>349</v>
      </c>
      <c r="AT1131" s="1761" t="s">
        <v>327</v>
      </c>
      <c r="AU1131" s="1763"/>
      <c r="AV1131" s="1763"/>
    </row>
    <row r="1132" spans="1:48" ht="25" hidden="1">
      <c r="A1132" s="1785" t="str">
        <f t="shared" si="187"/>
        <v>גמל</v>
      </c>
      <c r="B1132" s="1786">
        <f t="shared" si="188"/>
        <v>2019</v>
      </c>
      <c r="C1132" s="1787">
        <v>28946</v>
      </c>
      <c r="D1132" s="1786" t="str">
        <f t="shared" si="189"/>
        <v>איפקס תגמולים אג"ח ממשלתי</v>
      </c>
      <c r="E1132" s="1786" t="s">
        <v>3929</v>
      </c>
      <c r="F1132" s="1786" t="s">
        <v>2958</v>
      </c>
      <c r="G1132" s="1786" t="s">
        <v>2959</v>
      </c>
      <c r="H1132" s="1786" t="str">
        <f t="shared" si="190"/>
        <v>לא פעיל</v>
      </c>
      <c r="I1132" s="1788">
        <f t="shared" si="191"/>
        <v>37226</v>
      </c>
      <c r="J1132" s="1788">
        <f t="shared" si="192"/>
        <v>41828.509097222202</v>
      </c>
      <c r="K1132" s="1786">
        <v>0</v>
      </c>
      <c r="L1132" s="1786" t="s">
        <v>1594</v>
      </c>
      <c r="M1132" s="1786" t="s">
        <v>1653</v>
      </c>
      <c r="N1132" s="1786" t="s">
        <v>1653</v>
      </c>
      <c r="O1132" s="1786">
        <v>0</v>
      </c>
      <c r="P1132" s="1786"/>
      <c r="Q1132" s="1786">
        <v>0</v>
      </c>
      <c r="R1132" s="1788"/>
      <c r="S1132" s="1786">
        <f t="shared" si="193"/>
        <v>747</v>
      </c>
      <c r="T1132" s="1786" t="str">
        <f t="shared" si="194"/>
        <v>בנק הפועלים בע"מ</v>
      </c>
      <c r="U1132" s="1786" t="str">
        <f t="shared" si="195"/>
        <v>איפקס-קופה לתגמולים ופיצויים</v>
      </c>
      <c r="V1132" s="1786" t="str">
        <f t="shared" si="196"/>
        <v>520043795</v>
      </c>
      <c r="W1132" s="1789" t="str">
        <f t="shared" si="197"/>
        <v>מיטב דש גמל ופנסיה בע"מ</v>
      </c>
      <c r="AC1132" s="1759" t="s">
        <v>1586</v>
      </c>
      <c r="AD1132" s="1760">
        <v>41828.509097222202</v>
      </c>
      <c r="AE1132" s="1760">
        <v>37226</v>
      </c>
      <c r="AF1132" s="1759" t="s">
        <v>2009</v>
      </c>
      <c r="AG1132" s="1759" t="s">
        <v>1653</v>
      </c>
      <c r="AH1132" s="1759" t="s">
        <v>1594</v>
      </c>
      <c r="AI1132" s="1759" t="s">
        <v>2509</v>
      </c>
      <c r="AJ1132" s="1759" t="s">
        <v>2509</v>
      </c>
      <c r="AK1132" s="1759">
        <v>2019</v>
      </c>
      <c r="AL1132" s="1759" t="s">
        <v>605</v>
      </c>
      <c r="AM1132" s="1759">
        <v>747</v>
      </c>
      <c r="AN1132" s="1759" t="s">
        <v>1695</v>
      </c>
      <c r="AO1132" s="1764"/>
      <c r="AP1132" s="1759" t="s">
        <v>5373</v>
      </c>
      <c r="AQ1132" s="1759" t="s">
        <v>5374</v>
      </c>
      <c r="AR1132" s="1759" t="s">
        <v>2899</v>
      </c>
      <c r="AS1132" s="1759" t="s">
        <v>349</v>
      </c>
      <c r="AT1132" s="1759" t="s">
        <v>327</v>
      </c>
      <c r="AU1132" s="1763"/>
      <c r="AV1132" s="1763"/>
    </row>
    <row r="1133" spans="1:48" ht="25" hidden="1">
      <c r="A1133" s="1785" t="str">
        <f t="shared" si="187"/>
        <v>גמל</v>
      </c>
      <c r="B1133" s="1786">
        <f t="shared" si="188"/>
        <v>2019</v>
      </c>
      <c r="C1133" s="1787">
        <v>28946</v>
      </c>
      <c r="D1133" s="1786" t="str">
        <f t="shared" si="189"/>
        <v>איפקס תגמולים אג"ח ממשלתי</v>
      </c>
      <c r="E1133" s="1786" t="s">
        <v>3929</v>
      </c>
      <c r="F1133" s="1786" t="s">
        <v>2958</v>
      </c>
      <c r="G1133" s="1786" t="s">
        <v>2959</v>
      </c>
      <c r="H1133" s="1786" t="str">
        <f t="shared" si="190"/>
        <v>לא פעיל</v>
      </c>
      <c r="I1133" s="1788">
        <f t="shared" si="191"/>
        <v>37226</v>
      </c>
      <c r="J1133" s="1788">
        <f t="shared" si="192"/>
        <v>41828.509097222202</v>
      </c>
      <c r="K1133" s="1786">
        <v>0</v>
      </c>
      <c r="L1133" s="1786" t="s">
        <v>1594</v>
      </c>
      <c r="M1133" s="1786" t="s">
        <v>1653</v>
      </c>
      <c r="N1133" s="1786" t="s">
        <v>1653</v>
      </c>
      <c r="O1133" s="1786">
        <v>0</v>
      </c>
      <c r="P1133" s="1786"/>
      <c r="Q1133" s="1786">
        <v>0</v>
      </c>
      <c r="R1133" s="1788"/>
      <c r="S1133" s="1786">
        <f t="shared" si="193"/>
        <v>747</v>
      </c>
      <c r="T1133" s="1786" t="str">
        <f t="shared" si="194"/>
        <v>בנק הפועלים בע"מ</v>
      </c>
      <c r="U1133" s="1786" t="str">
        <f t="shared" si="195"/>
        <v>איפקס-קופה לתגמולים ופיצויים</v>
      </c>
      <c r="V1133" s="1786" t="str">
        <f t="shared" si="196"/>
        <v>520043795</v>
      </c>
      <c r="W1133" s="1789" t="str">
        <f t="shared" si="197"/>
        <v>מיטב דש גמל ופנסיה בע"מ</v>
      </c>
      <c r="AC1133" s="1761" t="s">
        <v>1586</v>
      </c>
      <c r="AD1133" s="1762">
        <v>41828.509097222202</v>
      </c>
      <c r="AE1133" s="1762">
        <v>37226</v>
      </c>
      <c r="AF1133" s="1761" t="s">
        <v>2009</v>
      </c>
      <c r="AG1133" s="1761" t="s">
        <v>1653</v>
      </c>
      <c r="AH1133" s="1761" t="s">
        <v>1594</v>
      </c>
      <c r="AI1133" s="1761" t="s">
        <v>2509</v>
      </c>
      <c r="AJ1133" s="1761" t="s">
        <v>2509</v>
      </c>
      <c r="AK1133" s="1761">
        <v>2019</v>
      </c>
      <c r="AL1133" s="1761" t="s">
        <v>605</v>
      </c>
      <c r="AM1133" s="1761">
        <v>747</v>
      </c>
      <c r="AN1133" s="1761" t="s">
        <v>1695</v>
      </c>
      <c r="AO1133" s="1764"/>
      <c r="AP1133" s="1761" t="s">
        <v>5373</v>
      </c>
      <c r="AQ1133" s="1761" t="s">
        <v>5374</v>
      </c>
      <c r="AR1133" s="1761" t="s">
        <v>2899</v>
      </c>
      <c r="AS1133" s="1761" t="s">
        <v>349</v>
      </c>
      <c r="AT1133" s="1761" t="s">
        <v>327</v>
      </c>
      <c r="AU1133" s="1763"/>
      <c r="AV1133" s="1763"/>
    </row>
    <row r="1134" spans="1:48" ht="25" hidden="1">
      <c r="A1134" s="1785" t="str">
        <f t="shared" si="187"/>
        <v>גמל</v>
      </c>
      <c r="B1134" s="1786">
        <f t="shared" si="188"/>
        <v>1273</v>
      </c>
      <c r="C1134" s="1787">
        <v>28946</v>
      </c>
      <c r="D1134" s="1786" t="str">
        <f t="shared" si="189"/>
        <v>איפקס עוז תגמולים</v>
      </c>
      <c r="E1134" s="1786" t="s">
        <v>3929</v>
      </c>
      <c r="F1134" s="1786" t="s">
        <v>2958</v>
      </c>
      <c r="G1134" s="1786" t="s">
        <v>2959</v>
      </c>
      <c r="H1134" s="1786" t="str">
        <f t="shared" si="190"/>
        <v>לא פעיל</v>
      </c>
      <c r="I1134" s="1788">
        <f t="shared" si="191"/>
        <v>37226</v>
      </c>
      <c r="J1134" s="1788">
        <f t="shared" si="192"/>
        <v>41828.474756944401</v>
      </c>
      <c r="K1134" s="1786">
        <v>0</v>
      </c>
      <c r="L1134" s="1786" t="s">
        <v>1594</v>
      </c>
      <c r="M1134" s="1786" t="s">
        <v>1653</v>
      </c>
      <c r="N1134" s="1786" t="s">
        <v>1653</v>
      </c>
      <c r="O1134" s="1786">
        <v>0</v>
      </c>
      <c r="P1134" s="1786"/>
      <c r="Q1134" s="1786">
        <v>0</v>
      </c>
      <c r="R1134" s="1788"/>
      <c r="S1134" s="1786">
        <f t="shared" si="193"/>
        <v>747</v>
      </c>
      <c r="T1134" s="1786" t="str">
        <f t="shared" si="194"/>
        <v>בנק הפועלים בע"מ</v>
      </c>
      <c r="U1134" s="1786" t="str">
        <f t="shared" si="195"/>
        <v>איפקס-קופה לתגמולים ופיצויים</v>
      </c>
      <c r="V1134" s="1786" t="str">
        <f t="shared" si="196"/>
        <v>520043795</v>
      </c>
      <c r="W1134" s="1789" t="str">
        <f t="shared" si="197"/>
        <v>מיטב דש גמל ופנסיה בע"מ</v>
      </c>
      <c r="AC1134" s="1759" t="s">
        <v>1586</v>
      </c>
      <c r="AD1134" s="1760">
        <v>41828.474756944401</v>
      </c>
      <c r="AE1134" s="1760">
        <v>37226</v>
      </c>
      <c r="AF1134" s="1759" t="s">
        <v>1583</v>
      </c>
      <c r="AG1134" s="1759" t="s">
        <v>1583</v>
      </c>
      <c r="AH1134" s="1759" t="s">
        <v>1583</v>
      </c>
      <c r="AI1134" s="1759" t="s">
        <v>2375</v>
      </c>
      <c r="AJ1134" s="1759" t="s">
        <v>2375</v>
      </c>
      <c r="AK1134" s="1759">
        <v>1273</v>
      </c>
      <c r="AL1134" s="1759" t="s">
        <v>605</v>
      </c>
      <c r="AM1134" s="1759">
        <v>747</v>
      </c>
      <c r="AN1134" s="1759" t="s">
        <v>1695</v>
      </c>
      <c r="AO1134" s="1764"/>
      <c r="AP1134" s="1759" t="s">
        <v>5373</v>
      </c>
      <c r="AQ1134" s="1759" t="s">
        <v>5374</v>
      </c>
      <c r="AR1134" s="1759" t="s">
        <v>2899</v>
      </c>
      <c r="AS1134" s="1759" t="s">
        <v>349</v>
      </c>
      <c r="AT1134" s="1759" t="s">
        <v>327</v>
      </c>
      <c r="AU1134" s="1763"/>
      <c r="AV1134" s="1763"/>
    </row>
    <row r="1135" spans="1:48" ht="25" hidden="1">
      <c r="A1135" s="1785" t="str">
        <f t="shared" si="187"/>
        <v>גמל</v>
      </c>
      <c r="B1135" s="1786">
        <f t="shared" si="188"/>
        <v>2020</v>
      </c>
      <c r="C1135" s="1787">
        <v>28946</v>
      </c>
      <c r="D1135" s="1786" t="str">
        <f t="shared" si="189"/>
        <v>איפקס תגמולים מניות</v>
      </c>
      <c r="E1135" s="1786" t="s">
        <v>3929</v>
      </c>
      <c r="F1135" s="1786" t="s">
        <v>2958</v>
      </c>
      <c r="G1135" s="1786" t="s">
        <v>2959</v>
      </c>
      <c r="H1135" s="1786" t="str">
        <f t="shared" si="190"/>
        <v>לא פעיל</v>
      </c>
      <c r="I1135" s="1788">
        <f t="shared" si="191"/>
        <v>37226</v>
      </c>
      <c r="J1135" s="1788">
        <f t="shared" si="192"/>
        <v>41828.513564814799</v>
      </c>
      <c r="K1135" s="1786">
        <v>0</v>
      </c>
      <c r="L1135" s="1786" t="s">
        <v>1594</v>
      </c>
      <c r="M1135" s="1786" t="s">
        <v>1653</v>
      </c>
      <c r="N1135" s="1786" t="s">
        <v>1653</v>
      </c>
      <c r="O1135" s="1786">
        <v>0</v>
      </c>
      <c r="P1135" s="1786"/>
      <c r="Q1135" s="1786">
        <v>0</v>
      </c>
      <c r="R1135" s="1788"/>
      <c r="S1135" s="1786">
        <f t="shared" si="193"/>
        <v>747</v>
      </c>
      <c r="T1135" s="1786" t="str">
        <f t="shared" si="194"/>
        <v>בנק הפועלים בע"מ</v>
      </c>
      <c r="U1135" s="1786" t="str">
        <f t="shared" si="195"/>
        <v>איפקס-קופה לתגמולים ופיצויים</v>
      </c>
      <c r="V1135" s="1786" t="str">
        <f t="shared" si="196"/>
        <v>520043795</v>
      </c>
      <c r="W1135" s="1789" t="str">
        <f t="shared" si="197"/>
        <v>מיטב דש גמל ופנסיה בע"מ</v>
      </c>
      <c r="AC1135" s="1761" t="s">
        <v>1586</v>
      </c>
      <c r="AD1135" s="1762">
        <v>41828.513564814799</v>
      </c>
      <c r="AE1135" s="1762">
        <v>37226</v>
      </c>
      <c r="AF1135" s="1761" t="s">
        <v>1595</v>
      </c>
      <c r="AG1135" s="1761" t="s">
        <v>75</v>
      </c>
      <c r="AH1135" s="1761" t="s">
        <v>1594</v>
      </c>
      <c r="AI1135" s="1761" t="s">
        <v>2510</v>
      </c>
      <c r="AJ1135" s="1761" t="s">
        <v>2510</v>
      </c>
      <c r="AK1135" s="1761">
        <v>2020</v>
      </c>
      <c r="AL1135" s="1761" t="s">
        <v>605</v>
      </c>
      <c r="AM1135" s="1761">
        <v>747</v>
      </c>
      <c r="AN1135" s="1761" t="s">
        <v>1695</v>
      </c>
      <c r="AO1135" s="1764"/>
      <c r="AP1135" s="1761" t="s">
        <v>5373</v>
      </c>
      <c r="AQ1135" s="1761" t="s">
        <v>5374</v>
      </c>
      <c r="AR1135" s="1761" t="s">
        <v>2899</v>
      </c>
      <c r="AS1135" s="1761" t="s">
        <v>349</v>
      </c>
      <c r="AT1135" s="1761" t="s">
        <v>327</v>
      </c>
      <c r="AU1135" s="1763"/>
      <c r="AV1135" s="1763"/>
    </row>
    <row r="1136" spans="1:48" ht="25" hidden="1">
      <c r="A1136" s="1785" t="str">
        <f t="shared" si="187"/>
        <v>גמל</v>
      </c>
      <c r="B1136" s="1786">
        <f t="shared" si="188"/>
        <v>1272</v>
      </c>
      <c r="C1136" s="1787">
        <v>28946</v>
      </c>
      <c r="D1136" s="1786" t="str">
        <f t="shared" si="189"/>
        <v>איפקס סלע תגמולים</v>
      </c>
      <c r="E1136" s="1786" t="s">
        <v>3929</v>
      </c>
      <c r="F1136" s="1786" t="s">
        <v>2958</v>
      </c>
      <c r="G1136" s="1786" t="s">
        <v>2959</v>
      </c>
      <c r="H1136" s="1786" t="str">
        <f t="shared" si="190"/>
        <v>לא פעיל</v>
      </c>
      <c r="I1136" s="1788">
        <f t="shared" si="191"/>
        <v>37226</v>
      </c>
      <c r="J1136" s="1788">
        <f t="shared" si="192"/>
        <v>41828.506180555603</v>
      </c>
      <c r="K1136" s="1786">
        <v>0</v>
      </c>
      <c r="L1136" s="1786" t="s">
        <v>1594</v>
      </c>
      <c r="M1136" s="1786" t="s">
        <v>1653</v>
      </c>
      <c r="N1136" s="1786" t="s">
        <v>1653</v>
      </c>
      <c r="O1136" s="1786">
        <v>0</v>
      </c>
      <c r="P1136" s="1786"/>
      <c r="Q1136" s="1786">
        <v>0</v>
      </c>
      <c r="R1136" s="1788"/>
      <c r="S1136" s="1786">
        <f t="shared" si="193"/>
        <v>747</v>
      </c>
      <c r="T1136" s="1786" t="str">
        <f t="shared" si="194"/>
        <v>בנק הפועלים בע"מ</v>
      </c>
      <c r="U1136" s="1786" t="str">
        <f t="shared" si="195"/>
        <v>איפקס-קופה לתגמולים ופיצויים</v>
      </c>
      <c r="V1136" s="1786" t="str">
        <f t="shared" si="196"/>
        <v>520043795</v>
      </c>
      <c r="W1136" s="1789" t="str">
        <f t="shared" si="197"/>
        <v>מיטב דש גמל ופנסיה בע"מ</v>
      </c>
      <c r="AC1136" s="1759" t="s">
        <v>1586</v>
      </c>
      <c r="AD1136" s="1760">
        <v>41828.506180555603</v>
      </c>
      <c r="AE1136" s="1760">
        <v>37226</v>
      </c>
      <c r="AF1136" s="1759" t="s">
        <v>2025</v>
      </c>
      <c r="AG1136" s="1759" t="s">
        <v>1583</v>
      </c>
      <c r="AH1136" s="1759" t="s">
        <v>1583</v>
      </c>
      <c r="AI1136" s="1759" t="s">
        <v>2374</v>
      </c>
      <c r="AJ1136" s="1759" t="s">
        <v>2374</v>
      </c>
      <c r="AK1136" s="1759">
        <v>1272</v>
      </c>
      <c r="AL1136" s="1759" t="s">
        <v>605</v>
      </c>
      <c r="AM1136" s="1759">
        <v>747</v>
      </c>
      <c r="AN1136" s="1759" t="s">
        <v>1695</v>
      </c>
      <c r="AO1136" s="1764"/>
      <c r="AP1136" s="1759" t="s">
        <v>5373</v>
      </c>
      <c r="AQ1136" s="1759" t="s">
        <v>5374</v>
      </c>
      <c r="AR1136" s="1759" t="s">
        <v>2899</v>
      </c>
      <c r="AS1136" s="1759" t="s">
        <v>349</v>
      </c>
      <c r="AT1136" s="1759" t="s">
        <v>327</v>
      </c>
      <c r="AU1136" s="1763"/>
      <c r="AV1136" s="1763"/>
    </row>
    <row r="1137" spans="1:48" ht="25" hidden="1">
      <c r="A1137" s="1785" t="str">
        <f t="shared" si="187"/>
        <v>גמל</v>
      </c>
      <c r="B1137" s="1786">
        <f t="shared" si="188"/>
        <v>1272</v>
      </c>
      <c r="C1137" s="1787">
        <v>28946</v>
      </c>
      <c r="D1137" s="1786" t="str">
        <f t="shared" si="189"/>
        <v>איפקס סלע תגמולים</v>
      </c>
      <c r="E1137" s="1786" t="s">
        <v>3929</v>
      </c>
      <c r="F1137" s="1786" t="s">
        <v>2958</v>
      </c>
      <c r="G1137" s="1786" t="s">
        <v>2959</v>
      </c>
      <c r="H1137" s="1786" t="str">
        <f t="shared" si="190"/>
        <v>לא פעיל</v>
      </c>
      <c r="I1137" s="1788">
        <f t="shared" si="191"/>
        <v>37226</v>
      </c>
      <c r="J1137" s="1788">
        <f t="shared" si="192"/>
        <v>41828.506180555603</v>
      </c>
      <c r="K1137" s="1786">
        <v>0</v>
      </c>
      <c r="L1137" s="1786" t="s">
        <v>1594</v>
      </c>
      <c r="M1137" s="1786" t="s">
        <v>1653</v>
      </c>
      <c r="N1137" s="1786" t="s">
        <v>1653</v>
      </c>
      <c r="O1137" s="1786">
        <v>0</v>
      </c>
      <c r="P1137" s="1786"/>
      <c r="Q1137" s="1786">
        <v>0</v>
      </c>
      <c r="R1137" s="1788"/>
      <c r="S1137" s="1786">
        <f t="shared" si="193"/>
        <v>747</v>
      </c>
      <c r="T1137" s="1786" t="str">
        <f t="shared" si="194"/>
        <v>בנק הפועלים בע"מ</v>
      </c>
      <c r="U1137" s="1786" t="str">
        <f t="shared" si="195"/>
        <v>איפקס-קופה לתגמולים ופיצויים</v>
      </c>
      <c r="V1137" s="1786" t="str">
        <f t="shared" si="196"/>
        <v>520043795</v>
      </c>
      <c r="W1137" s="1789" t="str">
        <f t="shared" si="197"/>
        <v>מיטב דש גמל ופנסיה בע"מ</v>
      </c>
      <c r="AC1137" s="1761" t="s">
        <v>1586</v>
      </c>
      <c r="AD1137" s="1762">
        <v>41828.506180555603</v>
      </c>
      <c r="AE1137" s="1762">
        <v>37226</v>
      </c>
      <c r="AF1137" s="1761" t="s">
        <v>2025</v>
      </c>
      <c r="AG1137" s="1761" t="s">
        <v>1583</v>
      </c>
      <c r="AH1137" s="1761" t="s">
        <v>1583</v>
      </c>
      <c r="AI1137" s="1761" t="s">
        <v>2374</v>
      </c>
      <c r="AJ1137" s="1761" t="s">
        <v>2374</v>
      </c>
      <c r="AK1137" s="1761">
        <v>1272</v>
      </c>
      <c r="AL1137" s="1761" t="s">
        <v>605</v>
      </c>
      <c r="AM1137" s="1761">
        <v>747</v>
      </c>
      <c r="AN1137" s="1761" t="s">
        <v>1695</v>
      </c>
      <c r="AO1137" s="1764"/>
      <c r="AP1137" s="1761" t="s">
        <v>5373</v>
      </c>
      <c r="AQ1137" s="1761" t="s">
        <v>5374</v>
      </c>
      <c r="AR1137" s="1761" t="s">
        <v>2899</v>
      </c>
      <c r="AS1137" s="1761" t="s">
        <v>349</v>
      </c>
      <c r="AT1137" s="1761" t="s">
        <v>327</v>
      </c>
      <c r="AU1137" s="1763"/>
      <c r="AV1137" s="1763"/>
    </row>
    <row r="1138" spans="1:48" ht="25" hidden="1">
      <c r="A1138" s="1785" t="str">
        <f t="shared" si="187"/>
        <v>גמל</v>
      </c>
      <c r="B1138" s="1786">
        <f t="shared" si="188"/>
        <v>1273</v>
      </c>
      <c r="C1138" s="1787">
        <v>28946</v>
      </c>
      <c r="D1138" s="1786" t="str">
        <f t="shared" si="189"/>
        <v>איפקס עוז תגמולים</v>
      </c>
      <c r="E1138" s="1786" t="s">
        <v>3929</v>
      </c>
      <c r="F1138" s="1786" t="s">
        <v>2958</v>
      </c>
      <c r="G1138" s="1786" t="s">
        <v>2959</v>
      </c>
      <c r="H1138" s="1786" t="str">
        <f t="shared" si="190"/>
        <v>לא פעיל</v>
      </c>
      <c r="I1138" s="1788">
        <f t="shared" si="191"/>
        <v>37226</v>
      </c>
      <c r="J1138" s="1788">
        <f t="shared" si="192"/>
        <v>41828.474756944401</v>
      </c>
      <c r="K1138" s="1786">
        <v>0</v>
      </c>
      <c r="L1138" s="1786" t="s">
        <v>1594</v>
      </c>
      <c r="M1138" s="1786" t="s">
        <v>1653</v>
      </c>
      <c r="N1138" s="1786" t="s">
        <v>1653</v>
      </c>
      <c r="O1138" s="1786">
        <v>0</v>
      </c>
      <c r="P1138" s="1786"/>
      <c r="Q1138" s="1786">
        <v>0</v>
      </c>
      <c r="R1138" s="1788"/>
      <c r="S1138" s="1786">
        <f t="shared" si="193"/>
        <v>747</v>
      </c>
      <c r="T1138" s="1786" t="str">
        <f t="shared" si="194"/>
        <v>בנק הפועלים בע"מ</v>
      </c>
      <c r="U1138" s="1786" t="str">
        <f t="shared" si="195"/>
        <v>איפקס-קופה לתגמולים ופיצויים</v>
      </c>
      <c r="V1138" s="1786" t="str">
        <f t="shared" si="196"/>
        <v>520043795</v>
      </c>
      <c r="W1138" s="1789" t="str">
        <f t="shared" si="197"/>
        <v>מיטב דש גמל ופנסיה בע"מ</v>
      </c>
      <c r="AC1138" s="1759" t="s">
        <v>1586</v>
      </c>
      <c r="AD1138" s="1760">
        <v>41828.474756944401</v>
      </c>
      <c r="AE1138" s="1760">
        <v>37226</v>
      </c>
      <c r="AF1138" s="1759" t="s">
        <v>1583</v>
      </c>
      <c r="AG1138" s="1759" t="s">
        <v>1583</v>
      </c>
      <c r="AH1138" s="1759" t="s">
        <v>1583</v>
      </c>
      <c r="AI1138" s="1759" t="s">
        <v>2375</v>
      </c>
      <c r="AJ1138" s="1759" t="s">
        <v>2375</v>
      </c>
      <c r="AK1138" s="1759">
        <v>1273</v>
      </c>
      <c r="AL1138" s="1759" t="s">
        <v>605</v>
      </c>
      <c r="AM1138" s="1759">
        <v>747</v>
      </c>
      <c r="AN1138" s="1759" t="s">
        <v>1695</v>
      </c>
      <c r="AO1138" s="1764"/>
      <c r="AP1138" s="1759" t="s">
        <v>5373</v>
      </c>
      <c r="AQ1138" s="1759" t="s">
        <v>5374</v>
      </c>
      <c r="AR1138" s="1759" t="s">
        <v>2899</v>
      </c>
      <c r="AS1138" s="1759" t="s">
        <v>349</v>
      </c>
      <c r="AT1138" s="1759" t="s">
        <v>327</v>
      </c>
      <c r="AU1138" s="1763"/>
      <c r="AV1138" s="1763"/>
    </row>
    <row r="1139" spans="1:48" ht="25" hidden="1">
      <c r="A1139" s="1785" t="str">
        <f t="shared" si="187"/>
        <v>גמל</v>
      </c>
      <c r="B1139" s="1786">
        <f t="shared" si="188"/>
        <v>2020</v>
      </c>
      <c r="C1139" s="1787">
        <v>28946</v>
      </c>
      <c r="D1139" s="1786" t="str">
        <f t="shared" si="189"/>
        <v>איפקס תגמולים מניות</v>
      </c>
      <c r="E1139" s="1786" t="s">
        <v>3929</v>
      </c>
      <c r="F1139" s="1786" t="s">
        <v>2958</v>
      </c>
      <c r="G1139" s="1786" t="s">
        <v>2959</v>
      </c>
      <c r="H1139" s="1786" t="str">
        <f t="shared" si="190"/>
        <v>לא פעיל</v>
      </c>
      <c r="I1139" s="1788">
        <f t="shared" si="191"/>
        <v>37226</v>
      </c>
      <c r="J1139" s="1788">
        <f t="shared" si="192"/>
        <v>41828.513564814799</v>
      </c>
      <c r="K1139" s="1786">
        <v>0</v>
      </c>
      <c r="L1139" s="1786" t="s">
        <v>1594</v>
      </c>
      <c r="M1139" s="1786" t="s">
        <v>1653</v>
      </c>
      <c r="N1139" s="1786" t="s">
        <v>1653</v>
      </c>
      <c r="O1139" s="1786">
        <v>0</v>
      </c>
      <c r="P1139" s="1786"/>
      <c r="Q1139" s="1786">
        <v>0</v>
      </c>
      <c r="R1139" s="1788"/>
      <c r="S1139" s="1786">
        <f t="shared" si="193"/>
        <v>747</v>
      </c>
      <c r="T1139" s="1786" t="str">
        <f t="shared" si="194"/>
        <v>בנק הפועלים בע"מ</v>
      </c>
      <c r="U1139" s="1786" t="str">
        <f t="shared" si="195"/>
        <v>איפקס-קופה לתגמולים ופיצויים</v>
      </c>
      <c r="V1139" s="1786" t="str">
        <f t="shared" si="196"/>
        <v>520043795</v>
      </c>
      <c r="W1139" s="1789" t="str">
        <f t="shared" si="197"/>
        <v>מיטב דש גמל ופנסיה בע"מ</v>
      </c>
      <c r="AC1139" s="1761" t="s">
        <v>1586</v>
      </c>
      <c r="AD1139" s="1762">
        <v>41828.513564814799</v>
      </c>
      <c r="AE1139" s="1762">
        <v>37226</v>
      </c>
      <c r="AF1139" s="1761" t="s">
        <v>1595</v>
      </c>
      <c r="AG1139" s="1761" t="s">
        <v>75</v>
      </c>
      <c r="AH1139" s="1761" t="s">
        <v>1594</v>
      </c>
      <c r="AI1139" s="1761" t="s">
        <v>2510</v>
      </c>
      <c r="AJ1139" s="1761" t="s">
        <v>2510</v>
      </c>
      <c r="AK1139" s="1761">
        <v>2020</v>
      </c>
      <c r="AL1139" s="1761" t="s">
        <v>605</v>
      </c>
      <c r="AM1139" s="1761">
        <v>747</v>
      </c>
      <c r="AN1139" s="1761" t="s">
        <v>1695</v>
      </c>
      <c r="AO1139" s="1764"/>
      <c r="AP1139" s="1761" t="s">
        <v>5373</v>
      </c>
      <c r="AQ1139" s="1761" t="s">
        <v>5374</v>
      </c>
      <c r="AR1139" s="1761" t="s">
        <v>2899</v>
      </c>
      <c r="AS1139" s="1761" t="s">
        <v>349</v>
      </c>
      <c r="AT1139" s="1761" t="s">
        <v>327</v>
      </c>
      <c r="AU1139" s="1763"/>
      <c r="AV1139" s="1763"/>
    </row>
    <row r="1140" spans="1:48" ht="25" hidden="1">
      <c r="A1140" s="1785" t="str">
        <f t="shared" si="187"/>
        <v>גמל</v>
      </c>
      <c r="B1140" s="1786">
        <f t="shared" si="188"/>
        <v>746</v>
      </c>
      <c r="C1140" s="1787">
        <v>28946</v>
      </c>
      <c r="D1140" s="1786" t="str">
        <f t="shared" si="189"/>
        <v>קהילה קרן השתלמות</v>
      </c>
      <c r="E1140" s="1786" t="s">
        <v>3929</v>
      </c>
      <c r="F1140" s="1786" t="s">
        <v>2958</v>
      </c>
      <c r="G1140" s="1786" t="s">
        <v>2959</v>
      </c>
      <c r="H1140" s="1786" t="str">
        <f t="shared" si="190"/>
        <v>לא פעיל</v>
      </c>
      <c r="I1140" s="1788">
        <f t="shared" si="191"/>
        <v>37221</v>
      </c>
      <c r="J1140" s="1788">
        <f t="shared" si="192"/>
        <v>40918.366886574098</v>
      </c>
      <c r="K1140" s="1786">
        <v>0</v>
      </c>
      <c r="L1140" s="1786" t="s">
        <v>1594</v>
      </c>
      <c r="M1140" s="1786" t="s">
        <v>1653</v>
      </c>
      <c r="N1140" s="1786" t="s">
        <v>1653</v>
      </c>
      <c r="O1140" s="1786">
        <v>0</v>
      </c>
      <c r="P1140" s="1786"/>
      <c r="Q1140" s="1786">
        <v>0</v>
      </c>
      <c r="R1140" s="1788"/>
      <c r="S1140" s="1786">
        <f t="shared" si="193"/>
        <v>746</v>
      </c>
      <c r="T1140" s="1786" t="str">
        <f t="shared" si="194"/>
        <v>ד.ס.ש ייעוץ ושירותים בע"מ</v>
      </c>
      <c r="U1140" s="1786" t="str">
        <f t="shared" si="195"/>
        <v>קהילה קרן השתלמות</v>
      </c>
      <c r="V1140" s="1786">
        <f t="shared" si="196"/>
        <v>0</v>
      </c>
      <c r="W1140" s="1789" t="str">
        <f t="shared" si="197"/>
        <v>כלל פנסיה וגמל בע"מ</v>
      </c>
      <c r="AC1140" s="1759" t="s">
        <v>1586</v>
      </c>
      <c r="AD1140" s="1760">
        <v>40918.366886574098</v>
      </c>
      <c r="AE1140" s="1760">
        <v>37221</v>
      </c>
      <c r="AF1140" s="1759" t="s">
        <v>1583</v>
      </c>
      <c r="AG1140" s="1759" t="s">
        <v>1583</v>
      </c>
      <c r="AH1140" s="1759" t="s">
        <v>1583</v>
      </c>
      <c r="AI1140" s="1759" t="s">
        <v>3290</v>
      </c>
      <c r="AJ1140" s="1759" t="s">
        <v>2012</v>
      </c>
      <c r="AK1140" s="1759">
        <v>746</v>
      </c>
      <c r="AL1140" s="1759" t="s">
        <v>2012</v>
      </c>
      <c r="AM1140" s="1759">
        <v>746</v>
      </c>
      <c r="AN1140" s="1759" t="s">
        <v>5393</v>
      </c>
      <c r="AO1140" s="1764"/>
      <c r="AP1140" s="1759"/>
      <c r="AQ1140" s="1759"/>
      <c r="AR1140" s="1759" t="s">
        <v>378</v>
      </c>
      <c r="AS1140" s="1759" t="s">
        <v>379</v>
      </c>
      <c r="AT1140" s="1759" t="s">
        <v>327</v>
      </c>
      <c r="AU1140" s="1763"/>
      <c r="AV1140" s="1763"/>
    </row>
    <row r="1141" spans="1:48" ht="37.5" hidden="1">
      <c r="A1141" s="1785" t="str">
        <f t="shared" si="187"/>
        <v>גמל</v>
      </c>
      <c r="B1141" s="1786">
        <f t="shared" si="188"/>
        <v>745</v>
      </c>
      <c r="C1141" s="1787">
        <v>28946</v>
      </c>
      <c r="D1141" s="1786" t="str">
        <f t="shared" si="189"/>
        <v>מגדל-קופ"ג מרכזית לפיצויים</v>
      </c>
      <c r="E1141" s="1786" t="s">
        <v>3929</v>
      </c>
      <c r="F1141" s="1786" t="s">
        <v>2958</v>
      </c>
      <c r="G1141" s="1786" t="s">
        <v>2959</v>
      </c>
      <c r="H1141" s="1786" t="str">
        <f t="shared" si="190"/>
        <v>פעיל</v>
      </c>
      <c r="I1141" s="1788">
        <f t="shared" si="191"/>
        <v>37221</v>
      </c>
      <c r="J1141" s="1788" t="str">
        <f t="shared" si="192"/>
        <v/>
      </c>
      <c r="K1141" s="1786">
        <v>0</v>
      </c>
      <c r="L1141" s="1786" t="s">
        <v>1594</v>
      </c>
      <c r="M1141" s="1786" t="s">
        <v>1653</v>
      </c>
      <c r="N1141" s="1786" t="s">
        <v>1653</v>
      </c>
      <c r="O1141" s="1786">
        <v>0</v>
      </c>
      <c r="P1141" s="1786"/>
      <c r="Q1141" s="1786">
        <v>0</v>
      </c>
      <c r="R1141" s="1788"/>
      <c r="S1141" s="1786">
        <f t="shared" si="193"/>
        <v>745</v>
      </c>
      <c r="T1141" s="1786" t="str">
        <f t="shared" si="194"/>
        <v>לאומי</v>
      </c>
      <c r="U1141" s="1786" t="str">
        <f t="shared" si="195"/>
        <v>מגדל-קופ"ג מרכזית לפיצויים</v>
      </c>
      <c r="V1141" s="1786" t="str">
        <f t="shared" si="196"/>
        <v>510464803</v>
      </c>
      <c r="W1141" s="1789" t="str">
        <f t="shared" si="197"/>
        <v>מגדל מקפת קרנות פנסיה וקופות גמל בע"מ</v>
      </c>
      <c r="AC1141" s="1761" t="s">
        <v>346</v>
      </c>
      <c r="AD1141" s="1761"/>
      <c r="AE1141" s="1762">
        <v>37221</v>
      </c>
      <c r="AF1141" s="1761" t="s">
        <v>1583</v>
      </c>
      <c r="AG1141" s="1761" t="s">
        <v>1583</v>
      </c>
      <c r="AH1141" s="1761" t="s">
        <v>1583</v>
      </c>
      <c r="AI1141" s="1761" t="s">
        <v>3289</v>
      </c>
      <c r="AJ1141" s="1761" t="s">
        <v>604</v>
      </c>
      <c r="AK1141" s="1761">
        <v>745</v>
      </c>
      <c r="AL1141" s="1761" t="s">
        <v>604</v>
      </c>
      <c r="AM1141" s="1761">
        <v>745</v>
      </c>
      <c r="AN1141" s="1761" t="s">
        <v>5305</v>
      </c>
      <c r="AO1141" s="1764"/>
      <c r="AP1141" s="1761" t="s">
        <v>5382</v>
      </c>
      <c r="AQ1141" s="1761" t="s">
        <v>5383</v>
      </c>
      <c r="AR1141" s="1761" t="s">
        <v>394</v>
      </c>
      <c r="AS1141" s="1761" t="s">
        <v>395</v>
      </c>
      <c r="AT1141" s="1761" t="s">
        <v>327</v>
      </c>
      <c r="AU1141" s="1763"/>
      <c r="AV1141" s="1763"/>
    </row>
    <row r="1142" spans="1:48" ht="37.5" hidden="1">
      <c r="A1142" s="1785" t="str">
        <f t="shared" si="187"/>
        <v>גמל</v>
      </c>
      <c r="B1142" s="1786">
        <f t="shared" si="188"/>
        <v>744</v>
      </c>
      <c r="C1142" s="1787">
        <v>28946</v>
      </c>
      <c r="D1142" s="1786" t="str">
        <f t="shared" si="189"/>
        <v>מגדל לתגמולים ולפיצויים מסלול כללי</v>
      </c>
      <c r="E1142" s="1786" t="s">
        <v>3929</v>
      </c>
      <c r="F1142" s="1786" t="s">
        <v>2958</v>
      </c>
      <c r="G1142" s="1786" t="s">
        <v>2959</v>
      </c>
      <c r="H1142" s="1786" t="str">
        <f t="shared" si="190"/>
        <v>פעיל</v>
      </c>
      <c r="I1142" s="1788">
        <f t="shared" si="191"/>
        <v>37221</v>
      </c>
      <c r="J1142" s="1788" t="str">
        <f t="shared" si="192"/>
        <v/>
      </c>
      <c r="K1142" s="1786">
        <v>0</v>
      </c>
      <c r="L1142" s="1786" t="s">
        <v>1594</v>
      </c>
      <c r="M1142" s="1786" t="s">
        <v>1653</v>
      </c>
      <c r="N1142" s="1786" t="s">
        <v>1653</v>
      </c>
      <c r="O1142" s="1786">
        <v>0</v>
      </c>
      <c r="P1142" s="1786"/>
      <c r="Q1142" s="1786">
        <v>0</v>
      </c>
      <c r="R1142" s="1788"/>
      <c r="S1142" s="1786">
        <f t="shared" si="193"/>
        <v>744</v>
      </c>
      <c r="T1142" s="1786" t="str">
        <f t="shared" si="194"/>
        <v>לאומי</v>
      </c>
      <c r="U1142" s="1786" t="str">
        <f t="shared" si="195"/>
        <v>מגדל לתגמולים ולפיצויים</v>
      </c>
      <c r="V1142" s="1786" t="str">
        <f t="shared" si="196"/>
        <v>510464803</v>
      </c>
      <c r="W1142" s="1789" t="str">
        <f t="shared" si="197"/>
        <v>מגדל מקפת קרנות פנסיה וקופות גמל בע"מ</v>
      </c>
      <c r="AC1142" s="1759" t="s">
        <v>346</v>
      </c>
      <c r="AD1142" s="1759"/>
      <c r="AE1142" s="1760">
        <v>37221</v>
      </c>
      <c r="AF1142" s="1759" t="s">
        <v>1583</v>
      </c>
      <c r="AG1142" s="1759" t="s">
        <v>1583</v>
      </c>
      <c r="AH1142" s="1759" t="s">
        <v>1583</v>
      </c>
      <c r="AI1142" s="1759" t="s">
        <v>3287</v>
      </c>
      <c r="AJ1142" s="1759" t="s">
        <v>3286</v>
      </c>
      <c r="AK1142" s="1759">
        <v>744</v>
      </c>
      <c r="AL1142" s="1759" t="s">
        <v>3288</v>
      </c>
      <c r="AM1142" s="1759">
        <v>744</v>
      </c>
      <c r="AN1142" s="1759" t="s">
        <v>5305</v>
      </c>
      <c r="AO1142" s="1764"/>
      <c r="AP1142" s="1759" t="s">
        <v>5382</v>
      </c>
      <c r="AQ1142" s="1759" t="s">
        <v>5383</v>
      </c>
      <c r="AR1142" s="1759" t="s">
        <v>394</v>
      </c>
      <c r="AS1142" s="1759" t="s">
        <v>395</v>
      </c>
      <c r="AT1142" s="1759" t="s">
        <v>327</v>
      </c>
      <c r="AU1142" s="1763"/>
      <c r="AV1142" s="1763"/>
    </row>
    <row r="1143" spans="1:48" ht="37.5" hidden="1">
      <c r="A1143" s="1785" t="str">
        <f t="shared" si="187"/>
        <v>גמל</v>
      </c>
      <c r="B1143" s="1786">
        <f t="shared" si="188"/>
        <v>9779</v>
      </c>
      <c r="C1143" s="1787">
        <v>28946</v>
      </c>
      <c r="D1143" s="1786" t="str">
        <f t="shared" si="189"/>
        <v>מגדל לתגמולים ולפיצויים מסלול לבני 50 ומטה</v>
      </c>
      <c r="E1143" s="1786" t="s">
        <v>3929</v>
      </c>
      <c r="F1143" s="1786" t="s">
        <v>2958</v>
      </c>
      <c r="G1143" s="1786" t="s">
        <v>2959</v>
      </c>
      <c r="H1143" s="1786" t="str">
        <f t="shared" si="190"/>
        <v>פעיל</v>
      </c>
      <c r="I1143" s="1788">
        <f t="shared" si="191"/>
        <v>37221</v>
      </c>
      <c r="J1143" s="1788" t="str">
        <f t="shared" si="192"/>
        <v/>
      </c>
      <c r="K1143" s="1786">
        <v>0</v>
      </c>
      <c r="L1143" s="1786" t="s">
        <v>1594</v>
      </c>
      <c r="M1143" s="1786" t="s">
        <v>1653</v>
      </c>
      <c r="N1143" s="1786" t="s">
        <v>1653</v>
      </c>
      <c r="O1143" s="1786">
        <v>0</v>
      </c>
      <c r="P1143" s="1786"/>
      <c r="Q1143" s="1786">
        <v>0</v>
      </c>
      <c r="R1143" s="1788"/>
      <c r="S1143" s="1786">
        <f t="shared" si="193"/>
        <v>744</v>
      </c>
      <c r="T1143" s="1786" t="str">
        <f t="shared" si="194"/>
        <v>לאומי</v>
      </c>
      <c r="U1143" s="1786" t="str">
        <f t="shared" si="195"/>
        <v>מגדל לתגמולים ולפיצויים</v>
      </c>
      <c r="V1143" s="1786" t="str">
        <f t="shared" si="196"/>
        <v>510464803</v>
      </c>
      <c r="W1143" s="1789" t="str">
        <f t="shared" si="197"/>
        <v>מגדל מקפת קרנות פנסיה וקופות גמל בע"מ</v>
      </c>
      <c r="AC1143" s="1761" t="s">
        <v>346</v>
      </c>
      <c r="AD1143" s="1761"/>
      <c r="AE1143" s="1762">
        <v>37221</v>
      </c>
      <c r="AF1143" s="1761" t="s">
        <v>4151</v>
      </c>
      <c r="AG1143" s="1761" t="s">
        <v>3931</v>
      </c>
      <c r="AH1143" s="1761" t="s">
        <v>3658</v>
      </c>
      <c r="AI1143" s="1761" t="s">
        <v>4345</v>
      </c>
      <c r="AJ1143" s="1761" t="s">
        <v>4345</v>
      </c>
      <c r="AK1143" s="1761">
        <v>9779</v>
      </c>
      <c r="AL1143" s="1761" t="s">
        <v>3288</v>
      </c>
      <c r="AM1143" s="1761">
        <v>744</v>
      </c>
      <c r="AN1143" s="1761" t="s">
        <v>5305</v>
      </c>
      <c r="AO1143" s="1764"/>
      <c r="AP1143" s="1761" t="s">
        <v>5382</v>
      </c>
      <c r="AQ1143" s="1761" t="s">
        <v>5383</v>
      </c>
      <c r="AR1143" s="1761" t="s">
        <v>394</v>
      </c>
      <c r="AS1143" s="1761" t="s">
        <v>395</v>
      </c>
      <c r="AT1143" s="1761" t="s">
        <v>327</v>
      </c>
      <c r="AU1143" s="1763"/>
      <c r="AV1143" s="1763"/>
    </row>
    <row r="1144" spans="1:48" ht="37.5" hidden="1">
      <c r="A1144" s="1785" t="str">
        <f t="shared" si="187"/>
        <v>גמל</v>
      </c>
      <c r="B1144" s="1786">
        <f t="shared" si="188"/>
        <v>9780</v>
      </c>
      <c r="C1144" s="1787">
        <v>28946</v>
      </c>
      <c r="D1144" s="1786" t="str">
        <f t="shared" si="189"/>
        <v>מגדל לתגמולים ולפיצויים מסלול לבני 50 עד 60</v>
      </c>
      <c r="E1144" s="1786" t="s">
        <v>3929</v>
      </c>
      <c r="F1144" s="1786" t="s">
        <v>2958</v>
      </c>
      <c r="G1144" s="1786" t="s">
        <v>2959</v>
      </c>
      <c r="H1144" s="1786" t="str">
        <f t="shared" si="190"/>
        <v>פעיל</v>
      </c>
      <c r="I1144" s="1788">
        <f t="shared" si="191"/>
        <v>37221</v>
      </c>
      <c r="J1144" s="1788" t="str">
        <f t="shared" si="192"/>
        <v/>
      </c>
      <c r="K1144" s="1786">
        <v>0</v>
      </c>
      <c r="L1144" s="1786" t="s">
        <v>1594</v>
      </c>
      <c r="M1144" s="1786" t="s">
        <v>1653</v>
      </c>
      <c r="N1144" s="1786" t="s">
        <v>1653</v>
      </c>
      <c r="O1144" s="1786">
        <v>0</v>
      </c>
      <c r="P1144" s="1786"/>
      <c r="Q1144" s="1786">
        <v>0</v>
      </c>
      <c r="R1144" s="1788"/>
      <c r="S1144" s="1786">
        <f t="shared" si="193"/>
        <v>744</v>
      </c>
      <c r="T1144" s="1786" t="str">
        <f t="shared" si="194"/>
        <v>לאומי</v>
      </c>
      <c r="U1144" s="1786" t="str">
        <f t="shared" si="195"/>
        <v>מגדל לתגמולים ולפיצויים</v>
      </c>
      <c r="V1144" s="1786" t="str">
        <f t="shared" si="196"/>
        <v>510464803</v>
      </c>
      <c r="W1144" s="1789" t="str">
        <f t="shared" si="197"/>
        <v>מגדל מקפת קרנות פנסיה וקופות גמל בע"מ</v>
      </c>
      <c r="AC1144" s="1759" t="s">
        <v>346</v>
      </c>
      <c r="AD1144" s="1759"/>
      <c r="AE1144" s="1760">
        <v>37221</v>
      </c>
      <c r="AF1144" s="1759" t="s">
        <v>3932</v>
      </c>
      <c r="AG1144" s="1759" t="s">
        <v>3931</v>
      </c>
      <c r="AH1144" s="1759" t="s">
        <v>3658</v>
      </c>
      <c r="AI1144" s="1759" t="s">
        <v>4346</v>
      </c>
      <c r="AJ1144" s="1759" t="s">
        <v>4346</v>
      </c>
      <c r="AK1144" s="1759">
        <v>9780</v>
      </c>
      <c r="AL1144" s="1759" t="s">
        <v>3288</v>
      </c>
      <c r="AM1144" s="1759">
        <v>744</v>
      </c>
      <c r="AN1144" s="1759" t="s">
        <v>5305</v>
      </c>
      <c r="AO1144" s="1764"/>
      <c r="AP1144" s="1759" t="s">
        <v>5382</v>
      </c>
      <c r="AQ1144" s="1759" t="s">
        <v>5383</v>
      </c>
      <c r="AR1144" s="1759" t="s">
        <v>394</v>
      </c>
      <c r="AS1144" s="1759" t="s">
        <v>395</v>
      </c>
      <c r="AT1144" s="1759" t="s">
        <v>327</v>
      </c>
      <c r="AU1144" s="1763"/>
      <c r="AV1144" s="1763"/>
    </row>
    <row r="1145" spans="1:48" ht="37.5" hidden="1">
      <c r="A1145" s="1785" t="str">
        <f t="shared" si="187"/>
        <v>גמל</v>
      </c>
      <c r="B1145" s="1786">
        <f t="shared" si="188"/>
        <v>9781</v>
      </c>
      <c r="C1145" s="1787">
        <v>28946</v>
      </c>
      <c r="D1145" s="1786" t="str">
        <f t="shared" si="189"/>
        <v>מגדל לתגמולים ולפיצויים מסלול לבני 60 ומעלה</v>
      </c>
      <c r="E1145" s="1786" t="s">
        <v>3929</v>
      </c>
      <c r="F1145" s="1786" t="s">
        <v>2958</v>
      </c>
      <c r="G1145" s="1786" t="s">
        <v>2959</v>
      </c>
      <c r="H1145" s="1786" t="str">
        <f t="shared" si="190"/>
        <v>פעיל</v>
      </c>
      <c r="I1145" s="1788">
        <f t="shared" si="191"/>
        <v>37221</v>
      </c>
      <c r="J1145" s="1788" t="str">
        <f t="shared" si="192"/>
        <v/>
      </c>
      <c r="K1145" s="1786">
        <v>0</v>
      </c>
      <c r="L1145" s="1786" t="s">
        <v>1594</v>
      </c>
      <c r="M1145" s="1786" t="s">
        <v>1653</v>
      </c>
      <c r="N1145" s="1786" t="s">
        <v>1653</v>
      </c>
      <c r="O1145" s="1786">
        <v>0</v>
      </c>
      <c r="P1145" s="1786"/>
      <c r="Q1145" s="1786">
        <v>0</v>
      </c>
      <c r="R1145" s="1788"/>
      <c r="S1145" s="1786">
        <f t="shared" si="193"/>
        <v>744</v>
      </c>
      <c r="T1145" s="1786" t="str">
        <f t="shared" si="194"/>
        <v>לאומי</v>
      </c>
      <c r="U1145" s="1786" t="str">
        <f t="shared" si="195"/>
        <v>מגדל לתגמולים ולפיצויים</v>
      </c>
      <c r="V1145" s="1786" t="str">
        <f t="shared" si="196"/>
        <v>510464803</v>
      </c>
      <c r="W1145" s="1789" t="str">
        <f t="shared" si="197"/>
        <v>מגדל מקפת קרנות פנסיה וקופות גמל בע"מ</v>
      </c>
      <c r="AC1145" s="1761" t="s">
        <v>346</v>
      </c>
      <c r="AD1145" s="1761"/>
      <c r="AE1145" s="1762">
        <v>37221</v>
      </c>
      <c r="AF1145" s="1761" t="s">
        <v>3963</v>
      </c>
      <c r="AG1145" s="1761" t="s">
        <v>3931</v>
      </c>
      <c r="AH1145" s="1761" t="s">
        <v>3658</v>
      </c>
      <c r="AI1145" s="1761" t="s">
        <v>4347</v>
      </c>
      <c r="AJ1145" s="1761" t="s">
        <v>4347</v>
      </c>
      <c r="AK1145" s="1761">
        <v>9781</v>
      </c>
      <c r="AL1145" s="1761" t="s">
        <v>3288</v>
      </c>
      <c r="AM1145" s="1761">
        <v>744</v>
      </c>
      <c r="AN1145" s="1761" t="s">
        <v>5305</v>
      </c>
      <c r="AO1145" s="1764"/>
      <c r="AP1145" s="1761" t="s">
        <v>5382</v>
      </c>
      <c r="AQ1145" s="1761" t="s">
        <v>5383</v>
      </c>
      <c r="AR1145" s="1761" t="s">
        <v>394</v>
      </c>
      <c r="AS1145" s="1761" t="s">
        <v>395</v>
      </c>
      <c r="AT1145" s="1761" t="s">
        <v>327</v>
      </c>
      <c r="AU1145" s="1763"/>
      <c r="AV1145" s="1763"/>
    </row>
    <row r="1146" spans="1:48" ht="37.5" hidden="1">
      <c r="A1146" s="1785" t="str">
        <f t="shared" si="187"/>
        <v>גמל</v>
      </c>
      <c r="B1146" s="1786">
        <f t="shared" si="188"/>
        <v>8012</v>
      </c>
      <c r="C1146" s="1787">
        <v>28946</v>
      </c>
      <c r="D1146" s="1786" t="str">
        <f t="shared" si="189"/>
        <v>מגדל לתגמולים ולפיצויים מסלול אג"ח עד 10% במניות</v>
      </c>
      <c r="E1146" s="1786" t="s">
        <v>3929</v>
      </c>
      <c r="F1146" s="1786" t="s">
        <v>2958</v>
      </c>
      <c r="G1146" s="1786" t="s">
        <v>2959</v>
      </c>
      <c r="H1146" s="1786" t="str">
        <f t="shared" si="190"/>
        <v>פעיל</v>
      </c>
      <c r="I1146" s="1788">
        <f t="shared" si="191"/>
        <v>37221</v>
      </c>
      <c r="J1146" s="1788" t="str">
        <f t="shared" si="192"/>
        <v/>
      </c>
      <c r="K1146" s="1786">
        <v>0</v>
      </c>
      <c r="L1146" s="1786" t="s">
        <v>1594</v>
      </c>
      <c r="M1146" s="1786" t="s">
        <v>1653</v>
      </c>
      <c r="N1146" s="1786" t="s">
        <v>1653</v>
      </c>
      <c r="O1146" s="1786">
        <v>0</v>
      </c>
      <c r="P1146" s="1786"/>
      <c r="Q1146" s="1786">
        <v>0</v>
      </c>
      <c r="R1146" s="1788"/>
      <c r="S1146" s="1786">
        <f t="shared" si="193"/>
        <v>744</v>
      </c>
      <c r="T1146" s="1786" t="str">
        <f t="shared" si="194"/>
        <v>לאומי</v>
      </c>
      <c r="U1146" s="1786" t="str">
        <f t="shared" si="195"/>
        <v>מגדל לתגמולים ולפיצויים</v>
      </c>
      <c r="V1146" s="1786" t="str">
        <f t="shared" si="196"/>
        <v>510464803</v>
      </c>
      <c r="W1146" s="1789" t="str">
        <f t="shared" si="197"/>
        <v>מגדל מקפת קרנות פנסיה וקופות גמל בע"מ</v>
      </c>
      <c r="AC1146" s="1759" t="s">
        <v>346</v>
      </c>
      <c r="AD1146" s="1759"/>
      <c r="AE1146" s="1760">
        <v>37221</v>
      </c>
      <c r="AF1146" s="1759" t="s">
        <v>1653</v>
      </c>
      <c r="AG1146" s="1759" t="s">
        <v>1653</v>
      </c>
      <c r="AH1146" s="1759" t="s">
        <v>1594</v>
      </c>
      <c r="AI1146" s="1759" t="s">
        <v>4236</v>
      </c>
      <c r="AJ1146" s="1759" t="s">
        <v>4235</v>
      </c>
      <c r="AK1146" s="1759">
        <v>8012</v>
      </c>
      <c r="AL1146" s="1759" t="s">
        <v>3288</v>
      </c>
      <c r="AM1146" s="1759">
        <v>744</v>
      </c>
      <c r="AN1146" s="1759" t="s">
        <v>5305</v>
      </c>
      <c r="AO1146" s="1764"/>
      <c r="AP1146" s="1759" t="s">
        <v>5382</v>
      </c>
      <c r="AQ1146" s="1759" t="s">
        <v>5383</v>
      </c>
      <c r="AR1146" s="1759" t="s">
        <v>394</v>
      </c>
      <c r="AS1146" s="1759" t="s">
        <v>395</v>
      </c>
      <c r="AT1146" s="1759" t="s">
        <v>327</v>
      </c>
      <c r="AU1146" s="1763"/>
      <c r="AV1146" s="1763"/>
    </row>
    <row r="1147" spans="1:48" ht="37.5" hidden="1">
      <c r="A1147" s="1785" t="str">
        <f t="shared" si="187"/>
        <v>גמל</v>
      </c>
      <c r="B1147" s="1786">
        <f t="shared" si="188"/>
        <v>863</v>
      </c>
      <c r="C1147" s="1787">
        <v>28946</v>
      </c>
      <c r="D1147" s="1786" t="str">
        <f t="shared" si="189"/>
        <v>מגדל לתגמולים ולפיצויים מסלול מניות</v>
      </c>
      <c r="E1147" s="1786" t="s">
        <v>3929</v>
      </c>
      <c r="F1147" s="1786" t="s">
        <v>2958</v>
      </c>
      <c r="G1147" s="1786" t="s">
        <v>2959</v>
      </c>
      <c r="H1147" s="1786" t="str">
        <f t="shared" si="190"/>
        <v>פעיל</v>
      </c>
      <c r="I1147" s="1788">
        <f t="shared" si="191"/>
        <v>37221</v>
      </c>
      <c r="J1147" s="1788" t="str">
        <f t="shared" si="192"/>
        <v/>
      </c>
      <c r="K1147" s="1786">
        <v>0</v>
      </c>
      <c r="L1147" s="1786" t="s">
        <v>1594</v>
      </c>
      <c r="M1147" s="1786" t="s">
        <v>1653</v>
      </c>
      <c r="N1147" s="1786" t="s">
        <v>1653</v>
      </c>
      <c r="O1147" s="1786">
        <v>0</v>
      </c>
      <c r="P1147" s="1786"/>
      <c r="Q1147" s="1786">
        <v>0</v>
      </c>
      <c r="R1147" s="1788"/>
      <c r="S1147" s="1786">
        <f t="shared" si="193"/>
        <v>744</v>
      </c>
      <c r="T1147" s="1786" t="str">
        <f t="shared" si="194"/>
        <v>לאומי</v>
      </c>
      <c r="U1147" s="1786" t="str">
        <f t="shared" si="195"/>
        <v>מגדל לתגמולים ולפיצויים</v>
      </c>
      <c r="V1147" s="1786" t="str">
        <f t="shared" si="196"/>
        <v>510464803</v>
      </c>
      <c r="W1147" s="1789" t="str">
        <f t="shared" si="197"/>
        <v>מגדל מקפת קרנות פנסיה וקופות גמל בע"מ</v>
      </c>
      <c r="AC1147" s="1761" t="s">
        <v>346</v>
      </c>
      <c r="AD1147" s="1761"/>
      <c r="AE1147" s="1762">
        <v>37221</v>
      </c>
      <c r="AF1147" s="1761" t="s">
        <v>1595</v>
      </c>
      <c r="AG1147" s="1761" t="s">
        <v>75</v>
      </c>
      <c r="AH1147" s="1761" t="s">
        <v>1594</v>
      </c>
      <c r="AI1147" s="1761" t="s">
        <v>4004</v>
      </c>
      <c r="AJ1147" s="1761" t="s">
        <v>4003</v>
      </c>
      <c r="AK1147" s="1761">
        <v>863</v>
      </c>
      <c r="AL1147" s="1761" t="s">
        <v>3288</v>
      </c>
      <c r="AM1147" s="1761">
        <v>744</v>
      </c>
      <c r="AN1147" s="1761" t="s">
        <v>5305</v>
      </c>
      <c r="AO1147" s="1764"/>
      <c r="AP1147" s="1761" t="s">
        <v>5382</v>
      </c>
      <c r="AQ1147" s="1761" t="s">
        <v>5383</v>
      </c>
      <c r="AR1147" s="1761" t="s">
        <v>394</v>
      </c>
      <c r="AS1147" s="1761" t="s">
        <v>395</v>
      </c>
      <c r="AT1147" s="1761" t="s">
        <v>327</v>
      </c>
      <c r="AU1147" s="1763"/>
      <c r="AV1147" s="1763"/>
    </row>
    <row r="1148" spans="1:48" ht="37.5" hidden="1">
      <c r="A1148" s="1785" t="str">
        <f t="shared" si="187"/>
        <v>גמל</v>
      </c>
      <c r="B1148" s="1786">
        <f t="shared" si="188"/>
        <v>858</v>
      </c>
      <c r="C1148" s="1787">
        <v>28946</v>
      </c>
      <c r="D1148" s="1786" t="str">
        <f t="shared" si="189"/>
        <v>מגדל לתגמולים ולפיצויים מסלול שקלי טווח קצר</v>
      </c>
      <c r="E1148" s="1786" t="s">
        <v>3929</v>
      </c>
      <c r="F1148" s="1786" t="s">
        <v>2958</v>
      </c>
      <c r="G1148" s="1786" t="s">
        <v>2959</v>
      </c>
      <c r="H1148" s="1786" t="str">
        <f t="shared" si="190"/>
        <v>פעיל</v>
      </c>
      <c r="I1148" s="1788">
        <f t="shared" si="191"/>
        <v>37221</v>
      </c>
      <c r="J1148" s="1788" t="str">
        <f t="shared" si="192"/>
        <v/>
      </c>
      <c r="K1148" s="1786">
        <v>0</v>
      </c>
      <c r="L1148" s="1786" t="s">
        <v>1594</v>
      </c>
      <c r="M1148" s="1786" t="s">
        <v>1653</v>
      </c>
      <c r="N1148" s="1786" t="s">
        <v>1653</v>
      </c>
      <c r="O1148" s="1786">
        <v>0</v>
      </c>
      <c r="P1148" s="1786"/>
      <c r="Q1148" s="1786">
        <v>0</v>
      </c>
      <c r="R1148" s="1788"/>
      <c r="S1148" s="1786">
        <f t="shared" si="193"/>
        <v>744</v>
      </c>
      <c r="T1148" s="1786" t="str">
        <f t="shared" si="194"/>
        <v>לאומי</v>
      </c>
      <c r="U1148" s="1786" t="str">
        <f t="shared" si="195"/>
        <v>מגדל לתגמולים ולפיצויים</v>
      </c>
      <c r="V1148" s="1786" t="str">
        <f t="shared" si="196"/>
        <v>510464803</v>
      </c>
      <c r="W1148" s="1789" t="str">
        <f t="shared" si="197"/>
        <v>מגדל מקפת קרנות פנסיה וקופות גמל בע"מ</v>
      </c>
      <c r="AC1148" s="1759" t="s">
        <v>346</v>
      </c>
      <c r="AD1148" s="1759"/>
      <c r="AE1148" s="1760">
        <v>37221</v>
      </c>
      <c r="AF1148" s="1759" t="s">
        <v>1673</v>
      </c>
      <c r="AG1148" s="1759" t="s">
        <v>1614</v>
      </c>
      <c r="AH1148" s="1759" t="s">
        <v>1594</v>
      </c>
      <c r="AI1148" s="1759" t="s">
        <v>4000</v>
      </c>
      <c r="AJ1148" s="1759" t="s">
        <v>3999</v>
      </c>
      <c r="AK1148" s="1759">
        <v>858</v>
      </c>
      <c r="AL1148" s="1759" t="s">
        <v>3288</v>
      </c>
      <c r="AM1148" s="1759">
        <v>744</v>
      </c>
      <c r="AN1148" s="1759" t="s">
        <v>5305</v>
      </c>
      <c r="AO1148" s="1764"/>
      <c r="AP1148" s="1759" t="s">
        <v>5382</v>
      </c>
      <c r="AQ1148" s="1759" t="s">
        <v>5383</v>
      </c>
      <c r="AR1148" s="1759" t="s">
        <v>394</v>
      </c>
      <c r="AS1148" s="1759" t="s">
        <v>395</v>
      </c>
      <c r="AT1148" s="1759" t="s">
        <v>327</v>
      </c>
      <c r="AU1148" s="1763"/>
      <c r="AV1148" s="1763"/>
    </row>
    <row r="1149" spans="1:48" ht="37.5" hidden="1">
      <c r="A1149" s="1785" t="str">
        <f t="shared" si="187"/>
        <v>גמל</v>
      </c>
      <c r="B1149" s="1786">
        <f t="shared" si="188"/>
        <v>859</v>
      </c>
      <c r="C1149" s="1787">
        <v>28946</v>
      </c>
      <c r="D1149" s="1786" t="str">
        <f t="shared" si="189"/>
        <v>מגדל לתגמולים ולפיצויים מסלול אג"ח ממשלתי ישראלי</v>
      </c>
      <c r="E1149" s="1786" t="s">
        <v>3929</v>
      </c>
      <c r="F1149" s="1786" t="s">
        <v>2958</v>
      </c>
      <c r="G1149" s="1786" t="s">
        <v>2959</v>
      </c>
      <c r="H1149" s="1786" t="str">
        <f t="shared" si="190"/>
        <v>פעיל</v>
      </c>
      <c r="I1149" s="1788">
        <f t="shared" si="191"/>
        <v>37221</v>
      </c>
      <c r="J1149" s="1788" t="str">
        <f t="shared" si="192"/>
        <v/>
      </c>
      <c r="K1149" s="1786">
        <v>0</v>
      </c>
      <c r="L1149" s="1786" t="s">
        <v>1594</v>
      </c>
      <c r="M1149" s="1786" t="s">
        <v>1653</v>
      </c>
      <c r="N1149" s="1786" t="s">
        <v>1653</v>
      </c>
      <c r="O1149" s="1786">
        <v>0</v>
      </c>
      <c r="P1149" s="1786"/>
      <c r="Q1149" s="1786">
        <v>0</v>
      </c>
      <c r="R1149" s="1788"/>
      <c r="S1149" s="1786">
        <f t="shared" si="193"/>
        <v>744</v>
      </c>
      <c r="T1149" s="1786" t="str">
        <f t="shared" si="194"/>
        <v>לאומי</v>
      </c>
      <c r="U1149" s="1786" t="str">
        <f t="shared" si="195"/>
        <v>מגדל לתגמולים ולפיצויים</v>
      </c>
      <c r="V1149" s="1786" t="str">
        <f t="shared" si="196"/>
        <v>510464803</v>
      </c>
      <c r="W1149" s="1789" t="str">
        <f t="shared" si="197"/>
        <v>מגדל מקפת קרנות פנסיה וקופות גמל בע"מ</v>
      </c>
      <c r="AC1149" s="1761" t="s">
        <v>346</v>
      </c>
      <c r="AD1149" s="1761"/>
      <c r="AE1149" s="1762">
        <v>37221</v>
      </c>
      <c r="AF1149" s="1761" t="s">
        <v>2009</v>
      </c>
      <c r="AG1149" s="1761" t="s">
        <v>1653</v>
      </c>
      <c r="AH1149" s="1761" t="s">
        <v>1594</v>
      </c>
      <c r="AI1149" s="1761" t="s">
        <v>4002</v>
      </c>
      <c r="AJ1149" s="1761" t="s">
        <v>4001</v>
      </c>
      <c r="AK1149" s="1761">
        <v>859</v>
      </c>
      <c r="AL1149" s="1761" t="s">
        <v>3288</v>
      </c>
      <c r="AM1149" s="1761">
        <v>744</v>
      </c>
      <c r="AN1149" s="1761" t="s">
        <v>5305</v>
      </c>
      <c r="AO1149" s="1764"/>
      <c r="AP1149" s="1761" t="s">
        <v>5382</v>
      </c>
      <c r="AQ1149" s="1761" t="s">
        <v>5383</v>
      </c>
      <c r="AR1149" s="1761" t="s">
        <v>394</v>
      </c>
      <c r="AS1149" s="1761" t="s">
        <v>395</v>
      </c>
      <c r="AT1149" s="1761" t="s">
        <v>327</v>
      </c>
      <c r="AU1149" s="1763"/>
      <c r="AV1149" s="1763"/>
    </row>
    <row r="1150" spans="1:48" ht="37.5" hidden="1">
      <c r="A1150" s="1785" t="str">
        <f t="shared" si="187"/>
        <v>גמל</v>
      </c>
      <c r="B1150" s="1786">
        <f t="shared" si="188"/>
        <v>860</v>
      </c>
      <c r="C1150" s="1787">
        <v>28946</v>
      </c>
      <c r="D1150" s="1786" t="str">
        <f t="shared" si="189"/>
        <v>מגדל לתגמולים ולפיצויים מסלול צמוד מדד</v>
      </c>
      <c r="E1150" s="1786" t="s">
        <v>3929</v>
      </c>
      <c r="F1150" s="1786" t="s">
        <v>2958</v>
      </c>
      <c r="G1150" s="1786" t="s">
        <v>2959</v>
      </c>
      <c r="H1150" s="1786" t="str">
        <f t="shared" si="190"/>
        <v>לא פעיל</v>
      </c>
      <c r="I1150" s="1788">
        <f t="shared" si="191"/>
        <v>37221</v>
      </c>
      <c r="J1150" s="1788">
        <f t="shared" si="192"/>
        <v>43216.543148148201</v>
      </c>
      <c r="K1150" s="1786">
        <v>0</v>
      </c>
      <c r="L1150" s="1786" t="s">
        <v>1594</v>
      </c>
      <c r="M1150" s="1786" t="s">
        <v>1653</v>
      </c>
      <c r="N1150" s="1786" t="s">
        <v>1653</v>
      </c>
      <c r="O1150" s="1786">
        <v>0</v>
      </c>
      <c r="P1150" s="1786"/>
      <c r="Q1150" s="1786">
        <v>0</v>
      </c>
      <c r="R1150" s="1788"/>
      <c r="S1150" s="1786">
        <f t="shared" si="193"/>
        <v>744</v>
      </c>
      <c r="T1150" s="1786" t="str">
        <f t="shared" si="194"/>
        <v>לאומי</v>
      </c>
      <c r="U1150" s="1786" t="str">
        <f t="shared" si="195"/>
        <v>מגדל לתגמולים ולפיצויים</v>
      </c>
      <c r="V1150" s="1786" t="str">
        <f t="shared" si="196"/>
        <v>510464803</v>
      </c>
      <c r="W1150" s="1789" t="str">
        <f t="shared" si="197"/>
        <v>מגדל מקפת קרנות פנסיה וקופות גמל בע"מ</v>
      </c>
      <c r="AC1150" s="1759" t="s">
        <v>1586</v>
      </c>
      <c r="AD1150" s="1760">
        <v>43216.543148148201</v>
      </c>
      <c r="AE1150" s="1760">
        <v>37221</v>
      </c>
      <c r="AF1150" s="1759" t="s">
        <v>1094</v>
      </c>
      <c r="AG1150" s="1759" t="s">
        <v>1094</v>
      </c>
      <c r="AH1150" s="1759" t="s">
        <v>1594</v>
      </c>
      <c r="AI1150" s="1759" t="s">
        <v>3356</v>
      </c>
      <c r="AJ1150" s="1759" t="s">
        <v>3355</v>
      </c>
      <c r="AK1150" s="1759">
        <v>860</v>
      </c>
      <c r="AL1150" s="1759" t="s">
        <v>3288</v>
      </c>
      <c r="AM1150" s="1759">
        <v>744</v>
      </c>
      <c r="AN1150" s="1759" t="s">
        <v>5305</v>
      </c>
      <c r="AO1150" s="1764"/>
      <c r="AP1150" s="1759" t="s">
        <v>5382</v>
      </c>
      <c r="AQ1150" s="1759" t="s">
        <v>5383</v>
      </c>
      <c r="AR1150" s="1759" t="s">
        <v>394</v>
      </c>
      <c r="AS1150" s="1759" t="s">
        <v>395</v>
      </c>
      <c r="AT1150" s="1759" t="s">
        <v>327</v>
      </c>
      <c r="AU1150" s="1763"/>
      <c r="AV1150" s="1763"/>
    </row>
    <row r="1151" spans="1:48" ht="37.5" hidden="1">
      <c r="A1151" s="1785" t="str">
        <f t="shared" si="187"/>
        <v>גמל</v>
      </c>
      <c r="B1151" s="1786">
        <f t="shared" si="188"/>
        <v>862</v>
      </c>
      <c r="C1151" s="1787">
        <v>28946</v>
      </c>
      <c r="D1151" s="1786" t="str">
        <f t="shared" si="189"/>
        <v>מגדל לתגמולים ולפיצויים מסלול חו"ל</v>
      </c>
      <c r="E1151" s="1786" t="s">
        <v>3929</v>
      </c>
      <c r="F1151" s="1786" t="s">
        <v>2958</v>
      </c>
      <c r="G1151" s="1786" t="s">
        <v>2959</v>
      </c>
      <c r="H1151" s="1786" t="str">
        <f t="shared" si="190"/>
        <v>פעיל</v>
      </c>
      <c r="I1151" s="1788">
        <f t="shared" si="191"/>
        <v>37221</v>
      </c>
      <c r="J1151" s="1788" t="str">
        <f t="shared" si="192"/>
        <v/>
      </c>
      <c r="K1151" s="1786">
        <v>0</v>
      </c>
      <c r="L1151" s="1786" t="s">
        <v>1594</v>
      </c>
      <c r="M1151" s="1786" t="s">
        <v>1653</v>
      </c>
      <c r="N1151" s="1786" t="s">
        <v>1653</v>
      </c>
      <c r="O1151" s="1786">
        <v>0</v>
      </c>
      <c r="P1151" s="1786"/>
      <c r="Q1151" s="1786">
        <v>0</v>
      </c>
      <c r="R1151" s="1788"/>
      <c r="S1151" s="1786">
        <f t="shared" si="193"/>
        <v>744</v>
      </c>
      <c r="T1151" s="1786" t="str">
        <f t="shared" si="194"/>
        <v>לאומי</v>
      </c>
      <c r="U1151" s="1786" t="str">
        <f t="shared" si="195"/>
        <v>מגדל לתגמולים ולפיצויים</v>
      </c>
      <c r="V1151" s="1786" t="str">
        <f t="shared" si="196"/>
        <v>510464803</v>
      </c>
      <c r="W1151" s="1789" t="str">
        <f t="shared" si="197"/>
        <v>מגדל מקפת קרנות פנסיה וקופות גמל בע"מ</v>
      </c>
      <c r="AC1151" s="1761" t="s">
        <v>346</v>
      </c>
      <c r="AD1151" s="1761"/>
      <c r="AE1151" s="1762">
        <v>37221</v>
      </c>
      <c r="AF1151" s="1761" t="s">
        <v>1948</v>
      </c>
      <c r="AG1151" s="1761" t="s">
        <v>1947</v>
      </c>
      <c r="AH1151" s="1761" t="s">
        <v>1594</v>
      </c>
      <c r="AI1151" s="1761" t="s">
        <v>3359</v>
      </c>
      <c r="AJ1151" s="1761" t="s">
        <v>3358</v>
      </c>
      <c r="AK1151" s="1761">
        <v>862</v>
      </c>
      <c r="AL1151" s="1761" t="s">
        <v>3288</v>
      </c>
      <c r="AM1151" s="1761">
        <v>744</v>
      </c>
      <c r="AN1151" s="1761" t="s">
        <v>5305</v>
      </c>
      <c r="AO1151" s="1764"/>
      <c r="AP1151" s="1761" t="s">
        <v>5382</v>
      </c>
      <c r="AQ1151" s="1761" t="s">
        <v>5383</v>
      </c>
      <c r="AR1151" s="1761" t="s">
        <v>394</v>
      </c>
      <c r="AS1151" s="1761" t="s">
        <v>395</v>
      </c>
      <c r="AT1151" s="1761" t="s">
        <v>327</v>
      </c>
      <c r="AU1151" s="1763"/>
      <c r="AV1151" s="1763"/>
    </row>
    <row r="1152" spans="1:48" ht="37.5" hidden="1">
      <c r="A1152" s="1785" t="str">
        <f t="shared" si="187"/>
        <v>גמל</v>
      </c>
      <c r="B1152" s="1786">
        <f t="shared" si="188"/>
        <v>1156</v>
      </c>
      <c r="C1152" s="1787">
        <v>28946</v>
      </c>
      <c r="D1152" s="1786" t="str">
        <f t="shared" si="189"/>
        <v>מגדל לתגמולים ולפיצויים מסלול ביג כללי לפחות 30% מניות</v>
      </c>
      <c r="E1152" s="1786" t="s">
        <v>3929</v>
      </c>
      <c r="F1152" s="1786" t="s">
        <v>2958</v>
      </c>
      <c r="G1152" s="1786" t="s">
        <v>2959</v>
      </c>
      <c r="H1152" s="1786" t="str">
        <f t="shared" si="190"/>
        <v>לא פעיל</v>
      </c>
      <c r="I1152" s="1788">
        <f t="shared" si="191"/>
        <v>37221</v>
      </c>
      <c r="J1152" s="1788">
        <f t="shared" si="192"/>
        <v>43571.464791666702</v>
      </c>
      <c r="K1152" s="1786">
        <v>0</v>
      </c>
      <c r="L1152" s="1786" t="s">
        <v>1594</v>
      </c>
      <c r="M1152" s="1786" t="s">
        <v>1653</v>
      </c>
      <c r="N1152" s="1786" t="s">
        <v>1653</v>
      </c>
      <c r="O1152" s="1786">
        <v>0</v>
      </c>
      <c r="P1152" s="1786"/>
      <c r="Q1152" s="1786">
        <v>0</v>
      </c>
      <c r="R1152" s="1788"/>
      <c r="S1152" s="1786">
        <f t="shared" si="193"/>
        <v>744</v>
      </c>
      <c r="T1152" s="1786" t="str">
        <f t="shared" si="194"/>
        <v>לאומי</v>
      </c>
      <c r="U1152" s="1786" t="str">
        <f t="shared" si="195"/>
        <v>מגדל לתגמולים ולפיצויים</v>
      </c>
      <c r="V1152" s="1786" t="str">
        <f t="shared" si="196"/>
        <v>510464803</v>
      </c>
      <c r="W1152" s="1789" t="str">
        <f t="shared" si="197"/>
        <v>מגדל מקפת קרנות פנסיה וקופות גמל בע"מ</v>
      </c>
      <c r="AC1152" s="1759" t="s">
        <v>1586</v>
      </c>
      <c r="AD1152" s="1760">
        <v>43571.464791666702</v>
      </c>
      <c r="AE1152" s="1760">
        <v>37221</v>
      </c>
      <c r="AF1152" s="1759" t="s">
        <v>1583</v>
      </c>
      <c r="AG1152" s="1759" t="s">
        <v>1583</v>
      </c>
      <c r="AH1152" s="1759" t="s">
        <v>1583</v>
      </c>
      <c r="AI1152" s="1759" t="s">
        <v>3536</v>
      </c>
      <c r="AJ1152" s="1759" t="s">
        <v>3535</v>
      </c>
      <c r="AK1152" s="1759">
        <v>1156</v>
      </c>
      <c r="AL1152" s="1759" t="s">
        <v>3288</v>
      </c>
      <c r="AM1152" s="1759">
        <v>744</v>
      </c>
      <c r="AN1152" s="1759" t="s">
        <v>5305</v>
      </c>
      <c r="AO1152" s="1764"/>
      <c r="AP1152" s="1759" t="s">
        <v>5382</v>
      </c>
      <c r="AQ1152" s="1759" t="s">
        <v>5383</v>
      </c>
      <c r="AR1152" s="1759" t="s">
        <v>394</v>
      </c>
      <c r="AS1152" s="1759" t="s">
        <v>395</v>
      </c>
      <c r="AT1152" s="1759" t="s">
        <v>327</v>
      </c>
      <c r="AU1152" s="1763"/>
      <c r="AV1152" s="1763"/>
    </row>
    <row r="1153" spans="1:48" ht="25" hidden="1">
      <c r="A1153" s="1785" t="str">
        <f t="shared" si="187"/>
        <v>גמל</v>
      </c>
      <c r="B1153" s="1786">
        <f t="shared" si="188"/>
        <v>740</v>
      </c>
      <c r="C1153" s="1787">
        <v>28946</v>
      </c>
      <c r="D1153" s="1786" t="str">
        <f t="shared" si="189"/>
        <v>הראל גמל לפיצויים-מסלול מט"ח</v>
      </c>
      <c r="E1153" s="1786" t="s">
        <v>3929</v>
      </c>
      <c r="F1153" s="1786" t="s">
        <v>2958</v>
      </c>
      <c r="G1153" s="1786" t="s">
        <v>2959</v>
      </c>
      <c r="H1153" s="1786" t="str">
        <f t="shared" si="190"/>
        <v>לא פעיל</v>
      </c>
      <c r="I1153" s="1788">
        <f t="shared" si="191"/>
        <v>37221</v>
      </c>
      <c r="J1153" s="1788">
        <f t="shared" si="192"/>
        <v>41918.388078703698</v>
      </c>
      <c r="K1153" s="1786">
        <v>0</v>
      </c>
      <c r="L1153" s="1786" t="s">
        <v>1594</v>
      </c>
      <c r="M1153" s="1786" t="s">
        <v>1653</v>
      </c>
      <c r="N1153" s="1786" t="s">
        <v>1653</v>
      </c>
      <c r="O1153" s="1786">
        <v>0</v>
      </c>
      <c r="P1153" s="1786"/>
      <c r="Q1153" s="1786">
        <v>0</v>
      </c>
      <c r="R1153" s="1788"/>
      <c r="S1153" s="1786">
        <f t="shared" si="193"/>
        <v>739</v>
      </c>
      <c r="T1153" s="1786" t="str">
        <f t="shared" si="194"/>
        <v>בנק לאומי בע"מ</v>
      </c>
      <c r="U1153" s="1786" t="str">
        <f t="shared" si="195"/>
        <v xml:space="preserve">הראל מרכזית לפיצויים </v>
      </c>
      <c r="V1153" s="1786">
        <f t="shared" si="196"/>
        <v>0</v>
      </c>
      <c r="W1153" s="1789" t="str">
        <f t="shared" si="197"/>
        <v>הראל גמל והשתלמות בע"מ</v>
      </c>
      <c r="AC1153" s="1761" t="s">
        <v>1586</v>
      </c>
      <c r="AD1153" s="1762">
        <v>41918.388078703698</v>
      </c>
      <c r="AE1153" s="1762">
        <v>37221</v>
      </c>
      <c r="AF1153" s="1761" t="s">
        <v>1611</v>
      </c>
      <c r="AG1153" s="1761" t="s">
        <v>1611</v>
      </c>
      <c r="AH1153" s="1761" t="s">
        <v>1594</v>
      </c>
      <c r="AI1153" s="1761" t="s">
        <v>3285</v>
      </c>
      <c r="AJ1153" s="1761" t="s">
        <v>2011</v>
      </c>
      <c r="AK1153" s="1761">
        <v>740</v>
      </c>
      <c r="AL1153" s="1761" t="s">
        <v>4523</v>
      </c>
      <c r="AM1153" s="1761">
        <v>739</v>
      </c>
      <c r="AN1153" s="1761" t="s">
        <v>5470</v>
      </c>
      <c r="AO1153" s="1764"/>
      <c r="AP1153" s="1761"/>
      <c r="AQ1153" s="1761"/>
      <c r="AR1153" s="1761" t="s">
        <v>344</v>
      </c>
      <c r="AS1153" s="1761" t="s">
        <v>345</v>
      </c>
      <c r="AT1153" s="1761" t="s">
        <v>327</v>
      </c>
      <c r="AU1153" s="1763"/>
      <c r="AV1153" s="1763"/>
    </row>
    <row r="1154" spans="1:48" ht="25" hidden="1">
      <c r="A1154" s="1785" t="str">
        <f t="shared" si="187"/>
        <v>גמל</v>
      </c>
      <c r="B1154" s="1786">
        <f t="shared" si="188"/>
        <v>735</v>
      </c>
      <c r="C1154" s="1787">
        <v>28946</v>
      </c>
      <c r="D1154" s="1786" t="str">
        <f t="shared" si="189"/>
        <v>מיטב מרום רבת מסלולים</v>
      </c>
      <c r="E1154" s="1786" t="s">
        <v>3929</v>
      </c>
      <c r="F1154" s="1786" t="s">
        <v>2958</v>
      </c>
      <c r="G1154" s="1786" t="s">
        <v>2959</v>
      </c>
      <c r="H1154" s="1786" t="str">
        <f t="shared" si="190"/>
        <v>לא פעיל</v>
      </c>
      <c r="I1154" s="1788">
        <f t="shared" si="191"/>
        <v>37193</v>
      </c>
      <c r="J1154" s="1788">
        <f t="shared" si="192"/>
        <v>41863.417881944399</v>
      </c>
      <c r="K1154" s="1786">
        <v>0</v>
      </c>
      <c r="L1154" s="1786" t="s">
        <v>1594</v>
      </c>
      <c r="M1154" s="1786" t="s">
        <v>1653</v>
      </c>
      <c r="N1154" s="1786" t="s">
        <v>1653</v>
      </c>
      <c r="O1154" s="1786">
        <v>0</v>
      </c>
      <c r="P1154" s="1786"/>
      <c r="Q1154" s="1786">
        <v>0</v>
      </c>
      <c r="R1154" s="1788"/>
      <c r="S1154" s="1786">
        <f t="shared" si="193"/>
        <v>735</v>
      </c>
      <c r="T1154" s="1786" t="str">
        <f t="shared" si="194"/>
        <v>הבנק הבינלאומי הראשון</v>
      </c>
      <c r="U1154" s="1786" t="str">
        <f t="shared" si="195"/>
        <v>מיטב מרום רבת מסלולים</v>
      </c>
      <c r="V1154" s="1786" t="str">
        <f t="shared" si="196"/>
        <v>520043795</v>
      </c>
      <c r="W1154" s="1789" t="str">
        <f t="shared" si="197"/>
        <v>מיטב דש גמל ופנסיה בע"מ</v>
      </c>
      <c r="AC1154" s="1759" t="s">
        <v>1586</v>
      </c>
      <c r="AD1154" s="1760">
        <v>41863.417881944399</v>
      </c>
      <c r="AE1154" s="1760">
        <v>37193</v>
      </c>
      <c r="AF1154" s="1759"/>
      <c r="AG1154" s="1759"/>
      <c r="AH1154" s="1759" t="s">
        <v>1812</v>
      </c>
      <c r="AI1154" s="1759" t="s">
        <v>3282</v>
      </c>
      <c r="AJ1154" s="1759" t="s">
        <v>603</v>
      </c>
      <c r="AK1154" s="1759">
        <v>735</v>
      </c>
      <c r="AL1154" s="1759" t="s">
        <v>603</v>
      </c>
      <c r="AM1154" s="1759">
        <v>735</v>
      </c>
      <c r="AN1154" s="1759" t="s">
        <v>5384</v>
      </c>
      <c r="AO1154" s="1764"/>
      <c r="AP1154" s="1759" t="s">
        <v>5373</v>
      </c>
      <c r="AQ1154" s="1759" t="s">
        <v>5374</v>
      </c>
      <c r="AR1154" s="1759" t="s">
        <v>2899</v>
      </c>
      <c r="AS1154" s="1759" t="s">
        <v>349</v>
      </c>
      <c r="AT1154" s="1759" t="s">
        <v>327</v>
      </c>
      <c r="AU1154" s="1763"/>
      <c r="AV1154" s="1763"/>
    </row>
    <row r="1155" spans="1:48" ht="25" hidden="1">
      <c r="A1155" s="1785" t="str">
        <f t="shared" si="187"/>
        <v>גמל</v>
      </c>
      <c r="B1155" s="1786">
        <f t="shared" si="188"/>
        <v>735</v>
      </c>
      <c r="C1155" s="1787">
        <v>28946</v>
      </c>
      <c r="D1155" s="1786" t="str">
        <f t="shared" si="189"/>
        <v>מיטב מרום רבת מסלולים</v>
      </c>
      <c r="E1155" s="1786" t="s">
        <v>3929</v>
      </c>
      <c r="F1155" s="1786" t="s">
        <v>2958</v>
      </c>
      <c r="G1155" s="1786" t="s">
        <v>2959</v>
      </c>
      <c r="H1155" s="1786" t="str">
        <f t="shared" si="190"/>
        <v>לא פעיל</v>
      </c>
      <c r="I1155" s="1788">
        <f t="shared" si="191"/>
        <v>37193</v>
      </c>
      <c r="J1155" s="1788">
        <f t="shared" si="192"/>
        <v>41863.417881944399</v>
      </c>
      <c r="K1155" s="1786">
        <v>0</v>
      </c>
      <c r="L1155" s="1786" t="s">
        <v>1594</v>
      </c>
      <c r="M1155" s="1786" t="s">
        <v>1653</v>
      </c>
      <c r="N1155" s="1786" t="s">
        <v>1653</v>
      </c>
      <c r="O1155" s="1786">
        <v>0</v>
      </c>
      <c r="P1155" s="1786"/>
      <c r="Q1155" s="1786">
        <v>0</v>
      </c>
      <c r="R1155" s="1788"/>
      <c r="S1155" s="1786">
        <f t="shared" si="193"/>
        <v>735</v>
      </c>
      <c r="T1155" s="1786" t="str">
        <f t="shared" si="194"/>
        <v>הבנק הבינלאומי הראשון</v>
      </c>
      <c r="U1155" s="1786" t="str">
        <f t="shared" si="195"/>
        <v>מיטב מרום רבת מסלולים</v>
      </c>
      <c r="V1155" s="1786" t="str">
        <f t="shared" si="196"/>
        <v>520043795</v>
      </c>
      <c r="W1155" s="1789" t="str">
        <f t="shared" si="197"/>
        <v>מיטב דש גמל ופנסיה בע"מ</v>
      </c>
      <c r="AC1155" s="1761" t="s">
        <v>1586</v>
      </c>
      <c r="AD1155" s="1762">
        <v>41863.417881944399</v>
      </c>
      <c r="AE1155" s="1762">
        <v>37193</v>
      </c>
      <c r="AF1155" s="1761"/>
      <c r="AG1155" s="1761"/>
      <c r="AH1155" s="1761" t="s">
        <v>1812</v>
      </c>
      <c r="AI1155" s="1761" t="s">
        <v>3282</v>
      </c>
      <c r="AJ1155" s="1761" t="s">
        <v>603</v>
      </c>
      <c r="AK1155" s="1761">
        <v>735</v>
      </c>
      <c r="AL1155" s="1761" t="s">
        <v>603</v>
      </c>
      <c r="AM1155" s="1761">
        <v>735</v>
      </c>
      <c r="AN1155" s="1761" t="s">
        <v>5384</v>
      </c>
      <c r="AO1155" s="1764"/>
      <c r="AP1155" s="1761" t="s">
        <v>5373</v>
      </c>
      <c r="AQ1155" s="1761" t="s">
        <v>5374</v>
      </c>
      <c r="AR1155" s="1761" t="s">
        <v>2899</v>
      </c>
      <c r="AS1155" s="1761" t="s">
        <v>349</v>
      </c>
      <c r="AT1155" s="1761" t="s">
        <v>327</v>
      </c>
      <c r="AU1155" s="1763"/>
      <c r="AV1155" s="1763"/>
    </row>
    <row r="1156" spans="1:48" ht="25" hidden="1">
      <c r="A1156" s="1785" t="str">
        <f t="shared" si="187"/>
        <v>גמל</v>
      </c>
      <c r="B1156" s="1786">
        <f t="shared" si="188"/>
        <v>248</v>
      </c>
      <c r="C1156" s="1787">
        <v>28946</v>
      </c>
      <c r="D1156" s="1786" t="str">
        <f t="shared" si="189"/>
        <v>מיטב מרום מסלול כללי</v>
      </c>
      <c r="E1156" s="1786" t="s">
        <v>3929</v>
      </c>
      <c r="F1156" s="1786" t="s">
        <v>2958</v>
      </c>
      <c r="G1156" s="1786" t="s">
        <v>2959</v>
      </c>
      <c r="H1156" s="1786" t="str">
        <f t="shared" si="190"/>
        <v>לא פעיל</v>
      </c>
      <c r="I1156" s="1788">
        <f t="shared" si="191"/>
        <v>37193</v>
      </c>
      <c r="J1156" s="1788">
        <f t="shared" si="192"/>
        <v>41863.416921296302</v>
      </c>
      <c r="K1156" s="1786">
        <v>0</v>
      </c>
      <c r="L1156" s="1786" t="s">
        <v>1594</v>
      </c>
      <c r="M1156" s="1786" t="s">
        <v>1653</v>
      </c>
      <c r="N1156" s="1786" t="s">
        <v>1653</v>
      </c>
      <c r="O1156" s="1786">
        <v>0</v>
      </c>
      <c r="P1156" s="1786"/>
      <c r="Q1156" s="1786">
        <v>0</v>
      </c>
      <c r="R1156" s="1788"/>
      <c r="S1156" s="1786">
        <f t="shared" si="193"/>
        <v>735</v>
      </c>
      <c r="T1156" s="1786" t="str">
        <f t="shared" si="194"/>
        <v>הבנק הבינלאומי הראשון</v>
      </c>
      <c r="U1156" s="1786" t="str">
        <f t="shared" si="195"/>
        <v>מיטב מרום רבת מסלולים</v>
      </c>
      <c r="V1156" s="1786" t="str">
        <f t="shared" si="196"/>
        <v>520043795</v>
      </c>
      <c r="W1156" s="1789" t="str">
        <f t="shared" si="197"/>
        <v>מיטב דש גמל ופנסיה בע"מ</v>
      </c>
      <c r="AC1156" s="1759" t="s">
        <v>1586</v>
      </c>
      <c r="AD1156" s="1760">
        <v>41863.416921296302</v>
      </c>
      <c r="AE1156" s="1760">
        <v>37193</v>
      </c>
      <c r="AF1156" s="1759" t="s">
        <v>1583</v>
      </c>
      <c r="AG1156" s="1759" t="s">
        <v>1583</v>
      </c>
      <c r="AH1156" s="1759" t="s">
        <v>1583</v>
      </c>
      <c r="AI1156" s="1759" t="s">
        <v>1701</v>
      </c>
      <c r="AJ1156" s="1759" t="s">
        <v>1701</v>
      </c>
      <c r="AK1156" s="1759">
        <v>248</v>
      </c>
      <c r="AL1156" s="1759" t="s">
        <v>603</v>
      </c>
      <c r="AM1156" s="1759">
        <v>735</v>
      </c>
      <c r="AN1156" s="1759" t="s">
        <v>5384</v>
      </c>
      <c r="AO1156" s="1764"/>
      <c r="AP1156" s="1759" t="s">
        <v>5373</v>
      </c>
      <c r="AQ1156" s="1759" t="s">
        <v>5374</v>
      </c>
      <c r="AR1156" s="1759" t="s">
        <v>2899</v>
      </c>
      <c r="AS1156" s="1759" t="s">
        <v>349</v>
      </c>
      <c r="AT1156" s="1759" t="s">
        <v>327</v>
      </c>
      <c r="AU1156" s="1763"/>
      <c r="AV1156" s="1763"/>
    </row>
    <row r="1157" spans="1:48" ht="25" hidden="1">
      <c r="A1157" s="1785" t="str">
        <f t="shared" si="187"/>
        <v>גמל</v>
      </c>
      <c r="B1157" s="1786">
        <f t="shared" si="188"/>
        <v>248</v>
      </c>
      <c r="C1157" s="1787">
        <v>28946</v>
      </c>
      <c r="D1157" s="1786" t="str">
        <f t="shared" si="189"/>
        <v>מיטב מרום מסלול כללי</v>
      </c>
      <c r="E1157" s="1786" t="s">
        <v>3929</v>
      </c>
      <c r="F1157" s="1786" t="s">
        <v>2958</v>
      </c>
      <c r="G1157" s="1786" t="s">
        <v>2959</v>
      </c>
      <c r="H1157" s="1786" t="str">
        <f t="shared" si="190"/>
        <v>לא פעיל</v>
      </c>
      <c r="I1157" s="1788">
        <f t="shared" si="191"/>
        <v>37193</v>
      </c>
      <c r="J1157" s="1788">
        <f t="shared" si="192"/>
        <v>41863.416921296302</v>
      </c>
      <c r="K1157" s="1786">
        <v>0</v>
      </c>
      <c r="L1157" s="1786" t="s">
        <v>1594</v>
      </c>
      <c r="M1157" s="1786" t="s">
        <v>1653</v>
      </c>
      <c r="N1157" s="1786" t="s">
        <v>1653</v>
      </c>
      <c r="O1157" s="1786">
        <v>0</v>
      </c>
      <c r="P1157" s="1786"/>
      <c r="Q1157" s="1786">
        <v>0</v>
      </c>
      <c r="R1157" s="1788"/>
      <c r="S1157" s="1786">
        <f t="shared" si="193"/>
        <v>735</v>
      </c>
      <c r="T1157" s="1786" t="str">
        <f t="shared" si="194"/>
        <v>הבנק הבינלאומי הראשון</v>
      </c>
      <c r="U1157" s="1786" t="str">
        <f t="shared" si="195"/>
        <v>מיטב מרום רבת מסלולים</v>
      </c>
      <c r="V1157" s="1786" t="str">
        <f t="shared" si="196"/>
        <v>520043795</v>
      </c>
      <c r="W1157" s="1789" t="str">
        <f t="shared" si="197"/>
        <v>מיטב דש גמל ופנסיה בע"מ</v>
      </c>
      <c r="AC1157" s="1761" t="s">
        <v>1586</v>
      </c>
      <c r="AD1157" s="1762">
        <v>41863.416921296302</v>
      </c>
      <c r="AE1157" s="1762">
        <v>37193</v>
      </c>
      <c r="AF1157" s="1761" t="s">
        <v>1583</v>
      </c>
      <c r="AG1157" s="1761" t="s">
        <v>1583</v>
      </c>
      <c r="AH1157" s="1761" t="s">
        <v>1583</v>
      </c>
      <c r="AI1157" s="1761" t="s">
        <v>1701</v>
      </c>
      <c r="AJ1157" s="1761" t="s">
        <v>1701</v>
      </c>
      <c r="AK1157" s="1761">
        <v>248</v>
      </c>
      <c r="AL1157" s="1761" t="s">
        <v>603</v>
      </c>
      <c r="AM1157" s="1761">
        <v>735</v>
      </c>
      <c r="AN1157" s="1761" t="s">
        <v>5384</v>
      </c>
      <c r="AO1157" s="1764"/>
      <c r="AP1157" s="1761" t="s">
        <v>5373</v>
      </c>
      <c r="AQ1157" s="1761" t="s">
        <v>5374</v>
      </c>
      <c r="AR1157" s="1761" t="s">
        <v>2899</v>
      </c>
      <c r="AS1157" s="1761" t="s">
        <v>349</v>
      </c>
      <c r="AT1157" s="1761" t="s">
        <v>327</v>
      </c>
      <c r="AU1157" s="1763"/>
      <c r="AV1157" s="1763"/>
    </row>
    <row r="1158" spans="1:48" ht="25" hidden="1">
      <c r="A1158" s="1785" t="str">
        <f t="shared" si="187"/>
        <v>גמל</v>
      </c>
      <c r="B1158" s="1786">
        <f t="shared" si="188"/>
        <v>1530</v>
      </c>
      <c r="C1158" s="1787">
        <v>28946</v>
      </c>
      <c r="D1158" s="1786" t="str">
        <f t="shared" si="189"/>
        <v>מיטב מרום מסלול מט"ח</v>
      </c>
      <c r="E1158" s="1786" t="s">
        <v>3929</v>
      </c>
      <c r="F1158" s="1786" t="s">
        <v>2958</v>
      </c>
      <c r="G1158" s="1786" t="s">
        <v>2959</v>
      </c>
      <c r="H1158" s="1786" t="str">
        <f t="shared" si="190"/>
        <v>לא פעיל</v>
      </c>
      <c r="I1158" s="1788">
        <f t="shared" si="191"/>
        <v>37193</v>
      </c>
      <c r="J1158" s="1788">
        <f t="shared" si="192"/>
        <v>41863.424050925903</v>
      </c>
      <c r="K1158" s="1786">
        <v>0</v>
      </c>
      <c r="L1158" s="1786" t="s">
        <v>1594</v>
      </c>
      <c r="M1158" s="1786" t="s">
        <v>1653</v>
      </c>
      <c r="N1158" s="1786" t="s">
        <v>1653</v>
      </c>
      <c r="O1158" s="1786">
        <v>0</v>
      </c>
      <c r="P1158" s="1786"/>
      <c r="Q1158" s="1786">
        <v>0</v>
      </c>
      <c r="R1158" s="1788"/>
      <c r="S1158" s="1786">
        <f t="shared" si="193"/>
        <v>735</v>
      </c>
      <c r="T1158" s="1786" t="str">
        <f t="shared" si="194"/>
        <v>הבנק הבינלאומי הראשון</v>
      </c>
      <c r="U1158" s="1786" t="str">
        <f t="shared" si="195"/>
        <v>מיטב מרום רבת מסלולים</v>
      </c>
      <c r="V1158" s="1786" t="str">
        <f t="shared" si="196"/>
        <v>520043795</v>
      </c>
      <c r="W1158" s="1789" t="str">
        <f t="shared" si="197"/>
        <v>מיטב דש גמל ופנסיה בע"מ</v>
      </c>
      <c r="AC1158" s="1759" t="s">
        <v>1586</v>
      </c>
      <c r="AD1158" s="1760">
        <v>41863.424050925903</v>
      </c>
      <c r="AE1158" s="1760">
        <v>37193</v>
      </c>
      <c r="AF1158" s="1759" t="s">
        <v>1611</v>
      </c>
      <c r="AG1158" s="1759" t="s">
        <v>1611</v>
      </c>
      <c r="AH1158" s="1759" t="s">
        <v>1594</v>
      </c>
      <c r="AI1158" s="1759" t="s">
        <v>3677</v>
      </c>
      <c r="AJ1158" s="1759" t="s">
        <v>2500</v>
      </c>
      <c r="AK1158" s="1759">
        <v>1530</v>
      </c>
      <c r="AL1158" s="1759" t="s">
        <v>603</v>
      </c>
      <c r="AM1158" s="1759">
        <v>735</v>
      </c>
      <c r="AN1158" s="1759" t="s">
        <v>5384</v>
      </c>
      <c r="AO1158" s="1764"/>
      <c r="AP1158" s="1759" t="s">
        <v>5373</v>
      </c>
      <c r="AQ1158" s="1759" t="s">
        <v>5374</v>
      </c>
      <c r="AR1158" s="1759" t="s">
        <v>2899</v>
      </c>
      <c r="AS1158" s="1759" t="s">
        <v>349</v>
      </c>
      <c r="AT1158" s="1759" t="s">
        <v>327</v>
      </c>
      <c r="AU1158" s="1763"/>
      <c r="AV1158" s="1763"/>
    </row>
    <row r="1159" spans="1:48" ht="25" hidden="1">
      <c r="A1159" s="1785" t="str">
        <f t="shared" si="187"/>
        <v>גמל</v>
      </c>
      <c r="B1159" s="1786">
        <f t="shared" si="188"/>
        <v>1527</v>
      </c>
      <c r="C1159" s="1787">
        <v>28946</v>
      </c>
      <c r="D1159" s="1786" t="str">
        <f t="shared" si="189"/>
        <v>מיטב מרום מסלול אג"ח מדינה</v>
      </c>
      <c r="E1159" s="1786" t="s">
        <v>3929</v>
      </c>
      <c r="F1159" s="1786" t="s">
        <v>2958</v>
      </c>
      <c r="G1159" s="1786" t="s">
        <v>2959</v>
      </c>
      <c r="H1159" s="1786" t="str">
        <f t="shared" si="190"/>
        <v>לא פעיל</v>
      </c>
      <c r="I1159" s="1788">
        <f t="shared" si="191"/>
        <v>37193</v>
      </c>
      <c r="J1159" s="1788">
        <f t="shared" si="192"/>
        <v>41863.420127314799</v>
      </c>
      <c r="K1159" s="1786">
        <v>0</v>
      </c>
      <c r="L1159" s="1786" t="s">
        <v>1594</v>
      </c>
      <c r="M1159" s="1786" t="s">
        <v>1653</v>
      </c>
      <c r="N1159" s="1786" t="s">
        <v>1653</v>
      </c>
      <c r="O1159" s="1786">
        <v>0</v>
      </c>
      <c r="P1159" s="1786"/>
      <c r="Q1159" s="1786">
        <v>0</v>
      </c>
      <c r="R1159" s="1788"/>
      <c r="S1159" s="1786">
        <f t="shared" si="193"/>
        <v>735</v>
      </c>
      <c r="T1159" s="1786" t="str">
        <f t="shared" si="194"/>
        <v>הבנק הבינלאומי הראשון</v>
      </c>
      <c r="U1159" s="1786" t="str">
        <f t="shared" si="195"/>
        <v>מיטב מרום רבת מסלולים</v>
      </c>
      <c r="V1159" s="1786" t="str">
        <f t="shared" si="196"/>
        <v>520043795</v>
      </c>
      <c r="W1159" s="1789" t="str">
        <f t="shared" si="197"/>
        <v>מיטב דש גמל ופנסיה בע"מ</v>
      </c>
      <c r="AC1159" s="1761" t="s">
        <v>1586</v>
      </c>
      <c r="AD1159" s="1762">
        <v>41863.420127314799</v>
      </c>
      <c r="AE1159" s="1762">
        <v>37193</v>
      </c>
      <c r="AF1159" s="1761" t="s">
        <v>2009</v>
      </c>
      <c r="AG1159" s="1761" t="s">
        <v>1653</v>
      </c>
      <c r="AH1159" s="1761" t="s">
        <v>1594</v>
      </c>
      <c r="AI1159" s="1761" t="s">
        <v>3674</v>
      </c>
      <c r="AJ1159" s="1761" t="s">
        <v>2498</v>
      </c>
      <c r="AK1159" s="1761">
        <v>1527</v>
      </c>
      <c r="AL1159" s="1761" t="s">
        <v>603</v>
      </c>
      <c r="AM1159" s="1761">
        <v>735</v>
      </c>
      <c r="AN1159" s="1761" t="s">
        <v>5384</v>
      </c>
      <c r="AO1159" s="1764"/>
      <c r="AP1159" s="1761" t="s">
        <v>5373</v>
      </c>
      <c r="AQ1159" s="1761" t="s">
        <v>5374</v>
      </c>
      <c r="AR1159" s="1761" t="s">
        <v>2899</v>
      </c>
      <c r="AS1159" s="1761" t="s">
        <v>349</v>
      </c>
      <c r="AT1159" s="1761" t="s">
        <v>327</v>
      </c>
      <c r="AU1159" s="1763"/>
      <c r="AV1159" s="1763"/>
    </row>
    <row r="1160" spans="1:48" ht="25" hidden="1">
      <c r="A1160" s="1785" t="str">
        <f t="shared" si="187"/>
        <v>גמל</v>
      </c>
      <c r="B1160" s="1786">
        <f t="shared" si="188"/>
        <v>1529</v>
      </c>
      <c r="C1160" s="1787">
        <v>28946</v>
      </c>
      <c r="D1160" s="1786" t="str">
        <f t="shared" si="189"/>
        <v>מיטב מרום מסלול מדד</v>
      </c>
      <c r="E1160" s="1786" t="s">
        <v>3929</v>
      </c>
      <c r="F1160" s="1786" t="s">
        <v>2958</v>
      </c>
      <c r="G1160" s="1786" t="s">
        <v>2959</v>
      </c>
      <c r="H1160" s="1786" t="str">
        <f t="shared" si="190"/>
        <v>לא פעיל</v>
      </c>
      <c r="I1160" s="1788">
        <f t="shared" si="191"/>
        <v>37193</v>
      </c>
      <c r="J1160" s="1788">
        <f t="shared" si="192"/>
        <v>41863.421446759297</v>
      </c>
      <c r="K1160" s="1786">
        <v>0</v>
      </c>
      <c r="L1160" s="1786" t="s">
        <v>1594</v>
      </c>
      <c r="M1160" s="1786" t="s">
        <v>1653</v>
      </c>
      <c r="N1160" s="1786" t="s">
        <v>1653</v>
      </c>
      <c r="O1160" s="1786">
        <v>0</v>
      </c>
      <c r="P1160" s="1786"/>
      <c r="Q1160" s="1786">
        <v>0</v>
      </c>
      <c r="R1160" s="1788"/>
      <c r="S1160" s="1786">
        <f t="shared" si="193"/>
        <v>735</v>
      </c>
      <c r="T1160" s="1786" t="str">
        <f t="shared" si="194"/>
        <v>הבנק הבינלאומי הראשון</v>
      </c>
      <c r="U1160" s="1786" t="str">
        <f t="shared" si="195"/>
        <v>מיטב מרום רבת מסלולים</v>
      </c>
      <c r="V1160" s="1786" t="str">
        <f t="shared" si="196"/>
        <v>520043795</v>
      </c>
      <c r="W1160" s="1789" t="str">
        <f t="shared" si="197"/>
        <v>מיטב דש גמל ופנסיה בע"מ</v>
      </c>
      <c r="AC1160" s="1759" t="s">
        <v>1586</v>
      </c>
      <c r="AD1160" s="1760">
        <v>41863.421446759297</v>
      </c>
      <c r="AE1160" s="1760">
        <v>37193</v>
      </c>
      <c r="AF1160" s="1759" t="s">
        <v>1094</v>
      </c>
      <c r="AG1160" s="1759" t="s">
        <v>1094</v>
      </c>
      <c r="AH1160" s="1759" t="s">
        <v>1594</v>
      </c>
      <c r="AI1160" s="1759" t="s">
        <v>3676</v>
      </c>
      <c r="AJ1160" s="1759" t="s">
        <v>2499</v>
      </c>
      <c r="AK1160" s="1759">
        <v>1529</v>
      </c>
      <c r="AL1160" s="1759" t="s">
        <v>603</v>
      </c>
      <c r="AM1160" s="1759">
        <v>735</v>
      </c>
      <c r="AN1160" s="1759" t="s">
        <v>5384</v>
      </c>
      <c r="AO1160" s="1764"/>
      <c r="AP1160" s="1759" t="s">
        <v>5373</v>
      </c>
      <c r="AQ1160" s="1759" t="s">
        <v>5374</v>
      </c>
      <c r="AR1160" s="1759" t="s">
        <v>2899</v>
      </c>
      <c r="AS1160" s="1759" t="s">
        <v>349</v>
      </c>
      <c r="AT1160" s="1759" t="s">
        <v>327</v>
      </c>
      <c r="AU1160" s="1763"/>
      <c r="AV1160" s="1763"/>
    </row>
    <row r="1161" spans="1:48" ht="25" hidden="1">
      <c r="A1161" s="1785" t="str">
        <f t="shared" si="187"/>
        <v>גמל</v>
      </c>
      <c r="B1161" s="1786">
        <f t="shared" si="188"/>
        <v>1529</v>
      </c>
      <c r="C1161" s="1787">
        <v>28946</v>
      </c>
      <c r="D1161" s="1786" t="str">
        <f t="shared" si="189"/>
        <v>מיטב מרום מסלול מדד</v>
      </c>
      <c r="E1161" s="1786" t="s">
        <v>3929</v>
      </c>
      <c r="F1161" s="1786" t="s">
        <v>2958</v>
      </c>
      <c r="G1161" s="1786" t="s">
        <v>2959</v>
      </c>
      <c r="H1161" s="1786" t="str">
        <f t="shared" si="190"/>
        <v>לא פעיל</v>
      </c>
      <c r="I1161" s="1788">
        <f t="shared" si="191"/>
        <v>37193</v>
      </c>
      <c r="J1161" s="1788">
        <f t="shared" si="192"/>
        <v>41863.421446759297</v>
      </c>
      <c r="K1161" s="1786">
        <v>0</v>
      </c>
      <c r="L1161" s="1786" t="s">
        <v>1594</v>
      </c>
      <c r="M1161" s="1786" t="s">
        <v>1653</v>
      </c>
      <c r="N1161" s="1786" t="s">
        <v>1653</v>
      </c>
      <c r="O1161" s="1786">
        <v>0</v>
      </c>
      <c r="P1161" s="1786"/>
      <c r="Q1161" s="1786">
        <v>0</v>
      </c>
      <c r="R1161" s="1788"/>
      <c r="S1161" s="1786">
        <f t="shared" si="193"/>
        <v>735</v>
      </c>
      <c r="T1161" s="1786" t="str">
        <f t="shared" si="194"/>
        <v>הבנק הבינלאומי הראשון</v>
      </c>
      <c r="U1161" s="1786" t="str">
        <f t="shared" si="195"/>
        <v>מיטב מרום רבת מסלולים</v>
      </c>
      <c r="V1161" s="1786" t="str">
        <f t="shared" si="196"/>
        <v>520043795</v>
      </c>
      <c r="W1161" s="1789" t="str">
        <f t="shared" si="197"/>
        <v>מיטב דש גמל ופנסיה בע"מ</v>
      </c>
      <c r="AC1161" s="1761" t="s">
        <v>1586</v>
      </c>
      <c r="AD1161" s="1762">
        <v>41863.421446759297</v>
      </c>
      <c r="AE1161" s="1762">
        <v>37193</v>
      </c>
      <c r="AF1161" s="1761" t="s">
        <v>1094</v>
      </c>
      <c r="AG1161" s="1761" t="s">
        <v>1094</v>
      </c>
      <c r="AH1161" s="1761" t="s">
        <v>1594</v>
      </c>
      <c r="AI1161" s="1761" t="s">
        <v>3676</v>
      </c>
      <c r="AJ1161" s="1761" t="s">
        <v>2499</v>
      </c>
      <c r="AK1161" s="1761">
        <v>1529</v>
      </c>
      <c r="AL1161" s="1761" t="s">
        <v>603</v>
      </c>
      <c r="AM1161" s="1761">
        <v>735</v>
      </c>
      <c r="AN1161" s="1761" t="s">
        <v>5384</v>
      </c>
      <c r="AO1161" s="1764"/>
      <c r="AP1161" s="1761" t="s">
        <v>5373</v>
      </c>
      <c r="AQ1161" s="1761" t="s">
        <v>5374</v>
      </c>
      <c r="AR1161" s="1761" t="s">
        <v>2899</v>
      </c>
      <c r="AS1161" s="1761" t="s">
        <v>349</v>
      </c>
      <c r="AT1161" s="1761" t="s">
        <v>327</v>
      </c>
      <c r="AU1161" s="1763"/>
      <c r="AV1161" s="1763"/>
    </row>
    <row r="1162" spans="1:48" ht="25" hidden="1">
      <c r="A1162" s="1785" t="str">
        <f t="shared" si="187"/>
        <v>גמל</v>
      </c>
      <c r="B1162" s="1786">
        <f t="shared" si="188"/>
        <v>1530</v>
      </c>
      <c r="C1162" s="1787">
        <v>28946</v>
      </c>
      <c r="D1162" s="1786" t="str">
        <f t="shared" si="189"/>
        <v>מיטב מרום מסלול מט"ח</v>
      </c>
      <c r="E1162" s="1786" t="s">
        <v>3929</v>
      </c>
      <c r="F1162" s="1786" t="s">
        <v>2958</v>
      </c>
      <c r="G1162" s="1786" t="s">
        <v>2959</v>
      </c>
      <c r="H1162" s="1786" t="str">
        <f t="shared" si="190"/>
        <v>לא פעיל</v>
      </c>
      <c r="I1162" s="1788">
        <f t="shared" si="191"/>
        <v>37193</v>
      </c>
      <c r="J1162" s="1788">
        <f t="shared" si="192"/>
        <v>41863.424050925903</v>
      </c>
      <c r="K1162" s="1786">
        <v>0</v>
      </c>
      <c r="L1162" s="1786" t="s">
        <v>1594</v>
      </c>
      <c r="M1162" s="1786" t="s">
        <v>1653</v>
      </c>
      <c r="N1162" s="1786" t="s">
        <v>1653</v>
      </c>
      <c r="O1162" s="1786">
        <v>0</v>
      </c>
      <c r="P1162" s="1786"/>
      <c r="Q1162" s="1786">
        <v>0</v>
      </c>
      <c r="R1162" s="1788"/>
      <c r="S1162" s="1786">
        <f t="shared" si="193"/>
        <v>735</v>
      </c>
      <c r="T1162" s="1786" t="str">
        <f t="shared" si="194"/>
        <v>הבנק הבינלאומי הראשון</v>
      </c>
      <c r="U1162" s="1786" t="str">
        <f t="shared" si="195"/>
        <v>מיטב מרום רבת מסלולים</v>
      </c>
      <c r="V1162" s="1786" t="str">
        <f t="shared" si="196"/>
        <v>520043795</v>
      </c>
      <c r="W1162" s="1789" t="str">
        <f t="shared" si="197"/>
        <v>מיטב דש גמל ופנסיה בע"מ</v>
      </c>
      <c r="AC1162" s="1759" t="s">
        <v>1586</v>
      </c>
      <c r="AD1162" s="1760">
        <v>41863.424050925903</v>
      </c>
      <c r="AE1162" s="1760">
        <v>37193</v>
      </c>
      <c r="AF1162" s="1759" t="s">
        <v>1611</v>
      </c>
      <c r="AG1162" s="1759" t="s">
        <v>1611</v>
      </c>
      <c r="AH1162" s="1759" t="s">
        <v>1594</v>
      </c>
      <c r="AI1162" s="1759" t="s">
        <v>3677</v>
      </c>
      <c r="AJ1162" s="1759" t="s">
        <v>2500</v>
      </c>
      <c r="AK1162" s="1759">
        <v>1530</v>
      </c>
      <c r="AL1162" s="1759" t="s">
        <v>603</v>
      </c>
      <c r="AM1162" s="1759">
        <v>735</v>
      </c>
      <c r="AN1162" s="1759" t="s">
        <v>5384</v>
      </c>
      <c r="AO1162" s="1764"/>
      <c r="AP1162" s="1759" t="s">
        <v>5373</v>
      </c>
      <c r="AQ1162" s="1759" t="s">
        <v>5374</v>
      </c>
      <c r="AR1162" s="1759" t="s">
        <v>2899</v>
      </c>
      <c r="AS1162" s="1759" t="s">
        <v>349</v>
      </c>
      <c r="AT1162" s="1759" t="s">
        <v>327</v>
      </c>
      <c r="AU1162" s="1763"/>
      <c r="AV1162" s="1763"/>
    </row>
    <row r="1163" spans="1:48" ht="25" hidden="1">
      <c r="A1163" s="1785" t="str">
        <f t="shared" si="187"/>
        <v>גמל</v>
      </c>
      <c r="B1163" s="1786">
        <f t="shared" si="188"/>
        <v>1527</v>
      </c>
      <c r="C1163" s="1787">
        <v>28946</v>
      </c>
      <c r="D1163" s="1786" t="str">
        <f t="shared" si="189"/>
        <v>מיטב מרום מסלול אג"ח מדינה</v>
      </c>
      <c r="E1163" s="1786" t="s">
        <v>3929</v>
      </c>
      <c r="F1163" s="1786" t="s">
        <v>2958</v>
      </c>
      <c r="G1163" s="1786" t="s">
        <v>2959</v>
      </c>
      <c r="H1163" s="1786" t="str">
        <f t="shared" si="190"/>
        <v>לא פעיל</v>
      </c>
      <c r="I1163" s="1788">
        <f t="shared" si="191"/>
        <v>37193</v>
      </c>
      <c r="J1163" s="1788">
        <f t="shared" si="192"/>
        <v>41863.420127314799</v>
      </c>
      <c r="K1163" s="1786">
        <v>0</v>
      </c>
      <c r="L1163" s="1786" t="s">
        <v>1594</v>
      </c>
      <c r="M1163" s="1786" t="s">
        <v>1653</v>
      </c>
      <c r="N1163" s="1786" t="s">
        <v>1653</v>
      </c>
      <c r="O1163" s="1786">
        <v>0</v>
      </c>
      <c r="P1163" s="1786"/>
      <c r="Q1163" s="1786">
        <v>0</v>
      </c>
      <c r="R1163" s="1788"/>
      <c r="S1163" s="1786">
        <f t="shared" si="193"/>
        <v>735</v>
      </c>
      <c r="T1163" s="1786" t="str">
        <f t="shared" si="194"/>
        <v>הבנק הבינלאומי הראשון</v>
      </c>
      <c r="U1163" s="1786" t="str">
        <f t="shared" si="195"/>
        <v>מיטב מרום רבת מסלולים</v>
      </c>
      <c r="V1163" s="1786" t="str">
        <f t="shared" si="196"/>
        <v>520043795</v>
      </c>
      <c r="W1163" s="1789" t="str">
        <f t="shared" si="197"/>
        <v>מיטב דש גמל ופנסיה בע"מ</v>
      </c>
      <c r="AC1163" s="1761" t="s">
        <v>1586</v>
      </c>
      <c r="AD1163" s="1762">
        <v>41863.420127314799</v>
      </c>
      <c r="AE1163" s="1762">
        <v>37193</v>
      </c>
      <c r="AF1163" s="1761" t="s">
        <v>2009</v>
      </c>
      <c r="AG1163" s="1761" t="s">
        <v>1653</v>
      </c>
      <c r="AH1163" s="1761" t="s">
        <v>1594</v>
      </c>
      <c r="AI1163" s="1761" t="s">
        <v>3674</v>
      </c>
      <c r="AJ1163" s="1761" t="s">
        <v>2498</v>
      </c>
      <c r="AK1163" s="1761">
        <v>1527</v>
      </c>
      <c r="AL1163" s="1761" t="s">
        <v>603</v>
      </c>
      <c r="AM1163" s="1761">
        <v>735</v>
      </c>
      <c r="AN1163" s="1761" t="s">
        <v>5384</v>
      </c>
      <c r="AO1163" s="1764"/>
      <c r="AP1163" s="1761" t="s">
        <v>5373</v>
      </c>
      <c r="AQ1163" s="1761" t="s">
        <v>5374</v>
      </c>
      <c r="AR1163" s="1761" t="s">
        <v>2899</v>
      </c>
      <c r="AS1163" s="1761" t="s">
        <v>349</v>
      </c>
      <c r="AT1163" s="1761" t="s">
        <v>327</v>
      </c>
      <c r="AU1163" s="1763"/>
      <c r="AV1163" s="1763"/>
    </row>
    <row r="1164" spans="1:48" ht="37.5" hidden="1">
      <c r="A1164" s="1785" t="str">
        <f t="shared" si="187"/>
        <v>גמל</v>
      </c>
      <c r="B1164" s="1786">
        <f t="shared" si="188"/>
        <v>728</v>
      </c>
      <c r="C1164" s="1787">
        <v>28946</v>
      </c>
      <c r="D1164" s="1786" t="str">
        <f t="shared" si="189"/>
        <v>קתדרה קופת גמל מסלול מניות היי טק</v>
      </c>
      <c r="E1164" s="1786" t="s">
        <v>3929</v>
      </c>
      <c r="F1164" s="1786" t="s">
        <v>2958</v>
      </c>
      <c r="G1164" s="1786" t="s">
        <v>2959</v>
      </c>
      <c r="H1164" s="1786" t="str">
        <f t="shared" si="190"/>
        <v>לא פעיל</v>
      </c>
      <c r="I1164" s="1788">
        <f t="shared" si="191"/>
        <v>37136</v>
      </c>
      <c r="J1164" s="1788">
        <f t="shared" si="192"/>
        <v>39888.541736111103</v>
      </c>
      <c r="K1164" s="1786">
        <v>0</v>
      </c>
      <c r="L1164" s="1786" t="s">
        <v>1594</v>
      </c>
      <c r="M1164" s="1786" t="s">
        <v>1653</v>
      </c>
      <c r="N1164" s="1786" t="s">
        <v>1653</v>
      </c>
      <c r="O1164" s="1786">
        <v>0</v>
      </c>
      <c r="P1164" s="1786"/>
      <c r="Q1164" s="1786">
        <v>0</v>
      </c>
      <c r="R1164" s="1788"/>
      <c r="S1164" s="1786">
        <f t="shared" si="193"/>
        <v>730</v>
      </c>
      <c r="T1164" s="1786" t="str">
        <f t="shared" si="194"/>
        <v>בנק הפועלים בע"מ</v>
      </c>
      <c r="U1164" s="1786" t="str">
        <f t="shared" si="195"/>
        <v>אנליסט קתדרה קופת גמל - מסלול כללי</v>
      </c>
      <c r="V1164" s="1786" t="str">
        <f t="shared" si="196"/>
        <v>520041963</v>
      </c>
      <c r="W1164" s="1789" t="str">
        <f t="shared" si="197"/>
        <v>אנליסט קופות גמל בע"מ</v>
      </c>
      <c r="AC1164" s="1759" t="s">
        <v>1586</v>
      </c>
      <c r="AD1164" s="1760">
        <v>39888.541736111103</v>
      </c>
      <c r="AE1164" s="1760">
        <v>37136</v>
      </c>
      <c r="AF1164" s="1759" t="s">
        <v>3276</v>
      </c>
      <c r="AG1164" s="1759" t="s">
        <v>75</v>
      </c>
      <c r="AH1164" s="1759" t="s">
        <v>1594</v>
      </c>
      <c r="AI1164" s="1759" t="s">
        <v>3275</v>
      </c>
      <c r="AJ1164" s="1759" t="s">
        <v>2005</v>
      </c>
      <c r="AK1164" s="1759">
        <v>728</v>
      </c>
      <c r="AL1164" s="1759" t="s">
        <v>602</v>
      </c>
      <c r="AM1164" s="1759">
        <v>730</v>
      </c>
      <c r="AN1164" s="1759" t="s">
        <v>1695</v>
      </c>
      <c r="AO1164" s="1764"/>
      <c r="AP1164" s="1759" t="s">
        <v>5387</v>
      </c>
      <c r="AQ1164" s="1759" t="s">
        <v>5388</v>
      </c>
      <c r="AR1164" s="1759" t="s">
        <v>360</v>
      </c>
      <c r="AS1164" s="1759" t="s">
        <v>361</v>
      </c>
      <c r="AT1164" s="1759" t="s">
        <v>327</v>
      </c>
      <c r="AU1164" s="1763"/>
      <c r="AV1164" s="1763"/>
    </row>
    <row r="1165" spans="1:48" ht="37.5" hidden="1">
      <c r="A1165" s="1785" t="str">
        <f t="shared" si="187"/>
        <v>גמל</v>
      </c>
      <c r="B1165" s="1786">
        <f t="shared" si="188"/>
        <v>734</v>
      </c>
      <c r="C1165" s="1787">
        <v>28946</v>
      </c>
      <c r="D1165" s="1786" t="str">
        <f t="shared" si="189"/>
        <v>אנליסט קתדרה קופת גמל - מסלול מניות</v>
      </c>
      <c r="E1165" s="1786" t="s">
        <v>3929</v>
      </c>
      <c r="F1165" s="1786" t="s">
        <v>2958</v>
      </c>
      <c r="G1165" s="1786" t="s">
        <v>2959</v>
      </c>
      <c r="H1165" s="1786" t="str">
        <f t="shared" si="190"/>
        <v>לא פעיל</v>
      </c>
      <c r="I1165" s="1788">
        <f t="shared" si="191"/>
        <v>37136</v>
      </c>
      <c r="J1165" s="1788">
        <f t="shared" si="192"/>
        <v>41472.487175925897</v>
      </c>
      <c r="K1165" s="1786">
        <v>0</v>
      </c>
      <c r="L1165" s="1786" t="s">
        <v>1594</v>
      </c>
      <c r="M1165" s="1786" t="s">
        <v>1653</v>
      </c>
      <c r="N1165" s="1786" t="s">
        <v>1653</v>
      </c>
      <c r="O1165" s="1786">
        <v>0</v>
      </c>
      <c r="P1165" s="1786"/>
      <c r="Q1165" s="1786">
        <v>0</v>
      </c>
      <c r="R1165" s="1788"/>
      <c r="S1165" s="1786">
        <f t="shared" si="193"/>
        <v>730</v>
      </c>
      <c r="T1165" s="1786" t="str">
        <f t="shared" si="194"/>
        <v>בנק הפועלים בע"מ</v>
      </c>
      <c r="U1165" s="1786" t="str">
        <f t="shared" si="195"/>
        <v>אנליסט קתדרה קופת גמל - מסלול כללי</v>
      </c>
      <c r="V1165" s="1786" t="str">
        <f t="shared" si="196"/>
        <v>520041963</v>
      </c>
      <c r="W1165" s="1789" t="str">
        <f t="shared" si="197"/>
        <v>אנליסט קופות גמל בע"מ</v>
      </c>
      <c r="AC1165" s="1761" t="s">
        <v>1586</v>
      </c>
      <c r="AD1165" s="1762">
        <v>41472.487175925897</v>
      </c>
      <c r="AE1165" s="1762">
        <v>37136</v>
      </c>
      <c r="AF1165" s="1761" t="s">
        <v>1595</v>
      </c>
      <c r="AG1165" s="1761" t="s">
        <v>75</v>
      </c>
      <c r="AH1165" s="1761" t="s">
        <v>1594</v>
      </c>
      <c r="AI1165" s="1761" t="s">
        <v>3281</v>
      </c>
      <c r="AJ1165" s="1761" t="s">
        <v>2010</v>
      </c>
      <c r="AK1165" s="1761">
        <v>734</v>
      </c>
      <c r="AL1165" s="1761" t="s">
        <v>602</v>
      </c>
      <c r="AM1165" s="1761">
        <v>730</v>
      </c>
      <c r="AN1165" s="1761" t="s">
        <v>1695</v>
      </c>
      <c r="AO1165" s="1764"/>
      <c r="AP1165" s="1761" t="s">
        <v>5387</v>
      </c>
      <c r="AQ1165" s="1761" t="s">
        <v>5388</v>
      </c>
      <c r="AR1165" s="1761" t="s">
        <v>360</v>
      </c>
      <c r="AS1165" s="1761" t="s">
        <v>361</v>
      </c>
      <c r="AT1165" s="1761" t="s">
        <v>327</v>
      </c>
      <c r="AU1165" s="1763"/>
      <c r="AV1165" s="1763"/>
    </row>
    <row r="1166" spans="1:48" ht="37.5" hidden="1">
      <c r="A1166" s="1785" t="str">
        <f t="shared" si="187"/>
        <v>גמל</v>
      </c>
      <c r="B1166" s="1786">
        <f t="shared" si="188"/>
        <v>733</v>
      </c>
      <c r="C1166" s="1787">
        <v>28946</v>
      </c>
      <c r="D1166" s="1786" t="str">
        <f t="shared" si="189"/>
        <v>אנליסט קתדרה קופת גמל - מסלול אג"ח ממשלתי</v>
      </c>
      <c r="E1166" s="1786" t="s">
        <v>3929</v>
      </c>
      <c r="F1166" s="1786" t="s">
        <v>2958</v>
      </c>
      <c r="G1166" s="1786" t="s">
        <v>2959</v>
      </c>
      <c r="H1166" s="1786" t="str">
        <f t="shared" si="190"/>
        <v>לא פעיל</v>
      </c>
      <c r="I1166" s="1788">
        <f t="shared" si="191"/>
        <v>37136</v>
      </c>
      <c r="J1166" s="1788">
        <f t="shared" si="192"/>
        <v>41472.487175925897</v>
      </c>
      <c r="K1166" s="1786">
        <v>0</v>
      </c>
      <c r="L1166" s="1786" t="s">
        <v>1594</v>
      </c>
      <c r="M1166" s="1786" t="s">
        <v>1653</v>
      </c>
      <c r="N1166" s="1786" t="s">
        <v>1653</v>
      </c>
      <c r="O1166" s="1786">
        <v>0</v>
      </c>
      <c r="P1166" s="1786"/>
      <c r="Q1166" s="1786">
        <v>0</v>
      </c>
      <c r="R1166" s="1788"/>
      <c r="S1166" s="1786">
        <f t="shared" si="193"/>
        <v>730</v>
      </c>
      <c r="T1166" s="1786" t="str">
        <f t="shared" si="194"/>
        <v>בנק הפועלים בע"מ</v>
      </c>
      <c r="U1166" s="1786" t="str">
        <f t="shared" si="195"/>
        <v>אנליסט קתדרה קופת גמל - מסלול כללי</v>
      </c>
      <c r="V1166" s="1786" t="str">
        <f t="shared" si="196"/>
        <v>520041963</v>
      </c>
      <c r="W1166" s="1789" t="str">
        <f t="shared" si="197"/>
        <v>אנליסט קופות גמל בע"מ</v>
      </c>
      <c r="AC1166" s="1759" t="s">
        <v>1586</v>
      </c>
      <c r="AD1166" s="1760">
        <v>41472.487175925897</v>
      </c>
      <c r="AE1166" s="1760">
        <v>37136</v>
      </c>
      <c r="AF1166" s="1759" t="s">
        <v>2009</v>
      </c>
      <c r="AG1166" s="1759" t="s">
        <v>1583</v>
      </c>
      <c r="AH1166" s="1759" t="s">
        <v>1583</v>
      </c>
      <c r="AI1166" s="1759" t="s">
        <v>3280</v>
      </c>
      <c r="AJ1166" s="1759" t="s">
        <v>2008</v>
      </c>
      <c r="AK1166" s="1759">
        <v>733</v>
      </c>
      <c r="AL1166" s="1759" t="s">
        <v>602</v>
      </c>
      <c r="AM1166" s="1759">
        <v>730</v>
      </c>
      <c r="AN1166" s="1759" t="s">
        <v>1695</v>
      </c>
      <c r="AO1166" s="1764"/>
      <c r="AP1166" s="1759" t="s">
        <v>5387</v>
      </c>
      <c r="AQ1166" s="1759" t="s">
        <v>5388</v>
      </c>
      <c r="AR1166" s="1759" t="s">
        <v>360</v>
      </c>
      <c r="AS1166" s="1759" t="s">
        <v>361</v>
      </c>
      <c r="AT1166" s="1759" t="s">
        <v>327</v>
      </c>
      <c r="AU1166" s="1763"/>
      <c r="AV1166" s="1763"/>
    </row>
    <row r="1167" spans="1:48" ht="37.5" hidden="1">
      <c r="A1167" s="1785" t="str">
        <f t="shared" si="187"/>
        <v>גמל</v>
      </c>
      <c r="B1167" s="1786">
        <f t="shared" si="188"/>
        <v>731</v>
      </c>
      <c r="C1167" s="1787">
        <v>28946</v>
      </c>
      <c r="D1167" s="1786" t="str">
        <f t="shared" si="189"/>
        <v>קתדרה קופת גמל מסלול שקלי קצר</v>
      </c>
      <c r="E1167" s="1786" t="s">
        <v>3929</v>
      </c>
      <c r="F1167" s="1786" t="s">
        <v>2958</v>
      </c>
      <c r="G1167" s="1786" t="s">
        <v>2959</v>
      </c>
      <c r="H1167" s="1786" t="str">
        <f t="shared" si="190"/>
        <v>לא פעיל</v>
      </c>
      <c r="I1167" s="1788">
        <f t="shared" si="191"/>
        <v>37136</v>
      </c>
      <c r="J1167" s="1788">
        <f t="shared" si="192"/>
        <v>39888.541631944398</v>
      </c>
      <c r="K1167" s="1786">
        <v>0</v>
      </c>
      <c r="L1167" s="1786" t="s">
        <v>1594</v>
      </c>
      <c r="M1167" s="1786" t="s">
        <v>1653</v>
      </c>
      <c r="N1167" s="1786" t="s">
        <v>1653</v>
      </c>
      <c r="O1167" s="1786">
        <v>0</v>
      </c>
      <c r="P1167" s="1786"/>
      <c r="Q1167" s="1786">
        <v>0</v>
      </c>
      <c r="R1167" s="1788"/>
      <c r="S1167" s="1786">
        <f t="shared" si="193"/>
        <v>730</v>
      </c>
      <c r="T1167" s="1786" t="str">
        <f t="shared" si="194"/>
        <v>בנק הפועלים בע"מ</v>
      </c>
      <c r="U1167" s="1786" t="str">
        <f t="shared" si="195"/>
        <v>אנליסט קתדרה קופת גמל - מסלול כללי</v>
      </c>
      <c r="V1167" s="1786" t="str">
        <f t="shared" si="196"/>
        <v>520041963</v>
      </c>
      <c r="W1167" s="1789" t="str">
        <f t="shared" si="197"/>
        <v>אנליסט קופות גמל בע"מ</v>
      </c>
      <c r="AC1167" s="1761" t="s">
        <v>1586</v>
      </c>
      <c r="AD1167" s="1762">
        <v>39888.541631944398</v>
      </c>
      <c r="AE1167" s="1762">
        <v>37136</v>
      </c>
      <c r="AF1167" s="1761" t="s">
        <v>1673</v>
      </c>
      <c r="AG1167" s="1761" t="s">
        <v>1614</v>
      </c>
      <c r="AH1167" s="1761" t="s">
        <v>1594</v>
      </c>
      <c r="AI1167" s="1761" t="s">
        <v>3278</v>
      </c>
      <c r="AJ1167" s="1761" t="s">
        <v>2006</v>
      </c>
      <c r="AK1167" s="1761">
        <v>731</v>
      </c>
      <c r="AL1167" s="1761" t="s">
        <v>602</v>
      </c>
      <c r="AM1167" s="1761">
        <v>730</v>
      </c>
      <c r="AN1167" s="1761" t="s">
        <v>1695</v>
      </c>
      <c r="AO1167" s="1764"/>
      <c r="AP1167" s="1761" t="s">
        <v>5387</v>
      </c>
      <c r="AQ1167" s="1761" t="s">
        <v>5388</v>
      </c>
      <c r="AR1167" s="1761" t="s">
        <v>360</v>
      </c>
      <c r="AS1167" s="1761" t="s">
        <v>361</v>
      </c>
      <c r="AT1167" s="1761" t="s">
        <v>327</v>
      </c>
      <c r="AU1167" s="1763"/>
      <c r="AV1167" s="1763"/>
    </row>
    <row r="1168" spans="1:48" ht="14" hidden="1">
      <c r="A1168" s="1785" t="str">
        <f t="shared" si="187"/>
        <v>גמל</v>
      </c>
      <c r="B1168" s="1786">
        <f t="shared" si="188"/>
        <v>727</v>
      </c>
      <c r="C1168" s="1787">
        <v>28946</v>
      </c>
      <c r="D1168" s="1786" t="str">
        <f t="shared" si="189"/>
        <v>כלל מושלם פיצויים</v>
      </c>
      <c r="E1168" s="1786" t="s">
        <v>3929</v>
      </c>
      <c r="F1168" s="1786" t="s">
        <v>2958</v>
      </c>
      <c r="G1168" s="1786" t="s">
        <v>2959</v>
      </c>
      <c r="H1168" s="1786" t="str">
        <f t="shared" si="190"/>
        <v>לא פעיל</v>
      </c>
      <c r="I1168" s="1788">
        <f t="shared" si="191"/>
        <v>37073</v>
      </c>
      <c r="J1168" s="1788">
        <f t="shared" si="192"/>
        <v>41655.614733796298</v>
      </c>
      <c r="K1168" s="1786">
        <v>0</v>
      </c>
      <c r="L1168" s="1786" t="s">
        <v>1594</v>
      </c>
      <c r="M1168" s="1786" t="s">
        <v>1653</v>
      </c>
      <c r="N1168" s="1786" t="s">
        <v>1653</v>
      </c>
      <c r="O1168" s="1786">
        <v>0</v>
      </c>
      <c r="P1168" s="1786"/>
      <c r="Q1168" s="1786">
        <v>0</v>
      </c>
      <c r="R1168" s="1788"/>
      <c r="S1168" s="1786">
        <f t="shared" si="193"/>
        <v>727</v>
      </c>
      <c r="T1168" s="1786" t="str">
        <f t="shared" si="194"/>
        <v>בנק לאומי בע"מ</v>
      </c>
      <c r="U1168" s="1786" t="str">
        <f t="shared" si="195"/>
        <v>כלל מושלם פיצויים</v>
      </c>
      <c r="V1168" s="1786">
        <f t="shared" si="196"/>
        <v>0</v>
      </c>
      <c r="W1168" s="1789" t="str">
        <f t="shared" si="197"/>
        <v>כלל פנסיה וגמל בע"מ</v>
      </c>
      <c r="AC1168" s="1759" t="s">
        <v>1586</v>
      </c>
      <c r="AD1168" s="1760">
        <v>41655.614733796298</v>
      </c>
      <c r="AE1168" s="1760">
        <v>37073</v>
      </c>
      <c r="AF1168" s="1759" t="s">
        <v>1583</v>
      </c>
      <c r="AG1168" s="1759" t="s">
        <v>1583</v>
      </c>
      <c r="AH1168" s="1759" t="s">
        <v>1583</v>
      </c>
      <c r="AI1168" s="1759" t="s">
        <v>601</v>
      </c>
      <c r="AJ1168" s="1759" t="s">
        <v>601</v>
      </c>
      <c r="AK1168" s="1759">
        <v>727</v>
      </c>
      <c r="AL1168" s="1759" t="s">
        <v>601</v>
      </c>
      <c r="AM1168" s="1759">
        <v>727</v>
      </c>
      <c r="AN1168" s="1759" t="s">
        <v>5470</v>
      </c>
      <c r="AO1168" s="1764"/>
      <c r="AP1168" s="1759"/>
      <c r="AQ1168" s="1759"/>
      <c r="AR1168" s="1759" t="s">
        <v>378</v>
      </c>
      <c r="AS1168" s="1759" t="s">
        <v>379</v>
      </c>
      <c r="AT1168" s="1759" t="s">
        <v>327</v>
      </c>
      <c r="AU1168" s="1763"/>
      <c r="AV1168" s="1763"/>
    </row>
    <row r="1169" spans="1:48" ht="25" hidden="1">
      <c r="A1169" s="1785" t="str">
        <f t="shared" si="187"/>
        <v>גמל</v>
      </c>
      <c r="B1169" s="1786">
        <f t="shared" si="188"/>
        <v>726</v>
      </c>
      <c r="C1169" s="1787">
        <v>28946</v>
      </c>
      <c r="D1169" s="1786" t="str">
        <f t="shared" si="189"/>
        <v>קה"ל - מסלול שקלי קצר</v>
      </c>
      <c r="E1169" s="1786" t="s">
        <v>3929</v>
      </c>
      <c r="F1169" s="1786" t="s">
        <v>2958</v>
      </c>
      <c r="G1169" s="1786" t="s">
        <v>2959</v>
      </c>
      <c r="H1169" s="1786" t="str">
        <f t="shared" si="190"/>
        <v>לא פעיל</v>
      </c>
      <c r="I1169" s="1788">
        <f t="shared" si="191"/>
        <v>37083</v>
      </c>
      <c r="J1169" s="1788">
        <f t="shared" si="192"/>
        <v>39820.432685185202</v>
      </c>
      <c r="K1169" s="1786">
        <v>0</v>
      </c>
      <c r="L1169" s="1786" t="s">
        <v>1594</v>
      </c>
      <c r="M1169" s="1786" t="s">
        <v>1653</v>
      </c>
      <c r="N1169" s="1786" t="s">
        <v>1653</v>
      </c>
      <c r="O1169" s="1786">
        <v>0</v>
      </c>
      <c r="P1169" s="1786"/>
      <c r="Q1169" s="1786">
        <v>0</v>
      </c>
      <c r="R1169" s="1788"/>
      <c r="S1169" s="1786">
        <f t="shared" si="193"/>
        <v>726</v>
      </c>
      <c r="T1169" s="1786" t="str">
        <f t="shared" si="194"/>
        <v>בנק לאומי בע"מ</v>
      </c>
      <c r="U1169" s="1786" t="str">
        <f t="shared" si="195"/>
        <v>קה"ל - מסלול שקלי קצר</v>
      </c>
      <c r="V1169" s="1786">
        <f t="shared" si="196"/>
        <v>0</v>
      </c>
      <c r="W1169" s="1789" t="str">
        <f t="shared" si="197"/>
        <v>מגדל גמל פלטינום בע"מ</v>
      </c>
      <c r="AC1169" s="1761" t="s">
        <v>1586</v>
      </c>
      <c r="AD1169" s="1762">
        <v>39820.432685185202</v>
      </c>
      <c r="AE1169" s="1762">
        <v>37083</v>
      </c>
      <c r="AF1169" s="1761" t="s">
        <v>1673</v>
      </c>
      <c r="AG1169" s="1761" t="s">
        <v>1614</v>
      </c>
      <c r="AH1169" s="1761" t="s">
        <v>1594</v>
      </c>
      <c r="AI1169" s="1761" t="s">
        <v>3274</v>
      </c>
      <c r="AJ1169" s="1761" t="s">
        <v>2004</v>
      </c>
      <c r="AK1169" s="1761">
        <v>726</v>
      </c>
      <c r="AL1169" s="1761" t="s">
        <v>2004</v>
      </c>
      <c r="AM1169" s="1761">
        <v>726</v>
      </c>
      <c r="AN1169" s="1761" t="s">
        <v>5470</v>
      </c>
      <c r="AO1169" s="1764"/>
      <c r="AP1169" s="1761"/>
      <c r="AQ1169" s="1761"/>
      <c r="AR1169" s="1761" t="s">
        <v>1656</v>
      </c>
      <c r="AS1169" s="1761" t="s">
        <v>1655</v>
      </c>
      <c r="AT1169" s="1761" t="s">
        <v>327</v>
      </c>
      <c r="AU1169" s="1763"/>
      <c r="AV1169" s="1763"/>
    </row>
    <row r="1170" spans="1:48" ht="14" hidden="1">
      <c r="A1170" s="1785" t="str">
        <f t="shared" si="187"/>
        <v>גמל</v>
      </c>
      <c r="B1170" s="1786">
        <f t="shared" si="188"/>
        <v>721</v>
      </c>
      <c r="C1170" s="1787">
        <v>28946</v>
      </c>
      <c r="D1170" s="1786" t="str">
        <f t="shared" si="189"/>
        <v>כלל מושלם השתלמות</v>
      </c>
      <c r="E1170" s="1786" t="s">
        <v>3929</v>
      </c>
      <c r="F1170" s="1786" t="s">
        <v>2958</v>
      </c>
      <c r="G1170" s="1786" t="s">
        <v>2959</v>
      </c>
      <c r="H1170" s="1786" t="str">
        <f t="shared" si="190"/>
        <v>לא פעיל</v>
      </c>
      <c r="I1170" s="1788">
        <f t="shared" si="191"/>
        <v>37069</v>
      </c>
      <c r="J1170" s="1788">
        <f t="shared" si="192"/>
        <v>41562.521828703699</v>
      </c>
      <c r="K1170" s="1786">
        <v>0</v>
      </c>
      <c r="L1170" s="1786" t="s">
        <v>1594</v>
      </c>
      <c r="M1170" s="1786" t="s">
        <v>1653</v>
      </c>
      <c r="N1170" s="1786" t="s">
        <v>1653</v>
      </c>
      <c r="O1170" s="1786">
        <v>0</v>
      </c>
      <c r="P1170" s="1786"/>
      <c r="Q1170" s="1786">
        <v>0</v>
      </c>
      <c r="R1170" s="1788"/>
      <c r="S1170" s="1786">
        <f t="shared" si="193"/>
        <v>721</v>
      </c>
      <c r="T1170" s="1786" t="str">
        <f t="shared" si="194"/>
        <v>בנק לאומי בע"מ</v>
      </c>
      <c r="U1170" s="1786" t="str">
        <f t="shared" si="195"/>
        <v>כלל מושלם השתלמות</v>
      </c>
      <c r="V1170" s="1786">
        <f t="shared" si="196"/>
        <v>0</v>
      </c>
      <c r="W1170" s="1789" t="str">
        <f t="shared" si="197"/>
        <v>כלל פנסיה וגמל בע"מ</v>
      </c>
      <c r="AC1170" s="1759" t="s">
        <v>1586</v>
      </c>
      <c r="AD1170" s="1760">
        <v>41562.521828703699</v>
      </c>
      <c r="AE1170" s="1760">
        <v>37069</v>
      </c>
      <c r="AF1170" s="1759" t="s">
        <v>1583</v>
      </c>
      <c r="AG1170" s="1759" t="s">
        <v>1583</v>
      </c>
      <c r="AH1170" s="1759" t="s">
        <v>1583</v>
      </c>
      <c r="AI1170" s="1759" t="s">
        <v>600</v>
      </c>
      <c r="AJ1170" s="1759" t="s">
        <v>600</v>
      </c>
      <c r="AK1170" s="1759">
        <v>721</v>
      </c>
      <c r="AL1170" s="1759" t="s">
        <v>600</v>
      </c>
      <c r="AM1170" s="1759">
        <v>721</v>
      </c>
      <c r="AN1170" s="1759" t="s">
        <v>5470</v>
      </c>
      <c r="AO1170" s="1764"/>
      <c r="AP1170" s="1759"/>
      <c r="AQ1170" s="1759"/>
      <c r="AR1170" s="1759" t="s">
        <v>378</v>
      </c>
      <c r="AS1170" s="1759" t="s">
        <v>379</v>
      </c>
      <c r="AT1170" s="1759" t="s">
        <v>327</v>
      </c>
      <c r="AU1170" s="1763"/>
      <c r="AV1170" s="1763"/>
    </row>
    <row r="1171" spans="1:48" ht="25" hidden="1">
      <c r="A1171" s="1785" t="str">
        <f t="shared" si="187"/>
        <v>גמל</v>
      </c>
      <c r="B1171" s="1786">
        <f t="shared" si="188"/>
        <v>720</v>
      </c>
      <c r="C1171" s="1787">
        <v>28946</v>
      </c>
      <c r="D1171" s="1786" t="str">
        <f t="shared" si="189"/>
        <v>ניסוי שם מנהל</v>
      </c>
      <c r="E1171" s="1786" t="s">
        <v>3929</v>
      </c>
      <c r="F1171" s="1786" t="s">
        <v>2958</v>
      </c>
      <c r="G1171" s="1786" t="s">
        <v>2959</v>
      </c>
      <c r="H1171" s="1786" t="str">
        <f t="shared" si="190"/>
        <v>לא פעיל</v>
      </c>
      <c r="I1171" s="1788">
        <f t="shared" si="191"/>
        <v>37059</v>
      </c>
      <c r="J1171" s="1788">
        <f t="shared" si="192"/>
        <v>38272.342210648101</v>
      </c>
      <c r="K1171" s="1786">
        <v>0</v>
      </c>
      <c r="L1171" s="1786" t="s">
        <v>1594</v>
      </c>
      <c r="M1171" s="1786" t="s">
        <v>1653</v>
      </c>
      <c r="N1171" s="1786" t="s">
        <v>1653</v>
      </c>
      <c r="O1171" s="1786">
        <v>0</v>
      </c>
      <c r="P1171" s="1786"/>
      <c r="Q1171" s="1786">
        <v>0</v>
      </c>
      <c r="R1171" s="1788"/>
      <c r="S1171" s="1786">
        <f t="shared" si="193"/>
        <v>720</v>
      </c>
      <c r="T1171" s="1786" t="str">
        <f t="shared" si="194"/>
        <v>בנק הפועלים בע"מ</v>
      </c>
      <c r="U1171" s="1786" t="str">
        <f t="shared" si="195"/>
        <v>ניסוי שם מנהל</v>
      </c>
      <c r="V1171" s="1786">
        <f t="shared" si="196"/>
        <v>0</v>
      </c>
      <c r="W1171" s="1789" t="str">
        <f t="shared" si="197"/>
        <v>איפקס ניהול קופות גמל בע"מ</v>
      </c>
      <c r="AC1171" s="1761" t="s">
        <v>1586</v>
      </c>
      <c r="AD1171" s="1762">
        <v>38272.342210648101</v>
      </c>
      <c r="AE1171" s="1762">
        <v>37059</v>
      </c>
      <c r="AF1171" s="1761" t="s">
        <v>1583</v>
      </c>
      <c r="AG1171" s="1761" t="s">
        <v>1583</v>
      </c>
      <c r="AH1171" s="1761" t="s">
        <v>1583</v>
      </c>
      <c r="AI1171" s="1761" t="s">
        <v>3273</v>
      </c>
      <c r="AJ1171" s="1761" t="s">
        <v>2002</v>
      </c>
      <c r="AK1171" s="1761">
        <v>720</v>
      </c>
      <c r="AL1171" s="1761" t="s">
        <v>2002</v>
      </c>
      <c r="AM1171" s="1761">
        <v>720</v>
      </c>
      <c r="AN1171" s="1761" t="s">
        <v>1695</v>
      </c>
      <c r="AO1171" s="1764"/>
      <c r="AP1171" s="1761"/>
      <c r="AQ1171" s="1761"/>
      <c r="AR1171" s="1761" t="s">
        <v>560</v>
      </c>
      <c r="AS1171" s="1761" t="s">
        <v>561</v>
      </c>
      <c r="AT1171" s="1761" t="s">
        <v>327</v>
      </c>
      <c r="AU1171" s="1763"/>
      <c r="AV1171" s="1763"/>
    </row>
    <row r="1172" spans="1:48" ht="25" hidden="1">
      <c r="A1172" s="1785" t="str">
        <f t="shared" si="187"/>
        <v>גמל</v>
      </c>
      <c r="B1172" s="1786">
        <f t="shared" si="188"/>
        <v>719</v>
      </c>
      <c r="C1172" s="1787">
        <v>28946</v>
      </c>
      <c r="D1172" s="1786" t="str">
        <f t="shared" si="189"/>
        <v>קרן סגל אוניברסיטת חיפה - אפיק מוטה היי-טק</v>
      </c>
      <c r="E1172" s="1786" t="s">
        <v>3929</v>
      </c>
      <c r="F1172" s="1786" t="s">
        <v>2958</v>
      </c>
      <c r="G1172" s="1786" t="s">
        <v>2959</v>
      </c>
      <c r="H1172" s="1786" t="str">
        <f t="shared" si="190"/>
        <v>לא פעיל</v>
      </c>
      <c r="I1172" s="1788">
        <f t="shared" si="191"/>
        <v>37020</v>
      </c>
      <c r="J1172" s="1788">
        <f t="shared" si="192"/>
        <v>38361</v>
      </c>
      <c r="K1172" s="1786">
        <v>0</v>
      </c>
      <c r="L1172" s="1786" t="s">
        <v>1594</v>
      </c>
      <c r="M1172" s="1786" t="s">
        <v>1653</v>
      </c>
      <c r="N1172" s="1786" t="s">
        <v>1653</v>
      </c>
      <c r="O1172" s="1786">
        <v>0</v>
      </c>
      <c r="P1172" s="1786"/>
      <c r="Q1172" s="1786">
        <v>0</v>
      </c>
      <c r="R1172" s="1788"/>
      <c r="S1172" s="1786">
        <f t="shared" si="193"/>
        <v>719</v>
      </c>
      <c r="T1172" s="1786" t="str">
        <f t="shared" si="194"/>
        <v>בנק הפועלים בע"מ</v>
      </c>
      <c r="U1172" s="1786" t="str">
        <f t="shared" si="195"/>
        <v>קרן סגל אוניברסיטת חיפה - אפיק מוטה היי-טק</v>
      </c>
      <c r="V1172" s="1786">
        <f t="shared" si="196"/>
        <v>0</v>
      </c>
      <c r="W1172" s="1789" t="str">
        <f t="shared" si="197"/>
        <v>אסיף חברה לניהול קופ"ג בע"מ</v>
      </c>
      <c r="AC1172" s="1759" t="s">
        <v>1586</v>
      </c>
      <c r="AD1172" s="1760">
        <v>38361</v>
      </c>
      <c r="AE1172" s="1760">
        <v>37020</v>
      </c>
      <c r="AF1172" s="1759" t="s">
        <v>1583</v>
      </c>
      <c r="AG1172" s="1759" t="s">
        <v>1583</v>
      </c>
      <c r="AH1172" s="1759" t="s">
        <v>1583</v>
      </c>
      <c r="AI1172" s="1759" t="s">
        <v>3272</v>
      </c>
      <c r="AJ1172" s="1759" t="s">
        <v>2001</v>
      </c>
      <c r="AK1172" s="1759">
        <v>719</v>
      </c>
      <c r="AL1172" s="1759" t="s">
        <v>2001</v>
      </c>
      <c r="AM1172" s="1759">
        <v>719</v>
      </c>
      <c r="AN1172" s="1759" t="s">
        <v>1695</v>
      </c>
      <c r="AO1172" s="1764"/>
      <c r="AP1172" s="1759"/>
      <c r="AQ1172" s="1759"/>
      <c r="AR1172" s="1759" t="s">
        <v>1652</v>
      </c>
      <c r="AS1172" s="1759" t="s">
        <v>1651</v>
      </c>
      <c r="AT1172" s="1759" t="s">
        <v>327</v>
      </c>
      <c r="AU1172" s="1763"/>
      <c r="AV1172" s="1763"/>
    </row>
    <row r="1173" spans="1:48" ht="25" hidden="1">
      <c r="A1173" s="1785" t="str">
        <f t="shared" si="187"/>
        <v>גמל</v>
      </c>
      <c r="B1173" s="1786">
        <f t="shared" si="188"/>
        <v>717</v>
      </c>
      <c r="C1173" s="1787">
        <v>28946</v>
      </c>
      <c r="D1173" s="1786" t="str">
        <f t="shared" si="189"/>
        <v>קרן סגל אוניברסיטת חיפה - אפיק קצר טווח</v>
      </c>
      <c r="E1173" s="1786" t="s">
        <v>3929</v>
      </c>
      <c r="F1173" s="1786" t="s">
        <v>2958</v>
      </c>
      <c r="G1173" s="1786" t="s">
        <v>2959</v>
      </c>
      <c r="H1173" s="1786" t="str">
        <f t="shared" si="190"/>
        <v>לא פעיל</v>
      </c>
      <c r="I1173" s="1788">
        <f t="shared" si="191"/>
        <v>37020</v>
      </c>
      <c r="J1173" s="1788">
        <f t="shared" si="192"/>
        <v>38361</v>
      </c>
      <c r="K1173" s="1786">
        <v>0</v>
      </c>
      <c r="L1173" s="1786" t="s">
        <v>1594</v>
      </c>
      <c r="M1173" s="1786" t="s">
        <v>1653</v>
      </c>
      <c r="N1173" s="1786" t="s">
        <v>1653</v>
      </c>
      <c r="O1173" s="1786">
        <v>0</v>
      </c>
      <c r="P1173" s="1786"/>
      <c r="Q1173" s="1786">
        <v>0</v>
      </c>
      <c r="R1173" s="1788"/>
      <c r="S1173" s="1786">
        <f t="shared" si="193"/>
        <v>717</v>
      </c>
      <c r="T1173" s="1786" t="str">
        <f t="shared" si="194"/>
        <v>בנק הפועלים בע"מ</v>
      </c>
      <c r="U1173" s="1786" t="str">
        <f t="shared" si="195"/>
        <v>קרן סגל אוניברסיטת חיפה - אפיק קצר טווח</v>
      </c>
      <c r="V1173" s="1786">
        <f t="shared" si="196"/>
        <v>0</v>
      </c>
      <c r="W1173" s="1789" t="str">
        <f t="shared" si="197"/>
        <v>אסיף חברה לניהול קופ"ג בע"מ</v>
      </c>
      <c r="AC1173" s="1761" t="s">
        <v>1586</v>
      </c>
      <c r="AD1173" s="1762">
        <v>38361</v>
      </c>
      <c r="AE1173" s="1762">
        <v>37020</v>
      </c>
      <c r="AF1173" s="1761" t="s">
        <v>1583</v>
      </c>
      <c r="AG1173" s="1761" t="s">
        <v>1583</v>
      </c>
      <c r="AH1173" s="1761" t="s">
        <v>1583</v>
      </c>
      <c r="AI1173" s="1761" t="s">
        <v>3270</v>
      </c>
      <c r="AJ1173" s="1761" t="s">
        <v>1999</v>
      </c>
      <c r="AK1173" s="1761">
        <v>717</v>
      </c>
      <c r="AL1173" s="1761" t="s">
        <v>1999</v>
      </c>
      <c r="AM1173" s="1761">
        <v>717</v>
      </c>
      <c r="AN1173" s="1761" t="s">
        <v>1695</v>
      </c>
      <c r="AO1173" s="1764"/>
      <c r="AP1173" s="1761"/>
      <c r="AQ1173" s="1761"/>
      <c r="AR1173" s="1761" t="s">
        <v>1652</v>
      </c>
      <c r="AS1173" s="1761" t="s">
        <v>1651</v>
      </c>
      <c r="AT1173" s="1761" t="s">
        <v>327</v>
      </c>
      <c r="AU1173" s="1763"/>
      <c r="AV1173" s="1763"/>
    </row>
    <row r="1174" spans="1:48" ht="25" hidden="1">
      <c r="A1174" s="1785" t="str">
        <f t="shared" si="187"/>
        <v>גמל</v>
      </c>
      <c r="B1174" s="1786">
        <f t="shared" si="188"/>
        <v>714</v>
      </c>
      <c r="C1174" s="1787">
        <v>28946</v>
      </c>
      <c r="D1174" s="1786" t="str">
        <f t="shared" si="189"/>
        <v>אקסלנס השתלמות זהב עד 15% מניות</v>
      </c>
      <c r="E1174" s="1786" t="s">
        <v>3929</v>
      </c>
      <c r="F1174" s="1786" t="s">
        <v>2958</v>
      </c>
      <c r="G1174" s="1786" t="s">
        <v>2959</v>
      </c>
      <c r="H1174" s="1786" t="str">
        <f t="shared" si="190"/>
        <v>לא פעיל</v>
      </c>
      <c r="I1174" s="1788">
        <f t="shared" si="191"/>
        <v>37020</v>
      </c>
      <c r="J1174" s="1788">
        <f t="shared" si="192"/>
        <v>41654.673969907402</v>
      </c>
      <c r="K1174" s="1786">
        <v>0</v>
      </c>
      <c r="L1174" s="1786" t="s">
        <v>1594</v>
      </c>
      <c r="M1174" s="1786" t="s">
        <v>1653</v>
      </c>
      <c r="N1174" s="1786" t="s">
        <v>1653</v>
      </c>
      <c r="O1174" s="1786">
        <v>0</v>
      </c>
      <c r="P1174" s="1786"/>
      <c r="Q1174" s="1786">
        <v>0</v>
      </c>
      <c r="R1174" s="1788"/>
      <c r="S1174" s="1786">
        <f t="shared" si="193"/>
        <v>714</v>
      </c>
      <c r="T1174" s="1786" t="str">
        <f t="shared" si="194"/>
        <v>בנק הפועלים בע"מ</v>
      </c>
      <c r="U1174" s="1786" t="str">
        <f t="shared" si="195"/>
        <v xml:space="preserve">אקסלנס השתלמות זהב </v>
      </c>
      <c r="V1174" s="1786" t="str">
        <f t="shared" si="196"/>
        <v>520017450</v>
      </c>
      <c r="W1174" s="1789" t="str">
        <f t="shared" si="197"/>
        <v xml:space="preserve">הפניקס אקסלנס פנסיה וגמל בע"מ </v>
      </c>
      <c r="AC1174" s="1759" t="s">
        <v>1586</v>
      </c>
      <c r="AD1174" s="1760">
        <v>41654.673969907402</v>
      </c>
      <c r="AE1174" s="1760">
        <v>37020</v>
      </c>
      <c r="AF1174" s="1759" t="s">
        <v>1583</v>
      </c>
      <c r="AG1174" s="1759" t="s">
        <v>1583</v>
      </c>
      <c r="AH1174" s="1759" t="s">
        <v>1583</v>
      </c>
      <c r="AI1174" s="1759" t="s">
        <v>1997</v>
      </c>
      <c r="AJ1174" s="1759" t="s">
        <v>1997</v>
      </c>
      <c r="AK1174" s="1759">
        <v>714</v>
      </c>
      <c r="AL1174" s="1759" t="s">
        <v>1998</v>
      </c>
      <c r="AM1174" s="1759">
        <v>714</v>
      </c>
      <c r="AN1174" s="1759" t="s">
        <v>1695</v>
      </c>
      <c r="AO1174" s="1764"/>
      <c r="AP1174" s="1759" t="s">
        <v>5379</v>
      </c>
      <c r="AQ1174" s="1759" t="s">
        <v>5380</v>
      </c>
      <c r="AR1174" s="1759" t="s">
        <v>5381</v>
      </c>
      <c r="AS1174" s="1759" t="s">
        <v>347</v>
      </c>
      <c r="AT1174" s="1759" t="s">
        <v>327</v>
      </c>
      <c r="AU1174" s="1763"/>
      <c r="AV1174" s="1763"/>
    </row>
    <row r="1175" spans="1:48" ht="25" hidden="1">
      <c r="A1175" s="1785" t="str">
        <f t="shared" ref="A1175:A1238" si="198">AT1175</f>
        <v>גמל</v>
      </c>
      <c r="B1175" s="1786">
        <f t="shared" ref="B1175:B1238" si="199">AK1175</f>
        <v>2092</v>
      </c>
      <c r="C1175" s="1787">
        <v>28946</v>
      </c>
      <c r="D1175" s="1786" t="str">
        <f t="shared" ref="D1175:D1238" si="200">AJ1175</f>
        <v>אקסלנס השתלמות זהב חו"ל</v>
      </c>
      <c r="E1175" s="1786" t="s">
        <v>3929</v>
      </c>
      <c r="F1175" s="1786" t="s">
        <v>2958</v>
      </c>
      <c r="G1175" s="1786" t="s">
        <v>2959</v>
      </c>
      <c r="H1175" s="1786" t="str">
        <f t="shared" ref="H1175:H1238" si="201">AC1175</f>
        <v>לא פעיל</v>
      </c>
      <c r="I1175" s="1788">
        <f t="shared" ref="I1175:I1238" si="202">IF(AE1175="","",AE1175)</f>
        <v>37020</v>
      </c>
      <c r="J1175" s="1788">
        <f t="shared" ref="J1175:J1238" si="203">IF(AD1175="","",AD1175)</f>
        <v>41674.667500000003</v>
      </c>
      <c r="K1175" s="1786">
        <v>0</v>
      </c>
      <c r="L1175" s="1786" t="s">
        <v>1594</v>
      </c>
      <c r="M1175" s="1786" t="s">
        <v>1653</v>
      </c>
      <c r="N1175" s="1786" t="s">
        <v>1653</v>
      </c>
      <c r="O1175" s="1786">
        <v>0</v>
      </c>
      <c r="P1175" s="1786"/>
      <c r="Q1175" s="1786">
        <v>0</v>
      </c>
      <c r="R1175" s="1788"/>
      <c r="S1175" s="1786">
        <f t="shared" ref="S1175:S1238" si="204">AM1175</f>
        <v>714</v>
      </c>
      <c r="T1175" s="1786" t="str">
        <f t="shared" ref="T1175:T1238" si="205">AN1175</f>
        <v>בנק הפועלים בע"מ</v>
      </c>
      <c r="U1175" s="1786" t="str">
        <f t="shared" ref="U1175:U1238" si="206">AL1175</f>
        <v xml:space="preserve">אקסלנס השתלמות זהב </v>
      </c>
      <c r="V1175" s="1786" t="str">
        <f t="shared" ref="V1175:V1238" si="207">AQ1175</f>
        <v>520017450</v>
      </c>
      <c r="W1175" s="1789" t="str">
        <f t="shared" ref="W1175:W1238" si="208">AR1175</f>
        <v xml:space="preserve">הפניקס אקסלנס פנסיה וגמל בע"מ </v>
      </c>
      <c r="AC1175" s="1761" t="s">
        <v>1586</v>
      </c>
      <c r="AD1175" s="1762">
        <v>41674.667500000003</v>
      </c>
      <c r="AE1175" s="1762">
        <v>37020</v>
      </c>
      <c r="AF1175" s="1761" t="s">
        <v>1948</v>
      </c>
      <c r="AG1175" s="1761" t="s">
        <v>1947</v>
      </c>
      <c r="AH1175" s="1761" t="s">
        <v>1594</v>
      </c>
      <c r="AI1175" s="1761" t="s">
        <v>2551</v>
      </c>
      <c r="AJ1175" s="1761" t="s">
        <v>2551</v>
      </c>
      <c r="AK1175" s="1761">
        <v>2092</v>
      </c>
      <c r="AL1175" s="1761" t="s">
        <v>1998</v>
      </c>
      <c r="AM1175" s="1761">
        <v>714</v>
      </c>
      <c r="AN1175" s="1761" t="s">
        <v>1695</v>
      </c>
      <c r="AO1175" s="1764"/>
      <c r="AP1175" s="1761" t="s">
        <v>5379</v>
      </c>
      <c r="AQ1175" s="1761" t="s">
        <v>5380</v>
      </c>
      <c r="AR1175" s="1761" t="s">
        <v>5381</v>
      </c>
      <c r="AS1175" s="1761" t="s">
        <v>347</v>
      </c>
      <c r="AT1175" s="1761" t="s">
        <v>327</v>
      </c>
      <c r="AU1175" s="1763"/>
      <c r="AV1175" s="1763"/>
    </row>
    <row r="1176" spans="1:48" ht="25" hidden="1">
      <c r="A1176" s="1785" t="str">
        <f t="shared" si="198"/>
        <v>גמל</v>
      </c>
      <c r="B1176" s="1786">
        <f t="shared" si="199"/>
        <v>718</v>
      </c>
      <c r="C1176" s="1787">
        <v>28946</v>
      </c>
      <c r="D1176" s="1786" t="str">
        <f t="shared" si="200"/>
        <v>אקסלנס השתלמות זהב - מסלול מניות</v>
      </c>
      <c r="E1176" s="1786" t="s">
        <v>3929</v>
      </c>
      <c r="F1176" s="1786" t="s">
        <v>2958</v>
      </c>
      <c r="G1176" s="1786" t="s">
        <v>2959</v>
      </c>
      <c r="H1176" s="1786" t="str">
        <f t="shared" si="201"/>
        <v>לא פעיל</v>
      </c>
      <c r="I1176" s="1788">
        <f t="shared" si="202"/>
        <v>37020</v>
      </c>
      <c r="J1176" s="1788">
        <f t="shared" si="203"/>
        <v>41654.673969907402</v>
      </c>
      <c r="K1176" s="1786">
        <v>0</v>
      </c>
      <c r="L1176" s="1786" t="s">
        <v>1594</v>
      </c>
      <c r="M1176" s="1786" t="s">
        <v>1653</v>
      </c>
      <c r="N1176" s="1786" t="s">
        <v>1653</v>
      </c>
      <c r="O1176" s="1786">
        <v>0</v>
      </c>
      <c r="P1176" s="1786"/>
      <c r="Q1176" s="1786">
        <v>0</v>
      </c>
      <c r="R1176" s="1788"/>
      <c r="S1176" s="1786">
        <f t="shared" si="204"/>
        <v>714</v>
      </c>
      <c r="T1176" s="1786" t="str">
        <f t="shared" si="205"/>
        <v>בנק הפועלים בע"מ</v>
      </c>
      <c r="U1176" s="1786" t="str">
        <f t="shared" si="206"/>
        <v xml:space="preserve">אקסלנס השתלמות זהב </v>
      </c>
      <c r="V1176" s="1786" t="str">
        <f t="shared" si="207"/>
        <v>520017450</v>
      </c>
      <c r="W1176" s="1789" t="str">
        <f t="shared" si="208"/>
        <v xml:space="preserve">הפניקס אקסלנס פנסיה וגמל בע"מ </v>
      </c>
      <c r="AC1176" s="1759" t="s">
        <v>1586</v>
      </c>
      <c r="AD1176" s="1760">
        <v>41654.673969907402</v>
      </c>
      <c r="AE1176" s="1760">
        <v>37020</v>
      </c>
      <c r="AF1176" s="1759" t="s">
        <v>1595</v>
      </c>
      <c r="AG1176" s="1759" t="s">
        <v>75</v>
      </c>
      <c r="AH1176" s="1759" t="s">
        <v>1594</v>
      </c>
      <c r="AI1176" s="1759" t="s">
        <v>3271</v>
      </c>
      <c r="AJ1176" s="1759" t="s">
        <v>2000</v>
      </c>
      <c r="AK1176" s="1759">
        <v>718</v>
      </c>
      <c r="AL1176" s="1759" t="s">
        <v>1998</v>
      </c>
      <c r="AM1176" s="1759">
        <v>714</v>
      </c>
      <c r="AN1176" s="1759" t="s">
        <v>1695</v>
      </c>
      <c r="AO1176" s="1764"/>
      <c r="AP1176" s="1759" t="s">
        <v>5379</v>
      </c>
      <c r="AQ1176" s="1759" t="s">
        <v>5380</v>
      </c>
      <c r="AR1176" s="1759" t="s">
        <v>5381</v>
      </c>
      <c r="AS1176" s="1759" t="s">
        <v>347</v>
      </c>
      <c r="AT1176" s="1759" t="s">
        <v>327</v>
      </c>
      <c r="AU1176" s="1763"/>
      <c r="AV1176" s="1763"/>
    </row>
    <row r="1177" spans="1:48" ht="25" hidden="1">
      <c r="A1177" s="1785" t="str">
        <f t="shared" si="198"/>
        <v>גמל</v>
      </c>
      <c r="B1177" s="1786">
        <f t="shared" si="199"/>
        <v>709</v>
      </c>
      <c r="C1177" s="1787">
        <v>28946</v>
      </c>
      <c r="D1177" s="1786" t="str">
        <f t="shared" si="200"/>
        <v>פסגות גמל מניות</v>
      </c>
      <c r="E1177" s="1786" t="s">
        <v>3929</v>
      </c>
      <c r="F1177" s="1786" t="s">
        <v>2958</v>
      </c>
      <c r="G1177" s="1786" t="s">
        <v>2959</v>
      </c>
      <c r="H1177" s="1786" t="str">
        <f t="shared" si="201"/>
        <v>לא פעיל</v>
      </c>
      <c r="I1177" s="1788">
        <f t="shared" si="202"/>
        <v>36891</v>
      </c>
      <c r="J1177" s="1788">
        <f t="shared" si="203"/>
        <v>41647.4282060185</v>
      </c>
      <c r="K1177" s="1786">
        <v>0</v>
      </c>
      <c r="L1177" s="1786" t="s">
        <v>1594</v>
      </c>
      <c r="M1177" s="1786" t="s">
        <v>1653</v>
      </c>
      <c r="N1177" s="1786" t="s">
        <v>1653</v>
      </c>
      <c r="O1177" s="1786">
        <v>0</v>
      </c>
      <c r="P1177" s="1786"/>
      <c r="Q1177" s="1786">
        <v>0</v>
      </c>
      <c r="R1177" s="1788"/>
      <c r="S1177" s="1786">
        <f t="shared" si="204"/>
        <v>707</v>
      </c>
      <c r="T1177" s="1786" t="str">
        <f t="shared" si="205"/>
        <v>בנק לאומי בע"מ</v>
      </c>
      <c r="U1177" s="1786" t="str">
        <f t="shared" si="206"/>
        <v>פסגות גמל אג"ח עד 10% מניות</v>
      </c>
      <c r="V1177" s="1786" t="str">
        <f t="shared" si="207"/>
        <v>513767079</v>
      </c>
      <c r="W1177" s="1789" t="str">
        <f t="shared" si="208"/>
        <v>פסגות קופות גמל ופנסיה בע"מ</v>
      </c>
      <c r="AC1177" s="1761" t="s">
        <v>1586</v>
      </c>
      <c r="AD1177" s="1762">
        <v>41647.4282060185</v>
      </c>
      <c r="AE1177" s="1762">
        <v>36891</v>
      </c>
      <c r="AF1177" s="1761" t="s">
        <v>1595</v>
      </c>
      <c r="AG1177" s="1761" t="s">
        <v>75</v>
      </c>
      <c r="AH1177" s="1761" t="s">
        <v>1594</v>
      </c>
      <c r="AI1177" s="1761" t="s">
        <v>1992</v>
      </c>
      <c r="AJ1177" s="1761" t="s">
        <v>1992</v>
      </c>
      <c r="AK1177" s="1761">
        <v>709</v>
      </c>
      <c r="AL1177" s="1761" t="s">
        <v>599</v>
      </c>
      <c r="AM1177" s="1761">
        <v>707</v>
      </c>
      <c r="AN1177" s="1761" t="s">
        <v>5470</v>
      </c>
      <c r="AO1177" s="1764"/>
      <c r="AP1177" s="1761" t="s">
        <v>5365</v>
      </c>
      <c r="AQ1177" s="1761" t="s">
        <v>5366</v>
      </c>
      <c r="AR1177" s="1761" t="s">
        <v>351</v>
      </c>
      <c r="AS1177" s="1761" t="s">
        <v>352</v>
      </c>
      <c r="AT1177" s="1761" t="s">
        <v>327</v>
      </c>
      <c r="AU1177" s="1763"/>
      <c r="AV1177" s="1763"/>
    </row>
    <row r="1178" spans="1:48" ht="25" hidden="1">
      <c r="A1178" s="1785" t="str">
        <f t="shared" si="198"/>
        <v>גמל</v>
      </c>
      <c r="B1178" s="1786">
        <f t="shared" si="199"/>
        <v>708</v>
      </c>
      <c r="C1178" s="1787">
        <v>28946</v>
      </c>
      <c r="D1178" s="1786" t="str">
        <f t="shared" si="200"/>
        <v>פסגות גמל כללי</v>
      </c>
      <c r="E1178" s="1786" t="s">
        <v>3929</v>
      </c>
      <c r="F1178" s="1786" t="s">
        <v>2958</v>
      </c>
      <c r="G1178" s="1786" t="s">
        <v>2959</v>
      </c>
      <c r="H1178" s="1786" t="str">
        <f t="shared" si="201"/>
        <v>לא פעיל</v>
      </c>
      <c r="I1178" s="1788">
        <f t="shared" si="202"/>
        <v>36891</v>
      </c>
      <c r="J1178" s="1788">
        <f t="shared" si="203"/>
        <v>41647.4282060185</v>
      </c>
      <c r="K1178" s="1786">
        <v>0</v>
      </c>
      <c r="L1178" s="1786" t="s">
        <v>1594</v>
      </c>
      <c r="M1178" s="1786" t="s">
        <v>1653</v>
      </c>
      <c r="N1178" s="1786" t="s">
        <v>1653</v>
      </c>
      <c r="O1178" s="1786">
        <v>0</v>
      </c>
      <c r="P1178" s="1786"/>
      <c r="Q1178" s="1786">
        <v>0</v>
      </c>
      <c r="R1178" s="1788"/>
      <c r="S1178" s="1786">
        <f t="shared" si="204"/>
        <v>707</v>
      </c>
      <c r="T1178" s="1786" t="str">
        <f t="shared" si="205"/>
        <v>בנק לאומי בע"מ</v>
      </c>
      <c r="U1178" s="1786" t="str">
        <f t="shared" si="206"/>
        <v>פסגות גמל אג"ח עד 10% מניות</v>
      </c>
      <c r="V1178" s="1786" t="str">
        <f t="shared" si="207"/>
        <v>513767079</v>
      </c>
      <c r="W1178" s="1789" t="str">
        <f t="shared" si="208"/>
        <v>פסגות קופות גמל ופנסיה בע"מ</v>
      </c>
      <c r="AC1178" s="1759" t="s">
        <v>1586</v>
      </c>
      <c r="AD1178" s="1760">
        <v>41647.4282060185</v>
      </c>
      <c r="AE1178" s="1760">
        <v>36891</v>
      </c>
      <c r="AF1178" s="1759" t="s">
        <v>1583</v>
      </c>
      <c r="AG1178" s="1759" t="s">
        <v>1583</v>
      </c>
      <c r="AH1178" s="1759" t="s">
        <v>1583</v>
      </c>
      <c r="AI1178" s="1759" t="s">
        <v>1991</v>
      </c>
      <c r="AJ1178" s="1759" t="s">
        <v>1991</v>
      </c>
      <c r="AK1178" s="1759">
        <v>708</v>
      </c>
      <c r="AL1178" s="1759" t="s">
        <v>599</v>
      </c>
      <c r="AM1178" s="1759">
        <v>707</v>
      </c>
      <c r="AN1178" s="1759" t="s">
        <v>5470</v>
      </c>
      <c r="AO1178" s="1764"/>
      <c r="AP1178" s="1759" t="s">
        <v>5365</v>
      </c>
      <c r="AQ1178" s="1759" t="s">
        <v>5366</v>
      </c>
      <c r="AR1178" s="1759" t="s">
        <v>351</v>
      </c>
      <c r="AS1178" s="1759" t="s">
        <v>352</v>
      </c>
      <c r="AT1178" s="1759" t="s">
        <v>327</v>
      </c>
      <c r="AU1178" s="1763"/>
      <c r="AV1178" s="1763"/>
    </row>
    <row r="1179" spans="1:48" ht="25" hidden="1">
      <c r="A1179" s="1785" t="str">
        <f t="shared" si="198"/>
        <v>גמל</v>
      </c>
      <c r="B1179" s="1786">
        <f t="shared" si="199"/>
        <v>707</v>
      </c>
      <c r="C1179" s="1787">
        <v>28946</v>
      </c>
      <c r="D1179" s="1786" t="str">
        <f t="shared" si="200"/>
        <v>פסגות גמל עד 10% מניות</v>
      </c>
      <c r="E1179" s="1786" t="s">
        <v>3929</v>
      </c>
      <c r="F1179" s="1786" t="s">
        <v>2958</v>
      </c>
      <c r="G1179" s="1786" t="s">
        <v>2959</v>
      </c>
      <c r="H1179" s="1786" t="str">
        <f t="shared" si="201"/>
        <v>לא פעיל</v>
      </c>
      <c r="I1179" s="1788">
        <f t="shared" si="202"/>
        <v>36891</v>
      </c>
      <c r="J1179" s="1788">
        <f t="shared" si="203"/>
        <v>41647.437719907401</v>
      </c>
      <c r="K1179" s="1786">
        <v>0</v>
      </c>
      <c r="L1179" s="1786" t="s">
        <v>1594</v>
      </c>
      <c r="M1179" s="1786" t="s">
        <v>1653</v>
      </c>
      <c r="N1179" s="1786" t="s">
        <v>1653</v>
      </c>
      <c r="O1179" s="1786">
        <v>0</v>
      </c>
      <c r="P1179" s="1786"/>
      <c r="Q1179" s="1786">
        <v>0</v>
      </c>
      <c r="R1179" s="1788"/>
      <c r="S1179" s="1786">
        <f t="shared" si="204"/>
        <v>707</v>
      </c>
      <c r="T1179" s="1786" t="str">
        <f t="shared" si="205"/>
        <v>בנק לאומי בע"מ</v>
      </c>
      <c r="U1179" s="1786" t="str">
        <f t="shared" si="206"/>
        <v>פסגות גמל אג"ח עד 10% מניות</v>
      </c>
      <c r="V1179" s="1786" t="str">
        <f t="shared" si="207"/>
        <v>513767079</v>
      </c>
      <c r="W1179" s="1789" t="str">
        <f t="shared" si="208"/>
        <v>פסגות קופות גמל ופנסיה בע"מ</v>
      </c>
      <c r="AC1179" s="1761" t="s">
        <v>1586</v>
      </c>
      <c r="AD1179" s="1762">
        <v>41647.437719907401</v>
      </c>
      <c r="AE1179" s="1762">
        <v>36891</v>
      </c>
      <c r="AF1179" s="1761" t="s">
        <v>2025</v>
      </c>
      <c r="AG1179" s="1761" t="s">
        <v>1583</v>
      </c>
      <c r="AH1179" s="1761" t="s">
        <v>1583</v>
      </c>
      <c r="AI1179" s="1761" t="s">
        <v>1990</v>
      </c>
      <c r="AJ1179" s="1761" t="s">
        <v>1990</v>
      </c>
      <c r="AK1179" s="1761">
        <v>707</v>
      </c>
      <c r="AL1179" s="1761" t="s">
        <v>599</v>
      </c>
      <c r="AM1179" s="1761">
        <v>707</v>
      </c>
      <c r="AN1179" s="1761" t="s">
        <v>5470</v>
      </c>
      <c r="AO1179" s="1764"/>
      <c r="AP1179" s="1761" t="s">
        <v>5365</v>
      </c>
      <c r="AQ1179" s="1761" t="s">
        <v>5366</v>
      </c>
      <c r="AR1179" s="1761" t="s">
        <v>351</v>
      </c>
      <c r="AS1179" s="1761" t="s">
        <v>352</v>
      </c>
      <c r="AT1179" s="1761" t="s">
        <v>327</v>
      </c>
      <c r="AU1179" s="1763"/>
      <c r="AV1179" s="1763"/>
    </row>
    <row r="1180" spans="1:48" ht="25" hidden="1">
      <c r="A1180" s="1785" t="str">
        <f t="shared" si="198"/>
        <v>גמל</v>
      </c>
      <c r="B1180" s="1786">
        <f t="shared" si="199"/>
        <v>831</v>
      </c>
      <c r="C1180" s="1787">
        <v>28946</v>
      </c>
      <c r="D1180" s="1786" t="str">
        <f t="shared" si="200"/>
        <v>פסגות גמל אג"ח</v>
      </c>
      <c r="E1180" s="1786" t="s">
        <v>3929</v>
      </c>
      <c r="F1180" s="1786" t="s">
        <v>2958</v>
      </c>
      <c r="G1180" s="1786" t="s">
        <v>2959</v>
      </c>
      <c r="H1180" s="1786" t="str">
        <f t="shared" si="201"/>
        <v>לא פעיל</v>
      </c>
      <c r="I1180" s="1788">
        <f t="shared" si="202"/>
        <v>36891</v>
      </c>
      <c r="J1180" s="1788">
        <f t="shared" si="203"/>
        <v>41647.4282060185</v>
      </c>
      <c r="K1180" s="1786">
        <v>0</v>
      </c>
      <c r="L1180" s="1786" t="s">
        <v>1594</v>
      </c>
      <c r="M1180" s="1786" t="s">
        <v>1653</v>
      </c>
      <c r="N1180" s="1786" t="s">
        <v>1653</v>
      </c>
      <c r="O1180" s="1786">
        <v>0</v>
      </c>
      <c r="P1180" s="1786"/>
      <c r="Q1180" s="1786">
        <v>0</v>
      </c>
      <c r="R1180" s="1788"/>
      <c r="S1180" s="1786">
        <f t="shared" si="204"/>
        <v>707</v>
      </c>
      <c r="T1180" s="1786" t="str">
        <f t="shared" si="205"/>
        <v>בנק לאומי בע"מ</v>
      </c>
      <c r="U1180" s="1786" t="str">
        <f t="shared" si="206"/>
        <v>פסגות גמל אג"ח עד 10% מניות</v>
      </c>
      <c r="V1180" s="1786" t="str">
        <f t="shared" si="207"/>
        <v>513767079</v>
      </c>
      <c r="W1180" s="1789" t="str">
        <f t="shared" si="208"/>
        <v>פסגות קופות גמל ופנסיה בע"מ</v>
      </c>
      <c r="AC1180" s="1759" t="s">
        <v>1586</v>
      </c>
      <c r="AD1180" s="1760">
        <v>41647.4282060185</v>
      </c>
      <c r="AE1180" s="1760">
        <v>36891</v>
      </c>
      <c r="AF1180" s="1759" t="s">
        <v>1681</v>
      </c>
      <c r="AG1180" s="1759" t="s">
        <v>1653</v>
      </c>
      <c r="AH1180" s="1759" t="s">
        <v>1594</v>
      </c>
      <c r="AI1180" s="1759" t="s">
        <v>2073</v>
      </c>
      <c r="AJ1180" s="1759" t="s">
        <v>2073</v>
      </c>
      <c r="AK1180" s="1759">
        <v>831</v>
      </c>
      <c r="AL1180" s="1759" t="s">
        <v>599</v>
      </c>
      <c r="AM1180" s="1759">
        <v>707</v>
      </c>
      <c r="AN1180" s="1759" t="s">
        <v>5470</v>
      </c>
      <c r="AO1180" s="1764"/>
      <c r="AP1180" s="1759" t="s">
        <v>5365</v>
      </c>
      <c r="AQ1180" s="1759" t="s">
        <v>5366</v>
      </c>
      <c r="AR1180" s="1759" t="s">
        <v>351</v>
      </c>
      <c r="AS1180" s="1759" t="s">
        <v>352</v>
      </c>
      <c r="AT1180" s="1759" t="s">
        <v>327</v>
      </c>
      <c r="AU1180" s="1763"/>
      <c r="AV1180" s="1763"/>
    </row>
    <row r="1181" spans="1:48" ht="25" hidden="1">
      <c r="A1181" s="1785" t="str">
        <f t="shared" si="198"/>
        <v>גמל</v>
      </c>
      <c r="B1181" s="1786">
        <f t="shared" si="199"/>
        <v>1423</v>
      </c>
      <c r="C1181" s="1787">
        <v>28946</v>
      </c>
      <c r="D1181" s="1786" t="str">
        <f t="shared" si="200"/>
        <v>פסגות גמל אג"ח מדינה</v>
      </c>
      <c r="E1181" s="1786" t="s">
        <v>3929</v>
      </c>
      <c r="F1181" s="1786" t="s">
        <v>2958</v>
      </c>
      <c r="G1181" s="1786" t="s">
        <v>2959</v>
      </c>
      <c r="H1181" s="1786" t="str">
        <f t="shared" si="201"/>
        <v>לא פעיל</v>
      </c>
      <c r="I1181" s="1788">
        <f t="shared" si="202"/>
        <v>36891</v>
      </c>
      <c r="J1181" s="1788">
        <f t="shared" si="203"/>
        <v>41647.4282060185</v>
      </c>
      <c r="K1181" s="1786">
        <v>0</v>
      </c>
      <c r="L1181" s="1786" t="s">
        <v>1594</v>
      </c>
      <c r="M1181" s="1786" t="s">
        <v>1653</v>
      </c>
      <c r="N1181" s="1786" t="s">
        <v>1653</v>
      </c>
      <c r="O1181" s="1786">
        <v>0</v>
      </c>
      <c r="P1181" s="1786"/>
      <c r="Q1181" s="1786">
        <v>0</v>
      </c>
      <c r="R1181" s="1788"/>
      <c r="S1181" s="1786">
        <f t="shared" si="204"/>
        <v>707</v>
      </c>
      <c r="T1181" s="1786" t="str">
        <f t="shared" si="205"/>
        <v>בנק לאומי בע"מ</v>
      </c>
      <c r="U1181" s="1786" t="str">
        <f t="shared" si="206"/>
        <v>פסגות גמל אג"ח עד 10% מניות</v>
      </c>
      <c r="V1181" s="1786" t="str">
        <f t="shared" si="207"/>
        <v>513767079</v>
      </c>
      <c r="W1181" s="1789" t="str">
        <f t="shared" si="208"/>
        <v>פסגות קופות גמל ופנסיה בע"מ</v>
      </c>
      <c r="AC1181" s="1761" t="s">
        <v>1586</v>
      </c>
      <c r="AD1181" s="1762">
        <v>41647.4282060185</v>
      </c>
      <c r="AE1181" s="1762">
        <v>36891</v>
      </c>
      <c r="AF1181" s="1761" t="s">
        <v>2009</v>
      </c>
      <c r="AG1181" s="1761" t="s">
        <v>1653</v>
      </c>
      <c r="AH1181" s="1761" t="s">
        <v>1594</v>
      </c>
      <c r="AI1181" s="1761" t="s">
        <v>2459</v>
      </c>
      <c r="AJ1181" s="1761" t="s">
        <v>2459</v>
      </c>
      <c r="AK1181" s="1761">
        <v>1423</v>
      </c>
      <c r="AL1181" s="1761" t="s">
        <v>599</v>
      </c>
      <c r="AM1181" s="1761">
        <v>707</v>
      </c>
      <c r="AN1181" s="1761" t="s">
        <v>5470</v>
      </c>
      <c r="AO1181" s="1764"/>
      <c r="AP1181" s="1761" t="s">
        <v>5365</v>
      </c>
      <c r="AQ1181" s="1761" t="s">
        <v>5366</v>
      </c>
      <c r="AR1181" s="1761" t="s">
        <v>351</v>
      </c>
      <c r="AS1181" s="1761" t="s">
        <v>352</v>
      </c>
      <c r="AT1181" s="1761" t="s">
        <v>327</v>
      </c>
      <c r="AU1181" s="1763"/>
      <c r="AV1181" s="1763"/>
    </row>
    <row r="1182" spans="1:48" ht="25" hidden="1">
      <c r="A1182" s="1785" t="str">
        <f t="shared" si="198"/>
        <v>גמל</v>
      </c>
      <c r="B1182" s="1786">
        <f t="shared" si="199"/>
        <v>1422</v>
      </c>
      <c r="C1182" s="1787">
        <v>28946</v>
      </c>
      <c r="D1182" s="1786" t="str">
        <f t="shared" si="200"/>
        <v>פסגות גמל כספית</v>
      </c>
      <c r="E1182" s="1786" t="s">
        <v>3929</v>
      </c>
      <c r="F1182" s="1786" t="s">
        <v>2958</v>
      </c>
      <c r="G1182" s="1786" t="s">
        <v>2959</v>
      </c>
      <c r="H1182" s="1786" t="str">
        <f t="shared" si="201"/>
        <v>לא פעיל</v>
      </c>
      <c r="I1182" s="1788">
        <f t="shared" si="202"/>
        <v>36891</v>
      </c>
      <c r="J1182" s="1788">
        <f t="shared" si="203"/>
        <v>41647.4282060185</v>
      </c>
      <c r="K1182" s="1786">
        <v>0</v>
      </c>
      <c r="L1182" s="1786" t="s">
        <v>1594</v>
      </c>
      <c r="M1182" s="1786" t="s">
        <v>1653</v>
      </c>
      <c r="N1182" s="1786" t="s">
        <v>1653</v>
      </c>
      <c r="O1182" s="1786">
        <v>0</v>
      </c>
      <c r="P1182" s="1786"/>
      <c r="Q1182" s="1786">
        <v>0</v>
      </c>
      <c r="R1182" s="1788"/>
      <c r="S1182" s="1786">
        <f t="shared" si="204"/>
        <v>707</v>
      </c>
      <c r="T1182" s="1786" t="str">
        <f t="shared" si="205"/>
        <v>בנק לאומי בע"מ</v>
      </c>
      <c r="U1182" s="1786" t="str">
        <f t="shared" si="206"/>
        <v>פסגות גמל אג"ח עד 10% מניות</v>
      </c>
      <c r="V1182" s="1786" t="str">
        <f t="shared" si="207"/>
        <v>513767079</v>
      </c>
      <c r="W1182" s="1789" t="str">
        <f t="shared" si="208"/>
        <v>פסגות קופות גמל ופנסיה בע"מ</v>
      </c>
      <c r="AC1182" s="1759" t="s">
        <v>1586</v>
      </c>
      <c r="AD1182" s="1760">
        <v>41647.4282060185</v>
      </c>
      <c r="AE1182" s="1760">
        <v>36891</v>
      </c>
      <c r="AF1182" s="1759" t="s">
        <v>2409</v>
      </c>
      <c r="AG1182" s="1759" t="s">
        <v>1614</v>
      </c>
      <c r="AH1182" s="1759" t="s">
        <v>1594</v>
      </c>
      <c r="AI1182" s="1759" t="s">
        <v>2458</v>
      </c>
      <c r="AJ1182" s="1759" t="s">
        <v>2458</v>
      </c>
      <c r="AK1182" s="1759">
        <v>1422</v>
      </c>
      <c r="AL1182" s="1759" t="s">
        <v>599</v>
      </c>
      <c r="AM1182" s="1759">
        <v>707</v>
      </c>
      <c r="AN1182" s="1759" t="s">
        <v>5470</v>
      </c>
      <c r="AO1182" s="1764"/>
      <c r="AP1182" s="1759" t="s">
        <v>5365</v>
      </c>
      <c r="AQ1182" s="1759" t="s">
        <v>5366</v>
      </c>
      <c r="AR1182" s="1759" t="s">
        <v>351</v>
      </c>
      <c r="AS1182" s="1759" t="s">
        <v>352</v>
      </c>
      <c r="AT1182" s="1759" t="s">
        <v>327</v>
      </c>
      <c r="AU1182" s="1763"/>
      <c r="AV1182" s="1763"/>
    </row>
    <row r="1183" spans="1:48" ht="25" hidden="1">
      <c r="A1183" s="1785" t="str">
        <f t="shared" si="198"/>
        <v>גמל</v>
      </c>
      <c r="B1183" s="1786">
        <f t="shared" si="199"/>
        <v>775</v>
      </c>
      <c r="C1183" s="1787">
        <v>28946</v>
      </c>
      <c r="D1183" s="1786" t="str">
        <f t="shared" si="200"/>
        <v>פסגות גמל בטא סגנון</v>
      </c>
      <c r="E1183" s="1786" t="s">
        <v>3929</v>
      </c>
      <c r="F1183" s="1786" t="s">
        <v>2958</v>
      </c>
      <c r="G1183" s="1786" t="s">
        <v>2959</v>
      </c>
      <c r="H1183" s="1786" t="str">
        <f t="shared" si="201"/>
        <v>לא פעיל</v>
      </c>
      <c r="I1183" s="1788">
        <f t="shared" si="202"/>
        <v>36891</v>
      </c>
      <c r="J1183" s="1788">
        <f t="shared" si="203"/>
        <v>41647.4282060185</v>
      </c>
      <c r="K1183" s="1786">
        <v>0</v>
      </c>
      <c r="L1183" s="1786" t="s">
        <v>1594</v>
      </c>
      <c r="M1183" s="1786" t="s">
        <v>1653</v>
      </c>
      <c r="N1183" s="1786" t="s">
        <v>1653</v>
      </c>
      <c r="O1183" s="1786">
        <v>0</v>
      </c>
      <c r="P1183" s="1786"/>
      <c r="Q1183" s="1786">
        <v>0</v>
      </c>
      <c r="R1183" s="1788"/>
      <c r="S1183" s="1786">
        <f t="shared" si="204"/>
        <v>707</v>
      </c>
      <c r="T1183" s="1786" t="str">
        <f t="shared" si="205"/>
        <v>בנק לאומי בע"מ</v>
      </c>
      <c r="U1183" s="1786" t="str">
        <f t="shared" si="206"/>
        <v>פסגות גמל אג"ח עד 10% מניות</v>
      </c>
      <c r="V1183" s="1786" t="str">
        <f t="shared" si="207"/>
        <v>513767079</v>
      </c>
      <c r="W1183" s="1789" t="str">
        <f t="shared" si="208"/>
        <v>פסגות קופות גמל ופנסיה בע"מ</v>
      </c>
      <c r="AC1183" s="1761" t="s">
        <v>1586</v>
      </c>
      <c r="AD1183" s="1762">
        <v>41647.4282060185</v>
      </c>
      <c r="AE1183" s="1762">
        <v>36891</v>
      </c>
      <c r="AF1183" s="1761" t="s">
        <v>1583</v>
      </c>
      <c r="AG1183" s="1761" t="s">
        <v>1583</v>
      </c>
      <c r="AH1183" s="1761" t="s">
        <v>1583</v>
      </c>
      <c r="AI1183" s="1761" t="s">
        <v>2033</v>
      </c>
      <c r="AJ1183" s="1761" t="s">
        <v>2033</v>
      </c>
      <c r="AK1183" s="1761">
        <v>775</v>
      </c>
      <c r="AL1183" s="1761" t="s">
        <v>599</v>
      </c>
      <c r="AM1183" s="1761">
        <v>707</v>
      </c>
      <c r="AN1183" s="1761" t="s">
        <v>5470</v>
      </c>
      <c r="AO1183" s="1764"/>
      <c r="AP1183" s="1761" t="s">
        <v>5365</v>
      </c>
      <c r="AQ1183" s="1761" t="s">
        <v>5366</v>
      </c>
      <c r="AR1183" s="1761" t="s">
        <v>351</v>
      </c>
      <c r="AS1183" s="1761" t="s">
        <v>352</v>
      </c>
      <c r="AT1183" s="1761" t="s">
        <v>327</v>
      </c>
      <c r="AU1183" s="1763"/>
      <c r="AV1183" s="1763"/>
    </row>
    <row r="1184" spans="1:48" ht="25" hidden="1">
      <c r="A1184" s="1785" t="str">
        <f t="shared" si="198"/>
        <v>גמל</v>
      </c>
      <c r="B1184" s="1786">
        <f t="shared" si="199"/>
        <v>549</v>
      </c>
      <c r="C1184" s="1787">
        <v>28946</v>
      </c>
      <c r="D1184" s="1786" t="str">
        <f t="shared" si="200"/>
        <v>פסגות גמל מדדית</v>
      </c>
      <c r="E1184" s="1786" t="s">
        <v>3929</v>
      </c>
      <c r="F1184" s="1786" t="s">
        <v>2958</v>
      </c>
      <c r="G1184" s="1786" t="s">
        <v>2959</v>
      </c>
      <c r="H1184" s="1786" t="str">
        <f t="shared" si="201"/>
        <v>לא פעיל</v>
      </c>
      <c r="I1184" s="1788">
        <f t="shared" si="202"/>
        <v>36891</v>
      </c>
      <c r="J1184" s="1788">
        <f t="shared" si="203"/>
        <v>41647.4282060185</v>
      </c>
      <c r="K1184" s="1786">
        <v>0</v>
      </c>
      <c r="L1184" s="1786" t="s">
        <v>1594</v>
      </c>
      <c r="M1184" s="1786" t="s">
        <v>1653</v>
      </c>
      <c r="N1184" s="1786" t="s">
        <v>1653</v>
      </c>
      <c r="O1184" s="1786">
        <v>0</v>
      </c>
      <c r="P1184" s="1786"/>
      <c r="Q1184" s="1786">
        <v>0</v>
      </c>
      <c r="R1184" s="1788"/>
      <c r="S1184" s="1786">
        <f t="shared" si="204"/>
        <v>707</v>
      </c>
      <c r="T1184" s="1786" t="str">
        <f t="shared" si="205"/>
        <v>בנק לאומי בע"מ</v>
      </c>
      <c r="U1184" s="1786" t="str">
        <f t="shared" si="206"/>
        <v>פסגות גמל אג"ח עד 10% מניות</v>
      </c>
      <c r="V1184" s="1786" t="str">
        <f t="shared" si="207"/>
        <v>513767079</v>
      </c>
      <c r="W1184" s="1789" t="str">
        <f t="shared" si="208"/>
        <v>פסגות קופות גמל ופנסיה בע"מ</v>
      </c>
      <c r="AC1184" s="1759" t="s">
        <v>1586</v>
      </c>
      <c r="AD1184" s="1760">
        <v>41647.4282060185</v>
      </c>
      <c r="AE1184" s="1760">
        <v>36891</v>
      </c>
      <c r="AF1184" s="1759" t="s">
        <v>1094</v>
      </c>
      <c r="AG1184" s="1759" t="s">
        <v>1094</v>
      </c>
      <c r="AH1184" s="1759" t="s">
        <v>1594</v>
      </c>
      <c r="AI1184" s="1759" t="s">
        <v>1876</v>
      </c>
      <c r="AJ1184" s="1759" t="s">
        <v>1876</v>
      </c>
      <c r="AK1184" s="1759">
        <v>549</v>
      </c>
      <c r="AL1184" s="1759" t="s">
        <v>599</v>
      </c>
      <c r="AM1184" s="1759">
        <v>707</v>
      </c>
      <c r="AN1184" s="1759" t="s">
        <v>5470</v>
      </c>
      <c r="AO1184" s="1764"/>
      <c r="AP1184" s="1759" t="s">
        <v>5365</v>
      </c>
      <c r="AQ1184" s="1759" t="s">
        <v>5366</v>
      </c>
      <c r="AR1184" s="1759" t="s">
        <v>351</v>
      </c>
      <c r="AS1184" s="1759" t="s">
        <v>352</v>
      </c>
      <c r="AT1184" s="1759" t="s">
        <v>327</v>
      </c>
      <c r="AU1184" s="1763"/>
      <c r="AV1184" s="1763"/>
    </row>
    <row r="1185" spans="1:48" ht="25" hidden="1">
      <c r="A1185" s="1785" t="str">
        <f t="shared" si="198"/>
        <v>גמל</v>
      </c>
      <c r="B1185" s="1786">
        <f t="shared" si="199"/>
        <v>705</v>
      </c>
      <c r="C1185" s="1787">
        <v>28946</v>
      </c>
      <c r="D1185" s="1786" t="str">
        <f t="shared" si="200"/>
        <v>תמוז קופת פיצויים מרכזית-מסלול מעורב מוטה מניות</v>
      </c>
      <c r="E1185" s="1786" t="s">
        <v>3929</v>
      </c>
      <c r="F1185" s="1786" t="s">
        <v>2958</v>
      </c>
      <c r="G1185" s="1786" t="s">
        <v>2959</v>
      </c>
      <c r="H1185" s="1786" t="str">
        <f t="shared" si="201"/>
        <v>לא פעיל</v>
      </c>
      <c r="I1185" s="1788">
        <f t="shared" si="202"/>
        <v>36872</v>
      </c>
      <c r="J1185" s="1788">
        <f t="shared" si="203"/>
        <v>36877.3766203704</v>
      </c>
      <c r="K1185" s="1786">
        <v>0</v>
      </c>
      <c r="L1185" s="1786" t="s">
        <v>1594</v>
      </c>
      <c r="M1185" s="1786" t="s">
        <v>1653</v>
      </c>
      <c r="N1185" s="1786" t="s">
        <v>1653</v>
      </c>
      <c r="O1185" s="1786">
        <v>0</v>
      </c>
      <c r="P1185" s="1786"/>
      <c r="Q1185" s="1786">
        <v>0</v>
      </c>
      <c r="R1185" s="1788"/>
      <c r="S1185" s="1786">
        <f t="shared" si="204"/>
        <v>702</v>
      </c>
      <c r="T1185" s="1786">
        <f t="shared" si="205"/>
        <v>0</v>
      </c>
      <c r="U1185" s="1786" t="str">
        <f t="shared" si="206"/>
        <v>תמוז קופת פיצויים מרכזית-מסלול מדדי</v>
      </c>
      <c r="V1185" s="1786">
        <f t="shared" si="207"/>
        <v>0</v>
      </c>
      <c r="W1185" s="1789" t="str">
        <f t="shared" si="208"/>
        <v>תמוז-ניהול קופות גמל בע"מ</v>
      </c>
      <c r="AC1185" s="1761" t="s">
        <v>1586</v>
      </c>
      <c r="AD1185" s="1762">
        <v>36877.3766203704</v>
      </c>
      <c r="AE1185" s="1762">
        <v>36872</v>
      </c>
      <c r="AF1185" s="1761" t="s">
        <v>1583</v>
      </c>
      <c r="AG1185" s="1761" t="s">
        <v>1583</v>
      </c>
      <c r="AH1185" s="1761" t="s">
        <v>1583</v>
      </c>
      <c r="AI1185" s="1761" t="s">
        <v>3263</v>
      </c>
      <c r="AJ1185" s="1761" t="s">
        <v>1988</v>
      </c>
      <c r="AK1185" s="1761">
        <v>705</v>
      </c>
      <c r="AL1185" s="1761" t="s">
        <v>1985</v>
      </c>
      <c r="AM1185" s="1761">
        <v>702</v>
      </c>
      <c r="AN1185" s="1761"/>
      <c r="AO1185" s="1764"/>
      <c r="AP1185" s="1761"/>
      <c r="AQ1185" s="1761"/>
      <c r="AR1185" s="1761" t="s">
        <v>1975</v>
      </c>
      <c r="AS1185" s="1761" t="s">
        <v>1974</v>
      </c>
      <c r="AT1185" s="1761" t="s">
        <v>327</v>
      </c>
      <c r="AU1185" s="1763"/>
      <c r="AV1185" s="1763"/>
    </row>
    <row r="1186" spans="1:48" ht="25" hidden="1">
      <c r="A1186" s="1785" t="str">
        <f t="shared" si="198"/>
        <v>גמל</v>
      </c>
      <c r="B1186" s="1786">
        <f t="shared" si="199"/>
        <v>704</v>
      </c>
      <c r="C1186" s="1787">
        <v>28946</v>
      </c>
      <c r="D1186" s="1786" t="str">
        <f t="shared" si="200"/>
        <v>תמוז קופת פיצויים מרכזית-מסלול מעורב</v>
      </c>
      <c r="E1186" s="1786" t="s">
        <v>3929</v>
      </c>
      <c r="F1186" s="1786" t="s">
        <v>2958</v>
      </c>
      <c r="G1186" s="1786" t="s">
        <v>2959</v>
      </c>
      <c r="H1186" s="1786" t="str">
        <f t="shared" si="201"/>
        <v>לא פעיל</v>
      </c>
      <c r="I1186" s="1788">
        <f t="shared" si="202"/>
        <v>36872</v>
      </c>
      <c r="J1186" s="1788">
        <f t="shared" si="203"/>
        <v>36877.3766203704</v>
      </c>
      <c r="K1186" s="1786">
        <v>0</v>
      </c>
      <c r="L1186" s="1786" t="s">
        <v>1594</v>
      </c>
      <c r="M1186" s="1786" t="s">
        <v>1653</v>
      </c>
      <c r="N1186" s="1786" t="s">
        <v>1653</v>
      </c>
      <c r="O1186" s="1786">
        <v>0</v>
      </c>
      <c r="P1186" s="1786"/>
      <c r="Q1186" s="1786">
        <v>0</v>
      </c>
      <c r="R1186" s="1788"/>
      <c r="S1186" s="1786">
        <f t="shared" si="204"/>
        <v>702</v>
      </c>
      <c r="T1186" s="1786">
        <f t="shared" si="205"/>
        <v>0</v>
      </c>
      <c r="U1186" s="1786" t="str">
        <f t="shared" si="206"/>
        <v>תמוז קופת פיצויים מרכזית-מסלול מדדי</v>
      </c>
      <c r="V1186" s="1786">
        <f t="shared" si="207"/>
        <v>0</v>
      </c>
      <c r="W1186" s="1789" t="str">
        <f t="shared" si="208"/>
        <v>תמוז-ניהול קופות גמל בע"מ</v>
      </c>
      <c r="AC1186" s="1759" t="s">
        <v>1586</v>
      </c>
      <c r="AD1186" s="1760">
        <v>36877.3766203704</v>
      </c>
      <c r="AE1186" s="1760">
        <v>36872</v>
      </c>
      <c r="AF1186" s="1759" t="s">
        <v>1583</v>
      </c>
      <c r="AG1186" s="1759" t="s">
        <v>1583</v>
      </c>
      <c r="AH1186" s="1759" t="s">
        <v>1583</v>
      </c>
      <c r="AI1186" s="1759" t="s">
        <v>3262</v>
      </c>
      <c r="AJ1186" s="1759" t="s">
        <v>1987</v>
      </c>
      <c r="AK1186" s="1759">
        <v>704</v>
      </c>
      <c r="AL1186" s="1759" t="s">
        <v>1985</v>
      </c>
      <c r="AM1186" s="1759">
        <v>702</v>
      </c>
      <c r="AN1186" s="1759"/>
      <c r="AO1186" s="1764"/>
      <c r="AP1186" s="1759"/>
      <c r="AQ1186" s="1759"/>
      <c r="AR1186" s="1759" t="s">
        <v>1975</v>
      </c>
      <c r="AS1186" s="1759" t="s">
        <v>1974</v>
      </c>
      <c r="AT1186" s="1759" t="s">
        <v>327</v>
      </c>
      <c r="AU1186" s="1763"/>
      <c r="AV1186" s="1763"/>
    </row>
    <row r="1187" spans="1:48" ht="25" hidden="1">
      <c r="A1187" s="1785" t="str">
        <f t="shared" si="198"/>
        <v>גמל</v>
      </c>
      <c r="B1187" s="1786">
        <f t="shared" si="199"/>
        <v>703</v>
      </c>
      <c r="C1187" s="1787">
        <v>28946</v>
      </c>
      <c r="D1187" s="1786" t="str">
        <f t="shared" si="200"/>
        <v>תמוז קופת פיצויים מרכזית-מסלול מעורב מוטה מדד</v>
      </c>
      <c r="E1187" s="1786" t="s">
        <v>3929</v>
      </c>
      <c r="F1187" s="1786" t="s">
        <v>2958</v>
      </c>
      <c r="G1187" s="1786" t="s">
        <v>2959</v>
      </c>
      <c r="H1187" s="1786" t="str">
        <f t="shared" si="201"/>
        <v>לא פעיל</v>
      </c>
      <c r="I1187" s="1788">
        <f t="shared" si="202"/>
        <v>36872</v>
      </c>
      <c r="J1187" s="1788">
        <f t="shared" si="203"/>
        <v>36877.3766203704</v>
      </c>
      <c r="K1187" s="1786">
        <v>0</v>
      </c>
      <c r="L1187" s="1786" t="s">
        <v>1594</v>
      </c>
      <c r="M1187" s="1786" t="s">
        <v>1653</v>
      </c>
      <c r="N1187" s="1786" t="s">
        <v>1653</v>
      </c>
      <c r="O1187" s="1786">
        <v>0</v>
      </c>
      <c r="P1187" s="1786"/>
      <c r="Q1187" s="1786">
        <v>0</v>
      </c>
      <c r="R1187" s="1788"/>
      <c r="S1187" s="1786">
        <f t="shared" si="204"/>
        <v>702</v>
      </c>
      <c r="T1187" s="1786">
        <f t="shared" si="205"/>
        <v>0</v>
      </c>
      <c r="U1187" s="1786" t="str">
        <f t="shared" si="206"/>
        <v>תמוז קופת פיצויים מרכזית-מסלול מדדי</v>
      </c>
      <c r="V1187" s="1786">
        <f t="shared" si="207"/>
        <v>0</v>
      </c>
      <c r="W1187" s="1789" t="str">
        <f t="shared" si="208"/>
        <v>תמוז-ניהול קופות גמל בע"מ</v>
      </c>
      <c r="AC1187" s="1761" t="s">
        <v>1586</v>
      </c>
      <c r="AD1187" s="1762">
        <v>36877.3766203704</v>
      </c>
      <c r="AE1187" s="1762">
        <v>36872</v>
      </c>
      <c r="AF1187" s="1761" t="s">
        <v>1583</v>
      </c>
      <c r="AG1187" s="1761" t="s">
        <v>1583</v>
      </c>
      <c r="AH1187" s="1761" t="s">
        <v>1583</v>
      </c>
      <c r="AI1187" s="1761" t="s">
        <v>3261</v>
      </c>
      <c r="AJ1187" s="1761" t="s">
        <v>1986</v>
      </c>
      <c r="AK1187" s="1761">
        <v>703</v>
      </c>
      <c r="AL1187" s="1761" t="s">
        <v>1985</v>
      </c>
      <c r="AM1187" s="1761">
        <v>702</v>
      </c>
      <c r="AN1187" s="1761"/>
      <c r="AO1187" s="1764"/>
      <c r="AP1187" s="1761"/>
      <c r="AQ1187" s="1761"/>
      <c r="AR1187" s="1761" t="s">
        <v>1975</v>
      </c>
      <c r="AS1187" s="1761" t="s">
        <v>1974</v>
      </c>
      <c r="AT1187" s="1761" t="s">
        <v>327</v>
      </c>
      <c r="AU1187" s="1763"/>
      <c r="AV1187" s="1763"/>
    </row>
    <row r="1188" spans="1:48" ht="25" hidden="1">
      <c r="A1188" s="1785" t="str">
        <f t="shared" si="198"/>
        <v>גמל</v>
      </c>
      <c r="B1188" s="1786">
        <f t="shared" si="199"/>
        <v>702</v>
      </c>
      <c r="C1188" s="1787">
        <v>28946</v>
      </c>
      <c r="D1188" s="1786" t="str">
        <f t="shared" si="200"/>
        <v>תמוז קופת פיצויים מרכזית-מסלול מדדי</v>
      </c>
      <c r="E1188" s="1786" t="s">
        <v>3929</v>
      </c>
      <c r="F1188" s="1786" t="s">
        <v>2958</v>
      </c>
      <c r="G1188" s="1786" t="s">
        <v>2959</v>
      </c>
      <c r="H1188" s="1786" t="str">
        <f t="shared" si="201"/>
        <v>לא פעיל</v>
      </c>
      <c r="I1188" s="1788">
        <f t="shared" si="202"/>
        <v>36872</v>
      </c>
      <c r="J1188" s="1788">
        <f t="shared" si="203"/>
        <v>37798.656782407401</v>
      </c>
      <c r="K1188" s="1786">
        <v>0</v>
      </c>
      <c r="L1188" s="1786" t="s">
        <v>1594</v>
      </c>
      <c r="M1188" s="1786" t="s">
        <v>1653</v>
      </c>
      <c r="N1188" s="1786" t="s">
        <v>1653</v>
      </c>
      <c r="O1188" s="1786">
        <v>0</v>
      </c>
      <c r="P1188" s="1786"/>
      <c r="Q1188" s="1786">
        <v>0</v>
      </c>
      <c r="R1188" s="1788"/>
      <c r="S1188" s="1786">
        <f t="shared" si="204"/>
        <v>702</v>
      </c>
      <c r="T1188" s="1786">
        <f t="shared" si="205"/>
        <v>0</v>
      </c>
      <c r="U1188" s="1786" t="str">
        <f t="shared" si="206"/>
        <v>תמוז קופת פיצויים מרכזית-מסלול מדדי</v>
      </c>
      <c r="V1188" s="1786">
        <f t="shared" si="207"/>
        <v>0</v>
      </c>
      <c r="W1188" s="1789" t="str">
        <f t="shared" si="208"/>
        <v>תמוז-ניהול קופות גמל בע"מ</v>
      </c>
      <c r="AC1188" s="1759" t="s">
        <v>1586</v>
      </c>
      <c r="AD1188" s="1760">
        <v>37798.656782407401</v>
      </c>
      <c r="AE1188" s="1760">
        <v>36872</v>
      </c>
      <c r="AF1188" s="1759" t="s">
        <v>1583</v>
      </c>
      <c r="AG1188" s="1759" t="s">
        <v>1583</v>
      </c>
      <c r="AH1188" s="1759" t="s">
        <v>1583</v>
      </c>
      <c r="AI1188" s="1759" t="s">
        <v>3260</v>
      </c>
      <c r="AJ1188" s="1759" t="s">
        <v>1985</v>
      </c>
      <c r="AK1188" s="1759">
        <v>702</v>
      </c>
      <c r="AL1188" s="1759" t="s">
        <v>1985</v>
      </c>
      <c r="AM1188" s="1759">
        <v>702</v>
      </c>
      <c r="AN1188" s="1759"/>
      <c r="AO1188" s="1764"/>
      <c r="AP1188" s="1759"/>
      <c r="AQ1188" s="1759"/>
      <c r="AR1188" s="1759" t="s">
        <v>1975</v>
      </c>
      <c r="AS1188" s="1759" t="s">
        <v>1974</v>
      </c>
      <c r="AT1188" s="1759" t="s">
        <v>327</v>
      </c>
      <c r="AU1188" s="1763"/>
      <c r="AV1188" s="1763"/>
    </row>
    <row r="1189" spans="1:48" ht="25" hidden="1">
      <c r="A1189" s="1785" t="str">
        <f t="shared" si="198"/>
        <v>גמל</v>
      </c>
      <c r="B1189" s="1786">
        <f t="shared" si="199"/>
        <v>706</v>
      </c>
      <c r="C1189" s="1787">
        <v>28946</v>
      </c>
      <c r="D1189" s="1786" t="str">
        <f t="shared" si="200"/>
        <v>תמוז קופת פיצויים מרכזית-מסלול גמיש מעורב</v>
      </c>
      <c r="E1189" s="1786" t="s">
        <v>3929</v>
      </c>
      <c r="F1189" s="1786" t="s">
        <v>2958</v>
      </c>
      <c r="G1189" s="1786" t="s">
        <v>2959</v>
      </c>
      <c r="H1189" s="1786" t="str">
        <f t="shared" si="201"/>
        <v>לא פעיל</v>
      </c>
      <c r="I1189" s="1788">
        <f t="shared" si="202"/>
        <v>36872</v>
      </c>
      <c r="J1189" s="1788">
        <f t="shared" si="203"/>
        <v>36877.3766203704</v>
      </c>
      <c r="K1189" s="1786">
        <v>0</v>
      </c>
      <c r="L1189" s="1786" t="s">
        <v>1594</v>
      </c>
      <c r="M1189" s="1786" t="s">
        <v>1653</v>
      </c>
      <c r="N1189" s="1786" t="s">
        <v>1653</v>
      </c>
      <c r="O1189" s="1786">
        <v>0</v>
      </c>
      <c r="P1189" s="1786"/>
      <c r="Q1189" s="1786">
        <v>0</v>
      </c>
      <c r="R1189" s="1788"/>
      <c r="S1189" s="1786">
        <f t="shared" si="204"/>
        <v>702</v>
      </c>
      <c r="T1189" s="1786">
        <f t="shared" si="205"/>
        <v>0</v>
      </c>
      <c r="U1189" s="1786" t="str">
        <f t="shared" si="206"/>
        <v>תמוז קופת פיצויים מרכזית-מסלול מדדי</v>
      </c>
      <c r="V1189" s="1786">
        <f t="shared" si="207"/>
        <v>0</v>
      </c>
      <c r="W1189" s="1789" t="str">
        <f t="shared" si="208"/>
        <v>תמוז-ניהול קופות גמל בע"מ</v>
      </c>
      <c r="AC1189" s="1761" t="s">
        <v>1586</v>
      </c>
      <c r="AD1189" s="1762">
        <v>36877.3766203704</v>
      </c>
      <c r="AE1189" s="1762">
        <v>36872</v>
      </c>
      <c r="AF1189" s="1761" t="s">
        <v>1583</v>
      </c>
      <c r="AG1189" s="1761" t="s">
        <v>1583</v>
      </c>
      <c r="AH1189" s="1761" t="s">
        <v>1583</v>
      </c>
      <c r="AI1189" s="1761" t="s">
        <v>3264</v>
      </c>
      <c r="AJ1189" s="1761" t="s">
        <v>1989</v>
      </c>
      <c r="AK1189" s="1761">
        <v>706</v>
      </c>
      <c r="AL1189" s="1761" t="s">
        <v>1985</v>
      </c>
      <c r="AM1189" s="1761">
        <v>702</v>
      </c>
      <c r="AN1189" s="1761"/>
      <c r="AO1189" s="1764"/>
      <c r="AP1189" s="1761"/>
      <c r="AQ1189" s="1761"/>
      <c r="AR1189" s="1761" t="s">
        <v>1975</v>
      </c>
      <c r="AS1189" s="1761" t="s">
        <v>1974</v>
      </c>
      <c r="AT1189" s="1761" t="s">
        <v>327</v>
      </c>
      <c r="AU1189" s="1763"/>
      <c r="AV1189" s="1763"/>
    </row>
    <row r="1190" spans="1:48" ht="25" hidden="1">
      <c r="A1190" s="1785" t="str">
        <f t="shared" si="198"/>
        <v>גמל</v>
      </c>
      <c r="B1190" s="1786">
        <f t="shared" si="199"/>
        <v>697</v>
      </c>
      <c r="C1190" s="1787">
        <v>28946</v>
      </c>
      <c r="D1190" s="1786" t="str">
        <f t="shared" si="200"/>
        <v>תמוז קופת תגמולים-מסלול מדדי</v>
      </c>
      <c r="E1190" s="1786" t="s">
        <v>3929</v>
      </c>
      <c r="F1190" s="1786" t="s">
        <v>2958</v>
      </c>
      <c r="G1190" s="1786" t="s">
        <v>2959</v>
      </c>
      <c r="H1190" s="1786" t="str">
        <f t="shared" si="201"/>
        <v>לא פעיל</v>
      </c>
      <c r="I1190" s="1788">
        <f t="shared" si="202"/>
        <v>36872</v>
      </c>
      <c r="J1190" s="1788">
        <f t="shared" si="203"/>
        <v>37798.656990740703</v>
      </c>
      <c r="K1190" s="1786">
        <v>0</v>
      </c>
      <c r="L1190" s="1786" t="s">
        <v>1594</v>
      </c>
      <c r="M1190" s="1786" t="s">
        <v>1653</v>
      </c>
      <c r="N1190" s="1786" t="s">
        <v>1653</v>
      </c>
      <c r="O1190" s="1786">
        <v>0</v>
      </c>
      <c r="P1190" s="1786"/>
      <c r="Q1190" s="1786">
        <v>0</v>
      </c>
      <c r="R1190" s="1788"/>
      <c r="S1190" s="1786">
        <f t="shared" si="204"/>
        <v>697</v>
      </c>
      <c r="T1190" s="1786">
        <f t="shared" si="205"/>
        <v>0</v>
      </c>
      <c r="U1190" s="1786" t="str">
        <f t="shared" si="206"/>
        <v>תמוז קופת תגמולים-מסלול מדדי</v>
      </c>
      <c r="V1190" s="1786">
        <f t="shared" si="207"/>
        <v>0</v>
      </c>
      <c r="W1190" s="1789" t="str">
        <f t="shared" si="208"/>
        <v>תמוז-ניהול קופות גמל בע"מ</v>
      </c>
      <c r="AC1190" s="1759" t="s">
        <v>1586</v>
      </c>
      <c r="AD1190" s="1760">
        <v>37798.656990740703</v>
      </c>
      <c r="AE1190" s="1760">
        <v>36872</v>
      </c>
      <c r="AF1190" s="1759" t="s">
        <v>1583</v>
      </c>
      <c r="AG1190" s="1759" t="s">
        <v>1583</v>
      </c>
      <c r="AH1190" s="1759" t="s">
        <v>1583</v>
      </c>
      <c r="AI1190" s="1759" t="s">
        <v>3256</v>
      </c>
      <c r="AJ1190" s="1759" t="s">
        <v>1980</v>
      </c>
      <c r="AK1190" s="1759">
        <v>697</v>
      </c>
      <c r="AL1190" s="1759" t="s">
        <v>1980</v>
      </c>
      <c r="AM1190" s="1759">
        <v>697</v>
      </c>
      <c r="AN1190" s="1759"/>
      <c r="AO1190" s="1764"/>
      <c r="AP1190" s="1759"/>
      <c r="AQ1190" s="1759"/>
      <c r="AR1190" s="1759" t="s">
        <v>1975</v>
      </c>
      <c r="AS1190" s="1759" t="s">
        <v>1974</v>
      </c>
      <c r="AT1190" s="1759" t="s">
        <v>327</v>
      </c>
      <c r="AU1190" s="1763"/>
      <c r="AV1190" s="1763"/>
    </row>
    <row r="1191" spans="1:48" ht="25" hidden="1">
      <c r="A1191" s="1785" t="str">
        <f t="shared" si="198"/>
        <v>גמל</v>
      </c>
      <c r="B1191" s="1786">
        <f t="shared" si="199"/>
        <v>698</v>
      </c>
      <c r="C1191" s="1787">
        <v>28946</v>
      </c>
      <c r="D1191" s="1786" t="str">
        <f t="shared" si="200"/>
        <v>תמוז קופת תגמולים-מסלול מעורב מוטה מדד</v>
      </c>
      <c r="E1191" s="1786" t="s">
        <v>3929</v>
      </c>
      <c r="F1191" s="1786" t="s">
        <v>2958</v>
      </c>
      <c r="G1191" s="1786" t="s">
        <v>2959</v>
      </c>
      <c r="H1191" s="1786" t="str">
        <f t="shared" si="201"/>
        <v>לא פעיל</v>
      </c>
      <c r="I1191" s="1788">
        <f t="shared" si="202"/>
        <v>36872</v>
      </c>
      <c r="J1191" s="1788">
        <f t="shared" si="203"/>
        <v>36877.376597222203</v>
      </c>
      <c r="K1191" s="1786">
        <v>0</v>
      </c>
      <c r="L1191" s="1786" t="s">
        <v>1594</v>
      </c>
      <c r="M1191" s="1786" t="s">
        <v>1653</v>
      </c>
      <c r="N1191" s="1786" t="s">
        <v>1653</v>
      </c>
      <c r="O1191" s="1786">
        <v>0</v>
      </c>
      <c r="P1191" s="1786"/>
      <c r="Q1191" s="1786">
        <v>0</v>
      </c>
      <c r="R1191" s="1788"/>
      <c r="S1191" s="1786">
        <f t="shared" si="204"/>
        <v>697</v>
      </c>
      <c r="T1191" s="1786">
        <f t="shared" si="205"/>
        <v>0</v>
      </c>
      <c r="U1191" s="1786" t="str">
        <f t="shared" si="206"/>
        <v>תמוז קופת תגמולים-מסלול מדדי</v>
      </c>
      <c r="V1191" s="1786">
        <f t="shared" si="207"/>
        <v>0</v>
      </c>
      <c r="W1191" s="1789" t="str">
        <f t="shared" si="208"/>
        <v>תמוז-ניהול קופות גמל בע"מ</v>
      </c>
      <c r="AC1191" s="1761" t="s">
        <v>1586</v>
      </c>
      <c r="AD1191" s="1762">
        <v>36877.376597222203</v>
      </c>
      <c r="AE1191" s="1762">
        <v>36872</v>
      </c>
      <c r="AF1191" s="1761" t="s">
        <v>1583</v>
      </c>
      <c r="AG1191" s="1761" t="s">
        <v>1583</v>
      </c>
      <c r="AH1191" s="1761" t="s">
        <v>1583</v>
      </c>
      <c r="AI1191" s="1761" t="s">
        <v>3257</v>
      </c>
      <c r="AJ1191" s="1761" t="s">
        <v>1981</v>
      </c>
      <c r="AK1191" s="1761">
        <v>698</v>
      </c>
      <c r="AL1191" s="1761" t="s">
        <v>1980</v>
      </c>
      <c r="AM1191" s="1761">
        <v>697</v>
      </c>
      <c r="AN1191" s="1761"/>
      <c r="AO1191" s="1764"/>
      <c r="AP1191" s="1761"/>
      <c r="AQ1191" s="1761"/>
      <c r="AR1191" s="1761" t="s">
        <v>1975</v>
      </c>
      <c r="AS1191" s="1761" t="s">
        <v>1974</v>
      </c>
      <c r="AT1191" s="1761" t="s">
        <v>327</v>
      </c>
      <c r="AU1191" s="1763"/>
      <c r="AV1191" s="1763"/>
    </row>
    <row r="1192" spans="1:48" ht="25" hidden="1">
      <c r="A1192" s="1785" t="str">
        <f t="shared" si="198"/>
        <v>גמל</v>
      </c>
      <c r="B1192" s="1786">
        <f t="shared" si="199"/>
        <v>701</v>
      </c>
      <c r="C1192" s="1787">
        <v>28946</v>
      </c>
      <c r="D1192" s="1786" t="str">
        <f t="shared" si="200"/>
        <v>תמוז קופת תגמולים-מסלול גמיש מעורב</v>
      </c>
      <c r="E1192" s="1786" t="s">
        <v>3929</v>
      </c>
      <c r="F1192" s="1786" t="s">
        <v>2958</v>
      </c>
      <c r="G1192" s="1786" t="s">
        <v>2959</v>
      </c>
      <c r="H1192" s="1786" t="str">
        <f t="shared" si="201"/>
        <v>לא פעיל</v>
      </c>
      <c r="I1192" s="1788">
        <f t="shared" si="202"/>
        <v>36872</v>
      </c>
      <c r="J1192" s="1788">
        <f t="shared" si="203"/>
        <v>36877.376597222203</v>
      </c>
      <c r="K1192" s="1786">
        <v>0</v>
      </c>
      <c r="L1192" s="1786" t="s">
        <v>1594</v>
      </c>
      <c r="M1192" s="1786" t="s">
        <v>1653</v>
      </c>
      <c r="N1192" s="1786" t="s">
        <v>1653</v>
      </c>
      <c r="O1192" s="1786">
        <v>0</v>
      </c>
      <c r="P1192" s="1786"/>
      <c r="Q1192" s="1786">
        <v>0</v>
      </c>
      <c r="R1192" s="1788"/>
      <c r="S1192" s="1786">
        <f t="shared" si="204"/>
        <v>697</v>
      </c>
      <c r="T1192" s="1786">
        <f t="shared" si="205"/>
        <v>0</v>
      </c>
      <c r="U1192" s="1786" t="str">
        <f t="shared" si="206"/>
        <v>תמוז קופת תגמולים-מסלול מדדי</v>
      </c>
      <c r="V1192" s="1786">
        <f t="shared" si="207"/>
        <v>0</v>
      </c>
      <c r="W1192" s="1789" t="str">
        <f t="shared" si="208"/>
        <v>תמוז-ניהול קופות גמל בע"מ</v>
      </c>
      <c r="AC1192" s="1759" t="s">
        <v>1586</v>
      </c>
      <c r="AD1192" s="1760">
        <v>36877.376597222203</v>
      </c>
      <c r="AE1192" s="1760">
        <v>36872</v>
      </c>
      <c r="AF1192" s="1759" t="s">
        <v>1583</v>
      </c>
      <c r="AG1192" s="1759" t="s">
        <v>1583</v>
      </c>
      <c r="AH1192" s="1759" t="s">
        <v>1583</v>
      </c>
      <c r="AI1192" s="1759" t="s">
        <v>3259</v>
      </c>
      <c r="AJ1192" s="1759" t="s">
        <v>1984</v>
      </c>
      <c r="AK1192" s="1759">
        <v>701</v>
      </c>
      <c r="AL1192" s="1759" t="s">
        <v>1980</v>
      </c>
      <c r="AM1192" s="1759">
        <v>697</v>
      </c>
      <c r="AN1192" s="1759"/>
      <c r="AO1192" s="1764"/>
      <c r="AP1192" s="1759"/>
      <c r="AQ1192" s="1759"/>
      <c r="AR1192" s="1759" t="s">
        <v>1975</v>
      </c>
      <c r="AS1192" s="1759" t="s">
        <v>1974</v>
      </c>
      <c r="AT1192" s="1759" t="s">
        <v>327</v>
      </c>
      <c r="AU1192" s="1763"/>
      <c r="AV1192" s="1763"/>
    </row>
    <row r="1193" spans="1:48" ht="25" hidden="1">
      <c r="A1193" s="1785" t="str">
        <f t="shared" si="198"/>
        <v>גמל</v>
      </c>
      <c r="B1193" s="1786">
        <f t="shared" si="199"/>
        <v>700</v>
      </c>
      <c r="C1193" s="1787">
        <v>28946</v>
      </c>
      <c r="D1193" s="1786" t="str">
        <f t="shared" si="200"/>
        <v>תמוז קופת תגמולים-מסלול מעורב מוטה מניות</v>
      </c>
      <c r="E1193" s="1786" t="s">
        <v>3929</v>
      </c>
      <c r="F1193" s="1786" t="s">
        <v>2958</v>
      </c>
      <c r="G1193" s="1786" t="s">
        <v>2959</v>
      </c>
      <c r="H1193" s="1786" t="str">
        <f t="shared" si="201"/>
        <v>לא פעיל</v>
      </c>
      <c r="I1193" s="1788">
        <f t="shared" si="202"/>
        <v>36872</v>
      </c>
      <c r="J1193" s="1788">
        <f t="shared" si="203"/>
        <v>36877.376597222203</v>
      </c>
      <c r="K1193" s="1786">
        <v>0</v>
      </c>
      <c r="L1193" s="1786" t="s">
        <v>1594</v>
      </c>
      <c r="M1193" s="1786" t="s">
        <v>1653</v>
      </c>
      <c r="N1193" s="1786" t="s">
        <v>1653</v>
      </c>
      <c r="O1193" s="1786">
        <v>0</v>
      </c>
      <c r="P1193" s="1786"/>
      <c r="Q1193" s="1786">
        <v>0</v>
      </c>
      <c r="R1193" s="1788"/>
      <c r="S1193" s="1786">
        <f t="shared" si="204"/>
        <v>697</v>
      </c>
      <c r="T1193" s="1786">
        <f t="shared" si="205"/>
        <v>0</v>
      </c>
      <c r="U1193" s="1786" t="str">
        <f t="shared" si="206"/>
        <v>תמוז קופת תגמולים-מסלול מדדי</v>
      </c>
      <c r="V1193" s="1786">
        <f t="shared" si="207"/>
        <v>0</v>
      </c>
      <c r="W1193" s="1789" t="str">
        <f t="shared" si="208"/>
        <v>תמוז-ניהול קופות גמל בע"מ</v>
      </c>
      <c r="AC1193" s="1761" t="s">
        <v>1586</v>
      </c>
      <c r="AD1193" s="1762">
        <v>36877.376597222203</v>
      </c>
      <c r="AE1193" s="1762">
        <v>36872</v>
      </c>
      <c r="AF1193" s="1761" t="s">
        <v>1583</v>
      </c>
      <c r="AG1193" s="1761" t="s">
        <v>1583</v>
      </c>
      <c r="AH1193" s="1761" t="s">
        <v>1583</v>
      </c>
      <c r="AI1193" s="1761" t="s">
        <v>3258</v>
      </c>
      <c r="AJ1193" s="1761" t="s">
        <v>1983</v>
      </c>
      <c r="AK1193" s="1761">
        <v>700</v>
      </c>
      <c r="AL1193" s="1761" t="s">
        <v>1980</v>
      </c>
      <c r="AM1193" s="1761">
        <v>697</v>
      </c>
      <c r="AN1193" s="1761"/>
      <c r="AO1193" s="1764"/>
      <c r="AP1193" s="1761"/>
      <c r="AQ1193" s="1761"/>
      <c r="AR1193" s="1761" t="s">
        <v>1975</v>
      </c>
      <c r="AS1193" s="1761" t="s">
        <v>1974</v>
      </c>
      <c r="AT1193" s="1761" t="s">
        <v>327</v>
      </c>
      <c r="AU1193" s="1763"/>
      <c r="AV1193" s="1763"/>
    </row>
    <row r="1194" spans="1:48" ht="25" hidden="1">
      <c r="A1194" s="1785" t="str">
        <f t="shared" si="198"/>
        <v>גמל</v>
      </c>
      <c r="B1194" s="1786">
        <f t="shared" si="199"/>
        <v>699</v>
      </c>
      <c r="C1194" s="1787">
        <v>28946</v>
      </c>
      <c r="D1194" s="1786" t="str">
        <f t="shared" si="200"/>
        <v>תמוז קופת תגמולים-מסלול מעורב</v>
      </c>
      <c r="E1194" s="1786" t="s">
        <v>3929</v>
      </c>
      <c r="F1194" s="1786" t="s">
        <v>2958</v>
      </c>
      <c r="G1194" s="1786" t="s">
        <v>2959</v>
      </c>
      <c r="H1194" s="1786" t="str">
        <f t="shared" si="201"/>
        <v>לא פעיל</v>
      </c>
      <c r="I1194" s="1788">
        <f t="shared" si="202"/>
        <v>36872</v>
      </c>
      <c r="J1194" s="1788">
        <f t="shared" si="203"/>
        <v>36877.376597222203</v>
      </c>
      <c r="K1194" s="1786">
        <v>0</v>
      </c>
      <c r="L1194" s="1786" t="s">
        <v>1594</v>
      </c>
      <c r="M1194" s="1786" t="s">
        <v>1653</v>
      </c>
      <c r="N1194" s="1786" t="s">
        <v>1653</v>
      </c>
      <c r="O1194" s="1786">
        <v>0</v>
      </c>
      <c r="P1194" s="1786"/>
      <c r="Q1194" s="1786">
        <v>0</v>
      </c>
      <c r="R1194" s="1788"/>
      <c r="S1194" s="1786">
        <f t="shared" si="204"/>
        <v>697</v>
      </c>
      <c r="T1194" s="1786">
        <f t="shared" si="205"/>
        <v>0</v>
      </c>
      <c r="U1194" s="1786" t="str">
        <f t="shared" si="206"/>
        <v>תמוז קופת תגמולים-מסלול מדדי</v>
      </c>
      <c r="V1194" s="1786">
        <f t="shared" si="207"/>
        <v>0</v>
      </c>
      <c r="W1194" s="1789" t="str">
        <f t="shared" si="208"/>
        <v>תמוז-ניהול קופות גמל בע"מ</v>
      </c>
      <c r="AC1194" s="1759" t="s">
        <v>1586</v>
      </c>
      <c r="AD1194" s="1760">
        <v>36877.376597222203</v>
      </c>
      <c r="AE1194" s="1760">
        <v>36872</v>
      </c>
      <c r="AF1194" s="1759" t="s">
        <v>1583</v>
      </c>
      <c r="AG1194" s="1759" t="s">
        <v>1583</v>
      </c>
      <c r="AH1194" s="1759" t="s">
        <v>1583</v>
      </c>
      <c r="AI1194" s="1759" t="s">
        <v>3258</v>
      </c>
      <c r="AJ1194" s="1759" t="s">
        <v>1982</v>
      </c>
      <c r="AK1194" s="1759">
        <v>699</v>
      </c>
      <c r="AL1194" s="1759" t="s">
        <v>1980</v>
      </c>
      <c r="AM1194" s="1759">
        <v>697</v>
      </c>
      <c r="AN1194" s="1759"/>
      <c r="AO1194" s="1764"/>
      <c r="AP1194" s="1759"/>
      <c r="AQ1194" s="1759"/>
      <c r="AR1194" s="1759" t="s">
        <v>1975</v>
      </c>
      <c r="AS1194" s="1759" t="s">
        <v>1974</v>
      </c>
      <c r="AT1194" s="1759" t="s">
        <v>327</v>
      </c>
      <c r="AU1194" s="1763"/>
      <c r="AV1194" s="1763"/>
    </row>
    <row r="1195" spans="1:48" ht="25" hidden="1">
      <c r="A1195" s="1785" t="str">
        <f t="shared" si="198"/>
        <v>גמל</v>
      </c>
      <c r="B1195" s="1786">
        <f t="shared" si="199"/>
        <v>692</v>
      </c>
      <c r="C1195" s="1787">
        <v>28946</v>
      </c>
      <c r="D1195" s="1786" t="str">
        <f t="shared" si="200"/>
        <v>תמוז-קרן השתלמות-מסלול מדדי</v>
      </c>
      <c r="E1195" s="1786" t="s">
        <v>3929</v>
      </c>
      <c r="F1195" s="1786" t="s">
        <v>2958</v>
      </c>
      <c r="G1195" s="1786" t="s">
        <v>2959</v>
      </c>
      <c r="H1195" s="1786" t="str">
        <f t="shared" si="201"/>
        <v>לא פעיל</v>
      </c>
      <c r="I1195" s="1788">
        <f t="shared" si="202"/>
        <v>36872</v>
      </c>
      <c r="J1195" s="1788">
        <f t="shared" si="203"/>
        <v>37798</v>
      </c>
      <c r="K1195" s="1786">
        <v>0</v>
      </c>
      <c r="L1195" s="1786" t="s">
        <v>1594</v>
      </c>
      <c r="M1195" s="1786" t="s">
        <v>1653</v>
      </c>
      <c r="N1195" s="1786" t="s">
        <v>1653</v>
      </c>
      <c r="O1195" s="1786">
        <v>0</v>
      </c>
      <c r="P1195" s="1786"/>
      <c r="Q1195" s="1786">
        <v>0</v>
      </c>
      <c r="R1195" s="1788"/>
      <c r="S1195" s="1786">
        <f t="shared" si="204"/>
        <v>692</v>
      </c>
      <c r="T1195" s="1786">
        <f t="shared" si="205"/>
        <v>0</v>
      </c>
      <c r="U1195" s="1786" t="str">
        <f t="shared" si="206"/>
        <v>תמוז-קרן השתלמות-מסלול מדדי</v>
      </c>
      <c r="V1195" s="1786">
        <f t="shared" si="207"/>
        <v>0</v>
      </c>
      <c r="W1195" s="1789" t="str">
        <f t="shared" si="208"/>
        <v>תמוז-ניהול קופות גמל בע"מ</v>
      </c>
      <c r="AC1195" s="1761" t="s">
        <v>1586</v>
      </c>
      <c r="AD1195" s="1762">
        <v>37798</v>
      </c>
      <c r="AE1195" s="1762">
        <v>36872</v>
      </c>
      <c r="AF1195" s="1761" t="s">
        <v>1583</v>
      </c>
      <c r="AG1195" s="1761" t="s">
        <v>1583</v>
      </c>
      <c r="AH1195" s="1761" t="s">
        <v>1583</v>
      </c>
      <c r="AI1195" s="1761" t="s">
        <v>3251</v>
      </c>
      <c r="AJ1195" s="1761" t="s">
        <v>1973</v>
      </c>
      <c r="AK1195" s="1761">
        <v>692</v>
      </c>
      <c r="AL1195" s="1761" t="s">
        <v>1973</v>
      </c>
      <c r="AM1195" s="1761">
        <v>692</v>
      </c>
      <c r="AN1195" s="1761"/>
      <c r="AO1195" s="1764"/>
      <c r="AP1195" s="1761"/>
      <c r="AQ1195" s="1761"/>
      <c r="AR1195" s="1761" t="s">
        <v>1975</v>
      </c>
      <c r="AS1195" s="1761" t="s">
        <v>1974</v>
      </c>
      <c r="AT1195" s="1761" t="s">
        <v>327</v>
      </c>
      <c r="AU1195" s="1763"/>
      <c r="AV1195" s="1763"/>
    </row>
    <row r="1196" spans="1:48" ht="25" hidden="1">
      <c r="A1196" s="1785" t="str">
        <f t="shared" si="198"/>
        <v>גמל</v>
      </c>
      <c r="B1196" s="1786">
        <f t="shared" si="199"/>
        <v>693</v>
      </c>
      <c r="C1196" s="1787">
        <v>28946</v>
      </c>
      <c r="D1196" s="1786" t="str">
        <f t="shared" si="200"/>
        <v>תמוז-קרן השתלמות-מסלול מעורב מוטה מדד</v>
      </c>
      <c r="E1196" s="1786" t="s">
        <v>3929</v>
      </c>
      <c r="F1196" s="1786" t="s">
        <v>2958</v>
      </c>
      <c r="G1196" s="1786" t="s">
        <v>2959</v>
      </c>
      <c r="H1196" s="1786" t="str">
        <f t="shared" si="201"/>
        <v>לא פעיל</v>
      </c>
      <c r="I1196" s="1788">
        <f t="shared" si="202"/>
        <v>36872</v>
      </c>
      <c r="J1196" s="1788">
        <f t="shared" si="203"/>
        <v>37810.672129629602</v>
      </c>
      <c r="K1196" s="1786">
        <v>0</v>
      </c>
      <c r="L1196" s="1786" t="s">
        <v>1594</v>
      </c>
      <c r="M1196" s="1786" t="s">
        <v>1653</v>
      </c>
      <c r="N1196" s="1786" t="s">
        <v>1653</v>
      </c>
      <c r="O1196" s="1786">
        <v>0</v>
      </c>
      <c r="P1196" s="1786"/>
      <c r="Q1196" s="1786">
        <v>0</v>
      </c>
      <c r="R1196" s="1788"/>
      <c r="S1196" s="1786">
        <f t="shared" si="204"/>
        <v>692</v>
      </c>
      <c r="T1196" s="1786">
        <f t="shared" si="205"/>
        <v>0</v>
      </c>
      <c r="U1196" s="1786" t="str">
        <f t="shared" si="206"/>
        <v>תמוז-קרן השתלמות-מסלול מדדי</v>
      </c>
      <c r="V1196" s="1786">
        <f t="shared" si="207"/>
        <v>0</v>
      </c>
      <c r="W1196" s="1789" t="str">
        <f t="shared" si="208"/>
        <v>תמוז-ניהול קופות גמל בע"מ</v>
      </c>
      <c r="AC1196" s="1759" t="s">
        <v>1586</v>
      </c>
      <c r="AD1196" s="1760">
        <v>37810.672129629602</v>
      </c>
      <c r="AE1196" s="1760">
        <v>36872</v>
      </c>
      <c r="AF1196" s="1759" t="s">
        <v>1583</v>
      </c>
      <c r="AG1196" s="1759" t="s">
        <v>1583</v>
      </c>
      <c r="AH1196" s="1759" t="s">
        <v>1583</v>
      </c>
      <c r="AI1196" s="1759" t="s">
        <v>3252</v>
      </c>
      <c r="AJ1196" s="1759" t="s">
        <v>1976</v>
      </c>
      <c r="AK1196" s="1759">
        <v>693</v>
      </c>
      <c r="AL1196" s="1759" t="s">
        <v>1973</v>
      </c>
      <c r="AM1196" s="1759">
        <v>692</v>
      </c>
      <c r="AN1196" s="1759"/>
      <c r="AO1196" s="1764"/>
      <c r="AP1196" s="1759"/>
      <c r="AQ1196" s="1759"/>
      <c r="AR1196" s="1759" t="s">
        <v>1975</v>
      </c>
      <c r="AS1196" s="1759" t="s">
        <v>1974</v>
      </c>
      <c r="AT1196" s="1759" t="s">
        <v>327</v>
      </c>
      <c r="AU1196" s="1763"/>
      <c r="AV1196" s="1763"/>
    </row>
    <row r="1197" spans="1:48" ht="25" hidden="1">
      <c r="A1197" s="1785" t="str">
        <f t="shared" si="198"/>
        <v>גמל</v>
      </c>
      <c r="B1197" s="1786">
        <f t="shared" si="199"/>
        <v>696</v>
      </c>
      <c r="C1197" s="1787">
        <v>28946</v>
      </c>
      <c r="D1197" s="1786" t="str">
        <f t="shared" si="200"/>
        <v>תמוז-קרן השתלמות-מסלול גמיש מעורב</v>
      </c>
      <c r="E1197" s="1786" t="s">
        <v>3929</v>
      </c>
      <c r="F1197" s="1786" t="s">
        <v>2958</v>
      </c>
      <c r="G1197" s="1786" t="s">
        <v>2959</v>
      </c>
      <c r="H1197" s="1786" t="str">
        <f t="shared" si="201"/>
        <v>לא פעיל</v>
      </c>
      <c r="I1197" s="1788">
        <f t="shared" si="202"/>
        <v>36872</v>
      </c>
      <c r="J1197" s="1788">
        <f t="shared" si="203"/>
        <v>37810.672129629602</v>
      </c>
      <c r="K1197" s="1786">
        <v>0</v>
      </c>
      <c r="L1197" s="1786" t="s">
        <v>1594</v>
      </c>
      <c r="M1197" s="1786" t="s">
        <v>1653</v>
      </c>
      <c r="N1197" s="1786" t="s">
        <v>1653</v>
      </c>
      <c r="O1197" s="1786">
        <v>0</v>
      </c>
      <c r="P1197" s="1786"/>
      <c r="Q1197" s="1786">
        <v>0</v>
      </c>
      <c r="R1197" s="1788"/>
      <c r="S1197" s="1786">
        <f t="shared" si="204"/>
        <v>692</v>
      </c>
      <c r="T1197" s="1786">
        <f t="shared" si="205"/>
        <v>0</v>
      </c>
      <c r="U1197" s="1786" t="str">
        <f t="shared" si="206"/>
        <v>תמוז-קרן השתלמות-מסלול מדדי</v>
      </c>
      <c r="V1197" s="1786">
        <f t="shared" si="207"/>
        <v>0</v>
      </c>
      <c r="W1197" s="1789" t="str">
        <f t="shared" si="208"/>
        <v>תמוז-ניהול קופות גמל בע"מ</v>
      </c>
      <c r="AC1197" s="1761" t="s">
        <v>1586</v>
      </c>
      <c r="AD1197" s="1762">
        <v>37810.672129629602</v>
      </c>
      <c r="AE1197" s="1762">
        <v>36872</v>
      </c>
      <c r="AF1197" s="1761" t="s">
        <v>1583</v>
      </c>
      <c r="AG1197" s="1761" t="s">
        <v>1583</v>
      </c>
      <c r="AH1197" s="1761" t="s">
        <v>1583</v>
      </c>
      <c r="AI1197" s="1761" t="s">
        <v>3255</v>
      </c>
      <c r="AJ1197" s="1761" t="s">
        <v>1979</v>
      </c>
      <c r="AK1197" s="1761">
        <v>696</v>
      </c>
      <c r="AL1197" s="1761" t="s">
        <v>1973</v>
      </c>
      <c r="AM1197" s="1761">
        <v>692</v>
      </c>
      <c r="AN1197" s="1761"/>
      <c r="AO1197" s="1764"/>
      <c r="AP1197" s="1761"/>
      <c r="AQ1197" s="1761"/>
      <c r="AR1197" s="1761" t="s">
        <v>1975</v>
      </c>
      <c r="AS1197" s="1761" t="s">
        <v>1974</v>
      </c>
      <c r="AT1197" s="1761" t="s">
        <v>327</v>
      </c>
      <c r="AU1197" s="1763"/>
      <c r="AV1197" s="1763"/>
    </row>
    <row r="1198" spans="1:48" ht="25" hidden="1">
      <c r="A1198" s="1785" t="str">
        <f t="shared" si="198"/>
        <v>גמל</v>
      </c>
      <c r="B1198" s="1786">
        <f t="shared" si="199"/>
        <v>695</v>
      </c>
      <c r="C1198" s="1787">
        <v>28946</v>
      </c>
      <c r="D1198" s="1786" t="str">
        <f t="shared" si="200"/>
        <v>תמוז-קרן השתלמות-מסלול מעורב מוטה מניות</v>
      </c>
      <c r="E1198" s="1786" t="s">
        <v>3929</v>
      </c>
      <c r="F1198" s="1786" t="s">
        <v>2958</v>
      </c>
      <c r="G1198" s="1786" t="s">
        <v>2959</v>
      </c>
      <c r="H1198" s="1786" t="str">
        <f t="shared" si="201"/>
        <v>לא פעיל</v>
      </c>
      <c r="I1198" s="1788">
        <f t="shared" si="202"/>
        <v>36872</v>
      </c>
      <c r="J1198" s="1788">
        <f t="shared" si="203"/>
        <v>37810.672129629602</v>
      </c>
      <c r="K1198" s="1786">
        <v>0</v>
      </c>
      <c r="L1198" s="1786" t="s">
        <v>1594</v>
      </c>
      <c r="M1198" s="1786" t="s">
        <v>1653</v>
      </c>
      <c r="N1198" s="1786" t="s">
        <v>1653</v>
      </c>
      <c r="O1198" s="1786">
        <v>0</v>
      </c>
      <c r="P1198" s="1786"/>
      <c r="Q1198" s="1786">
        <v>0</v>
      </c>
      <c r="R1198" s="1788"/>
      <c r="S1198" s="1786">
        <f t="shared" si="204"/>
        <v>692</v>
      </c>
      <c r="T1198" s="1786">
        <f t="shared" si="205"/>
        <v>0</v>
      </c>
      <c r="U1198" s="1786" t="str">
        <f t="shared" si="206"/>
        <v>תמוז-קרן השתלמות-מסלול מדדי</v>
      </c>
      <c r="V1198" s="1786">
        <f t="shared" si="207"/>
        <v>0</v>
      </c>
      <c r="W1198" s="1789" t="str">
        <f t="shared" si="208"/>
        <v>תמוז-ניהול קופות גמל בע"מ</v>
      </c>
      <c r="AC1198" s="1759" t="s">
        <v>1586</v>
      </c>
      <c r="AD1198" s="1760">
        <v>37810.672129629602</v>
      </c>
      <c r="AE1198" s="1760">
        <v>36872</v>
      </c>
      <c r="AF1198" s="1759" t="s">
        <v>1583</v>
      </c>
      <c r="AG1198" s="1759" t="s">
        <v>1583</v>
      </c>
      <c r="AH1198" s="1759" t="s">
        <v>1583</v>
      </c>
      <c r="AI1198" s="1759" t="s">
        <v>3254</v>
      </c>
      <c r="AJ1198" s="1759" t="s">
        <v>1978</v>
      </c>
      <c r="AK1198" s="1759">
        <v>695</v>
      </c>
      <c r="AL1198" s="1759" t="s">
        <v>1973</v>
      </c>
      <c r="AM1198" s="1759">
        <v>692</v>
      </c>
      <c r="AN1198" s="1759"/>
      <c r="AO1198" s="1764"/>
      <c r="AP1198" s="1759"/>
      <c r="AQ1198" s="1759"/>
      <c r="AR1198" s="1759" t="s">
        <v>1975</v>
      </c>
      <c r="AS1198" s="1759" t="s">
        <v>1974</v>
      </c>
      <c r="AT1198" s="1759" t="s">
        <v>327</v>
      </c>
      <c r="AU1198" s="1763"/>
      <c r="AV1198" s="1763"/>
    </row>
    <row r="1199" spans="1:48" ht="25" hidden="1">
      <c r="A1199" s="1785" t="str">
        <f t="shared" si="198"/>
        <v>גמל</v>
      </c>
      <c r="B1199" s="1786">
        <f t="shared" si="199"/>
        <v>694</v>
      </c>
      <c r="C1199" s="1787">
        <v>28946</v>
      </c>
      <c r="D1199" s="1786" t="str">
        <f t="shared" si="200"/>
        <v>תמוז-קרן השתלמות-מסלול מעורב</v>
      </c>
      <c r="E1199" s="1786" t="s">
        <v>3929</v>
      </c>
      <c r="F1199" s="1786" t="s">
        <v>2958</v>
      </c>
      <c r="G1199" s="1786" t="s">
        <v>2959</v>
      </c>
      <c r="H1199" s="1786" t="str">
        <f t="shared" si="201"/>
        <v>לא פעיל</v>
      </c>
      <c r="I1199" s="1788">
        <f t="shared" si="202"/>
        <v>36872</v>
      </c>
      <c r="J1199" s="1788">
        <f t="shared" si="203"/>
        <v>37810.672129629602</v>
      </c>
      <c r="K1199" s="1786">
        <v>0</v>
      </c>
      <c r="L1199" s="1786" t="s">
        <v>1594</v>
      </c>
      <c r="M1199" s="1786" t="s">
        <v>1653</v>
      </c>
      <c r="N1199" s="1786" t="s">
        <v>1653</v>
      </c>
      <c r="O1199" s="1786">
        <v>0</v>
      </c>
      <c r="P1199" s="1786"/>
      <c r="Q1199" s="1786">
        <v>0</v>
      </c>
      <c r="R1199" s="1788"/>
      <c r="S1199" s="1786">
        <f t="shared" si="204"/>
        <v>692</v>
      </c>
      <c r="T1199" s="1786">
        <f t="shared" si="205"/>
        <v>0</v>
      </c>
      <c r="U1199" s="1786" t="str">
        <f t="shared" si="206"/>
        <v>תמוז-קרן השתלמות-מסלול מדדי</v>
      </c>
      <c r="V1199" s="1786">
        <f t="shared" si="207"/>
        <v>0</v>
      </c>
      <c r="W1199" s="1789" t="str">
        <f t="shared" si="208"/>
        <v>תמוז-ניהול קופות גמל בע"מ</v>
      </c>
      <c r="AC1199" s="1761" t="s">
        <v>1586</v>
      </c>
      <c r="AD1199" s="1762">
        <v>37810.672129629602</v>
      </c>
      <c r="AE1199" s="1762">
        <v>36872</v>
      </c>
      <c r="AF1199" s="1761" t="s">
        <v>1583</v>
      </c>
      <c r="AG1199" s="1761" t="s">
        <v>1583</v>
      </c>
      <c r="AH1199" s="1761" t="s">
        <v>1583</v>
      </c>
      <c r="AI1199" s="1761" t="s">
        <v>3253</v>
      </c>
      <c r="AJ1199" s="1761" t="s">
        <v>1977</v>
      </c>
      <c r="AK1199" s="1761">
        <v>694</v>
      </c>
      <c r="AL1199" s="1761" t="s">
        <v>1973</v>
      </c>
      <c r="AM1199" s="1761">
        <v>692</v>
      </c>
      <c r="AN1199" s="1761"/>
      <c r="AO1199" s="1764"/>
      <c r="AP1199" s="1761"/>
      <c r="AQ1199" s="1761"/>
      <c r="AR1199" s="1761" t="s">
        <v>1975</v>
      </c>
      <c r="AS1199" s="1761" t="s">
        <v>1974</v>
      </c>
      <c r="AT1199" s="1761" t="s">
        <v>327</v>
      </c>
      <c r="AU1199" s="1763"/>
      <c r="AV1199" s="1763"/>
    </row>
    <row r="1200" spans="1:48" ht="14" hidden="1">
      <c r="A1200" s="1785" t="str">
        <f t="shared" si="198"/>
        <v>גמל</v>
      </c>
      <c r="B1200" s="1786">
        <f t="shared" si="199"/>
        <v>691</v>
      </c>
      <c r="C1200" s="1787">
        <v>28946</v>
      </c>
      <c r="D1200" s="1786" t="str">
        <f t="shared" si="200"/>
        <v>כלל ורד</v>
      </c>
      <c r="E1200" s="1786" t="s">
        <v>3929</v>
      </c>
      <c r="F1200" s="1786" t="s">
        <v>2958</v>
      </c>
      <c r="G1200" s="1786" t="s">
        <v>2959</v>
      </c>
      <c r="H1200" s="1786" t="str">
        <f t="shared" si="201"/>
        <v>לא פעיל</v>
      </c>
      <c r="I1200" s="1788">
        <f t="shared" si="202"/>
        <v>36861</v>
      </c>
      <c r="J1200" s="1788">
        <f t="shared" si="203"/>
        <v>41955.4941203704</v>
      </c>
      <c r="K1200" s="1786">
        <v>0</v>
      </c>
      <c r="L1200" s="1786" t="s">
        <v>1594</v>
      </c>
      <c r="M1200" s="1786" t="s">
        <v>1653</v>
      </c>
      <c r="N1200" s="1786" t="s">
        <v>1653</v>
      </c>
      <c r="O1200" s="1786">
        <v>0</v>
      </c>
      <c r="P1200" s="1786"/>
      <c r="Q1200" s="1786">
        <v>0</v>
      </c>
      <c r="R1200" s="1788"/>
      <c r="S1200" s="1786">
        <f t="shared" si="204"/>
        <v>691</v>
      </c>
      <c r="T1200" s="1786" t="str">
        <f t="shared" si="205"/>
        <v>בנק לאומי בע"מ</v>
      </c>
      <c r="U1200" s="1786" t="str">
        <f t="shared" si="206"/>
        <v>כלל ורד</v>
      </c>
      <c r="V1200" s="1786">
        <f t="shared" si="207"/>
        <v>0</v>
      </c>
      <c r="W1200" s="1789" t="str">
        <f t="shared" si="208"/>
        <v>כלל פנסיה וגמל בע"מ</v>
      </c>
      <c r="AC1200" s="1759" t="s">
        <v>1586</v>
      </c>
      <c r="AD1200" s="1760">
        <v>41955.4941203704</v>
      </c>
      <c r="AE1200" s="1760">
        <v>36861</v>
      </c>
      <c r="AF1200" s="1759" t="s">
        <v>1583</v>
      </c>
      <c r="AG1200" s="1759" t="s">
        <v>1583</v>
      </c>
      <c r="AH1200" s="1759" t="s">
        <v>1583</v>
      </c>
      <c r="AI1200" s="1759" t="s">
        <v>598</v>
      </c>
      <c r="AJ1200" s="1759" t="s">
        <v>598</v>
      </c>
      <c r="AK1200" s="1759">
        <v>691</v>
      </c>
      <c r="AL1200" s="1759" t="s">
        <v>598</v>
      </c>
      <c r="AM1200" s="1759">
        <v>691</v>
      </c>
      <c r="AN1200" s="1759" t="s">
        <v>5470</v>
      </c>
      <c r="AO1200" s="1764"/>
      <c r="AP1200" s="1759"/>
      <c r="AQ1200" s="1759"/>
      <c r="AR1200" s="1759" t="s">
        <v>378</v>
      </c>
      <c r="AS1200" s="1759" t="s">
        <v>379</v>
      </c>
      <c r="AT1200" s="1759" t="s">
        <v>327</v>
      </c>
      <c r="AU1200" s="1763"/>
      <c r="AV1200" s="1763"/>
    </row>
    <row r="1201" spans="1:48" ht="14" hidden="1">
      <c r="A1201" s="1785" t="str">
        <f t="shared" si="198"/>
        <v>גמל</v>
      </c>
      <c r="B1201" s="1786">
        <f t="shared" si="199"/>
        <v>690</v>
      </c>
      <c r="C1201" s="1787">
        <v>28946</v>
      </c>
      <c r="D1201" s="1786" t="str">
        <f t="shared" si="200"/>
        <v>כלל דליה</v>
      </c>
      <c r="E1201" s="1786" t="s">
        <v>3929</v>
      </c>
      <c r="F1201" s="1786" t="s">
        <v>2958</v>
      </c>
      <c r="G1201" s="1786" t="s">
        <v>2959</v>
      </c>
      <c r="H1201" s="1786" t="str">
        <f t="shared" si="201"/>
        <v>לא פעיל</v>
      </c>
      <c r="I1201" s="1788">
        <f t="shared" si="202"/>
        <v>36861</v>
      </c>
      <c r="J1201" s="1788">
        <f t="shared" si="203"/>
        <v>40178</v>
      </c>
      <c r="K1201" s="1786">
        <v>0</v>
      </c>
      <c r="L1201" s="1786" t="s">
        <v>1594</v>
      </c>
      <c r="M1201" s="1786" t="s">
        <v>1653</v>
      </c>
      <c r="N1201" s="1786" t="s">
        <v>1653</v>
      </c>
      <c r="O1201" s="1786">
        <v>0</v>
      </c>
      <c r="P1201" s="1786"/>
      <c r="Q1201" s="1786">
        <v>0</v>
      </c>
      <c r="R1201" s="1788"/>
      <c r="S1201" s="1786">
        <f t="shared" si="204"/>
        <v>690</v>
      </c>
      <c r="T1201" s="1786" t="str">
        <f t="shared" si="205"/>
        <v>בנק לאומי בע"מ</v>
      </c>
      <c r="U1201" s="1786" t="str">
        <f t="shared" si="206"/>
        <v>כלל דליה</v>
      </c>
      <c r="V1201" s="1786">
        <f t="shared" si="207"/>
        <v>0</v>
      </c>
      <c r="W1201" s="1789" t="str">
        <f t="shared" si="208"/>
        <v>כלל גמל בע"מ</v>
      </c>
      <c r="AC1201" s="1761" t="s">
        <v>1586</v>
      </c>
      <c r="AD1201" s="1762">
        <v>40178</v>
      </c>
      <c r="AE1201" s="1762">
        <v>36861</v>
      </c>
      <c r="AF1201" s="1761" t="s">
        <v>1583</v>
      </c>
      <c r="AG1201" s="1761" t="s">
        <v>1583</v>
      </c>
      <c r="AH1201" s="1761" t="s">
        <v>1583</v>
      </c>
      <c r="AI1201" s="1761" t="s">
        <v>1970</v>
      </c>
      <c r="AJ1201" s="1761" t="s">
        <v>1970</v>
      </c>
      <c r="AK1201" s="1761">
        <v>690</v>
      </c>
      <c r="AL1201" s="1761" t="s">
        <v>1970</v>
      </c>
      <c r="AM1201" s="1761">
        <v>690</v>
      </c>
      <c r="AN1201" s="1761" t="s">
        <v>5470</v>
      </c>
      <c r="AO1201" s="1764"/>
      <c r="AP1201" s="1761"/>
      <c r="AQ1201" s="1761"/>
      <c r="AR1201" s="1761" t="s">
        <v>1972</v>
      </c>
      <c r="AS1201" s="1761" t="s">
        <v>1971</v>
      </c>
      <c r="AT1201" s="1761" t="s">
        <v>327</v>
      </c>
      <c r="AU1201" s="1763"/>
      <c r="AV1201" s="1763"/>
    </row>
    <row r="1202" spans="1:48" ht="14" hidden="1">
      <c r="A1202" s="1785" t="str">
        <f t="shared" si="198"/>
        <v>גמל</v>
      </c>
      <c r="B1202" s="1786">
        <f t="shared" si="199"/>
        <v>689</v>
      </c>
      <c r="C1202" s="1787">
        <v>28946</v>
      </c>
      <c r="D1202" s="1786" t="str">
        <f t="shared" si="200"/>
        <v>כלל מושלם תגמולים</v>
      </c>
      <c r="E1202" s="1786" t="s">
        <v>3929</v>
      </c>
      <c r="F1202" s="1786" t="s">
        <v>2958</v>
      </c>
      <c r="G1202" s="1786" t="s">
        <v>2959</v>
      </c>
      <c r="H1202" s="1786" t="str">
        <f t="shared" si="201"/>
        <v>לא פעיל</v>
      </c>
      <c r="I1202" s="1788">
        <f t="shared" si="202"/>
        <v>36861</v>
      </c>
      <c r="J1202" s="1788">
        <f t="shared" si="203"/>
        <v>41651.453750000001</v>
      </c>
      <c r="K1202" s="1786">
        <v>0</v>
      </c>
      <c r="L1202" s="1786" t="s">
        <v>1594</v>
      </c>
      <c r="M1202" s="1786" t="s">
        <v>1653</v>
      </c>
      <c r="N1202" s="1786" t="s">
        <v>1653</v>
      </c>
      <c r="O1202" s="1786">
        <v>0</v>
      </c>
      <c r="P1202" s="1786"/>
      <c r="Q1202" s="1786">
        <v>0</v>
      </c>
      <c r="R1202" s="1788"/>
      <c r="S1202" s="1786">
        <f t="shared" si="204"/>
        <v>689</v>
      </c>
      <c r="T1202" s="1786" t="str">
        <f t="shared" si="205"/>
        <v>בנק לאומי בע"מ</v>
      </c>
      <c r="U1202" s="1786" t="str">
        <f t="shared" si="206"/>
        <v>כלל מושלם תגמולים</v>
      </c>
      <c r="V1202" s="1786">
        <f t="shared" si="207"/>
        <v>0</v>
      </c>
      <c r="W1202" s="1789" t="str">
        <f t="shared" si="208"/>
        <v>כלל פנסיה וגמל בע"מ</v>
      </c>
      <c r="AC1202" s="1759" t="s">
        <v>1586</v>
      </c>
      <c r="AD1202" s="1760">
        <v>41651.453750000001</v>
      </c>
      <c r="AE1202" s="1760">
        <v>36861</v>
      </c>
      <c r="AF1202" s="1759" t="s">
        <v>1583</v>
      </c>
      <c r="AG1202" s="1759" t="s">
        <v>1583</v>
      </c>
      <c r="AH1202" s="1759" t="s">
        <v>1583</v>
      </c>
      <c r="AI1202" s="1759" t="s">
        <v>597</v>
      </c>
      <c r="AJ1202" s="1759" t="s">
        <v>597</v>
      </c>
      <c r="AK1202" s="1759">
        <v>689</v>
      </c>
      <c r="AL1202" s="1759" t="s">
        <v>597</v>
      </c>
      <c r="AM1202" s="1759">
        <v>689</v>
      </c>
      <c r="AN1202" s="1759" t="s">
        <v>5470</v>
      </c>
      <c r="AO1202" s="1764"/>
      <c r="AP1202" s="1759"/>
      <c r="AQ1202" s="1759"/>
      <c r="AR1202" s="1759" t="s">
        <v>378</v>
      </c>
      <c r="AS1202" s="1759" t="s">
        <v>379</v>
      </c>
      <c r="AT1202" s="1759" t="s">
        <v>327</v>
      </c>
      <c r="AU1202" s="1763"/>
      <c r="AV1202" s="1763"/>
    </row>
    <row r="1203" spans="1:48" ht="25" hidden="1">
      <c r="A1203" s="1785" t="str">
        <f t="shared" si="198"/>
        <v>גמל</v>
      </c>
      <c r="B1203" s="1786">
        <f t="shared" si="199"/>
        <v>688</v>
      </c>
      <c r="C1203" s="1787">
        <v>28946</v>
      </c>
      <c r="D1203" s="1786" t="str">
        <f t="shared" si="200"/>
        <v>הלמן אלדובי השתלמות מעגן</v>
      </c>
      <c r="E1203" s="1786" t="s">
        <v>3929</v>
      </c>
      <c r="F1203" s="1786" t="s">
        <v>2958</v>
      </c>
      <c r="G1203" s="1786" t="s">
        <v>2959</v>
      </c>
      <c r="H1203" s="1786" t="str">
        <f t="shared" si="201"/>
        <v>לא פעיל</v>
      </c>
      <c r="I1203" s="1788">
        <f t="shared" si="202"/>
        <v>36861</v>
      </c>
      <c r="J1203" s="1788">
        <f t="shared" si="203"/>
        <v>39813</v>
      </c>
      <c r="K1203" s="1786">
        <v>0</v>
      </c>
      <c r="L1203" s="1786" t="s">
        <v>1594</v>
      </c>
      <c r="M1203" s="1786" t="s">
        <v>1653</v>
      </c>
      <c r="N1203" s="1786" t="s">
        <v>1653</v>
      </c>
      <c r="O1203" s="1786">
        <v>0</v>
      </c>
      <c r="P1203" s="1786"/>
      <c r="Q1203" s="1786">
        <v>0</v>
      </c>
      <c r="R1203" s="1788"/>
      <c r="S1203" s="1786">
        <f t="shared" si="204"/>
        <v>688</v>
      </c>
      <c r="T1203" s="1786" t="str">
        <f t="shared" si="205"/>
        <v>בנק מזרחי טפחות בע"מ</v>
      </c>
      <c r="U1203" s="1786" t="str">
        <f t="shared" si="206"/>
        <v>הלמן אלדובי השתלמות מעגן</v>
      </c>
      <c r="V1203" s="1786" t="str">
        <f t="shared" si="207"/>
        <v>513163105</v>
      </c>
      <c r="W1203" s="1789" t="str">
        <f t="shared" si="208"/>
        <v>הלמן - אלדובי קופות גמל ופנסיה בע"מ</v>
      </c>
      <c r="AC1203" s="1761" t="s">
        <v>1586</v>
      </c>
      <c r="AD1203" s="1762">
        <v>39813</v>
      </c>
      <c r="AE1203" s="1762">
        <v>36861</v>
      </c>
      <c r="AF1203" s="1761" t="s">
        <v>1583</v>
      </c>
      <c r="AG1203" s="1761" t="s">
        <v>1583</v>
      </c>
      <c r="AH1203" s="1761" t="s">
        <v>1583</v>
      </c>
      <c r="AI1203" s="1761" t="s">
        <v>3250</v>
      </c>
      <c r="AJ1203" s="1761" t="s">
        <v>1969</v>
      </c>
      <c r="AK1203" s="1761">
        <v>688</v>
      </c>
      <c r="AL1203" s="1761" t="s">
        <v>1969</v>
      </c>
      <c r="AM1203" s="1761">
        <v>688</v>
      </c>
      <c r="AN1203" s="1761" t="s">
        <v>5370</v>
      </c>
      <c r="AO1203" s="1764"/>
      <c r="AP1203" s="1761" t="s">
        <v>5371</v>
      </c>
      <c r="AQ1203" s="1761" t="s">
        <v>5372</v>
      </c>
      <c r="AR1203" s="1761" t="s">
        <v>354</v>
      </c>
      <c r="AS1203" s="1761" t="s">
        <v>355</v>
      </c>
      <c r="AT1203" s="1761" t="s">
        <v>327</v>
      </c>
      <c r="AU1203" s="1763"/>
      <c r="AV1203" s="1763"/>
    </row>
    <row r="1204" spans="1:48" ht="25" hidden="1">
      <c r="A1204" s="1785" t="str">
        <f t="shared" si="198"/>
        <v>גמל</v>
      </c>
      <c r="B1204" s="1786">
        <f t="shared" si="199"/>
        <v>687</v>
      </c>
      <c r="C1204" s="1787">
        <v>28946</v>
      </c>
      <c r="D1204" s="1786" t="str">
        <f t="shared" si="200"/>
        <v>אקסלנס מרכזית לפיצויים</v>
      </c>
      <c r="E1204" s="1786" t="s">
        <v>3929</v>
      </c>
      <c r="F1204" s="1786" t="s">
        <v>2958</v>
      </c>
      <c r="G1204" s="1786" t="s">
        <v>2959</v>
      </c>
      <c r="H1204" s="1786" t="str">
        <f t="shared" si="201"/>
        <v>לא פעיל</v>
      </c>
      <c r="I1204" s="1788">
        <f t="shared" si="202"/>
        <v>36859</v>
      </c>
      <c r="J1204" s="1788">
        <f t="shared" si="203"/>
        <v>41654.718935185199</v>
      </c>
      <c r="K1204" s="1786">
        <v>0</v>
      </c>
      <c r="L1204" s="1786" t="s">
        <v>1594</v>
      </c>
      <c r="M1204" s="1786" t="s">
        <v>1653</v>
      </c>
      <c r="N1204" s="1786" t="s">
        <v>1653</v>
      </c>
      <c r="O1204" s="1786">
        <v>0</v>
      </c>
      <c r="P1204" s="1786"/>
      <c r="Q1204" s="1786">
        <v>0</v>
      </c>
      <c r="R1204" s="1788"/>
      <c r="S1204" s="1786">
        <f t="shared" si="204"/>
        <v>687</v>
      </c>
      <c r="T1204" s="1786" t="str">
        <f t="shared" si="205"/>
        <v>הבנק הבינלאומי הראשון</v>
      </c>
      <c r="U1204" s="1786" t="str">
        <f t="shared" si="206"/>
        <v>אקסלנס מרכזית לפיצויים</v>
      </c>
      <c r="V1204" s="1786" t="str">
        <f t="shared" si="207"/>
        <v>520017450</v>
      </c>
      <c r="W1204" s="1789" t="str">
        <f t="shared" si="208"/>
        <v xml:space="preserve">הפניקס אקסלנס פנסיה וגמל בע"מ </v>
      </c>
      <c r="AC1204" s="1759" t="s">
        <v>1586</v>
      </c>
      <c r="AD1204" s="1760">
        <v>41654.718935185199</v>
      </c>
      <c r="AE1204" s="1760">
        <v>36859</v>
      </c>
      <c r="AF1204" s="1759" t="s">
        <v>1583</v>
      </c>
      <c r="AG1204" s="1759" t="s">
        <v>1583</v>
      </c>
      <c r="AH1204" s="1759" t="s">
        <v>1583</v>
      </c>
      <c r="AI1204" s="1759" t="s">
        <v>596</v>
      </c>
      <c r="AJ1204" s="1759" t="s">
        <v>596</v>
      </c>
      <c r="AK1204" s="1759">
        <v>687</v>
      </c>
      <c r="AL1204" s="1759" t="s">
        <v>596</v>
      </c>
      <c r="AM1204" s="1759">
        <v>687</v>
      </c>
      <c r="AN1204" s="1759" t="s">
        <v>5384</v>
      </c>
      <c r="AO1204" s="1764"/>
      <c r="AP1204" s="1759" t="s">
        <v>5379</v>
      </c>
      <c r="AQ1204" s="1759" t="s">
        <v>5380</v>
      </c>
      <c r="AR1204" s="1759" t="s">
        <v>5381</v>
      </c>
      <c r="AS1204" s="1759" t="s">
        <v>347</v>
      </c>
      <c r="AT1204" s="1759" t="s">
        <v>327</v>
      </c>
      <c r="AU1204" s="1763"/>
      <c r="AV1204" s="1763"/>
    </row>
    <row r="1205" spans="1:48" ht="25" hidden="1">
      <c r="A1205" s="1785" t="str">
        <f t="shared" si="198"/>
        <v>גמל</v>
      </c>
      <c r="B1205" s="1786">
        <f t="shared" si="199"/>
        <v>2093</v>
      </c>
      <c r="C1205" s="1787">
        <v>28946</v>
      </c>
      <c r="D1205" s="1786" t="str">
        <f t="shared" si="200"/>
        <v>אקסלנס השתלמותשקלי</v>
      </c>
      <c r="E1205" s="1786" t="s">
        <v>3929</v>
      </c>
      <c r="F1205" s="1786" t="s">
        <v>2958</v>
      </c>
      <c r="G1205" s="1786" t="s">
        <v>2959</v>
      </c>
      <c r="H1205" s="1786" t="str">
        <f t="shared" si="201"/>
        <v>לא פעיל</v>
      </c>
      <c r="I1205" s="1788">
        <f t="shared" si="202"/>
        <v>36859</v>
      </c>
      <c r="J1205" s="1788">
        <f t="shared" si="203"/>
        <v>41674.666458333297</v>
      </c>
      <c r="K1205" s="1786">
        <v>0</v>
      </c>
      <c r="L1205" s="1786" t="s">
        <v>1594</v>
      </c>
      <c r="M1205" s="1786" t="s">
        <v>1653</v>
      </c>
      <c r="N1205" s="1786" t="s">
        <v>1653</v>
      </c>
      <c r="O1205" s="1786">
        <v>0</v>
      </c>
      <c r="P1205" s="1786"/>
      <c r="Q1205" s="1786">
        <v>0</v>
      </c>
      <c r="R1205" s="1788"/>
      <c r="S1205" s="1786">
        <f t="shared" si="204"/>
        <v>686</v>
      </c>
      <c r="T1205" s="1786" t="str">
        <f t="shared" si="205"/>
        <v>הבנק הבינלאומי הראשון</v>
      </c>
      <c r="U1205" s="1786" t="str">
        <f t="shared" si="206"/>
        <v>אקסלנס השתלמות</v>
      </c>
      <c r="V1205" s="1786" t="str">
        <f t="shared" si="207"/>
        <v>520017450</v>
      </c>
      <c r="W1205" s="1789" t="str">
        <f t="shared" si="208"/>
        <v xml:space="preserve">הפניקס אקסלנס פנסיה וגמל בע"מ </v>
      </c>
      <c r="AC1205" s="1761" t="s">
        <v>1586</v>
      </c>
      <c r="AD1205" s="1762">
        <v>41674.666458333297</v>
      </c>
      <c r="AE1205" s="1762">
        <v>36859</v>
      </c>
      <c r="AF1205" s="1761" t="s">
        <v>1076</v>
      </c>
      <c r="AG1205" s="1761" t="s">
        <v>1614</v>
      </c>
      <c r="AH1205" s="1761" t="s">
        <v>1594</v>
      </c>
      <c r="AI1205" s="1761" t="s">
        <v>3269</v>
      </c>
      <c r="AJ1205" s="1761" t="s">
        <v>2552</v>
      </c>
      <c r="AK1205" s="1761">
        <v>2093</v>
      </c>
      <c r="AL1205" s="1761" t="s">
        <v>595</v>
      </c>
      <c r="AM1205" s="1761">
        <v>686</v>
      </c>
      <c r="AN1205" s="1761" t="s">
        <v>5384</v>
      </c>
      <c r="AO1205" s="1764"/>
      <c r="AP1205" s="1761" t="s">
        <v>5379</v>
      </c>
      <c r="AQ1205" s="1761" t="s">
        <v>5380</v>
      </c>
      <c r="AR1205" s="1761" t="s">
        <v>5381</v>
      </c>
      <c r="AS1205" s="1761" t="s">
        <v>347</v>
      </c>
      <c r="AT1205" s="1761" t="s">
        <v>327</v>
      </c>
      <c r="AU1205" s="1763"/>
      <c r="AV1205" s="1763"/>
    </row>
    <row r="1206" spans="1:48" ht="25" hidden="1">
      <c r="A1206" s="1785" t="str">
        <f t="shared" si="198"/>
        <v>גמל</v>
      </c>
      <c r="B1206" s="1786">
        <f t="shared" si="199"/>
        <v>809</v>
      </c>
      <c r="C1206" s="1787">
        <v>28946</v>
      </c>
      <c r="D1206" s="1786" t="str">
        <f t="shared" si="200"/>
        <v>אקסלנס השתלמות ללא מניות</v>
      </c>
      <c r="E1206" s="1786" t="s">
        <v>3929</v>
      </c>
      <c r="F1206" s="1786" t="s">
        <v>2958</v>
      </c>
      <c r="G1206" s="1786" t="s">
        <v>2959</v>
      </c>
      <c r="H1206" s="1786" t="str">
        <f t="shared" si="201"/>
        <v>לא פעיל</v>
      </c>
      <c r="I1206" s="1788">
        <f t="shared" si="202"/>
        <v>36859</v>
      </c>
      <c r="J1206" s="1788">
        <f t="shared" si="203"/>
        <v>41654.6734027778</v>
      </c>
      <c r="K1206" s="1786">
        <v>0</v>
      </c>
      <c r="L1206" s="1786" t="s">
        <v>1594</v>
      </c>
      <c r="M1206" s="1786" t="s">
        <v>1653</v>
      </c>
      <c r="N1206" s="1786" t="s">
        <v>1653</v>
      </c>
      <c r="O1206" s="1786">
        <v>0</v>
      </c>
      <c r="P1206" s="1786"/>
      <c r="Q1206" s="1786">
        <v>0</v>
      </c>
      <c r="R1206" s="1788"/>
      <c r="S1206" s="1786">
        <f t="shared" si="204"/>
        <v>686</v>
      </c>
      <c r="T1206" s="1786" t="str">
        <f t="shared" si="205"/>
        <v>הבנק הבינלאומי הראשון</v>
      </c>
      <c r="U1206" s="1786" t="str">
        <f t="shared" si="206"/>
        <v>אקסלנס השתלמות</v>
      </c>
      <c r="V1206" s="1786" t="str">
        <f t="shared" si="207"/>
        <v>520017450</v>
      </c>
      <c r="W1206" s="1789" t="str">
        <f t="shared" si="208"/>
        <v xml:space="preserve">הפניקס אקסלנס פנסיה וגמל בע"מ </v>
      </c>
      <c r="AC1206" s="1759" t="s">
        <v>1586</v>
      </c>
      <c r="AD1206" s="1760">
        <v>41654.6734027778</v>
      </c>
      <c r="AE1206" s="1760">
        <v>36859</v>
      </c>
      <c r="AF1206" s="1759" t="s">
        <v>1583</v>
      </c>
      <c r="AG1206" s="1759" t="s">
        <v>1583</v>
      </c>
      <c r="AH1206" s="1759" t="s">
        <v>1583</v>
      </c>
      <c r="AI1206" s="1759" t="s">
        <v>2060</v>
      </c>
      <c r="AJ1206" s="1759" t="s">
        <v>2060</v>
      </c>
      <c r="AK1206" s="1759">
        <v>809</v>
      </c>
      <c r="AL1206" s="1759" t="s">
        <v>595</v>
      </c>
      <c r="AM1206" s="1759">
        <v>686</v>
      </c>
      <c r="AN1206" s="1759" t="s">
        <v>5384</v>
      </c>
      <c r="AO1206" s="1764"/>
      <c r="AP1206" s="1759" t="s">
        <v>5379</v>
      </c>
      <c r="AQ1206" s="1759" t="s">
        <v>5380</v>
      </c>
      <c r="AR1206" s="1759" t="s">
        <v>5381</v>
      </c>
      <c r="AS1206" s="1759" t="s">
        <v>347</v>
      </c>
      <c r="AT1206" s="1759" t="s">
        <v>327</v>
      </c>
      <c r="AU1206" s="1763"/>
      <c r="AV1206" s="1763"/>
    </row>
    <row r="1207" spans="1:48" ht="25" hidden="1">
      <c r="A1207" s="1785" t="str">
        <f t="shared" si="198"/>
        <v>גמל</v>
      </c>
      <c r="B1207" s="1786">
        <f t="shared" si="199"/>
        <v>2095</v>
      </c>
      <c r="C1207" s="1787">
        <v>28946</v>
      </c>
      <c r="D1207" s="1786" t="str">
        <f t="shared" si="200"/>
        <v>אקסלנס השתלמות צמוד מדד</v>
      </c>
      <c r="E1207" s="1786" t="s">
        <v>3929</v>
      </c>
      <c r="F1207" s="1786" t="s">
        <v>2958</v>
      </c>
      <c r="G1207" s="1786" t="s">
        <v>2959</v>
      </c>
      <c r="H1207" s="1786" t="str">
        <f t="shared" si="201"/>
        <v>לא פעיל</v>
      </c>
      <c r="I1207" s="1788">
        <f t="shared" si="202"/>
        <v>36859</v>
      </c>
      <c r="J1207" s="1788">
        <f t="shared" si="203"/>
        <v>41674.666458333297</v>
      </c>
      <c r="K1207" s="1786">
        <v>0</v>
      </c>
      <c r="L1207" s="1786" t="s">
        <v>1594</v>
      </c>
      <c r="M1207" s="1786" t="s">
        <v>1653</v>
      </c>
      <c r="N1207" s="1786" t="s">
        <v>1653</v>
      </c>
      <c r="O1207" s="1786">
        <v>0</v>
      </c>
      <c r="P1207" s="1786"/>
      <c r="Q1207" s="1786">
        <v>0</v>
      </c>
      <c r="R1207" s="1788"/>
      <c r="S1207" s="1786">
        <f t="shared" si="204"/>
        <v>686</v>
      </c>
      <c r="T1207" s="1786" t="str">
        <f t="shared" si="205"/>
        <v>הבנק הבינלאומי הראשון</v>
      </c>
      <c r="U1207" s="1786" t="str">
        <f t="shared" si="206"/>
        <v>אקסלנס השתלמות</v>
      </c>
      <c r="V1207" s="1786" t="str">
        <f t="shared" si="207"/>
        <v>520017450</v>
      </c>
      <c r="W1207" s="1789" t="str">
        <f t="shared" si="208"/>
        <v xml:space="preserve">הפניקס אקסלנס פנסיה וגמל בע"מ </v>
      </c>
      <c r="AC1207" s="1761" t="s">
        <v>1586</v>
      </c>
      <c r="AD1207" s="1762">
        <v>41674.666458333297</v>
      </c>
      <c r="AE1207" s="1762">
        <v>36859</v>
      </c>
      <c r="AF1207" s="1761" t="s">
        <v>1094</v>
      </c>
      <c r="AG1207" s="1761" t="s">
        <v>1094</v>
      </c>
      <c r="AH1207" s="1761" t="s">
        <v>1594</v>
      </c>
      <c r="AI1207" s="1761" t="s">
        <v>2554</v>
      </c>
      <c r="AJ1207" s="1761" t="s">
        <v>2554</v>
      </c>
      <c r="AK1207" s="1761">
        <v>2095</v>
      </c>
      <c r="AL1207" s="1761" t="s">
        <v>595</v>
      </c>
      <c r="AM1207" s="1761">
        <v>686</v>
      </c>
      <c r="AN1207" s="1761" t="s">
        <v>5384</v>
      </c>
      <c r="AO1207" s="1764"/>
      <c r="AP1207" s="1761" t="s">
        <v>5379</v>
      </c>
      <c r="AQ1207" s="1761" t="s">
        <v>5380</v>
      </c>
      <c r="AR1207" s="1761" t="s">
        <v>5381</v>
      </c>
      <c r="AS1207" s="1761" t="s">
        <v>347</v>
      </c>
      <c r="AT1207" s="1761" t="s">
        <v>327</v>
      </c>
      <c r="AU1207" s="1763"/>
      <c r="AV1207" s="1763"/>
    </row>
    <row r="1208" spans="1:48" ht="25" hidden="1">
      <c r="A1208" s="1785" t="str">
        <f t="shared" si="198"/>
        <v>גמל</v>
      </c>
      <c r="B1208" s="1786">
        <f t="shared" si="199"/>
        <v>2094</v>
      </c>
      <c r="C1208" s="1787">
        <v>28946</v>
      </c>
      <c r="D1208" s="1786" t="str">
        <f t="shared" si="200"/>
        <v>אקסלנס השתלמות מניות</v>
      </c>
      <c r="E1208" s="1786" t="s">
        <v>3929</v>
      </c>
      <c r="F1208" s="1786" t="s">
        <v>2958</v>
      </c>
      <c r="G1208" s="1786" t="s">
        <v>2959</v>
      </c>
      <c r="H1208" s="1786" t="str">
        <f t="shared" si="201"/>
        <v>לא פעיל</v>
      </c>
      <c r="I1208" s="1788">
        <f t="shared" si="202"/>
        <v>36859</v>
      </c>
      <c r="J1208" s="1788">
        <f t="shared" si="203"/>
        <v>41674.666458333297</v>
      </c>
      <c r="K1208" s="1786">
        <v>0</v>
      </c>
      <c r="L1208" s="1786" t="s">
        <v>1594</v>
      </c>
      <c r="M1208" s="1786" t="s">
        <v>1653</v>
      </c>
      <c r="N1208" s="1786" t="s">
        <v>1653</v>
      </c>
      <c r="O1208" s="1786">
        <v>0</v>
      </c>
      <c r="P1208" s="1786"/>
      <c r="Q1208" s="1786">
        <v>0</v>
      </c>
      <c r="R1208" s="1788"/>
      <c r="S1208" s="1786">
        <f t="shared" si="204"/>
        <v>686</v>
      </c>
      <c r="T1208" s="1786" t="str">
        <f t="shared" si="205"/>
        <v>הבנק הבינלאומי הראשון</v>
      </c>
      <c r="U1208" s="1786" t="str">
        <f t="shared" si="206"/>
        <v>אקסלנס השתלמות</v>
      </c>
      <c r="V1208" s="1786" t="str">
        <f t="shared" si="207"/>
        <v>520017450</v>
      </c>
      <c r="W1208" s="1789" t="str">
        <f t="shared" si="208"/>
        <v xml:space="preserve">הפניקס אקסלנס פנסיה וגמל בע"מ </v>
      </c>
      <c r="AC1208" s="1759" t="s">
        <v>1586</v>
      </c>
      <c r="AD1208" s="1760">
        <v>41674.666458333297</v>
      </c>
      <c r="AE1208" s="1760">
        <v>36859</v>
      </c>
      <c r="AF1208" s="1759" t="s">
        <v>1595</v>
      </c>
      <c r="AG1208" s="1759" t="s">
        <v>75</v>
      </c>
      <c r="AH1208" s="1759" t="s">
        <v>1594</v>
      </c>
      <c r="AI1208" s="1759" t="s">
        <v>2553</v>
      </c>
      <c r="AJ1208" s="1759" t="s">
        <v>2553</v>
      </c>
      <c r="AK1208" s="1759">
        <v>2094</v>
      </c>
      <c r="AL1208" s="1759" t="s">
        <v>595</v>
      </c>
      <c r="AM1208" s="1759">
        <v>686</v>
      </c>
      <c r="AN1208" s="1759" t="s">
        <v>5384</v>
      </c>
      <c r="AO1208" s="1764"/>
      <c r="AP1208" s="1759" t="s">
        <v>5379</v>
      </c>
      <c r="AQ1208" s="1759" t="s">
        <v>5380</v>
      </c>
      <c r="AR1208" s="1759" t="s">
        <v>5381</v>
      </c>
      <c r="AS1208" s="1759" t="s">
        <v>347</v>
      </c>
      <c r="AT1208" s="1759" t="s">
        <v>327</v>
      </c>
      <c r="AU1208" s="1763"/>
      <c r="AV1208" s="1763"/>
    </row>
    <row r="1209" spans="1:48" ht="25" hidden="1">
      <c r="A1209" s="1785" t="str">
        <f t="shared" si="198"/>
        <v>גמל</v>
      </c>
      <c r="B1209" s="1786">
        <f t="shared" si="199"/>
        <v>808</v>
      </c>
      <c r="C1209" s="1787">
        <v>28946</v>
      </c>
      <c r="D1209" s="1786" t="str">
        <f t="shared" si="200"/>
        <v>אקסלנס גמל ללא מניות</v>
      </c>
      <c r="E1209" s="1786" t="s">
        <v>3929</v>
      </c>
      <c r="F1209" s="1786" t="s">
        <v>2958</v>
      </c>
      <c r="G1209" s="1786" t="s">
        <v>2959</v>
      </c>
      <c r="H1209" s="1786" t="str">
        <f t="shared" si="201"/>
        <v>לא פעיל</v>
      </c>
      <c r="I1209" s="1788">
        <f t="shared" si="202"/>
        <v>36859</v>
      </c>
      <c r="J1209" s="1788">
        <f t="shared" si="203"/>
        <v>41654.592546296299</v>
      </c>
      <c r="K1209" s="1786">
        <v>0</v>
      </c>
      <c r="L1209" s="1786" t="s">
        <v>1594</v>
      </c>
      <c r="M1209" s="1786" t="s">
        <v>1653</v>
      </c>
      <c r="N1209" s="1786" t="s">
        <v>1653</v>
      </c>
      <c r="O1209" s="1786">
        <v>0</v>
      </c>
      <c r="P1209" s="1786"/>
      <c r="Q1209" s="1786">
        <v>0</v>
      </c>
      <c r="R1209" s="1788"/>
      <c r="S1209" s="1786">
        <f t="shared" si="204"/>
        <v>685</v>
      </c>
      <c r="T1209" s="1786" t="str">
        <f t="shared" si="205"/>
        <v>הבנק הבינלאומי הראשון</v>
      </c>
      <c r="U1209" s="1786" t="str">
        <f t="shared" si="206"/>
        <v>אקסלנס גמל</v>
      </c>
      <c r="V1209" s="1786" t="str">
        <f t="shared" si="207"/>
        <v>520017450</v>
      </c>
      <c r="W1209" s="1789" t="str">
        <f t="shared" si="208"/>
        <v xml:space="preserve">הפניקס אקסלנס פנסיה וגמל בע"מ </v>
      </c>
      <c r="AC1209" s="1761" t="s">
        <v>1586</v>
      </c>
      <c r="AD1209" s="1762">
        <v>41654.592546296299</v>
      </c>
      <c r="AE1209" s="1762">
        <v>36859</v>
      </c>
      <c r="AF1209" s="1761" t="s">
        <v>1583</v>
      </c>
      <c r="AG1209" s="1761" t="s">
        <v>1583</v>
      </c>
      <c r="AH1209" s="1761" t="s">
        <v>1583</v>
      </c>
      <c r="AI1209" s="1761" t="s">
        <v>2059</v>
      </c>
      <c r="AJ1209" s="1761" t="s">
        <v>2059</v>
      </c>
      <c r="AK1209" s="1761">
        <v>808</v>
      </c>
      <c r="AL1209" s="1761" t="s">
        <v>594</v>
      </c>
      <c r="AM1209" s="1761">
        <v>685</v>
      </c>
      <c r="AN1209" s="1761" t="s">
        <v>5384</v>
      </c>
      <c r="AO1209" s="1764"/>
      <c r="AP1209" s="1761" t="s">
        <v>5379</v>
      </c>
      <c r="AQ1209" s="1761" t="s">
        <v>5380</v>
      </c>
      <c r="AR1209" s="1761" t="s">
        <v>5381</v>
      </c>
      <c r="AS1209" s="1761" t="s">
        <v>347</v>
      </c>
      <c r="AT1209" s="1761" t="s">
        <v>327</v>
      </c>
      <c r="AU1209" s="1763"/>
      <c r="AV1209" s="1763"/>
    </row>
    <row r="1210" spans="1:48" ht="25" hidden="1">
      <c r="A1210" s="1785" t="str">
        <f t="shared" si="198"/>
        <v>גמל</v>
      </c>
      <c r="B1210" s="1786">
        <f t="shared" si="199"/>
        <v>1189</v>
      </c>
      <c r="C1210" s="1787">
        <v>28946</v>
      </c>
      <c r="D1210" s="1786" t="str">
        <f t="shared" si="200"/>
        <v>אקסלנס גמל עד 50% מניות</v>
      </c>
      <c r="E1210" s="1786" t="s">
        <v>3929</v>
      </c>
      <c r="F1210" s="1786" t="s">
        <v>2958</v>
      </c>
      <c r="G1210" s="1786" t="s">
        <v>2959</v>
      </c>
      <c r="H1210" s="1786" t="str">
        <f t="shared" si="201"/>
        <v>לא פעיל</v>
      </c>
      <c r="I1210" s="1788">
        <f t="shared" si="202"/>
        <v>36859</v>
      </c>
      <c r="J1210" s="1788">
        <f t="shared" si="203"/>
        <v>41654.592546296299</v>
      </c>
      <c r="K1210" s="1786">
        <v>0</v>
      </c>
      <c r="L1210" s="1786" t="s">
        <v>1594</v>
      </c>
      <c r="M1210" s="1786" t="s">
        <v>1653</v>
      </c>
      <c r="N1210" s="1786" t="s">
        <v>1653</v>
      </c>
      <c r="O1210" s="1786">
        <v>0</v>
      </c>
      <c r="P1210" s="1786"/>
      <c r="Q1210" s="1786">
        <v>0</v>
      </c>
      <c r="R1210" s="1788"/>
      <c r="S1210" s="1786">
        <f t="shared" si="204"/>
        <v>685</v>
      </c>
      <c r="T1210" s="1786" t="str">
        <f t="shared" si="205"/>
        <v>הבנק הבינלאומי הראשון</v>
      </c>
      <c r="U1210" s="1786" t="str">
        <f t="shared" si="206"/>
        <v>אקסלנס גמל</v>
      </c>
      <c r="V1210" s="1786" t="str">
        <f t="shared" si="207"/>
        <v>520017450</v>
      </c>
      <c r="W1210" s="1789" t="str">
        <f t="shared" si="208"/>
        <v xml:space="preserve">הפניקס אקסלנס פנסיה וגמל בע"מ </v>
      </c>
      <c r="AC1210" s="1759" t="s">
        <v>1586</v>
      </c>
      <c r="AD1210" s="1760">
        <v>41654.592546296299</v>
      </c>
      <c r="AE1210" s="1760">
        <v>36859</v>
      </c>
      <c r="AF1210" s="1759" t="s">
        <v>1583</v>
      </c>
      <c r="AG1210" s="1759" t="s">
        <v>1583</v>
      </c>
      <c r="AH1210" s="1759" t="s">
        <v>1583</v>
      </c>
      <c r="AI1210" s="1759" t="s">
        <v>2330</v>
      </c>
      <c r="AJ1210" s="1759" t="s">
        <v>2330</v>
      </c>
      <c r="AK1210" s="1759">
        <v>1189</v>
      </c>
      <c r="AL1210" s="1759" t="s">
        <v>594</v>
      </c>
      <c r="AM1210" s="1759">
        <v>685</v>
      </c>
      <c r="AN1210" s="1759" t="s">
        <v>5384</v>
      </c>
      <c r="AO1210" s="1764"/>
      <c r="AP1210" s="1759" t="s">
        <v>5379</v>
      </c>
      <c r="AQ1210" s="1759" t="s">
        <v>5380</v>
      </c>
      <c r="AR1210" s="1759" t="s">
        <v>5381</v>
      </c>
      <c r="AS1210" s="1759" t="s">
        <v>347</v>
      </c>
      <c r="AT1210" s="1759" t="s">
        <v>327</v>
      </c>
      <c r="AU1210" s="1763"/>
      <c r="AV1210" s="1763"/>
    </row>
    <row r="1211" spans="1:48" ht="25" hidden="1">
      <c r="A1211" s="1785" t="str">
        <f t="shared" si="198"/>
        <v>גמל</v>
      </c>
      <c r="B1211" s="1786">
        <f t="shared" si="199"/>
        <v>684</v>
      </c>
      <c r="C1211" s="1787">
        <v>28946</v>
      </c>
      <c r="D1211" s="1786" t="str">
        <f t="shared" si="200"/>
        <v>הדס קופה מרכזית לפיצויים</v>
      </c>
      <c r="E1211" s="1786" t="s">
        <v>3929</v>
      </c>
      <c r="F1211" s="1786" t="s">
        <v>2958</v>
      </c>
      <c r="G1211" s="1786" t="s">
        <v>2959</v>
      </c>
      <c r="H1211" s="1786" t="str">
        <f t="shared" si="201"/>
        <v>פעיל</v>
      </c>
      <c r="I1211" s="1788">
        <f t="shared" si="202"/>
        <v>36853</v>
      </c>
      <c r="J1211" s="1788" t="str">
        <f t="shared" si="203"/>
        <v/>
      </c>
      <c r="K1211" s="1786">
        <v>0</v>
      </c>
      <c r="L1211" s="1786" t="s">
        <v>1594</v>
      </c>
      <c r="M1211" s="1786" t="s">
        <v>1653</v>
      </c>
      <c r="N1211" s="1786" t="s">
        <v>1653</v>
      </c>
      <c r="O1211" s="1786">
        <v>0</v>
      </c>
      <c r="P1211" s="1786"/>
      <c r="Q1211" s="1786">
        <v>0</v>
      </c>
      <c r="R1211" s="1788"/>
      <c r="S1211" s="1786">
        <f t="shared" si="204"/>
        <v>684</v>
      </c>
      <c r="T1211" s="1786" t="str">
        <f t="shared" si="205"/>
        <v>ד.ס.ש ייעוץ ושירותים בע"מ</v>
      </c>
      <c r="U1211" s="1786" t="str">
        <f t="shared" si="206"/>
        <v>הדס קופה מרכזית לפיצויים</v>
      </c>
      <c r="V1211" s="1786">
        <f t="shared" si="207"/>
        <v>0</v>
      </c>
      <c r="W1211" s="1789" t="str">
        <f t="shared" si="208"/>
        <v>כלל פנסיה וגמל בע"מ</v>
      </c>
      <c r="AC1211" s="1761" t="s">
        <v>346</v>
      </c>
      <c r="AD1211" s="1761"/>
      <c r="AE1211" s="1762">
        <v>36853</v>
      </c>
      <c r="AF1211" s="1761"/>
      <c r="AG1211" s="1761"/>
      <c r="AH1211" s="1761" t="s">
        <v>1812</v>
      </c>
      <c r="AI1211" s="1761" t="s">
        <v>3248</v>
      </c>
      <c r="AJ1211" s="1761" t="s">
        <v>593</v>
      </c>
      <c r="AK1211" s="1761">
        <v>684</v>
      </c>
      <c r="AL1211" s="1761" t="s">
        <v>593</v>
      </c>
      <c r="AM1211" s="1761">
        <v>684</v>
      </c>
      <c r="AN1211" s="1761" t="s">
        <v>5393</v>
      </c>
      <c r="AO1211" s="1764"/>
      <c r="AP1211" s="1761"/>
      <c r="AQ1211" s="1761"/>
      <c r="AR1211" s="1761" t="s">
        <v>378</v>
      </c>
      <c r="AS1211" s="1761" t="s">
        <v>379</v>
      </c>
      <c r="AT1211" s="1761" t="s">
        <v>327</v>
      </c>
      <c r="AU1211" s="1763"/>
      <c r="AV1211" s="1763"/>
    </row>
    <row r="1212" spans="1:48" ht="25" hidden="1">
      <c r="A1212" s="1785" t="str">
        <f t="shared" si="198"/>
        <v>גמל</v>
      </c>
      <c r="B1212" s="1786">
        <f t="shared" si="199"/>
        <v>683</v>
      </c>
      <c r="C1212" s="1787">
        <v>28946</v>
      </c>
      <c r="D1212" s="1786" t="str">
        <f t="shared" si="200"/>
        <v>פסגות גמל מסלולית לפיצויים</v>
      </c>
      <c r="E1212" s="1786" t="s">
        <v>3929</v>
      </c>
      <c r="F1212" s="1786" t="s">
        <v>2958</v>
      </c>
      <c r="G1212" s="1786" t="s">
        <v>2959</v>
      </c>
      <c r="H1212" s="1786" t="str">
        <f t="shared" si="201"/>
        <v>לא פעיל</v>
      </c>
      <c r="I1212" s="1788">
        <f t="shared" si="202"/>
        <v>36760</v>
      </c>
      <c r="J1212" s="1788">
        <f t="shared" si="203"/>
        <v>40133.756817129601</v>
      </c>
      <c r="K1212" s="1786">
        <v>0</v>
      </c>
      <c r="L1212" s="1786" t="s">
        <v>1594</v>
      </c>
      <c r="M1212" s="1786" t="s">
        <v>1653</v>
      </c>
      <c r="N1212" s="1786" t="s">
        <v>1653</v>
      </c>
      <c r="O1212" s="1786">
        <v>0</v>
      </c>
      <c r="P1212" s="1786"/>
      <c r="Q1212" s="1786">
        <v>0</v>
      </c>
      <c r="R1212" s="1788"/>
      <c r="S1212" s="1786">
        <f t="shared" si="204"/>
        <v>683</v>
      </c>
      <c r="T1212" s="1786" t="str">
        <f t="shared" si="205"/>
        <v>בנק הפועלים בע"מ</v>
      </c>
      <c r="U1212" s="1786" t="str">
        <f t="shared" si="206"/>
        <v>פסגות גמל מסלולית לפיצויים</v>
      </c>
      <c r="V1212" s="1786" t="str">
        <f t="shared" si="207"/>
        <v>513767079</v>
      </c>
      <c r="W1212" s="1789" t="str">
        <f t="shared" si="208"/>
        <v>פסגות קופות גמל ופנסיה בע"מ</v>
      </c>
      <c r="AC1212" s="1759" t="s">
        <v>1586</v>
      </c>
      <c r="AD1212" s="1760">
        <v>40133.756817129601</v>
      </c>
      <c r="AE1212" s="1760">
        <v>36760</v>
      </c>
      <c r="AF1212" s="1759"/>
      <c r="AG1212" s="1759"/>
      <c r="AH1212" s="1759" t="s">
        <v>1812</v>
      </c>
      <c r="AI1212" s="1759" t="s">
        <v>1968</v>
      </c>
      <c r="AJ1212" s="1759" t="s">
        <v>1968</v>
      </c>
      <c r="AK1212" s="1759">
        <v>683</v>
      </c>
      <c r="AL1212" s="1759" t="s">
        <v>1968</v>
      </c>
      <c r="AM1212" s="1759">
        <v>683</v>
      </c>
      <c r="AN1212" s="1759" t="s">
        <v>1695</v>
      </c>
      <c r="AO1212" s="1764"/>
      <c r="AP1212" s="1759" t="s">
        <v>5365</v>
      </c>
      <c r="AQ1212" s="1759" t="s">
        <v>5366</v>
      </c>
      <c r="AR1212" s="1759" t="s">
        <v>351</v>
      </c>
      <c r="AS1212" s="1759" t="s">
        <v>352</v>
      </c>
      <c r="AT1212" s="1759" t="s">
        <v>327</v>
      </c>
      <c r="AU1212" s="1763"/>
      <c r="AV1212" s="1763"/>
    </row>
    <row r="1213" spans="1:48" ht="25" hidden="1">
      <c r="A1213" s="1785" t="str">
        <f t="shared" si="198"/>
        <v>גמל</v>
      </c>
      <c r="B1213" s="1786">
        <f t="shared" si="199"/>
        <v>682</v>
      </c>
      <c r="C1213" s="1787">
        <v>28946</v>
      </c>
      <c r="D1213" s="1786" t="str">
        <f t="shared" si="200"/>
        <v>הלמן-אלדובי מרכזית לפיצויים רב מסלולית</v>
      </c>
      <c r="E1213" s="1786" t="s">
        <v>3929</v>
      </c>
      <c r="F1213" s="1786" t="s">
        <v>2958</v>
      </c>
      <c r="G1213" s="1786" t="s">
        <v>2959</v>
      </c>
      <c r="H1213" s="1786" t="str">
        <f t="shared" si="201"/>
        <v>פעיל</v>
      </c>
      <c r="I1213" s="1788">
        <f t="shared" si="202"/>
        <v>36760</v>
      </c>
      <c r="J1213" s="1788" t="str">
        <f t="shared" si="203"/>
        <v/>
      </c>
      <c r="K1213" s="1786">
        <v>0</v>
      </c>
      <c r="L1213" s="1786" t="s">
        <v>1594</v>
      </c>
      <c r="M1213" s="1786" t="s">
        <v>1653</v>
      </c>
      <c r="N1213" s="1786" t="s">
        <v>1653</v>
      </c>
      <c r="O1213" s="1786">
        <v>0</v>
      </c>
      <c r="P1213" s="1786"/>
      <c r="Q1213" s="1786">
        <v>0</v>
      </c>
      <c r="R1213" s="1788"/>
      <c r="S1213" s="1786">
        <f t="shared" si="204"/>
        <v>682</v>
      </c>
      <c r="T1213" s="1786" t="str">
        <f t="shared" si="205"/>
        <v>בנק הפועלים בע"מ</v>
      </c>
      <c r="U1213" s="1786" t="str">
        <f t="shared" si="206"/>
        <v>סנונית-קופה מסלולית לפיצויים</v>
      </c>
      <c r="V1213" s="1786" t="str">
        <f t="shared" si="207"/>
        <v>513163105</v>
      </c>
      <c r="W1213" s="1789" t="str">
        <f t="shared" si="208"/>
        <v>הלמן - אלדובי קופות גמל ופנסיה בע"מ</v>
      </c>
      <c r="AC1213" s="1761" t="s">
        <v>346</v>
      </c>
      <c r="AD1213" s="1761"/>
      <c r="AE1213" s="1762">
        <v>36760</v>
      </c>
      <c r="AF1213" s="1761"/>
      <c r="AG1213" s="1761"/>
      <c r="AH1213" s="1761" t="s">
        <v>1812</v>
      </c>
      <c r="AI1213" s="1761" t="s">
        <v>5557</v>
      </c>
      <c r="AJ1213" s="1761" t="s">
        <v>5557</v>
      </c>
      <c r="AK1213" s="1761">
        <v>682</v>
      </c>
      <c r="AL1213" s="1761" t="s">
        <v>3039</v>
      </c>
      <c r="AM1213" s="1761">
        <v>682</v>
      </c>
      <c r="AN1213" s="1761" t="s">
        <v>1695</v>
      </c>
      <c r="AO1213" s="1764"/>
      <c r="AP1213" s="1761" t="s">
        <v>5371</v>
      </c>
      <c r="AQ1213" s="1761" t="s">
        <v>5372</v>
      </c>
      <c r="AR1213" s="1761" t="s">
        <v>354</v>
      </c>
      <c r="AS1213" s="1761" t="s">
        <v>355</v>
      </c>
      <c r="AT1213" s="1761" t="s">
        <v>327</v>
      </c>
      <c r="AU1213" s="1763"/>
      <c r="AV1213" s="1763"/>
    </row>
    <row r="1214" spans="1:48" ht="25" hidden="1">
      <c r="A1214" s="1785" t="str">
        <f t="shared" si="198"/>
        <v>גמל</v>
      </c>
      <c r="B1214" s="1786">
        <f t="shared" si="199"/>
        <v>1233</v>
      </c>
      <c r="C1214" s="1787">
        <v>28946</v>
      </c>
      <c r="D1214" s="1786" t="str">
        <f t="shared" si="200"/>
        <v>הלמן-אלדובי מרכזית לפיצויים מסלול אג"ח</v>
      </c>
      <c r="E1214" s="1786" t="s">
        <v>3929</v>
      </c>
      <c r="F1214" s="1786" t="s">
        <v>2958</v>
      </c>
      <c r="G1214" s="1786" t="s">
        <v>2959</v>
      </c>
      <c r="H1214" s="1786" t="str">
        <f t="shared" si="201"/>
        <v>פעיל</v>
      </c>
      <c r="I1214" s="1788">
        <f t="shared" si="202"/>
        <v>36760</v>
      </c>
      <c r="J1214" s="1788" t="str">
        <f t="shared" si="203"/>
        <v/>
      </c>
      <c r="K1214" s="1786">
        <v>0</v>
      </c>
      <c r="L1214" s="1786" t="s">
        <v>1594</v>
      </c>
      <c r="M1214" s="1786" t="s">
        <v>1653</v>
      </c>
      <c r="N1214" s="1786" t="s">
        <v>1653</v>
      </c>
      <c r="O1214" s="1786">
        <v>0</v>
      </c>
      <c r="P1214" s="1786"/>
      <c r="Q1214" s="1786">
        <v>0</v>
      </c>
      <c r="R1214" s="1788"/>
      <c r="S1214" s="1786">
        <f t="shared" si="204"/>
        <v>682</v>
      </c>
      <c r="T1214" s="1786" t="str">
        <f t="shared" si="205"/>
        <v>בנק הפועלים בע"מ</v>
      </c>
      <c r="U1214" s="1786" t="str">
        <f t="shared" si="206"/>
        <v>סנונית-קופה מסלולית לפיצויים</v>
      </c>
      <c r="V1214" s="1786" t="str">
        <f t="shared" si="207"/>
        <v>513163105</v>
      </c>
      <c r="W1214" s="1789" t="str">
        <f t="shared" si="208"/>
        <v>הלמן - אלדובי קופות גמל ופנסיה בע"מ</v>
      </c>
      <c r="AC1214" s="1759" t="s">
        <v>346</v>
      </c>
      <c r="AD1214" s="1759"/>
      <c r="AE1214" s="1760">
        <v>36760</v>
      </c>
      <c r="AF1214" s="1759" t="s">
        <v>1653</v>
      </c>
      <c r="AG1214" s="1759" t="s">
        <v>1653</v>
      </c>
      <c r="AH1214" s="1759" t="s">
        <v>1594</v>
      </c>
      <c r="AI1214" s="1759" t="s">
        <v>5558</v>
      </c>
      <c r="AJ1214" s="1759" t="s">
        <v>5558</v>
      </c>
      <c r="AK1214" s="1759">
        <v>1233</v>
      </c>
      <c r="AL1214" s="1759" t="s">
        <v>3039</v>
      </c>
      <c r="AM1214" s="1759">
        <v>682</v>
      </c>
      <c r="AN1214" s="1759" t="s">
        <v>1695</v>
      </c>
      <c r="AO1214" s="1764"/>
      <c r="AP1214" s="1759" t="s">
        <v>5371</v>
      </c>
      <c r="AQ1214" s="1759" t="s">
        <v>5372</v>
      </c>
      <c r="AR1214" s="1759" t="s">
        <v>354</v>
      </c>
      <c r="AS1214" s="1759" t="s">
        <v>355</v>
      </c>
      <c r="AT1214" s="1759" t="s">
        <v>327</v>
      </c>
      <c r="AU1214" s="1763"/>
      <c r="AV1214" s="1763"/>
    </row>
    <row r="1215" spans="1:48" ht="25" hidden="1">
      <c r="A1215" s="1785" t="str">
        <f t="shared" si="198"/>
        <v>גמל</v>
      </c>
      <c r="B1215" s="1786">
        <f t="shared" si="199"/>
        <v>262</v>
      </c>
      <c r="C1215" s="1787">
        <v>28946</v>
      </c>
      <c r="D1215" s="1786" t="str">
        <f t="shared" si="200"/>
        <v>הלמן-אלדובי מרכזית לפיצויים כללי</v>
      </c>
      <c r="E1215" s="1786" t="s">
        <v>3929</v>
      </c>
      <c r="F1215" s="1786" t="s">
        <v>2958</v>
      </c>
      <c r="G1215" s="1786" t="s">
        <v>2959</v>
      </c>
      <c r="H1215" s="1786" t="str">
        <f t="shared" si="201"/>
        <v>פעיל</v>
      </c>
      <c r="I1215" s="1788">
        <f t="shared" si="202"/>
        <v>36760</v>
      </c>
      <c r="J1215" s="1788" t="str">
        <f t="shared" si="203"/>
        <v/>
      </c>
      <c r="K1215" s="1786">
        <v>0</v>
      </c>
      <c r="L1215" s="1786" t="s">
        <v>1594</v>
      </c>
      <c r="M1215" s="1786" t="s">
        <v>1653</v>
      </c>
      <c r="N1215" s="1786" t="s">
        <v>1653</v>
      </c>
      <c r="O1215" s="1786">
        <v>0</v>
      </c>
      <c r="P1215" s="1786"/>
      <c r="Q1215" s="1786">
        <v>0</v>
      </c>
      <c r="R1215" s="1788"/>
      <c r="S1215" s="1786">
        <f t="shared" si="204"/>
        <v>682</v>
      </c>
      <c r="T1215" s="1786" t="str">
        <f t="shared" si="205"/>
        <v>בנק הפועלים בע"מ</v>
      </c>
      <c r="U1215" s="1786" t="str">
        <f t="shared" si="206"/>
        <v>סנונית-קופה מסלולית לפיצויים</v>
      </c>
      <c r="V1215" s="1786" t="str">
        <f t="shared" si="207"/>
        <v>513163105</v>
      </c>
      <c r="W1215" s="1789" t="str">
        <f t="shared" si="208"/>
        <v>הלמן - אלדובי קופות גמל ופנסיה בע"מ</v>
      </c>
      <c r="AC1215" s="1761" t="s">
        <v>346</v>
      </c>
      <c r="AD1215" s="1761"/>
      <c r="AE1215" s="1762">
        <v>36760</v>
      </c>
      <c r="AF1215" s="1761" t="s">
        <v>1583</v>
      </c>
      <c r="AG1215" s="1761" t="s">
        <v>1583</v>
      </c>
      <c r="AH1215" s="1761" t="s">
        <v>1583</v>
      </c>
      <c r="AI1215" s="1761" t="s">
        <v>5559</v>
      </c>
      <c r="AJ1215" s="1761" t="s">
        <v>5559</v>
      </c>
      <c r="AK1215" s="1761">
        <v>262</v>
      </c>
      <c r="AL1215" s="1761" t="s">
        <v>3039</v>
      </c>
      <c r="AM1215" s="1761">
        <v>682</v>
      </c>
      <c r="AN1215" s="1761" t="s">
        <v>1695</v>
      </c>
      <c r="AO1215" s="1764"/>
      <c r="AP1215" s="1761" t="s">
        <v>5371</v>
      </c>
      <c r="AQ1215" s="1761" t="s">
        <v>5372</v>
      </c>
      <c r="AR1215" s="1761" t="s">
        <v>354</v>
      </c>
      <c r="AS1215" s="1761" t="s">
        <v>355</v>
      </c>
      <c r="AT1215" s="1761" t="s">
        <v>327</v>
      </c>
      <c r="AU1215" s="1763"/>
      <c r="AV1215" s="1763"/>
    </row>
    <row r="1216" spans="1:48" ht="26.5" hidden="1" customHeight="1">
      <c r="A1216" s="1785" t="str">
        <f t="shared" si="198"/>
        <v>גמל</v>
      </c>
      <c r="B1216" s="1786">
        <f t="shared" si="199"/>
        <v>680</v>
      </c>
      <c r="C1216" s="1787">
        <v>28946</v>
      </c>
      <c r="D1216" s="1786" t="str">
        <f t="shared" si="200"/>
        <v>קה"ל - מסלול חו"ל</v>
      </c>
      <c r="E1216" s="1786" t="s">
        <v>3929</v>
      </c>
      <c r="F1216" s="1786" t="s">
        <v>2958</v>
      </c>
      <c r="G1216" s="1786" t="s">
        <v>2959</v>
      </c>
      <c r="H1216" s="1786" t="str">
        <f t="shared" si="201"/>
        <v>לא פעיל</v>
      </c>
      <c r="I1216" s="1788">
        <f t="shared" si="202"/>
        <v>36662</v>
      </c>
      <c r="J1216" s="1788">
        <f t="shared" si="203"/>
        <v>39820.432094907403</v>
      </c>
      <c r="K1216" s="1786">
        <v>0</v>
      </c>
      <c r="L1216" s="1786" t="s">
        <v>1594</v>
      </c>
      <c r="M1216" s="1786" t="s">
        <v>1653</v>
      </c>
      <c r="N1216" s="1786" t="s">
        <v>1653</v>
      </c>
      <c r="O1216" s="1786">
        <v>0</v>
      </c>
      <c r="P1216" s="1786"/>
      <c r="Q1216" s="1786">
        <v>0</v>
      </c>
      <c r="R1216" s="1788"/>
      <c r="S1216" s="1786">
        <f t="shared" si="204"/>
        <v>680</v>
      </c>
      <c r="T1216" s="1786" t="str">
        <f t="shared" si="205"/>
        <v>בנק לאומי בע"מ</v>
      </c>
      <c r="U1216" s="1786" t="str">
        <f t="shared" si="206"/>
        <v>קה"ל - מסלול חו"ל</v>
      </c>
      <c r="V1216" s="1786">
        <f t="shared" si="207"/>
        <v>0</v>
      </c>
      <c r="W1216" s="1789" t="str">
        <f t="shared" si="208"/>
        <v>מגדל גמל פלטינום בע"מ</v>
      </c>
      <c r="AC1216" s="1759" t="s">
        <v>1586</v>
      </c>
      <c r="AD1216" s="1760">
        <v>39820.432094907403</v>
      </c>
      <c r="AE1216" s="1760">
        <v>36662</v>
      </c>
      <c r="AF1216" s="1759" t="s">
        <v>1948</v>
      </c>
      <c r="AG1216" s="1759" t="s">
        <v>1947</v>
      </c>
      <c r="AH1216" s="1759" t="s">
        <v>1594</v>
      </c>
      <c r="AI1216" s="1759" t="s">
        <v>3247</v>
      </c>
      <c r="AJ1216" s="1759" t="s">
        <v>1966</v>
      </c>
      <c r="AK1216" s="1759">
        <v>680</v>
      </c>
      <c r="AL1216" s="1759" t="s">
        <v>1966</v>
      </c>
      <c r="AM1216" s="1759">
        <v>680</v>
      </c>
      <c r="AN1216" s="1759" t="s">
        <v>5470</v>
      </c>
      <c r="AO1216" s="1764"/>
      <c r="AP1216" s="1759"/>
      <c r="AQ1216" s="1759"/>
      <c r="AR1216" s="1759" t="s">
        <v>1656</v>
      </c>
      <c r="AS1216" s="1759" t="s">
        <v>1655</v>
      </c>
      <c r="AT1216" s="1759" t="s">
        <v>327</v>
      </c>
      <c r="AU1216" s="1763"/>
      <c r="AV1216" s="1763"/>
    </row>
    <row r="1217" spans="1:48" ht="37.5" hidden="1">
      <c r="A1217" s="1785" t="str">
        <f t="shared" si="198"/>
        <v>גמל</v>
      </c>
      <c r="B1217" s="1786">
        <f t="shared" si="199"/>
        <v>679</v>
      </c>
      <c r="C1217" s="1787">
        <v>28946</v>
      </c>
      <c r="D1217" s="1786" t="str">
        <f t="shared" si="200"/>
        <v>איילון - הייטק השתלמות</v>
      </c>
      <c r="E1217" s="1786" t="s">
        <v>3929</v>
      </c>
      <c r="F1217" s="1786" t="s">
        <v>2958</v>
      </c>
      <c r="G1217" s="1786" t="s">
        <v>2959</v>
      </c>
      <c r="H1217" s="1786" t="str">
        <f t="shared" si="201"/>
        <v>לא פעיל</v>
      </c>
      <c r="I1217" s="1788">
        <f t="shared" si="202"/>
        <v>36643</v>
      </c>
      <c r="J1217" s="1788">
        <f t="shared" si="203"/>
        <v>40178</v>
      </c>
      <c r="K1217" s="1786">
        <v>0</v>
      </c>
      <c r="L1217" s="1786" t="s">
        <v>1594</v>
      </c>
      <c r="M1217" s="1786" t="s">
        <v>1653</v>
      </c>
      <c r="N1217" s="1786" t="s">
        <v>1653</v>
      </c>
      <c r="O1217" s="1786">
        <v>0</v>
      </c>
      <c r="P1217" s="1786"/>
      <c r="Q1217" s="1786">
        <v>0</v>
      </c>
      <c r="R1217" s="1788"/>
      <c r="S1217" s="1786">
        <f t="shared" si="204"/>
        <v>679</v>
      </c>
      <c r="T1217" s="1786" t="str">
        <f t="shared" si="205"/>
        <v>פיק, כהן ושות' חברה למיכון ומחשבים בע"מ</v>
      </c>
      <c r="U1217" s="1786" t="str">
        <f t="shared" si="206"/>
        <v>איילון - הייטק השתלמות</v>
      </c>
      <c r="V1217" s="1786" t="str">
        <f t="shared" si="207"/>
        <v>520030677</v>
      </c>
      <c r="W1217" s="1789" t="str">
        <f t="shared" si="208"/>
        <v>איילון פנסיה וגמל בע"מ</v>
      </c>
      <c r="AC1217" s="1761" t="s">
        <v>1586</v>
      </c>
      <c r="AD1217" s="1762">
        <v>40178</v>
      </c>
      <c r="AE1217" s="1762">
        <v>36643</v>
      </c>
      <c r="AF1217" s="1761" t="s">
        <v>1583</v>
      </c>
      <c r="AG1217" s="1761" t="s">
        <v>1583</v>
      </c>
      <c r="AH1217" s="1761" t="s">
        <v>1583</v>
      </c>
      <c r="AI1217" s="1761" t="s">
        <v>1965</v>
      </c>
      <c r="AJ1217" s="1761" t="s">
        <v>1965</v>
      </c>
      <c r="AK1217" s="1761">
        <v>679</v>
      </c>
      <c r="AL1217" s="1761" t="s">
        <v>1965</v>
      </c>
      <c r="AM1217" s="1761">
        <v>679</v>
      </c>
      <c r="AN1217" s="1761" t="s">
        <v>5530</v>
      </c>
      <c r="AO1217" s="1764"/>
      <c r="AP1217" s="1761" t="s">
        <v>5385</v>
      </c>
      <c r="AQ1217" s="1761" t="s">
        <v>5386</v>
      </c>
      <c r="AR1217" s="1761" t="s">
        <v>2780</v>
      </c>
      <c r="AS1217" s="1761" t="s">
        <v>426</v>
      </c>
      <c r="AT1217" s="1761" t="s">
        <v>327</v>
      </c>
      <c r="AU1217" s="1763"/>
      <c r="AV1217" s="1763"/>
    </row>
    <row r="1218" spans="1:48" ht="25">
      <c r="A1218" s="1785" t="str">
        <f t="shared" si="198"/>
        <v>פנסיה</v>
      </c>
      <c r="B1218" s="1786">
        <f t="shared" si="199"/>
        <v>8321</v>
      </c>
      <c r="C1218" s="1787">
        <v>28946</v>
      </c>
      <c r="D1218" s="1786" t="str">
        <f t="shared" si="200"/>
        <v xml:space="preserve">מסלול כללי ב' </v>
      </c>
      <c r="E1218" s="1786" t="s">
        <v>3929</v>
      </c>
      <c r="F1218" s="1786" t="s">
        <v>2958</v>
      </c>
      <c r="G1218" s="1786" t="s">
        <v>2959</v>
      </c>
      <c r="H1218" s="1786" t="str">
        <f t="shared" si="201"/>
        <v>לא פעיל</v>
      </c>
      <c r="I1218" s="1788">
        <f t="shared" si="202"/>
        <v>36620</v>
      </c>
      <c r="J1218" s="1788">
        <f t="shared" si="203"/>
        <v>42011.621793981503</v>
      </c>
      <c r="K1218" s="1786">
        <v>0</v>
      </c>
      <c r="L1218" s="1786" t="s">
        <v>1594</v>
      </c>
      <c r="M1218" s="1786" t="s">
        <v>1653</v>
      </c>
      <c r="N1218" s="1786" t="s">
        <v>1653</v>
      </c>
      <c r="O1218" s="1786">
        <v>0</v>
      </c>
      <c r="P1218" s="1786"/>
      <c r="Q1218" s="1786">
        <v>0</v>
      </c>
      <c r="R1218" s="1788"/>
      <c r="S1218" s="1786">
        <f t="shared" si="204"/>
        <v>671</v>
      </c>
      <c r="T1218" s="1786">
        <f t="shared" si="205"/>
        <v>0</v>
      </c>
      <c r="U1218" s="1786" t="str">
        <f t="shared" si="206"/>
        <v>הפניקס פנסיה משלימה</v>
      </c>
      <c r="V1218" s="1786" t="str">
        <f t="shared" si="207"/>
        <v>520017450</v>
      </c>
      <c r="W1218" s="1789" t="str">
        <f t="shared" si="208"/>
        <v xml:space="preserve">הפניקס אקסלנס פנסיה וגמל בע"מ </v>
      </c>
      <c r="AC1218" s="1759" t="s">
        <v>1586</v>
      </c>
      <c r="AD1218" s="1760">
        <v>42011.621793981503</v>
      </c>
      <c r="AE1218" s="1760">
        <v>36620</v>
      </c>
      <c r="AF1218" s="1759" t="s">
        <v>1583</v>
      </c>
      <c r="AG1218" s="1759" t="s">
        <v>1583</v>
      </c>
      <c r="AH1218" s="1759" t="s">
        <v>1583</v>
      </c>
      <c r="AI1218" s="1759" t="s">
        <v>3730</v>
      </c>
      <c r="AJ1218" s="1759" t="s">
        <v>3730</v>
      </c>
      <c r="AK1218" s="1759">
        <v>8321</v>
      </c>
      <c r="AL1218" s="1759" t="s">
        <v>2810</v>
      </c>
      <c r="AM1218" s="1759">
        <v>671</v>
      </c>
      <c r="AN1218" s="1759"/>
      <c r="AO1218" s="1764"/>
      <c r="AP1218" s="1759" t="s">
        <v>5379</v>
      </c>
      <c r="AQ1218" s="1759" t="s">
        <v>5380</v>
      </c>
      <c r="AR1218" s="1759" t="s">
        <v>5381</v>
      </c>
      <c r="AS1218" s="1759" t="s">
        <v>347</v>
      </c>
      <c r="AT1218" s="1759" t="s">
        <v>328</v>
      </c>
      <c r="AU1218" s="1763"/>
      <c r="AV1218" s="1763"/>
    </row>
    <row r="1219" spans="1:48" ht="25">
      <c r="A1219" s="1785" t="str">
        <f t="shared" si="198"/>
        <v>פנסיה</v>
      </c>
      <c r="B1219" s="1786">
        <f t="shared" si="199"/>
        <v>12120</v>
      </c>
      <c r="C1219" s="1787">
        <v>28946</v>
      </c>
      <c r="D1219" s="1786" t="str">
        <f t="shared" si="200"/>
        <v>מסלול השקעות בסיסי לפנסיונרים</v>
      </c>
      <c r="E1219" s="1786" t="s">
        <v>3929</v>
      </c>
      <c r="F1219" s="1786" t="s">
        <v>2958</v>
      </c>
      <c r="G1219" s="1786" t="s">
        <v>2959</v>
      </c>
      <c r="H1219" s="1786" t="str">
        <f t="shared" si="201"/>
        <v>פעיל</v>
      </c>
      <c r="I1219" s="1788">
        <f t="shared" si="202"/>
        <v>36620</v>
      </c>
      <c r="J1219" s="1788" t="str">
        <f t="shared" si="203"/>
        <v/>
      </c>
      <c r="K1219" s="1786">
        <v>0</v>
      </c>
      <c r="L1219" s="1786" t="s">
        <v>1594</v>
      </c>
      <c r="M1219" s="1786" t="s">
        <v>1653</v>
      </c>
      <c r="N1219" s="1786" t="s">
        <v>1653</v>
      </c>
      <c r="O1219" s="1786">
        <v>0</v>
      </c>
      <c r="P1219" s="1786"/>
      <c r="Q1219" s="1786">
        <v>0</v>
      </c>
      <c r="R1219" s="1788"/>
      <c r="S1219" s="1786">
        <f t="shared" si="204"/>
        <v>671</v>
      </c>
      <c r="T1219" s="1786">
        <f t="shared" si="205"/>
        <v>0</v>
      </c>
      <c r="U1219" s="1786" t="str">
        <f t="shared" si="206"/>
        <v>הפניקס פנסיה משלימה</v>
      </c>
      <c r="V1219" s="1786" t="str">
        <f t="shared" si="207"/>
        <v>520017450</v>
      </c>
      <c r="W1219" s="1789" t="str">
        <f t="shared" si="208"/>
        <v xml:space="preserve">הפניקס אקסלנס פנסיה וגמל בע"מ </v>
      </c>
      <c r="AC1219" s="1761" t="s">
        <v>346</v>
      </c>
      <c r="AD1219" s="1761"/>
      <c r="AE1219" s="1762">
        <v>36620</v>
      </c>
      <c r="AF1219" s="1761" t="s">
        <v>4160</v>
      </c>
      <c r="AG1219" s="1761" t="s">
        <v>2614</v>
      </c>
      <c r="AH1219" s="1761" t="s">
        <v>3658</v>
      </c>
      <c r="AI1219" s="1761" t="s">
        <v>5560</v>
      </c>
      <c r="AJ1219" s="1761" t="s">
        <v>5560</v>
      </c>
      <c r="AK1219" s="1761">
        <v>12120</v>
      </c>
      <c r="AL1219" s="1761" t="s">
        <v>2810</v>
      </c>
      <c r="AM1219" s="1761">
        <v>671</v>
      </c>
      <c r="AN1219" s="1761"/>
      <c r="AO1219" s="1764"/>
      <c r="AP1219" s="1761" t="s">
        <v>5379</v>
      </c>
      <c r="AQ1219" s="1761" t="s">
        <v>5380</v>
      </c>
      <c r="AR1219" s="1761" t="s">
        <v>5381</v>
      </c>
      <c r="AS1219" s="1761" t="s">
        <v>347</v>
      </c>
      <c r="AT1219" s="1761" t="s">
        <v>328</v>
      </c>
      <c r="AU1219" s="1763"/>
      <c r="AV1219" s="1763"/>
    </row>
    <row r="1220" spans="1:48" ht="25">
      <c r="A1220" s="1785" t="str">
        <f t="shared" si="198"/>
        <v>פנסיה</v>
      </c>
      <c r="B1220" s="1786">
        <f t="shared" si="199"/>
        <v>7234</v>
      </c>
      <c r="C1220" s="1787">
        <v>28946</v>
      </c>
      <c r="D1220" s="1786" t="str">
        <f t="shared" si="200"/>
        <v xml:space="preserve">הפניקס פנסיה משלימה - מסלול לבני 50 ומטה </v>
      </c>
      <c r="E1220" s="1786" t="s">
        <v>3929</v>
      </c>
      <c r="F1220" s="1786" t="s">
        <v>2958</v>
      </c>
      <c r="G1220" s="1786" t="s">
        <v>2959</v>
      </c>
      <c r="H1220" s="1786" t="str">
        <f t="shared" si="201"/>
        <v>פעיל</v>
      </c>
      <c r="I1220" s="1788">
        <f t="shared" si="202"/>
        <v>36620</v>
      </c>
      <c r="J1220" s="1788" t="str">
        <f t="shared" si="203"/>
        <v/>
      </c>
      <c r="K1220" s="1786">
        <v>0</v>
      </c>
      <c r="L1220" s="1786" t="s">
        <v>1594</v>
      </c>
      <c r="M1220" s="1786" t="s">
        <v>1653</v>
      </c>
      <c r="N1220" s="1786" t="s">
        <v>1653</v>
      </c>
      <c r="O1220" s="1786">
        <v>0</v>
      </c>
      <c r="P1220" s="1786"/>
      <c r="Q1220" s="1786">
        <v>0</v>
      </c>
      <c r="R1220" s="1788"/>
      <c r="S1220" s="1786">
        <f t="shared" si="204"/>
        <v>671</v>
      </c>
      <c r="T1220" s="1786">
        <f t="shared" si="205"/>
        <v>0</v>
      </c>
      <c r="U1220" s="1786" t="str">
        <f t="shared" si="206"/>
        <v>הפניקס פנסיה משלימה</v>
      </c>
      <c r="V1220" s="1786" t="str">
        <f t="shared" si="207"/>
        <v>520017450</v>
      </c>
      <c r="W1220" s="1789" t="str">
        <f t="shared" si="208"/>
        <v xml:space="preserve">הפניקס אקסלנס פנסיה וגמל בע"מ </v>
      </c>
      <c r="AC1220" s="1759" t="s">
        <v>346</v>
      </c>
      <c r="AD1220" s="1759"/>
      <c r="AE1220" s="1760">
        <v>36620</v>
      </c>
      <c r="AF1220" s="1759" t="s">
        <v>4151</v>
      </c>
      <c r="AG1220" s="1759" t="s">
        <v>3931</v>
      </c>
      <c r="AH1220" s="1759" t="s">
        <v>3658</v>
      </c>
      <c r="AI1220" s="1759" t="s">
        <v>4213</v>
      </c>
      <c r="AJ1220" s="1759" t="s">
        <v>4213</v>
      </c>
      <c r="AK1220" s="1759">
        <v>7234</v>
      </c>
      <c r="AL1220" s="1759" t="s">
        <v>2810</v>
      </c>
      <c r="AM1220" s="1759">
        <v>671</v>
      </c>
      <c r="AN1220" s="1759"/>
      <c r="AO1220" s="1764"/>
      <c r="AP1220" s="1759" t="s">
        <v>5379</v>
      </c>
      <c r="AQ1220" s="1759" t="s">
        <v>5380</v>
      </c>
      <c r="AR1220" s="1759" t="s">
        <v>5381</v>
      </c>
      <c r="AS1220" s="1759" t="s">
        <v>347</v>
      </c>
      <c r="AT1220" s="1759" t="s">
        <v>328</v>
      </c>
      <c r="AU1220" s="1763"/>
      <c r="AV1220" s="1763"/>
    </row>
    <row r="1221" spans="1:48" ht="25">
      <c r="A1221" s="1785" t="str">
        <f t="shared" si="198"/>
        <v>פנסיה</v>
      </c>
      <c r="B1221" s="1786">
        <f t="shared" si="199"/>
        <v>7235</v>
      </c>
      <c r="C1221" s="1787">
        <v>28946</v>
      </c>
      <c r="D1221" s="1786" t="str">
        <f t="shared" si="200"/>
        <v xml:space="preserve">הפניקס פנסיה משלימה - מסלול לבני 50 עד 60 </v>
      </c>
      <c r="E1221" s="1786" t="s">
        <v>3929</v>
      </c>
      <c r="F1221" s="1786" t="s">
        <v>2958</v>
      </c>
      <c r="G1221" s="1786" t="s">
        <v>2959</v>
      </c>
      <c r="H1221" s="1786" t="str">
        <f t="shared" si="201"/>
        <v>פעיל</v>
      </c>
      <c r="I1221" s="1788">
        <f t="shared" si="202"/>
        <v>36620</v>
      </c>
      <c r="J1221" s="1788" t="str">
        <f t="shared" si="203"/>
        <v/>
      </c>
      <c r="K1221" s="1786">
        <v>0</v>
      </c>
      <c r="L1221" s="1786" t="s">
        <v>1594</v>
      </c>
      <c r="M1221" s="1786" t="s">
        <v>1653</v>
      </c>
      <c r="N1221" s="1786" t="s">
        <v>1653</v>
      </c>
      <c r="O1221" s="1786">
        <v>0</v>
      </c>
      <c r="P1221" s="1786"/>
      <c r="Q1221" s="1786">
        <v>0</v>
      </c>
      <c r="R1221" s="1788"/>
      <c r="S1221" s="1786">
        <f t="shared" si="204"/>
        <v>671</v>
      </c>
      <c r="T1221" s="1786">
        <f t="shared" si="205"/>
        <v>0</v>
      </c>
      <c r="U1221" s="1786" t="str">
        <f t="shared" si="206"/>
        <v>הפניקס פנסיה משלימה</v>
      </c>
      <c r="V1221" s="1786" t="str">
        <f t="shared" si="207"/>
        <v>520017450</v>
      </c>
      <c r="W1221" s="1789" t="str">
        <f t="shared" si="208"/>
        <v xml:space="preserve">הפניקס אקסלנס פנסיה וגמל בע"מ </v>
      </c>
      <c r="AC1221" s="1761" t="s">
        <v>346</v>
      </c>
      <c r="AD1221" s="1761"/>
      <c r="AE1221" s="1762">
        <v>36620</v>
      </c>
      <c r="AF1221" s="1761" t="s">
        <v>3932</v>
      </c>
      <c r="AG1221" s="1761" t="s">
        <v>3931</v>
      </c>
      <c r="AH1221" s="1761" t="s">
        <v>3658</v>
      </c>
      <c r="AI1221" s="1761" t="s">
        <v>4214</v>
      </c>
      <c r="AJ1221" s="1761" t="s">
        <v>4214</v>
      </c>
      <c r="AK1221" s="1761">
        <v>7235</v>
      </c>
      <c r="AL1221" s="1761" t="s">
        <v>2810</v>
      </c>
      <c r="AM1221" s="1761">
        <v>671</v>
      </c>
      <c r="AN1221" s="1761"/>
      <c r="AO1221" s="1764"/>
      <c r="AP1221" s="1761" t="s">
        <v>5379</v>
      </c>
      <c r="AQ1221" s="1761" t="s">
        <v>5380</v>
      </c>
      <c r="AR1221" s="1761" t="s">
        <v>5381</v>
      </c>
      <c r="AS1221" s="1761" t="s">
        <v>347</v>
      </c>
      <c r="AT1221" s="1761" t="s">
        <v>328</v>
      </c>
      <c r="AU1221" s="1763"/>
      <c r="AV1221" s="1763"/>
    </row>
    <row r="1222" spans="1:48" ht="25">
      <c r="A1222" s="1785" t="str">
        <f t="shared" si="198"/>
        <v>פנסיה</v>
      </c>
      <c r="B1222" s="1786">
        <f t="shared" si="199"/>
        <v>8320</v>
      </c>
      <c r="C1222" s="1787">
        <v>28946</v>
      </c>
      <c r="D1222" s="1786" t="str">
        <f t="shared" si="200"/>
        <v>הפניקס פנסיה משלימה - הפניקס מסלול שיקלי טווח קצר</v>
      </c>
      <c r="E1222" s="1786" t="s">
        <v>3929</v>
      </c>
      <c r="F1222" s="1786" t="s">
        <v>2958</v>
      </c>
      <c r="G1222" s="1786" t="s">
        <v>2959</v>
      </c>
      <c r="H1222" s="1786" t="str">
        <f t="shared" si="201"/>
        <v>פעיל</v>
      </c>
      <c r="I1222" s="1788">
        <f t="shared" si="202"/>
        <v>36620</v>
      </c>
      <c r="J1222" s="1788" t="str">
        <f t="shared" si="203"/>
        <v/>
      </c>
      <c r="K1222" s="1786">
        <v>0</v>
      </c>
      <c r="L1222" s="1786" t="s">
        <v>1594</v>
      </c>
      <c r="M1222" s="1786" t="s">
        <v>1653</v>
      </c>
      <c r="N1222" s="1786" t="s">
        <v>1653</v>
      </c>
      <c r="O1222" s="1786">
        <v>0</v>
      </c>
      <c r="P1222" s="1786"/>
      <c r="Q1222" s="1786">
        <v>0</v>
      </c>
      <c r="R1222" s="1788"/>
      <c r="S1222" s="1786">
        <f t="shared" si="204"/>
        <v>671</v>
      </c>
      <c r="T1222" s="1786">
        <f t="shared" si="205"/>
        <v>0</v>
      </c>
      <c r="U1222" s="1786" t="str">
        <f t="shared" si="206"/>
        <v>הפניקס פנסיה משלימה</v>
      </c>
      <c r="V1222" s="1786" t="str">
        <f t="shared" si="207"/>
        <v>520017450</v>
      </c>
      <c r="W1222" s="1789" t="str">
        <f t="shared" si="208"/>
        <v xml:space="preserve">הפניקס אקסלנס פנסיה וגמל בע"מ </v>
      </c>
      <c r="AC1222" s="1759" t="s">
        <v>346</v>
      </c>
      <c r="AD1222" s="1759"/>
      <c r="AE1222" s="1760">
        <v>36620</v>
      </c>
      <c r="AF1222" s="1759" t="s">
        <v>1673</v>
      </c>
      <c r="AG1222" s="1759" t="s">
        <v>1614</v>
      </c>
      <c r="AH1222" s="1759" t="s">
        <v>1594</v>
      </c>
      <c r="AI1222" s="1759" t="s">
        <v>4245</v>
      </c>
      <c r="AJ1222" s="1759" t="s">
        <v>4245</v>
      </c>
      <c r="AK1222" s="1759">
        <v>8320</v>
      </c>
      <c r="AL1222" s="1759" t="s">
        <v>2810</v>
      </c>
      <c r="AM1222" s="1759">
        <v>671</v>
      </c>
      <c r="AN1222" s="1759"/>
      <c r="AO1222" s="1764"/>
      <c r="AP1222" s="1759" t="s">
        <v>5379</v>
      </c>
      <c r="AQ1222" s="1759" t="s">
        <v>5380</v>
      </c>
      <c r="AR1222" s="1759" t="s">
        <v>5381</v>
      </c>
      <c r="AS1222" s="1759" t="s">
        <v>347</v>
      </c>
      <c r="AT1222" s="1759" t="s">
        <v>328</v>
      </c>
      <c r="AU1222" s="1763"/>
      <c r="AV1222" s="1763"/>
    </row>
    <row r="1223" spans="1:48" ht="25">
      <c r="A1223" s="1785" t="str">
        <f t="shared" si="198"/>
        <v>פנסיה</v>
      </c>
      <c r="B1223" s="1786">
        <f t="shared" si="199"/>
        <v>2185</v>
      </c>
      <c r="C1223" s="1787">
        <v>28946</v>
      </c>
      <c r="D1223" s="1786" t="str">
        <f t="shared" si="200"/>
        <v>הפניקס פנסיה כללית - כללי</v>
      </c>
      <c r="E1223" s="1786" t="s">
        <v>3929</v>
      </c>
      <c r="F1223" s="1786" t="s">
        <v>2958</v>
      </c>
      <c r="G1223" s="1786" t="s">
        <v>2959</v>
      </c>
      <c r="H1223" s="1786" t="str">
        <f t="shared" si="201"/>
        <v>לא פעיל</v>
      </c>
      <c r="I1223" s="1788">
        <f t="shared" si="202"/>
        <v>36620</v>
      </c>
      <c r="J1223" s="1788">
        <f t="shared" si="203"/>
        <v>42493.550925925898</v>
      </c>
      <c r="K1223" s="1786">
        <v>0</v>
      </c>
      <c r="L1223" s="1786" t="s">
        <v>1594</v>
      </c>
      <c r="M1223" s="1786" t="s">
        <v>1653</v>
      </c>
      <c r="N1223" s="1786" t="s">
        <v>1653</v>
      </c>
      <c r="O1223" s="1786">
        <v>0</v>
      </c>
      <c r="P1223" s="1786"/>
      <c r="Q1223" s="1786">
        <v>0</v>
      </c>
      <c r="R1223" s="1788"/>
      <c r="S1223" s="1786">
        <f t="shared" si="204"/>
        <v>671</v>
      </c>
      <c r="T1223" s="1786">
        <f t="shared" si="205"/>
        <v>0</v>
      </c>
      <c r="U1223" s="1786" t="str">
        <f t="shared" si="206"/>
        <v>הפניקס פנסיה משלימה</v>
      </c>
      <c r="V1223" s="1786" t="str">
        <f t="shared" si="207"/>
        <v>520017450</v>
      </c>
      <c r="W1223" s="1789" t="str">
        <f t="shared" si="208"/>
        <v xml:space="preserve">הפניקס אקסלנס פנסיה וגמל בע"מ </v>
      </c>
      <c r="AC1223" s="1761" t="s">
        <v>1586</v>
      </c>
      <c r="AD1223" s="1762">
        <v>42493.550925925898</v>
      </c>
      <c r="AE1223" s="1762">
        <v>36620</v>
      </c>
      <c r="AF1223" s="1761" t="s">
        <v>1583</v>
      </c>
      <c r="AG1223" s="1761" t="s">
        <v>1583</v>
      </c>
      <c r="AH1223" s="1761" t="s">
        <v>1583</v>
      </c>
      <c r="AI1223" s="1761" t="s">
        <v>2634</v>
      </c>
      <c r="AJ1223" s="1761" t="s">
        <v>2634</v>
      </c>
      <c r="AK1223" s="1761">
        <v>2185</v>
      </c>
      <c r="AL1223" s="1761" t="s">
        <v>2810</v>
      </c>
      <c r="AM1223" s="1761">
        <v>671</v>
      </c>
      <c r="AN1223" s="1761"/>
      <c r="AO1223" s="1764"/>
      <c r="AP1223" s="1761" t="s">
        <v>5379</v>
      </c>
      <c r="AQ1223" s="1761" t="s">
        <v>5380</v>
      </c>
      <c r="AR1223" s="1761" t="s">
        <v>5381</v>
      </c>
      <c r="AS1223" s="1761" t="s">
        <v>347</v>
      </c>
      <c r="AT1223" s="1761" t="s">
        <v>328</v>
      </c>
      <c r="AU1223" s="1763"/>
      <c r="AV1223" s="1763"/>
    </row>
    <row r="1224" spans="1:48" ht="25">
      <c r="A1224" s="1785" t="str">
        <f t="shared" si="198"/>
        <v>פנסיה</v>
      </c>
      <c r="B1224" s="1786">
        <f t="shared" si="199"/>
        <v>2202</v>
      </c>
      <c r="C1224" s="1787">
        <v>28946</v>
      </c>
      <c r="D1224" s="1786" t="str">
        <f t="shared" si="200"/>
        <v>הפניקס פנסיה כללית - פנסיונרים</v>
      </c>
      <c r="E1224" s="1786" t="s">
        <v>3929</v>
      </c>
      <c r="F1224" s="1786" t="s">
        <v>2958</v>
      </c>
      <c r="G1224" s="1786" t="s">
        <v>2959</v>
      </c>
      <c r="H1224" s="1786" t="str">
        <f t="shared" si="201"/>
        <v>פעיל</v>
      </c>
      <c r="I1224" s="1788">
        <f t="shared" si="202"/>
        <v>36620</v>
      </c>
      <c r="J1224" s="1788" t="str">
        <f t="shared" si="203"/>
        <v/>
      </c>
      <c r="K1224" s="1786">
        <v>0</v>
      </c>
      <c r="L1224" s="1786" t="s">
        <v>1594</v>
      </c>
      <c r="M1224" s="1786" t="s">
        <v>1653</v>
      </c>
      <c r="N1224" s="1786" t="s">
        <v>1653</v>
      </c>
      <c r="O1224" s="1786">
        <v>0</v>
      </c>
      <c r="P1224" s="1786"/>
      <c r="Q1224" s="1786">
        <v>0</v>
      </c>
      <c r="R1224" s="1788"/>
      <c r="S1224" s="1786">
        <f t="shared" si="204"/>
        <v>671</v>
      </c>
      <c r="T1224" s="1786">
        <f t="shared" si="205"/>
        <v>0</v>
      </c>
      <c r="U1224" s="1786" t="str">
        <f t="shared" si="206"/>
        <v>הפניקס פנסיה משלימה</v>
      </c>
      <c r="V1224" s="1786" t="str">
        <f t="shared" si="207"/>
        <v>520017450</v>
      </c>
      <c r="W1224" s="1789" t="str">
        <f t="shared" si="208"/>
        <v xml:space="preserve">הפניקס אקסלנס פנסיה וגמל בע"מ </v>
      </c>
      <c r="AC1224" s="1759" t="s">
        <v>346</v>
      </c>
      <c r="AD1224" s="1759"/>
      <c r="AE1224" s="1760">
        <v>36620</v>
      </c>
      <c r="AF1224" s="1759" t="s">
        <v>4160</v>
      </c>
      <c r="AG1224" s="1759" t="s">
        <v>2614</v>
      </c>
      <c r="AH1224" s="1759" t="s">
        <v>3658</v>
      </c>
      <c r="AI1224" s="1759" t="s">
        <v>2647</v>
      </c>
      <c r="AJ1224" s="1759" t="s">
        <v>2647</v>
      </c>
      <c r="AK1224" s="1759">
        <v>2202</v>
      </c>
      <c r="AL1224" s="1759" t="s">
        <v>2810</v>
      </c>
      <c r="AM1224" s="1759">
        <v>671</v>
      </c>
      <c r="AN1224" s="1759"/>
      <c r="AO1224" s="1764"/>
      <c r="AP1224" s="1759" t="s">
        <v>5379</v>
      </c>
      <c r="AQ1224" s="1759" t="s">
        <v>5380</v>
      </c>
      <c r="AR1224" s="1759" t="s">
        <v>5381</v>
      </c>
      <c r="AS1224" s="1759" t="s">
        <v>347</v>
      </c>
      <c r="AT1224" s="1759" t="s">
        <v>328</v>
      </c>
      <c r="AU1224" s="1763"/>
      <c r="AV1224" s="1763"/>
    </row>
    <row r="1225" spans="1:48" ht="25">
      <c r="A1225" s="1785" t="str">
        <f t="shared" si="198"/>
        <v>פנסיה</v>
      </c>
      <c r="B1225" s="1786">
        <f t="shared" si="199"/>
        <v>8318</v>
      </c>
      <c r="C1225" s="1787">
        <v>28946</v>
      </c>
      <c r="D1225" s="1786" t="str">
        <f t="shared" si="200"/>
        <v>הפניקס פנסיה משלימה - הפניקס מסלול מניות</v>
      </c>
      <c r="E1225" s="1786" t="s">
        <v>3929</v>
      </c>
      <c r="F1225" s="1786" t="s">
        <v>2958</v>
      </c>
      <c r="G1225" s="1786" t="s">
        <v>2959</v>
      </c>
      <c r="H1225" s="1786" t="str">
        <f t="shared" si="201"/>
        <v>פעיל</v>
      </c>
      <c r="I1225" s="1788">
        <f t="shared" si="202"/>
        <v>36620</v>
      </c>
      <c r="J1225" s="1788" t="str">
        <f t="shared" si="203"/>
        <v/>
      </c>
      <c r="K1225" s="1786">
        <v>0</v>
      </c>
      <c r="L1225" s="1786" t="s">
        <v>1594</v>
      </c>
      <c r="M1225" s="1786" t="s">
        <v>1653</v>
      </c>
      <c r="N1225" s="1786" t="s">
        <v>1653</v>
      </c>
      <c r="O1225" s="1786">
        <v>0</v>
      </c>
      <c r="P1225" s="1786"/>
      <c r="Q1225" s="1786">
        <v>0</v>
      </c>
      <c r="R1225" s="1788"/>
      <c r="S1225" s="1786">
        <f t="shared" si="204"/>
        <v>671</v>
      </c>
      <c r="T1225" s="1786">
        <f t="shared" si="205"/>
        <v>0</v>
      </c>
      <c r="U1225" s="1786" t="str">
        <f t="shared" si="206"/>
        <v>הפניקס פנסיה משלימה</v>
      </c>
      <c r="V1225" s="1786" t="str">
        <f t="shared" si="207"/>
        <v>520017450</v>
      </c>
      <c r="W1225" s="1789" t="str">
        <f t="shared" si="208"/>
        <v xml:space="preserve">הפניקס אקסלנס פנסיה וגמל בע"מ </v>
      </c>
      <c r="AC1225" s="1761" t="s">
        <v>346</v>
      </c>
      <c r="AD1225" s="1759"/>
      <c r="AE1225" s="1762">
        <v>36620</v>
      </c>
      <c r="AF1225" s="1761" t="s">
        <v>1595</v>
      </c>
      <c r="AG1225" s="1761" t="s">
        <v>75</v>
      </c>
      <c r="AH1225" s="1761" t="s">
        <v>1594</v>
      </c>
      <c r="AI1225" s="1761" t="s">
        <v>4243</v>
      </c>
      <c r="AJ1225" s="1761" t="s">
        <v>4243</v>
      </c>
      <c r="AK1225" s="1761">
        <v>8318</v>
      </c>
      <c r="AL1225" s="1761" t="s">
        <v>2810</v>
      </c>
      <c r="AM1225" s="1761">
        <v>671</v>
      </c>
      <c r="AN1225" s="1761"/>
      <c r="AO1225" s="1764"/>
      <c r="AP1225" s="1761" t="s">
        <v>5379</v>
      </c>
      <c r="AQ1225" s="1761" t="s">
        <v>5380</v>
      </c>
      <c r="AR1225" s="1761" t="s">
        <v>5381</v>
      </c>
      <c r="AS1225" s="1761" t="s">
        <v>347</v>
      </c>
      <c r="AT1225" s="1761" t="s">
        <v>328</v>
      </c>
      <c r="AU1225" s="1763"/>
      <c r="AV1225" s="1763"/>
    </row>
    <row r="1226" spans="1:48" ht="25">
      <c r="A1226" s="1785" t="str">
        <f t="shared" si="198"/>
        <v>פנסיה</v>
      </c>
      <c r="B1226" s="1786">
        <f t="shared" si="199"/>
        <v>8319</v>
      </c>
      <c r="C1226" s="1787">
        <v>28946</v>
      </c>
      <c r="D1226" s="1786" t="str">
        <f t="shared" si="200"/>
        <v>הפניקס פנסיה משלימה - הפניקס מסלול אג"ח</v>
      </c>
      <c r="E1226" s="1786" t="s">
        <v>3929</v>
      </c>
      <c r="F1226" s="1786" t="s">
        <v>2958</v>
      </c>
      <c r="G1226" s="1786" t="s">
        <v>2959</v>
      </c>
      <c r="H1226" s="1786" t="str">
        <f t="shared" si="201"/>
        <v>פעיל</v>
      </c>
      <c r="I1226" s="1788">
        <f t="shared" si="202"/>
        <v>36620</v>
      </c>
      <c r="J1226" s="1788" t="str">
        <f t="shared" si="203"/>
        <v/>
      </c>
      <c r="K1226" s="1786">
        <v>0</v>
      </c>
      <c r="L1226" s="1786" t="s">
        <v>1594</v>
      </c>
      <c r="M1226" s="1786" t="s">
        <v>1653</v>
      </c>
      <c r="N1226" s="1786" t="s">
        <v>1653</v>
      </c>
      <c r="O1226" s="1786">
        <v>0</v>
      </c>
      <c r="P1226" s="1786"/>
      <c r="Q1226" s="1786">
        <v>0</v>
      </c>
      <c r="R1226" s="1788"/>
      <c r="S1226" s="1786">
        <f t="shared" si="204"/>
        <v>671</v>
      </c>
      <c r="T1226" s="1786">
        <f t="shared" si="205"/>
        <v>0</v>
      </c>
      <c r="U1226" s="1786" t="str">
        <f t="shared" si="206"/>
        <v>הפניקס פנסיה משלימה</v>
      </c>
      <c r="V1226" s="1786" t="str">
        <f t="shared" si="207"/>
        <v>520017450</v>
      </c>
      <c r="W1226" s="1789" t="str">
        <f t="shared" si="208"/>
        <v xml:space="preserve">הפניקס אקסלנס פנסיה וגמל בע"מ </v>
      </c>
      <c r="AC1226" s="1759" t="s">
        <v>346</v>
      </c>
      <c r="AD1226" s="1759"/>
      <c r="AE1226" s="1760">
        <v>36620</v>
      </c>
      <c r="AF1226" s="1759" t="s">
        <v>1653</v>
      </c>
      <c r="AG1226" s="1759" t="s">
        <v>1653</v>
      </c>
      <c r="AH1226" s="1759" t="s">
        <v>1594</v>
      </c>
      <c r="AI1226" s="1759" t="s">
        <v>4244</v>
      </c>
      <c r="AJ1226" s="1759" t="s">
        <v>4244</v>
      </c>
      <c r="AK1226" s="1759">
        <v>8319</v>
      </c>
      <c r="AL1226" s="1759" t="s">
        <v>2810</v>
      </c>
      <c r="AM1226" s="1759">
        <v>671</v>
      </c>
      <c r="AN1226" s="1759"/>
      <c r="AO1226" s="1764"/>
      <c r="AP1226" s="1759" t="s">
        <v>5379</v>
      </c>
      <c r="AQ1226" s="1759" t="s">
        <v>5380</v>
      </c>
      <c r="AR1226" s="1759" t="s">
        <v>5381</v>
      </c>
      <c r="AS1226" s="1759" t="s">
        <v>347</v>
      </c>
      <c r="AT1226" s="1759" t="s">
        <v>328</v>
      </c>
      <c r="AU1226" s="1763"/>
      <c r="AV1226" s="1763"/>
    </row>
    <row r="1227" spans="1:48" ht="25">
      <c r="A1227" s="1785" t="str">
        <f t="shared" si="198"/>
        <v>פנסיה</v>
      </c>
      <c r="B1227" s="1786">
        <f t="shared" si="199"/>
        <v>7236</v>
      </c>
      <c r="C1227" s="1787">
        <v>28946</v>
      </c>
      <c r="D1227" s="1786" t="str">
        <f t="shared" si="200"/>
        <v>הפניקס פנסיה משלימה - מסלול לבני 60 ומעלה</v>
      </c>
      <c r="E1227" s="1786" t="s">
        <v>3929</v>
      </c>
      <c r="F1227" s="1786" t="s">
        <v>2958</v>
      </c>
      <c r="G1227" s="1786" t="s">
        <v>2959</v>
      </c>
      <c r="H1227" s="1786" t="str">
        <f t="shared" si="201"/>
        <v>פעיל</v>
      </c>
      <c r="I1227" s="1788">
        <f t="shared" si="202"/>
        <v>36620</v>
      </c>
      <c r="J1227" s="1788" t="str">
        <f t="shared" si="203"/>
        <v/>
      </c>
      <c r="K1227" s="1786">
        <v>0</v>
      </c>
      <c r="L1227" s="1786" t="s">
        <v>1594</v>
      </c>
      <c r="M1227" s="1786" t="s">
        <v>1653</v>
      </c>
      <c r="N1227" s="1786" t="s">
        <v>1653</v>
      </c>
      <c r="O1227" s="1786">
        <v>0</v>
      </c>
      <c r="P1227" s="1786"/>
      <c r="Q1227" s="1786">
        <v>0</v>
      </c>
      <c r="R1227" s="1788"/>
      <c r="S1227" s="1786">
        <f t="shared" si="204"/>
        <v>671</v>
      </c>
      <c r="T1227" s="1786">
        <f t="shared" si="205"/>
        <v>0</v>
      </c>
      <c r="U1227" s="1786" t="str">
        <f t="shared" si="206"/>
        <v>הפניקס פנסיה משלימה</v>
      </c>
      <c r="V1227" s="1786" t="str">
        <f t="shared" si="207"/>
        <v>520017450</v>
      </c>
      <c r="W1227" s="1789" t="str">
        <f t="shared" si="208"/>
        <v xml:space="preserve">הפניקס אקסלנס פנסיה וגמל בע"מ </v>
      </c>
      <c r="AC1227" s="1761" t="s">
        <v>346</v>
      </c>
      <c r="AD1227" s="1761"/>
      <c r="AE1227" s="1762">
        <v>36620</v>
      </c>
      <c r="AF1227" s="1761" t="s">
        <v>3963</v>
      </c>
      <c r="AG1227" s="1761" t="s">
        <v>3931</v>
      </c>
      <c r="AH1227" s="1761" t="s">
        <v>3658</v>
      </c>
      <c r="AI1227" s="1761" t="s">
        <v>4215</v>
      </c>
      <c r="AJ1227" s="1761" t="s">
        <v>4215</v>
      </c>
      <c r="AK1227" s="1761">
        <v>7236</v>
      </c>
      <c r="AL1227" s="1761" t="s">
        <v>2810</v>
      </c>
      <c r="AM1227" s="1761">
        <v>671</v>
      </c>
      <c r="AN1227" s="1761"/>
      <c r="AO1227" s="1764"/>
      <c r="AP1227" s="1761" t="s">
        <v>5379</v>
      </c>
      <c r="AQ1227" s="1761" t="s">
        <v>5380</v>
      </c>
      <c r="AR1227" s="1761" t="s">
        <v>5381</v>
      </c>
      <c r="AS1227" s="1761" t="s">
        <v>347</v>
      </c>
      <c r="AT1227" s="1761" t="s">
        <v>328</v>
      </c>
      <c r="AU1227" s="1763"/>
      <c r="AV1227" s="1763"/>
    </row>
    <row r="1228" spans="1:48" ht="25">
      <c r="A1228" s="1785" t="str">
        <f t="shared" si="198"/>
        <v>פנסיה</v>
      </c>
      <c r="B1228" s="1786">
        <f t="shared" si="199"/>
        <v>2198</v>
      </c>
      <c r="C1228" s="1787">
        <v>28946</v>
      </c>
      <c r="D1228" s="1786" t="str">
        <f t="shared" si="200"/>
        <v>אקסלנס נשואה פנסיה חסכון - פנסיונרים</v>
      </c>
      <c r="E1228" s="1786" t="s">
        <v>3929</v>
      </c>
      <c r="F1228" s="1786" t="s">
        <v>2958</v>
      </c>
      <c r="G1228" s="1786" t="s">
        <v>2959</v>
      </c>
      <c r="H1228" s="1786" t="str">
        <f t="shared" si="201"/>
        <v>לא פעיל</v>
      </c>
      <c r="I1228" s="1788">
        <f t="shared" si="202"/>
        <v>38596</v>
      </c>
      <c r="J1228" s="1788">
        <f t="shared" si="203"/>
        <v>41689.5600694444</v>
      </c>
      <c r="K1228" s="1786">
        <v>0</v>
      </c>
      <c r="L1228" s="1786" t="s">
        <v>1594</v>
      </c>
      <c r="M1228" s="1786" t="s">
        <v>1653</v>
      </c>
      <c r="N1228" s="1786" t="s">
        <v>1653</v>
      </c>
      <c r="O1228" s="1786">
        <v>0</v>
      </c>
      <c r="P1228" s="1786"/>
      <c r="Q1228" s="1786">
        <v>0</v>
      </c>
      <c r="R1228" s="1788"/>
      <c r="S1228" s="1786">
        <f t="shared" si="204"/>
        <v>670</v>
      </c>
      <c r="T1228" s="1786">
        <f t="shared" si="205"/>
        <v>0</v>
      </c>
      <c r="U1228" s="1786" t="str">
        <f t="shared" si="206"/>
        <v>אקסלנס נשואה פנסיה חסכון</v>
      </c>
      <c r="V1228" s="1786" t="str">
        <f t="shared" si="207"/>
        <v>520017450</v>
      </c>
      <c r="W1228" s="1789" t="str">
        <f t="shared" si="208"/>
        <v xml:space="preserve">הפניקס אקסלנס פנסיה וגמל בע"מ </v>
      </c>
      <c r="AC1228" s="1759" t="s">
        <v>1586</v>
      </c>
      <c r="AD1228" s="1760">
        <v>41689.5600694444</v>
      </c>
      <c r="AE1228" s="1760">
        <v>38596</v>
      </c>
      <c r="AF1228" s="1759" t="s">
        <v>4160</v>
      </c>
      <c r="AG1228" s="1759" t="s">
        <v>2614</v>
      </c>
      <c r="AH1228" s="1759" t="s">
        <v>3658</v>
      </c>
      <c r="AI1228" s="1759" t="s">
        <v>2646</v>
      </c>
      <c r="AJ1228" s="1759" t="s">
        <v>2646</v>
      </c>
      <c r="AK1228" s="1759">
        <v>2198</v>
      </c>
      <c r="AL1228" s="1759" t="s">
        <v>2643</v>
      </c>
      <c r="AM1228" s="1759">
        <v>670</v>
      </c>
      <c r="AN1228" s="1759"/>
      <c r="AO1228" s="1764"/>
      <c r="AP1228" s="1759" t="s">
        <v>5379</v>
      </c>
      <c r="AQ1228" s="1759" t="s">
        <v>5380</v>
      </c>
      <c r="AR1228" s="1759" t="s">
        <v>5381</v>
      </c>
      <c r="AS1228" s="1759" t="s">
        <v>347</v>
      </c>
      <c r="AT1228" s="1759" t="s">
        <v>328</v>
      </c>
      <c r="AU1228" s="1763"/>
      <c r="AV1228" s="1763"/>
    </row>
    <row r="1229" spans="1:48" ht="25">
      <c r="A1229" s="1785" t="str">
        <f t="shared" si="198"/>
        <v>פנסיה</v>
      </c>
      <c r="B1229" s="1786">
        <f t="shared" si="199"/>
        <v>2193</v>
      </c>
      <c r="C1229" s="1787">
        <v>28946</v>
      </c>
      <c r="D1229" s="1786" t="str">
        <f t="shared" si="200"/>
        <v>אקסלנס נשואה פנסיה חסכון - כללי</v>
      </c>
      <c r="E1229" s="1786" t="s">
        <v>3929</v>
      </c>
      <c r="F1229" s="1786" t="s">
        <v>2958</v>
      </c>
      <c r="G1229" s="1786" t="s">
        <v>2959</v>
      </c>
      <c r="H1229" s="1786" t="str">
        <f t="shared" si="201"/>
        <v>לא פעיל</v>
      </c>
      <c r="I1229" s="1788">
        <f t="shared" si="202"/>
        <v>38596</v>
      </c>
      <c r="J1229" s="1788">
        <f t="shared" si="203"/>
        <v>41689.5600694444</v>
      </c>
      <c r="K1229" s="1786">
        <v>0</v>
      </c>
      <c r="L1229" s="1786" t="s">
        <v>1594</v>
      </c>
      <c r="M1229" s="1786" t="s">
        <v>1653</v>
      </c>
      <c r="N1229" s="1786" t="s">
        <v>1653</v>
      </c>
      <c r="O1229" s="1786">
        <v>0</v>
      </c>
      <c r="P1229" s="1786"/>
      <c r="Q1229" s="1786">
        <v>0</v>
      </c>
      <c r="R1229" s="1788"/>
      <c r="S1229" s="1786">
        <f t="shared" si="204"/>
        <v>670</v>
      </c>
      <c r="T1229" s="1786">
        <f t="shared" si="205"/>
        <v>0</v>
      </c>
      <c r="U1229" s="1786" t="str">
        <f t="shared" si="206"/>
        <v>אקסלנס נשואה פנסיה חסכון</v>
      </c>
      <c r="V1229" s="1786" t="str">
        <f t="shared" si="207"/>
        <v>520017450</v>
      </c>
      <c r="W1229" s="1789" t="str">
        <f t="shared" si="208"/>
        <v xml:space="preserve">הפניקס אקסלנס פנסיה וגמל בע"מ </v>
      </c>
      <c r="AC1229" s="1761" t="s">
        <v>1586</v>
      </c>
      <c r="AD1229" s="1762">
        <v>41689.5600694444</v>
      </c>
      <c r="AE1229" s="1762">
        <v>38596</v>
      </c>
      <c r="AF1229" s="1761" t="s">
        <v>1583</v>
      </c>
      <c r="AG1229" s="1761" t="s">
        <v>1583</v>
      </c>
      <c r="AH1229" s="1761" t="s">
        <v>1583</v>
      </c>
      <c r="AI1229" s="1761" t="s">
        <v>2642</v>
      </c>
      <c r="AJ1229" s="1761" t="s">
        <v>2642</v>
      </c>
      <c r="AK1229" s="1761">
        <v>2193</v>
      </c>
      <c r="AL1229" s="1761" t="s">
        <v>2643</v>
      </c>
      <c r="AM1229" s="1761">
        <v>670</v>
      </c>
      <c r="AN1229" s="1761"/>
      <c r="AO1229" s="1764"/>
      <c r="AP1229" s="1761" t="s">
        <v>5379</v>
      </c>
      <c r="AQ1229" s="1761" t="s">
        <v>5380</v>
      </c>
      <c r="AR1229" s="1761" t="s">
        <v>5381</v>
      </c>
      <c r="AS1229" s="1761" t="s">
        <v>347</v>
      </c>
      <c r="AT1229" s="1761" t="s">
        <v>328</v>
      </c>
      <c r="AU1229" s="1763"/>
      <c r="AV1229" s="1763"/>
    </row>
    <row r="1230" spans="1:48" ht="14">
      <c r="A1230" s="1785" t="str">
        <f t="shared" si="198"/>
        <v>פנסיה</v>
      </c>
      <c r="B1230" s="1786">
        <f t="shared" si="199"/>
        <v>2176</v>
      </c>
      <c r="C1230" s="1787">
        <v>28946</v>
      </c>
      <c r="D1230" s="1786" t="str">
        <f t="shared" si="200"/>
        <v>כלל פנסיה משלימה - כללי</v>
      </c>
      <c r="E1230" s="1786" t="s">
        <v>3929</v>
      </c>
      <c r="F1230" s="1786" t="s">
        <v>2958</v>
      </c>
      <c r="G1230" s="1786" t="s">
        <v>2959</v>
      </c>
      <c r="H1230" s="1786" t="str">
        <f t="shared" si="201"/>
        <v>פעיל</v>
      </c>
      <c r="I1230" s="1788">
        <f t="shared" si="202"/>
        <v>37257</v>
      </c>
      <c r="J1230" s="1788" t="str">
        <f t="shared" si="203"/>
        <v/>
      </c>
      <c r="K1230" s="1786">
        <v>0</v>
      </c>
      <c r="L1230" s="1786" t="s">
        <v>1594</v>
      </c>
      <c r="M1230" s="1786" t="s">
        <v>1653</v>
      </c>
      <c r="N1230" s="1786" t="s">
        <v>1653</v>
      </c>
      <c r="O1230" s="1786">
        <v>0</v>
      </c>
      <c r="P1230" s="1786"/>
      <c r="Q1230" s="1786">
        <v>0</v>
      </c>
      <c r="R1230" s="1788"/>
      <c r="S1230" s="1786">
        <f t="shared" si="204"/>
        <v>667</v>
      </c>
      <c r="T1230" s="1786">
        <f t="shared" si="205"/>
        <v>0</v>
      </c>
      <c r="U1230" s="1786" t="str">
        <f t="shared" si="206"/>
        <v>כלל פנסיה משלימה</v>
      </c>
      <c r="V1230" s="1786">
        <f t="shared" si="207"/>
        <v>0</v>
      </c>
      <c r="W1230" s="1789" t="str">
        <f t="shared" si="208"/>
        <v>כלל פנסיה וגמל בע"מ</v>
      </c>
      <c r="AC1230" s="1759" t="s">
        <v>346</v>
      </c>
      <c r="AD1230" s="1759"/>
      <c r="AE1230" s="1760">
        <v>37257</v>
      </c>
      <c r="AF1230" s="1759" t="s">
        <v>1583</v>
      </c>
      <c r="AG1230" s="1759" t="s">
        <v>1583</v>
      </c>
      <c r="AH1230" s="1759" t="s">
        <v>1583</v>
      </c>
      <c r="AI1230" s="1759" t="s">
        <v>3705</v>
      </c>
      <c r="AJ1230" s="1759" t="s">
        <v>3705</v>
      </c>
      <c r="AK1230" s="1759">
        <v>2176</v>
      </c>
      <c r="AL1230" s="1759" t="s">
        <v>3706</v>
      </c>
      <c r="AM1230" s="1759">
        <v>667</v>
      </c>
      <c r="AN1230" s="1759"/>
      <c r="AO1230" s="1764"/>
      <c r="AP1230" s="1759"/>
      <c r="AQ1230" s="1759"/>
      <c r="AR1230" s="1759" t="s">
        <v>378</v>
      </c>
      <c r="AS1230" s="1759" t="s">
        <v>379</v>
      </c>
      <c r="AT1230" s="1759" t="s">
        <v>328</v>
      </c>
      <c r="AU1230" s="1763"/>
      <c r="AV1230" s="1763"/>
    </row>
    <row r="1231" spans="1:48" ht="25">
      <c r="A1231" s="1785" t="str">
        <f t="shared" si="198"/>
        <v>פנסיה</v>
      </c>
      <c r="B1231" s="1786">
        <f t="shared" si="199"/>
        <v>12251</v>
      </c>
      <c r="C1231" s="1787">
        <v>28946</v>
      </c>
      <c r="D1231" s="1786" t="str">
        <f t="shared" si="200"/>
        <v>כלל פנסיה משלימה- מסלול למקבלי קצבה</v>
      </c>
      <c r="E1231" s="1786" t="s">
        <v>3929</v>
      </c>
      <c r="F1231" s="1786" t="s">
        <v>2958</v>
      </c>
      <c r="G1231" s="1786" t="s">
        <v>2959</v>
      </c>
      <c r="H1231" s="1786" t="str">
        <f t="shared" si="201"/>
        <v>פעיל</v>
      </c>
      <c r="I1231" s="1788">
        <f t="shared" si="202"/>
        <v>37257</v>
      </c>
      <c r="J1231" s="1788" t="str">
        <f t="shared" si="203"/>
        <v/>
      </c>
      <c r="K1231" s="1786">
        <v>0</v>
      </c>
      <c r="L1231" s="1786" t="s">
        <v>1594</v>
      </c>
      <c r="M1231" s="1786" t="s">
        <v>1653</v>
      </c>
      <c r="N1231" s="1786" t="s">
        <v>1653</v>
      </c>
      <c r="O1231" s="1786">
        <v>0</v>
      </c>
      <c r="P1231" s="1786"/>
      <c r="Q1231" s="1786">
        <v>0</v>
      </c>
      <c r="R1231" s="1788"/>
      <c r="S1231" s="1786">
        <f t="shared" si="204"/>
        <v>667</v>
      </c>
      <c r="T1231" s="1786">
        <f t="shared" si="205"/>
        <v>0</v>
      </c>
      <c r="U1231" s="1786" t="str">
        <f t="shared" si="206"/>
        <v>כלל פנסיה משלימה</v>
      </c>
      <c r="V1231" s="1786">
        <f t="shared" si="207"/>
        <v>0</v>
      </c>
      <c r="W1231" s="1789" t="str">
        <f t="shared" si="208"/>
        <v>כלל פנסיה וגמל בע"מ</v>
      </c>
      <c r="AC1231" s="1761" t="s">
        <v>346</v>
      </c>
      <c r="AD1231" s="1759"/>
      <c r="AE1231" s="1762">
        <v>37257</v>
      </c>
      <c r="AF1231" s="1761" t="s">
        <v>4160</v>
      </c>
      <c r="AG1231" s="1761" t="s">
        <v>2614</v>
      </c>
      <c r="AH1231" s="1761" t="s">
        <v>3658</v>
      </c>
      <c r="AI1231" s="1761" t="s">
        <v>5561</v>
      </c>
      <c r="AJ1231" s="1761" t="s">
        <v>5562</v>
      </c>
      <c r="AK1231" s="1761">
        <v>12251</v>
      </c>
      <c r="AL1231" s="1761" t="s">
        <v>3706</v>
      </c>
      <c r="AM1231" s="1761">
        <v>667</v>
      </c>
      <c r="AN1231" s="1761"/>
      <c r="AO1231" s="1764"/>
      <c r="AP1231" s="1761"/>
      <c r="AQ1231" s="1761"/>
      <c r="AR1231" s="1761" t="s">
        <v>378</v>
      </c>
      <c r="AS1231" s="1761" t="s">
        <v>379</v>
      </c>
      <c r="AT1231" s="1761" t="s">
        <v>328</v>
      </c>
      <c r="AU1231" s="1763"/>
      <c r="AV1231" s="1763"/>
    </row>
    <row r="1232" spans="1:48" ht="14">
      <c r="A1232" s="1785" t="str">
        <f t="shared" si="198"/>
        <v>פנסיה</v>
      </c>
      <c r="B1232" s="1786">
        <f t="shared" si="199"/>
        <v>13214</v>
      </c>
      <c r="C1232" s="1787">
        <v>28946</v>
      </c>
      <c r="D1232" s="1786" t="str">
        <f t="shared" si="200"/>
        <v>כלל פנסיה משלימה שיקלי טווח קצר</v>
      </c>
      <c r="E1232" s="1786" t="s">
        <v>3929</v>
      </c>
      <c r="F1232" s="1786" t="s">
        <v>2958</v>
      </c>
      <c r="G1232" s="1786" t="s">
        <v>2959</v>
      </c>
      <c r="H1232" s="1786" t="str">
        <f t="shared" si="201"/>
        <v>פעיל</v>
      </c>
      <c r="I1232" s="1788">
        <f t="shared" si="202"/>
        <v>37257</v>
      </c>
      <c r="J1232" s="1788" t="str">
        <f t="shared" si="203"/>
        <v/>
      </c>
      <c r="K1232" s="1786">
        <v>0</v>
      </c>
      <c r="L1232" s="1786" t="s">
        <v>1594</v>
      </c>
      <c r="M1232" s="1786" t="s">
        <v>1653</v>
      </c>
      <c r="N1232" s="1786" t="s">
        <v>1653</v>
      </c>
      <c r="O1232" s="1786">
        <v>0</v>
      </c>
      <c r="P1232" s="1786"/>
      <c r="Q1232" s="1786">
        <v>0</v>
      </c>
      <c r="R1232" s="1788"/>
      <c r="S1232" s="1786">
        <f t="shared" si="204"/>
        <v>667</v>
      </c>
      <c r="T1232" s="1786">
        <f t="shared" si="205"/>
        <v>0</v>
      </c>
      <c r="U1232" s="1786" t="str">
        <f t="shared" si="206"/>
        <v>כלל פנסיה משלימה</v>
      </c>
      <c r="V1232" s="1786">
        <f t="shared" si="207"/>
        <v>0</v>
      </c>
      <c r="W1232" s="1789" t="str">
        <f t="shared" si="208"/>
        <v>כלל פנסיה וגמל בע"מ</v>
      </c>
      <c r="AC1232" s="1759" t="s">
        <v>346</v>
      </c>
      <c r="AD1232" s="1759"/>
      <c r="AE1232" s="1760">
        <v>37257</v>
      </c>
      <c r="AF1232" s="1759" t="s">
        <v>1673</v>
      </c>
      <c r="AG1232" s="1759" t="s">
        <v>1614</v>
      </c>
      <c r="AH1232" s="1759" t="s">
        <v>1594</v>
      </c>
      <c r="AI1232" s="1759" t="s">
        <v>5563</v>
      </c>
      <c r="AJ1232" s="1759" t="s">
        <v>5563</v>
      </c>
      <c r="AK1232" s="1759">
        <v>13214</v>
      </c>
      <c r="AL1232" s="1759" t="s">
        <v>3706</v>
      </c>
      <c r="AM1232" s="1759">
        <v>667</v>
      </c>
      <c r="AN1232" s="1759"/>
      <c r="AO1232" s="1764"/>
      <c r="AP1232" s="1759"/>
      <c r="AQ1232" s="1759"/>
      <c r="AR1232" s="1759" t="s">
        <v>378</v>
      </c>
      <c r="AS1232" s="1759" t="s">
        <v>379</v>
      </c>
      <c r="AT1232" s="1759" t="s">
        <v>328</v>
      </c>
      <c r="AU1232" s="1763"/>
      <c r="AV1232" s="1763"/>
    </row>
    <row r="1233" spans="1:48" ht="25">
      <c r="A1233" s="1785" t="str">
        <f t="shared" si="198"/>
        <v>פנסיה</v>
      </c>
      <c r="B1233" s="1786">
        <f t="shared" si="199"/>
        <v>2206</v>
      </c>
      <c r="C1233" s="1787">
        <v>28946</v>
      </c>
      <c r="D1233" s="1786" t="str">
        <f t="shared" si="200"/>
        <v>כלל פנסיה משלימה - מסלול מקבלי פנסיה</v>
      </c>
      <c r="E1233" s="1786" t="s">
        <v>3929</v>
      </c>
      <c r="F1233" s="1786" t="s">
        <v>2958</v>
      </c>
      <c r="G1233" s="1786" t="s">
        <v>2959</v>
      </c>
      <c r="H1233" s="1786" t="str">
        <f t="shared" si="201"/>
        <v>פעיל</v>
      </c>
      <c r="I1233" s="1788">
        <f t="shared" si="202"/>
        <v>37257</v>
      </c>
      <c r="J1233" s="1788" t="str">
        <f t="shared" si="203"/>
        <v/>
      </c>
      <c r="K1233" s="1786">
        <v>0</v>
      </c>
      <c r="L1233" s="1786" t="s">
        <v>1594</v>
      </c>
      <c r="M1233" s="1786" t="s">
        <v>1653</v>
      </c>
      <c r="N1233" s="1786" t="s">
        <v>1653</v>
      </c>
      <c r="O1233" s="1786">
        <v>0</v>
      </c>
      <c r="P1233" s="1786"/>
      <c r="Q1233" s="1786">
        <v>0</v>
      </c>
      <c r="R1233" s="1788"/>
      <c r="S1233" s="1786">
        <f t="shared" si="204"/>
        <v>667</v>
      </c>
      <c r="T1233" s="1786">
        <f t="shared" si="205"/>
        <v>0</v>
      </c>
      <c r="U1233" s="1786" t="str">
        <f t="shared" si="206"/>
        <v>כלל פנסיה משלימה</v>
      </c>
      <c r="V1233" s="1786">
        <f t="shared" si="207"/>
        <v>0</v>
      </c>
      <c r="W1233" s="1789" t="str">
        <f t="shared" si="208"/>
        <v>כלל פנסיה וגמל בע"מ</v>
      </c>
      <c r="AC1233" s="1761" t="s">
        <v>346</v>
      </c>
      <c r="AD1233" s="1761"/>
      <c r="AE1233" s="1762">
        <v>37257</v>
      </c>
      <c r="AF1233" s="1761" t="s">
        <v>4160</v>
      </c>
      <c r="AG1233" s="1761" t="s">
        <v>2614</v>
      </c>
      <c r="AH1233" s="1761" t="s">
        <v>3658</v>
      </c>
      <c r="AI1233" s="1761" t="s">
        <v>3708</v>
      </c>
      <c r="AJ1233" s="1761" t="s">
        <v>4176</v>
      </c>
      <c r="AK1233" s="1761">
        <v>2206</v>
      </c>
      <c r="AL1233" s="1761" t="s">
        <v>3706</v>
      </c>
      <c r="AM1233" s="1761">
        <v>667</v>
      </c>
      <c r="AN1233" s="1761"/>
      <c r="AO1233" s="1764"/>
      <c r="AP1233" s="1761"/>
      <c r="AQ1233" s="1761"/>
      <c r="AR1233" s="1761" t="s">
        <v>378</v>
      </c>
      <c r="AS1233" s="1761" t="s">
        <v>379</v>
      </c>
      <c r="AT1233" s="1761" t="s">
        <v>328</v>
      </c>
      <c r="AU1233" s="1763"/>
      <c r="AV1233" s="1763"/>
    </row>
    <row r="1234" spans="1:48" ht="14">
      <c r="A1234" s="1785" t="str">
        <f t="shared" si="198"/>
        <v>פנסיה</v>
      </c>
      <c r="B1234" s="1786">
        <f t="shared" si="199"/>
        <v>9633</v>
      </c>
      <c r="C1234" s="1787">
        <v>28946</v>
      </c>
      <c r="D1234" s="1786" t="str">
        <f t="shared" si="200"/>
        <v>כלל פנסיה משלימה עד 50</v>
      </c>
      <c r="E1234" s="1786" t="s">
        <v>3929</v>
      </c>
      <c r="F1234" s="1786" t="s">
        <v>2958</v>
      </c>
      <c r="G1234" s="1786" t="s">
        <v>2959</v>
      </c>
      <c r="H1234" s="1786" t="str">
        <f t="shared" si="201"/>
        <v>פעיל</v>
      </c>
      <c r="I1234" s="1788">
        <f t="shared" si="202"/>
        <v>37257</v>
      </c>
      <c r="J1234" s="1788" t="str">
        <f t="shared" si="203"/>
        <v/>
      </c>
      <c r="K1234" s="1786">
        <v>0</v>
      </c>
      <c r="L1234" s="1786" t="s">
        <v>1594</v>
      </c>
      <c r="M1234" s="1786" t="s">
        <v>1653</v>
      </c>
      <c r="N1234" s="1786" t="s">
        <v>1653</v>
      </c>
      <c r="O1234" s="1786">
        <v>0</v>
      </c>
      <c r="P1234" s="1786"/>
      <c r="Q1234" s="1786">
        <v>0</v>
      </c>
      <c r="R1234" s="1788"/>
      <c r="S1234" s="1786">
        <f t="shared" si="204"/>
        <v>667</v>
      </c>
      <c r="T1234" s="1786">
        <f t="shared" si="205"/>
        <v>0</v>
      </c>
      <c r="U1234" s="1786" t="str">
        <f t="shared" si="206"/>
        <v>כלל פנסיה משלימה</v>
      </c>
      <c r="V1234" s="1786">
        <f t="shared" si="207"/>
        <v>0</v>
      </c>
      <c r="W1234" s="1789" t="str">
        <f t="shared" si="208"/>
        <v>כלל פנסיה וגמל בע"מ</v>
      </c>
      <c r="AC1234" s="1759" t="s">
        <v>346</v>
      </c>
      <c r="AD1234" s="1759"/>
      <c r="AE1234" s="1760">
        <v>37257</v>
      </c>
      <c r="AF1234" s="1759" t="s">
        <v>4151</v>
      </c>
      <c r="AG1234" s="1759" t="s">
        <v>3931</v>
      </c>
      <c r="AH1234" s="1759" t="s">
        <v>3658</v>
      </c>
      <c r="AI1234" s="1759" t="s">
        <v>4301</v>
      </c>
      <c r="AJ1234" s="1759" t="s">
        <v>4301</v>
      </c>
      <c r="AK1234" s="1759">
        <v>9633</v>
      </c>
      <c r="AL1234" s="1759" t="s">
        <v>3706</v>
      </c>
      <c r="AM1234" s="1759">
        <v>667</v>
      </c>
      <c r="AN1234" s="1759"/>
      <c r="AO1234" s="1764"/>
      <c r="AP1234" s="1759"/>
      <c r="AQ1234" s="1759"/>
      <c r="AR1234" s="1759" t="s">
        <v>378</v>
      </c>
      <c r="AS1234" s="1759" t="s">
        <v>379</v>
      </c>
      <c r="AT1234" s="1759" t="s">
        <v>328</v>
      </c>
      <c r="AU1234" s="1763"/>
      <c r="AV1234" s="1763"/>
    </row>
    <row r="1235" spans="1:48" ht="14">
      <c r="A1235" s="1785" t="str">
        <f t="shared" si="198"/>
        <v>פנסיה</v>
      </c>
      <c r="B1235" s="1786">
        <f t="shared" si="199"/>
        <v>9634</v>
      </c>
      <c r="C1235" s="1787">
        <v>28946</v>
      </c>
      <c r="D1235" s="1786" t="str">
        <f t="shared" si="200"/>
        <v>כלל פנסיה משלימה 50-60</v>
      </c>
      <c r="E1235" s="1786" t="s">
        <v>3929</v>
      </c>
      <c r="F1235" s="1786" t="s">
        <v>2958</v>
      </c>
      <c r="G1235" s="1786" t="s">
        <v>2959</v>
      </c>
      <c r="H1235" s="1786" t="str">
        <f t="shared" si="201"/>
        <v>פעיל</v>
      </c>
      <c r="I1235" s="1788">
        <f t="shared" si="202"/>
        <v>37257</v>
      </c>
      <c r="J1235" s="1788" t="str">
        <f t="shared" si="203"/>
        <v/>
      </c>
      <c r="K1235" s="1786">
        <v>0</v>
      </c>
      <c r="L1235" s="1786" t="s">
        <v>1594</v>
      </c>
      <c r="M1235" s="1786" t="s">
        <v>1653</v>
      </c>
      <c r="N1235" s="1786" t="s">
        <v>1653</v>
      </c>
      <c r="O1235" s="1786">
        <v>0</v>
      </c>
      <c r="P1235" s="1786"/>
      <c r="Q1235" s="1786">
        <v>0</v>
      </c>
      <c r="R1235" s="1788"/>
      <c r="S1235" s="1786">
        <f t="shared" si="204"/>
        <v>667</v>
      </c>
      <c r="T1235" s="1786">
        <f t="shared" si="205"/>
        <v>0</v>
      </c>
      <c r="U1235" s="1786" t="str">
        <f t="shared" si="206"/>
        <v>כלל פנסיה משלימה</v>
      </c>
      <c r="V1235" s="1786">
        <f t="shared" si="207"/>
        <v>0</v>
      </c>
      <c r="W1235" s="1789" t="str">
        <f t="shared" si="208"/>
        <v>כלל פנסיה וגמל בע"מ</v>
      </c>
      <c r="AC1235" s="1761" t="s">
        <v>346</v>
      </c>
      <c r="AD1235" s="1761"/>
      <c r="AE1235" s="1762">
        <v>37257</v>
      </c>
      <c r="AF1235" s="1761" t="s">
        <v>3932</v>
      </c>
      <c r="AG1235" s="1761" t="s">
        <v>3931</v>
      </c>
      <c r="AH1235" s="1761" t="s">
        <v>3658</v>
      </c>
      <c r="AI1235" s="1761" t="s">
        <v>4302</v>
      </c>
      <c r="AJ1235" s="1761" t="s">
        <v>4302</v>
      </c>
      <c r="AK1235" s="1761">
        <v>9634</v>
      </c>
      <c r="AL1235" s="1761" t="s">
        <v>3706</v>
      </c>
      <c r="AM1235" s="1761">
        <v>667</v>
      </c>
      <c r="AN1235" s="1761"/>
      <c r="AO1235" s="1764"/>
      <c r="AP1235" s="1761"/>
      <c r="AQ1235" s="1761"/>
      <c r="AR1235" s="1761" t="s">
        <v>378</v>
      </c>
      <c r="AS1235" s="1761" t="s">
        <v>379</v>
      </c>
      <c r="AT1235" s="1761" t="s">
        <v>328</v>
      </c>
      <c r="AU1235" s="1763"/>
      <c r="AV1235" s="1763"/>
    </row>
    <row r="1236" spans="1:48" ht="14">
      <c r="A1236" s="1785" t="str">
        <f t="shared" si="198"/>
        <v>פנסיה</v>
      </c>
      <c r="B1236" s="1786">
        <f t="shared" si="199"/>
        <v>9635</v>
      </c>
      <c r="C1236" s="1787">
        <v>28946</v>
      </c>
      <c r="D1236" s="1786" t="str">
        <f t="shared" si="200"/>
        <v>כלל פנסיה משלימה 60 ומעלה</v>
      </c>
      <c r="E1236" s="1786" t="s">
        <v>3929</v>
      </c>
      <c r="F1236" s="1786" t="s">
        <v>2958</v>
      </c>
      <c r="G1236" s="1786" t="s">
        <v>2959</v>
      </c>
      <c r="H1236" s="1786" t="str">
        <f t="shared" si="201"/>
        <v>פעיל</v>
      </c>
      <c r="I1236" s="1788">
        <f t="shared" si="202"/>
        <v>37257</v>
      </c>
      <c r="J1236" s="1788" t="str">
        <f t="shared" si="203"/>
        <v/>
      </c>
      <c r="K1236" s="1786">
        <v>0</v>
      </c>
      <c r="L1236" s="1786" t="s">
        <v>1594</v>
      </c>
      <c r="M1236" s="1786" t="s">
        <v>1653</v>
      </c>
      <c r="N1236" s="1786" t="s">
        <v>1653</v>
      </c>
      <c r="O1236" s="1786">
        <v>0</v>
      </c>
      <c r="P1236" s="1786"/>
      <c r="Q1236" s="1786">
        <v>0</v>
      </c>
      <c r="R1236" s="1788"/>
      <c r="S1236" s="1786">
        <f t="shared" si="204"/>
        <v>667</v>
      </c>
      <c r="T1236" s="1786">
        <f t="shared" si="205"/>
        <v>0</v>
      </c>
      <c r="U1236" s="1786" t="str">
        <f t="shared" si="206"/>
        <v>כלל פנסיה משלימה</v>
      </c>
      <c r="V1236" s="1786">
        <f t="shared" si="207"/>
        <v>0</v>
      </c>
      <c r="W1236" s="1789" t="str">
        <f t="shared" si="208"/>
        <v>כלל פנסיה וגמל בע"מ</v>
      </c>
      <c r="AC1236" s="1759" t="s">
        <v>346</v>
      </c>
      <c r="AD1236" s="1759"/>
      <c r="AE1236" s="1760">
        <v>37257</v>
      </c>
      <c r="AF1236" s="1759" t="s">
        <v>3963</v>
      </c>
      <c r="AG1236" s="1759" t="s">
        <v>3931</v>
      </c>
      <c r="AH1236" s="1759" t="s">
        <v>3658</v>
      </c>
      <c r="AI1236" s="1759" t="s">
        <v>4303</v>
      </c>
      <c r="AJ1236" s="1759" t="s">
        <v>4303</v>
      </c>
      <c r="AK1236" s="1759">
        <v>9635</v>
      </c>
      <c r="AL1236" s="1759" t="s">
        <v>3706</v>
      </c>
      <c r="AM1236" s="1759">
        <v>667</v>
      </c>
      <c r="AN1236" s="1759"/>
      <c r="AO1236" s="1764"/>
      <c r="AP1236" s="1759"/>
      <c r="AQ1236" s="1759"/>
      <c r="AR1236" s="1759" t="s">
        <v>378</v>
      </c>
      <c r="AS1236" s="1759" t="s">
        <v>379</v>
      </c>
      <c r="AT1236" s="1759" t="s">
        <v>328</v>
      </c>
      <c r="AU1236" s="1763"/>
      <c r="AV1236" s="1763"/>
    </row>
    <row r="1237" spans="1:48" ht="25">
      <c r="A1237" s="1785" t="str">
        <f t="shared" si="198"/>
        <v>פנסיה</v>
      </c>
      <c r="B1237" s="1786">
        <f t="shared" si="199"/>
        <v>13226</v>
      </c>
      <c r="C1237" s="1787">
        <v>28946</v>
      </c>
      <c r="D1237" s="1786" t="str">
        <f t="shared" si="200"/>
        <v>כלל פנסיה משלימה מסלול למקבלי קצבה   אג"ח עד 20% מניות</v>
      </c>
      <c r="E1237" s="1786" t="s">
        <v>3929</v>
      </c>
      <c r="F1237" s="1786" t="s">
        <v>2958</v>
      </c>
      <c r="G1237" s="1786" t="s">
        <v>2959</v>
      </c>
      <c r="H1237" s="1786" t="str">
        <f t="shared" si="201"/>
        <v>פעיל</v>
      </c>
      <c r="I1237" s="1788">
        <f t="shared" si="202"/>
        <v>37257</v>
      </c>
      <c r="J1237" s="1788" t="str">
        <f t="shared" si="203"/>
        <v/>
      </c>
      <c r="K1237" s="1786">
        <v>0</v>
      </c>
      <c r="L1237" s="1786" t="s">
        <v>1594</v>
      </c>
      <c r="M1237" s="1786" t="s">
        <v>1653</v>
      </c>
      <c r="N1237" s="1786" t="s">
        <v>1653</v>
      </c>
      <c r="O1237" s="1786">
        <v>0</v>
      </c>
      <c r="P1237" s="1786"/>
      <c r="Q1237" s="1786">
        <v>0</v>
      </c>
      <c r="R1237" s="1788"/>
      <c r="S1237" s="1786">
        <f t="shared" si="204"/>
        <v>667</v>
      </c>
      <c r="T1237" s="1786">
        <f t="shared" si="205"/>
        <v>0</v>
      </c>
      <c r="U1237" s="1786" t="str">
        <f t="shared" si="206"/>
        <v>כלל פנסיה משלימה</v>
      </c>
      <c r="V1237" s="1786">
        <f t="shared" si="207"/>
        <v>0</v>
      </c>
      <c r="W1237" s="1789" t="str">
        <f t="shared" si="208"/>
        <v>כלל פנסיה וגמל בע"מ</v>
      </c>
      <c r="AC1237" s="1761" t="s">
        <v>346</v>
      </c>
      <c r="AD1237" s="1761"/>
      <c r="AE1237" s="1762">
        <v>37257</v>
      </c>
      <c r="AF1237" s="1761" t="s">
        <v>3934</v>
      </c>
      <c r="AG1237" s="1761" t="s">
        <v>1653</v>
      </c>
      <c r="AH1237" s="1761" t="s">
        <v>1594</v>
      </c>
      <c r="AI1237" s="1761" t="s">
        <v>5564</v>
      </c>
      <c r="AJ1237" s="1761" t="s">
        <v>5565</v>
      </c>
      <c r="AK1237" s="1761">
        <v>13226</v>
      </c>
      <c r="AL1237" s="1761" t="s">
        <v>3706</v>
      </c>
      <c r="AM1237" s="1761">
        <v>667</v>
      </c>
      <c r="AN1237" s="1761"/>
      <c r="AO1237" s="1764"/>
      <c r="AP1237" s="1761"/>
      <c r="AQ1237" s="1761"/>
      <c r="AR1237" s="1761" t="s">
        <v>378</v>
      </c>
      <c r="AS1237" s="1761" t="s">
        <v>379</v>
      </c>
      <c r="AT1237" s="1761" t="s">
        <v>328</v>
      </c>
      <c r="AU1237" s="1763"/>
      <c r="AV1237" s="1763"/>
    </row>
    <row r="1238" spans="1:48" ht="25">
      <c r="A1238" s="1785" t="str">
        <f t="shared" si="198"/>
        <v>פנסיה</v>
      </c>
      <c r="B1238" s="1786">
        <f t="shared" si="199"/>
        <v>2137</v>
      </c>
      <c r="C1238" s="1787">
        <v>28946</v>
      </c>
      <c r="D1238" s="1786" t="str">
        <f t="shared" si="200"/>
        <v>מבטחים החדשה פלוס - כללי</v>
      </c>
      <c r="E1238" s="1786" t="s">
        <v>3929</v>
      </c>
      <c r="F1238" s="1786" t="s">
        <v>2958</v>
      </c>
      <c r="G1238" s="1786" t="s">
        <v>2959</v>
      </c>
      <c r="H1238" s="1786" t="str">
        <f t="shared" si="201"/>
        <v>לא פעיל</v>
      </c>
      <c r="I1238" s="1788">
        <f t="shared" si="202"/>
        <v>36620</v>
      </c>
      <c r="J1238" s="1788">
        <f t="shared" si="203"/>
        <v>42572.761168981502</v>
      </c>
      <c r="K1238" s="1786">
        <v>0</v>
      </c>
      <c r="L1238" s="1786" t="s">
        <v>1594</v>
      </c>
      <c r="M1238" s="1786" t="s">
        <v>1653</v>
      </c>
      <c r="N1238" s="1786" t="s">
        <v>1653</v>
      </c>
      <c r="O1238" s="1786">
        <v>0</v>
      </c>
      <c r="P1238" s="1786"/>
      <c r="Q1238" s="1786">
        <v>0</v>
      </c>
      <c r="R1238" s="1788"/>
      <c r="S1238" s="1786">
        <f t="shared" si="204"/>
        <v>665</v>
      </c>
      <c r="T1238" s="1786">
        <f t="shared" si="205"/>
        <v>0</v>
      </c>
      <c r="U1238" s="1786" t="str">
        <f t="shared" si="206"/>
        <v>מנורה מבטחים משלימה</v>
      </c>
      <c r="V1238" s="1786" t="str">
        <f t="shared" si="207"/>
        <v>520007469</v>
      </c>
      <c r="W1238" s="1789" t="str">
        <f t="shared" si="208"/>
        <v>מנורה מבטחים פנסיה וגמל בע"מ</v>
      </c>
      <c r="AC1238" s="1759" t="s">
        <v>1586</v>
      </c>
      <c r="AD1238" s="1760">
        <v>42572.761168981502</v>
      </c>
      <c r="AE1238" s="1760">
        <v>36620</v>
      </c>
      <c r="AF1238" s="1759" t="s">
        <v>1583</v>
      </c>
      <c r="AG1238" s="1759" t="s">
        <v>1583</v>
      </c>
      <c r="AH1238" s="1759" t="s">
        <v>1583</v>
      </c>
      <c r="AI1238" s="1759" t="s">
        <v>2605</v>
      </c>
      <c r="AJ1238" s="1759" t="s">
        <v>2605</v>
      </c>
      <c r="AK1238" s="1759">
        <v>2137</v>
      </c>
      <c r="AL1238" s="1759" t="s">
        <v>5566</v>
      </c>
      <c r="AM1238" s="1759">
        <v>665</v>
      </c>
      <c r="AN1238" s="1759"/>
      <c r="AO1238" s="1764"/>
      <c r="AP1238" s="1759" t="s">
        <v>5377</v>
      </c>
      <c r="AQ1238" s="1759" t="s">
        <v>5378</v>
      </c>
      <c r="AR1238" s="1759" t="s">
        <v>2971</v>
      </c>
      <c r="AS1238" s="1759" t="s">
        <v>396</v>
      </c>
      <c r="AT1238" s="1759" t="s">
        <v>328</v>
      </c>
      <c r="AU1238" s="1763"/>
      <c r="AV1238" s="1763"/>
    </row>
    <row r="1239" spans="1:48" ht="25">
      <c r="A1239" s="1785" t="str">
        <f t="shared" ref="A1239:A1302" si="209">AT1239</f>
        <v>פנסיה</v>
      </c>
      <c r="B1239" s="1786">
        <f t="shared" ref="B1239:B1302" si="210">AK1239</f>
        <v>2213</v>
      </c>
      <c r="C1239" s="1787">
        <v>28946</v>
      </c>
      <c r="D1239" s="1786" t="str">
        <f t="shared" ref="D1239:D1302" si="211">AJ1239</f>
        <v>מנורה מבטחים משלימה - מקבלי פנסיה קיימים</v>
      </c>
      <c r="E1239" s="1786" t="s">
        <v>3929</v>
      </c>
      <c r="F1239" s="1786" t="s">
        <v>2958</v>
      </c>
      <c r="G1239" s="1786" t="s">
        <v>2959</v>
      </c>
      <c r="H1239" s="1786" t="str">
        <f t="shared" ref="H1239:H1302" si="212">AC1239</f>
        <v>פעיל</v>
      </c>
      <c r="I1239" s="1788">
        <f t="shared" ref="I1239:I1302" si="213">IF(AE1239="","",AE1239)</f>
        <v>36620</v>
      </c>
      <c r="J1239" s="1788" t="str">
        <f t="shared" ref="J1239:J1302" si="214">IF(AD1239="","",AD1239)</f>
        <v/>
      </c>
      <c r="K1239" s="1786">
        <v>0</v>
      </c>
      <c r="L1239" s="1786" t="s">
        <v>1594</v>
      </c>
      <c r="M1239" s="1786" t="s">
        <v>1653</v>
      </c>
      <c r="N1239" s="1786" t="s">
        <v>1653</v>
      </c>
      <c r="O1239" s="1786">
        <v>0</v>
      </c>
      <c r="P1239" s="1786"/>
      <c r="Q1239" s="1786">
        <v>0</v>
      </c>
      <c r="R1239" s="1788"/>
      <c r="S1239" s="1786">
        <f t="shared" ref="S1239:S1302" si="215">AM1239</f>
        <v>665</v>
      </c>
      <c r="T1239" s="1786">
        <f t="shared" ref="T1239:T1302" si="216">AN1239</f>
        <v>0</v>
      </c>
      <c r="U1239" s="1786" t="str">
        <f t="shared" ref="U1239:U1302" si="217">AL1239</f>
        <v>מנורה מבטחים משלימה</v>
      </c>
      <c r="V1239" s="1786" t="str">
        <f t="shared" ref="V1239:V1302" si="218">AQ1239</f>
        <v>520007469</v>
      </c>
      <c r="W1239" s="1789" t="str">
        <f t="shared" ref="W1239:W1302" si="219">AR1239</f>
        <v>מנורה מבטחים פנסיה וגמל בע"מ</v>
      </c>
      <c r="AC1239" s="1761" t="s">
        <v>346</v>
      </c>
      <c r="AD1239" s="1761"/>
      <c r="AE1239" s="1762">
        <v>36620</v>
      </c>
      <c r="AF1239" s="1761" t="s">
        <v>4160</v>
      </c>
      <c r="AG1239" s="1761" t="s">
        <v>2614</v>
      </c>
      <c r="AH1239" s="1761" t="s">
        <v>3658</v>
      </c>
      <c r="AI1239" s="1761" t="s">
        <v>5567</v>
      </c>
      <c r="AJ1239" s="1761" t="s">
        <v>5567</v>
      </c>
      <c r="AK1239" s="1761">
        <v>2213</v>
      </c>
      <c r="AL1239" s="1761" t="s">
        <v>5566</v>
      </c>
      <c r="AM1239" s="1761">
        <v>665</v>
      </c>
      <c r="AN1239" s="1761"/>
      <c r="AO1239" s="1764"/>
      <c r="AP1239" s="1761" t="s">
        <v>5377</v>
      </c>
      <c r="AQ1239" s="1761" t="s">
        <v>5378</v>
      </c>
      <c r="AR1239" s="1761" t="s">
        <v>2971</v>
      </c>
      <c r="AS1239" s="1761" t="s">
        <v>396</v>
      </c>
      <c r="AT1239" s="1761" t="s">
        <v>328</v>
      </c>
      <c r="AU1239" s="1763"/>
      <c r="AV1239" s="1763"/>
    </row>
    <row r="1240" spans="1:48" ht="25">
      <c r="A1240" s="1785" t="str">
        <f t="shared" si="209"/>
        <v>פנסיה</v>
      </c>
      <c r="B1240" s="1786">
        <f t="shared" si="210"/>
        <v>2139</v>
      </c>
      <c r="C1240" s="1787">
        <v>28946</v>
      </c>
      <c r="D1240" s="1786" t="str">
        <f t="shared" si="211"/>
        <v>מבטחים החדשה פלוס - מסלול אג"ח</v>
      </c>
      <c r="E1240" s="1786" t="s">
        <v>3929</v>
      </c>
      <c r="F1240" s="1786" t="s">
        <v>2958</v>
      </c>
      <c r="G1240" s="1786" t="s">
        <v>2959</v>
      </c>
      <c r="H1240" s="1786" t="str">
        <f t="shared" si="212"/>
        <v>לא פעיל</v>
      </c>
      <c r="I1240" s="1788">
        <f t="shared" si="213"/>
        <v>36620</v>
      </c>
      <c r="J1240" s="1788">
        <f t="shared" si="214"/>
        <v>42071.460775462998</v>
      </c>
      <c r="K1240" s="1786">
        <v>0</v>
      </c>
      <c r="L1240" s="1786" t="s">
        <v>1594</v>
      </c>
      <c r="M1240" s="1786" t="s">
        <v>1653</v>
      </c>
      <c r="N1240" s="1786" t="s">
        <v>1653</v>
      </c>
      <c r="O1240" s="1786">
        <v>0</v>
      </c>
      <c r="P1240" s="1786"/>
      <c r="Q1240" s="1786">
        <v>0</v>
      </c>
      <c r="R1240" s="1788"/>
      <c r="S1240" s="1786">
        <f t="shared" si="215"/>
        <v>665</v>
      </c>
      <c r="T1240" s="1786">
        <f t="shared" si="216"/>
        <v>0</v>
      </c>
      <c r="U1240" s="1786" t="str">
        <f t="shared" si="217"/>
        <v>מנורה מבטחים משלימה</v>
      </c>
      <c r="V1240" s="1786" t="str">
        <f t="shared" si="218"/>
        <v>520007469</v>
      </c>
      <c r="W1240" s="1789" t="str">
        <f t="shared" si="219"/>
        <v>מנורה מבטחים פנסיה וגמל בע"מ</v>
      </c>
      <c r="AC1240" s="1759" t="s">
        <v>1586</v>
      </c>
      <c r="AD1240" s="1760">
        <v>42071.460775462998</v>
      </c>
      <c r="AE1240" s="1760">
        <v>36620</v>
      </c>
      <c r="AF1240" s="1759" t="s">
        <v>1653</v>
      </c>
      <c r="AG1240" s="1759" t="s">
        <v>1653</v>
      </c>
      <c r="AH1240" s="1759" t="s">
        <v>1594</v>
      </c>
      <c r="AI1240" s="1759" t="s">
        <v>2607</v>
      </c>
      <c r="AJ1240" s="1759" t="s">
        <v>2607</v>
      </c>
      <c r="AK1240" s="1759">
        <v>2139</v>
      </c>
      <c r="AL1240" s="1759" t="s">
        <v>5566</v>
      </c>
      <c r="AM1240" s="1759">
        <v>665</v>
      </c>
      <c r="AN1240" s="1759"/>
      <c r="AO1240" s="1764"/>
      <c r="AP1240" s="1759" t="s">
        <v>5377</v>
      </c>
      <c r="AQ1240" s="1759" t="s">
        <v>5378</v>
      </c>
      <c r="AR1240" s="1759" t="s">
        <v>2971</v>
      </c>
      <c r="AS1240" s="1759" t="s">
        <v>396</v>
      </c>
      <c r="AT1240" s="1759" t="s">
        <v>328</v>
      </c>
      <c r="AU1240" s="1763"/>
      <c r="AV1240" s="1763"/>
    </row>
    <row r="1241" spans="1:48" ht="25">
      <c r="A1241" s="1785" t="str">
        <f t="shared" si="209"/>
        <v>פנסיה</v>
      </c>
      <c r="B1241" s="1786">
        <f t="shared" si="210"/>
        <v>2140</v>
      </c>
      <c r="C1241" s="1787">
        <v>28946</v>
      </c>
      <c r="D1241" s="1786" t="str">
        <f t="shared" si="211"/>
        <v>מבטחים החדשה פלוס - מסלול כללי ב'</v>
      </c>
      <c r="E1241" s="1786" t="s">
        <v>3929</v>
      </c>
      <c r="F1241" s="1786" t="s">
        <v>2958</v>
      </c>
      <c r="G1241" s="1786" t="s">
        <v>2959</v>
      </c>
      <c r="H1241" s="1786" t="str">
        <f t="shared" si="212"/>
        <v>לא פעיל</v>
      </c>
      <c r="I1241" s="1788">
        <f t="shared" si="213"/>
        <v>36620</v>
      </c>
      <c r="J1241" s="1788">
        <f t="shared" si="214"/>
        <v>42071.460775462998</v>
      </c>
      <c r="K1241" s="1786">
        <v>0</v>
      </c>
      <c r="L1241" s="1786" t="s">
        <v>1594</v>
      </c>
      <c r="M1241" s="1786" t="s">
        <v>1653</v>
      </c>
      <c r="N1241" s="1786" t="s">
        <v>1653</v>
      </c>
      <c r="O1241" s="1786">
        <v>0</v>
      </c>
      <c r="P1241" s="1786"/>
      <c r="Q1241" s="1786">
        <v>0</v>
      </c>
      <c r="R1241" s="1788"/>
      <c r="S1241" s="1786">
        <f t="shared" si="215"/>
        <v>665</v>
      </c>
      <c r="T1241" s="1786">
        <f t="shared" si="216"/>
        <v>0</v>
      </c>
      <c r="U1241" s="1786" t="str">
        <f t="shared" si="217"/>
        <v>מנורה מבטחים משלימה</v>
      </c>
      <c r="V1241" s="1786" t="str">
        <f t="shared" si="218"/>
        <v>520007469</v>
      </c>
      <c r="W1241" s="1789" t="str">
        <f t="shared" si="219"/>
        <v>מנורה מבטחים פנסיה וגמל בע"מ</v>
      </c>
      <c r="AC1241" s="1761" t="s">
        <v>1586</v>
      </c>
      <c r="AD1241" s="1762">
        <v>42071.460775462998</v>
      </c>
      <c r="AE1241" s="1762">
        <v>36620</v>
      </c>
      <c r="AF1241" s="1761" t="s">
        <v>1583</v>
      </c>
      <c r="AG1241" s="1761" t="s">
        <v>1583</v>
      </c>
      <c r="AH1241" s="1761" t="s">
        <v>1583</v>
      </c>
      <c r="AI1241" s="1761" t="s">
        <v>2608</v>
      </c>
      <c r="AJ1241" s="1761" t="s">
        <v>2608</v>
      </c>
      <c r="AK1241" s="1761">
        <v>2140</v>
      </c>
      <c r="AL1241" s="1761" t="s">
        <v>5566</v>
      </c>
      <c r="AM1241" s="1761">
        <v>665</v>
      </c>
      <c r="AN1241" s="1761"/>
      <c r="AO1241" s="1764"/>
      <c r="AP1241" s="1761" t="s">
        <v>5377</v>
      </c>
      <c r="AQ1241" s="1761" t="s">
        <v>5378</v>
      </c>
      <c r="AR1241" s="1761" t="s">
        <v>2971</v>
      </c>
      <c r="AS1241" s="1761" t="s">
        <v>396</v>
      </c>
      <c r="AT1241" s="1761" t="s">
        <v>328</v>
      </c>
      <c r="AU1241" s="1763"/>
      <c r="AV1241" s="1763"/>
    </row>
    <row r="1242" spans="1:48" ht="25">
      <c r="A1242" s="1785" t="str">
        <f t="shared" si="209"/>
        <v>פנסיה</v>
      </c>
      <c r="B1242" s="1786">
        <f t="shared" si="210"/>
        <v>2141</v>
      </c>
      <c r="C1242" s="1787">
        <v>28946</v>
      </c>
      <c r="D1242" s="1786" t="str">
        <f t="shared" si="211"/>
        <v>מבטחים החדשה פלוס - מסלול גילאים</v>
      </c>
      <c r="E1242" s="1786" t="s">
        <v>3929</v>
      </c>
      <c r="F1242" s="1786" t="s">
        <v>2958</v>
      </c>
      <c r="G1242" s="1786" t="s">
        <v>2959</v>
      </c>
      <c r="H1242" s="1786" t="str">
        <f t="shared" si="212"/>
        <v>לא פעיל</v>
      </c>
      <c r="I1242" s="1788">
        <f t="shared" si="213"/>
        <v>36620</v>
      </c>
      <c r="J1242" s="1788">
        <f t="shared" si="214"/>
        <v>42071.460775462998</v>
      </c>
      <c r="K1242" s="1786">
        <v>0</v>
      </c>
      <c r="L1242" s="1786" t="s">
        <v>1594</v>
      </c>
      <c r="M1242" s="1786" t="s">
        <v>1653</v>
      </c>
      <c r="N1242" s="1786" t="s">
        <v>1653</v>
      </c>
      <c r="O1242" s="1786">
        <v>0</v>
      </c>
      <c r="P1242" s="1786"/>
      <c r="Q1242" s="1786">
        <v>0</v>
      </c>
      <c r="R1242" s="1788"/>
      <c r="S1242" s="1786">
        <f t="shared" si="215"/>
        <v>665</v>
      </c>
      <c r="T1242" s="1786">
        <f t="shared" si="216"/>
        <v>0</v>
      </c>
      <c r="U1242" s="1786" t="str">
        <f t="shared" si="217"/>
        <v>מנורה מבטחים משלימה</v>
      </c>
      <c r="V1242" s="1786" t="str">
        <f t="shared" si="218"/>
        <v>520007469</v>
      </c>
      <c r="W1242" s="1789" t="str">
        <f t="shared" si="219"/>
        <v>מנורה מבטחים פנסיה וגמל בע"מ</v>
      </c>
      <c r="AC1242" s="1759" t="s">
        <v>1586</v>
      </c>
      <c r="AD1242" s="1760">
        <v>42071.460775462998</v>
      </c>
      <c r="AE1242" s="1760">
        <v>36620</v>
      </c>
      <c r="AF1242" s="1759" t="s">
        <v>70</v>
      </c>
      <c r="AG1242" s="1759" t="s">
        <v>70</v>
      </c>
      <c r="AH1242" s="1759" t="s">
        <v>3658</v>
      </c>
      <c r="AI1242" s="1759" t="s">
        <v>2609</v>
      </c>
      <c r="AJ1242" s="1759" t="s">
        <v>2609</v>
      </c>
      <c r="AK1242" s="1759">
        <v>2141</v>
      </c>
      <c r="AL1242" s="1759" t="s">
        <v>5566</v>
      </c>
      <c r="AM1242" s="1759">
        <v>665</v>
      </c>
      <c r="AN1242" s="1759"/>
      <c r="AO1242" s="1764"/>
      <c r="AP1242" s="1759" t="s">
        <v>5377</v>
      </c>
      <c r="AQ1242" s="1759" t="s">
        <v>5378</v>
      </c>
      <c r="AR1242" s="1759" t="s">
        <v>2971</v>
      </c>
      <c r="AS1242" s="1759" t="s">
        <v>396</v>
      </c>
      <c r="AT1242" s="1759" t="s">
        <v>328</v>
      </c>
      <c r="AU1242" s="1763"/>
      <c r="AV1242" s="1763"/>
    </row>
    <row r="1243" spans="1:48" ht="25">
      <c r="A1243" s="1785" t="str">
        <f t="shared" si="209"/>
        <v>פנסיה</v>
      </c>
      <c r="B1243" s="1786">
        <f t="shared" si="210"/>
        <v>12154</v>
      </c>
      <c r="C1243" s="1787">
        <v>28946</v>
      </c>
      <c r="D1243" s="1786" t="str">
        <f t="shared" si="211"/>
        <v>מנורה מבטחים משלימה - מקבלי פנסיה חדשים</v>
      </c>
      <c r="E1243" s="1786" t="s">
        <v>3929</v>
      </c>
      <c r="F1243" s="1786" t="s">
        <v>2958</v>
      </c>
      <c r="G1243" s="1786" t="s">
        <v>2959</v>
      </c>
      <c r="H1243" s="1786" t="str">
        <f t="shared" si="212"/>
        <v>פעיל</v>
      </c>
      <c r="I1243" s="1788">
        <f t="shared" si="213"/>
        <v>36620</v>
      </c>
      <c r="J1243" s="1788" t="str">
        <f t="shared" si="214"/>
        <v/>
      </c>
      <c r="K1243" s="1786">
        <v>0</v>
      </c>
      <c r="L1243" s="1786" t="s">
        <v>1594</v>
      </c>
      <c r="M1243" s="1786" t="s">
        <v>1653</v>
      </c>
      <c r="N1243" s="1786" t="s">
        <v>1653</v>
      </c>
      <c r="O1243" s="1786">
        <v>0</v>
      </c>
      <c r="P1243" s="1786"/>
      <c r="Q1243" s="1786">
        <v>0</v>
      </c>
      <c r="R1243" s="1788"/>
      <c r="S1243" s="1786">
        <f t="shared" si="215"/>
        <v>665</v>
      </c>
      <c r="T1243" s="1786">
        <f t="shared" si="216"/>
        <v>0</v>
      </c>
      <c r="U1243" s="1786" t="str">
        <f t="shared" si="217"/>
        <v>מנורה מבטחים משלימה</v>
      </c>
      <c r="V1243" s="1786" t="str">
        <f t="shared" si="218"/>
        <v>520007469</v>
      </c>
      <c r="W1243" s="1789" t="str">
        <f t="shared" si="219"/>
        <v>מנורה מבטחים פנסיה וגמל בע"מ</v>
      </c>
      <c r="AC1243" s="1761" t="s">
        <v>346</v>
      </c>
      <c r="AD1243" s="1761"/>
      <c r="AE1243" s="1762">
        <v>36620</v>
      </c>
      <c r="AF1243" s="1761" t="s">
        <v>4160</v>
      </c>
      <c r="AG1243" s="1761" t="s">
        <v>2614</v>
      </c>
      <c r="AH1243" s="1761" t="s">
        <v>3658</v>
      </c>
      <c r="AI1243" s="1761" t="s">
        <v>5568</v>
      </c>
      <c r="AJ1243" s="1761" t="s">
        <v>5568</v>
      </c>
      <c r="AK1243" s="1761">
        <v>12154</v>
      </c>
      <c r="AL1243" s="1761" t="s">
        <v>5566</v>
      </c>
      <c r="AM1243" s="1761">
        <v>665</v>
      </c>
      <c r="AN1243" s="1761"/>
      <c r="AO1243" s="1764"/>
      <c r="AP1243" s="1761" t="s">
        <v>5377</v>
      </c>
      <c r="AQ1243" s="1761" t="s">
        <v>5378</v>
      </c>
      <c r="AR1243" s="1761" t="s">
        <v>2971</v>
      </c>
      <c r="AS1243" s="1761" t="s">
        <v>396</v>
      </c>
      <c r="AT1243" s="1761" t="s">
        <v>328</v>
      </c>
      <c r="AU1243" s="1763"/>
      <c r="AV1243" s="1763"/>
    </row>
    <row r="1244" spans="1:48" ht="25">
      <c r="A1244" s="1785" t="str">
        <f t="shared" si="209"/>
        <v>פנסיה</v>
      </c>
      <c r="B1244" s="1786">
        <f t="shared" si="210"/>
        <v>1608</v>
      </c>
      <c r="C1244" s="1787">
        <v>28946</v>
      </c>
      <c r="D1244" s="1786" t="str">
        <f t="shared" si="211"/>
        <v>מנורה מבטחים משלימה - יעד לפרישה 2020</v>
      </c>
      <c r="E1244" s="1786" t="s">
        <v>3929</v>
      </c>
      <c r="F1244" s="1786" t="s">
        <v>2958</v>
      </c>
      <c r="G1244" s="1786" t="s">
        <v>2959</v>
      </c>
      <c r="H1244" s="1786" t="str">
        <f t="shared" si="212"/>
        <v>פעיל</v>
      </c>
      <c r="I1244" s="1788">
        <f t="shared" si="213"/>
        <v>36620</v>
      </c>
      <c r="J1244" s="1788" t="str">
        <f t="shared" si="214"/>
        <v/>
      </c>
      <c r="K1244" s="1786">
        <v>0</v>
      </c>
      <c r="L1244" s="1786" t="s">
        <v>1594</v>
      </c>
      <c r="M1244" s="1786" t="s">
        <v>1653</v>
      </c>
      <c r="N1244" s="1786" t="s">
        <v>1653</v>
      </c>
      <c r="O1244" s="1786">
        <v>0</v>
      </c>
      <c r="P1244" s="1786"/>
      <c r="Q1244" s="1786">
        <v>0</v>
      </c>
      <c r="R1244" s="1788"/>
      <c r="S1244" s="1786">
        <f t="shared" si="215"/>
        <v>665</v>
      </c>
      <c r="T1244" s="1786">
        <f t="shared" si="216"/>
        <v>0</v>
      </c>
      <c r="U1244" s="1786" t="str">
        <f t="shared" si="217"/>
        <v>מנורה מבטחים משלימה</v>
      </c>
      <c r="V1244" s="1786" t="str">
        <f t="shared" si="218"/>
        <v>520007469</v>
      </c>
      <c r="W1244" s="1789" t="str">
        <f t="shared" si="219"/>
        <v>מנורה מבטחים פנסיה וגמל בע"מ</v>
      </c>
      <c r="AC1244" s="1759" t="s">
        <v>346</v>
      </c>
      <c r="AD1244" s="1759"/>
      <c r="AE1244" s="1760">
        <v>36620</v>
      </c>
      <c r="AF1244" s="1759" t="s">
        <v>4113</v>
      </c>
      <c r="AG1244" s="1759" t="s">
        <v>4113</v>
      </c>
      <c r="AH1244" s="1759" t="s">
        <v>3658</v>
      </c>
      <c r="AI1244" s="1759" t="s">
        <v>5569</v>
      </c>
      <c r="AJ1244" s="1759" t="s">
        <v>5569</v>
      </c>
      <c r="AK1244" s="1759">
        <v>1608</v>
      </c>
      <c r="AL1244" s="1759" t="s">
        <v>5566</v>
      </c>
      <c r="AM1244" s="1759">
        <v>665</v>
      </c>
      <c r="AN1244" s="1759"/>
      <c r="AO1244" s="1764"/>
      <c r="AP1244" s="1759" t="s">
        <v>5377</v>
      </c>
      <c r="AQ1244" s="1759" t="s">
        <v>5378</v>
      </c>
      <c r="AR1244" s="1759" t="s">
        <v>2971</v>
      </c>
      <c r="AS1244" s="1759" t="s">
        <v>396</v>
      </c>
      <c r="AT1244" s="1759" t="s">
        <v>328</v>
      </c>
      <c r="AU1244" s="1763"/>
      <c r="AV1244" s="1763"/>
    </row>
    <row r="1245" spans="1:48" ht="25">
      <c r="A1245" s="1785" t="str">
        <f t="shared" si="209"/>
        <v>פנסיה</v>
      </c>
      <c r="B1245" s="1786">
        <f t="shared" si="210"/>
        <v>1609</v>
      </c>
      <c r="C1245" s="1787">
        <v>28946</v>
      </c>
      <c r="D1245" s="1786" t="str">
        <f t="shared" si="211"/>
        <v>מנורה מבטחים משלימה - יעד לפרישה 2025</v>
      </c>
      <c r="E1245" s="1786" t="s">
        <v>3929</v>
      </c>
      <c r="F1245" s="1786" t="s">
        <v>2958</v>
      </c>
      <c r="G1245" s="1786" t="s">
        <v>2959</v>
      </c>
      <c r="H1245" s="1786" t="str">
        <f t="shared" si="212"/>
        <v>פעיל</v>
      </c>
      <c r="I1245" s="1788">
        <f t="shared" si="213"/>
        <v>36620</v>
      </c>
      <c r="J1245" s="1788" t="str">
        <f t="shared" si="214"/>
        <v/>
      </c>
      <c r="K1245" s="1786">
        <v>0</v>
      </c>
      <c r="L1245" s="1786" t="s">
        <v>1594</v>
      </c>
      <c r="M1245" s="1786" t="s">
        <v>1653</v>
      </c>
      <c r="N1245" s="1786" t="s">
        <v>1653</v>
      </c>
      <c r="O1245" s="1786">
        <v>0</v>
      </c>
      <c r="P1245" s="1786"/>
      <c r="Q1245" s="1786">
        <v>0</v>
      </c>
      <c r="R1245" s="1788"/>
      <c r="S1245" s="1786">
        <f t="shared" si="215"/>
        <v>665</v>
      </c>
      <c r="T1245" s="1786">
        <f t="shared" si="216"/>
        <v>0</v>
      </c>
      <c r="U1245" s="1786" t="str">
        <f t="shared" si="217"/>
        <v>מנורה מבטחים משלימה</v>
      </c>
      <c r="V1245" s="1786" t="str">
        <f t="shared" si="218"/>
        <v>520007469</v>
      </c>
      <c r="W1245" s="1789" t="str">
        <f t="shared" si="219"/>
        <v>מנורה מבטחים פנסיה וגמל בע"מ</v>
      </c>
      <c r="AC1245" s="1761" t="s">
        <v>346</v>
      </c>
      <c r="AD1245" s="1761"/>
      <c r="AE1245" s="1762">
        <v>36620</v>
      </c>
      <c r="AF1245" s="1761" t="s">
        <v>4113</v>
      </c>
      <c r="AG1245" s="1761" t="s">
        <v>4113</v>
      </c>
      <c r="AH1245" s="1761" t="s">
        <v>3658</v>
      </c>
      <c r="AI1245" s="1761" t="s">
        <v>5570</v>
      </c>
      <c r="AJ1245" s="1761" t="s">
        <v>5570</v>
      </c>
      <c r="AK1245" s="1761">
        <v>1609</v>
      </c>
      <c r="AL1245" s="1761" t="s">
        <v>5566</v>
      </c>
      <c r="AM1245" s="1761">
        <v>665</v>
      </c>
      <c r="AN1245" s="1761"/>
      <c r="AO1245" s="1764"/>
      <c r="AP1245" s="1761" t="s">
        <v>5377</v>
      </c>
      <c r="AQ1245" s="1761" t="s">
        <v>5378</v>
      </c>
      <c r="AR1245" s="1761" t="s">
        <v>2971</v>
      </c>
      <c r="AS1245" s="1761" t="s">
        <v>396</v>
      </c>
      <c r="AT1245" s="1761" t="s">
        <v>328</v>
      </c>
      <c r="AU1245" s="1763"/>
      <c r="AV1245" s="1763"/>
    </row>
    <row r="1246" spans="1:48" ht="25">
      <c r="A1246" s="1785" t="str">
        <f t="shared" si="209"/>
        <v>פנסיה</v>
      </c>
      <c r="B1246" s="1786">
        <f t="shared" si="210"/>
        <v>1619</v>
      </c>
      <c r="C1246" s="1787">
        <v>28946</v>
      </c>
      <c r="D1246" s="1786" t="str">
        <f t="shared" si="211"/>
        <v>מנורה מבטחים משלימה - יעד לפרישה 2030</v>
      </c>
      <c r="E1246" s="1786" t="s">
        <v>3929</v>
      </c>
      <c r="F1246" s="1786" t="s">
        <v>2958</v>
      </c>
      <c r="G1246" s="1786" t="s">
        <v>2959</v>
      </c>
      <c r="H1246" s="1786" t="str">
        <f t="shared" si="212"/>
        <v>פעיל</v>
      </c>
      <c r="I1246" s="1788">
        <f t="shared" si="213"/>
        <v>36620</v>
      </c>
      <c r="J1246" s="1788" t="str">
        <f t="shared" si="214"/>
        <v/>
      </c>
      <c r="K1246" s="1786">
        <v>0</v>
      </c>
      <c r="L1246" s="1786" t="s">
        <v>1594</v>
      </c>
      <c r="M1246" s="1786" t="s">
        <v>1653</v>
      </c>
      <c r="N1246" s="1786" t="s">
        <v>1653</v>
      </c>
      <c r="O1246" s="1786">
        <v>0</v>
      </c>
      <c r="P1246" s="1786"/>
      <c r="Q1246" s="1786">
        <v>0</v>
      </c>
      <c r="R1246" s="1788"/>
      <c r="S1246" s="1786">
        <f t="shared" si="215"/>
        <v>665</v>
      </c>
      <c r="T1246" s="1786">
        <f t="shared" si="216"/>
        <v>0</v>
      </c>
      <c r="U1246" s="1786" t="str">
        <f t="shared" si="217"/>
        <v>מנורה מבטחים משלימה</v>
      </c>
      <c r="V1246" s="1786" t="str">
        <f t="shared" si="218"/>
        <v>520007469</v>
      </c>
      <c r="W1246" s="1789" t="str">
        <f t="shared" si="219"/>
        <v>מנורה מבטחים פנסיה וגמל בע"מ</v>
      </c>
      <c r="AC1246" s="1759" t="s">
        <v>346</v>
      </c>
      <c r="AD1246" s="1759"/>
      <c r="AE1246" s="1760">
        <v>36620</v>
      </c>
      <c r="AF1246" s="1759" t="s">
        <v>4113</v>
      </c>
      <c r="AG1246" s="1759" t="s">
        <v>4113</v>
      </c>
      <c r="AH1246" s="1759" t="s">
        <v>3658</v>
      </c>
      <c r="AI1246" s="1759" t="s">
        <v>5571</v>
      </c>
      <c r="AJ1246" s="1759" t="s">
        <v>5571</v>
      </c>
      <c r="AK1246" s="1759">
        <v>1619</v>
      </c>
      <c r="AL1246" s="1759" t="s">
        <v>5566</v>
      </c>
      <c r="AM1246" s="1759">
        <v>665</v>
      </c>
      <c r="AN1246" s="1759"/>
      <c r="AO1246" s="1764"/>
      <c r="AP1246" s="1759" t="s">
        <v>5377</v>
      </c>
      <c r="AQ1246" s="1759" t="s">
        <v>5378</v>
      </c>
      <c r="AR1246" s="1759" t="s">
        <v>2971</v>
      </c>
      <c r="AS1246" s="1759" t="s">
        <v>396</v>
      </c>
      <c r="AT1246" s="1759" t="s">
        <v>328</v>
      </c>
      <c r="AU1246" s="1763"/>
      <c r="AV1246" s="1763"/>
    </row>
    <row r="1247" spans="1:48" ht="25">
      <c r="A1247" s="1785" t="str">
        <f t="shared" si="209"/>
        <v>פנסיה</v>
      </c>
      <c r="B1247" s="1786">
        <f t="shared" si="210"/>
        <v>1638</v>
      </c>
      <c r="C1247" s="1787">
        <v>28946</v>
      </c>
      <c r="D1247" s="1786" t="str">
        <f t="shared" si="211"/>
        <v>מנורה מבטחים משלימה - יעד לפרישה 2035</v>
      </c>
      <c r="E1247" s="1786" t="s">
        <v>3929</v>
      </c>
      <c r="F1247" s="1786" t="s">
        <v>2958</v>
      </c>
      <c r="G1247" s="1786" t="s">
        <v>2959</v>
      </c>
      <c r="H1247" s="1786" t="str">
        <f t="shared" si="212"/>
        <v>פעיל</v>
      </c>
      <c r="I1247" s="1788">
        <f t="shared" si="213"/>
        <v>36620</v>
      </c>
      <c r="J1247" s="1788" t="str">
        <f t="shared" si="214"/>
        <v/>
      </c>
      <c r="K1247" s="1786">
        <v>0</v>
      </c>
      <c r="L1247" s="1786" t="s">
        <v>1594</v>
      </c>
      <c r="M1247" s="1786" t="s">
        <v>1653</v>
      </c>
      <c r="N1247" s="1786" t="s">
        <v>1653</v>
      </c>
      <c r="O1247" s="1786">
        <v>0</v>
      </c>
      <c r="P1247" s="1786"/>
      <c r="Q1247" s="1786">
        <v>0</v>
      </c>
      <c r="R1247" s="1788"/>
      <c r="S1247" s="1786">
        <f t="shared" si="215"/>
        <v>665</v>
      </c>
      <c r="T1247" s="1786">
        <f t="shared" si="216"/>
        <v>0</v>
      </c>
      <c r="U1247" s="1786" t="str">
        <f t="shared" si="217"/>
        <v>מנורה מבטחים משלימה</v>
      </c>
      <c r="V1247" s="1786" t="str">
        <f t="shared" si="218"/>
        <v>520007469</v>
      </c>
      <c r="W1247" s="1789" t="str">
        <f t="shared" si="219"/>
        <v>מנורה מבטחים פנסיה וגמל בע"מ</v>
      </c>
      <c r="AC1247" s="1761" t="s">
        <v>346</v>
      </c>
      <c r="AD1247" s="1761"/>
      <c r="AE1247" s="1762">
        <v>36620</v>
      </c>
      <c r="AF1247" s="1761" t="s">
        <v>4113</v>
      </c>
      <c r="AG1247" s="1761" t="s">
        <v>4113</v>
      </c>
      <c r="AH1247" s="1761" t="s">
        <v>3658</v>
      </c>
      <c r="AI1247" s="1761" t="s">
        <v>5572</v>
      </c>
      <c r="AJ1247" s="1761" t="s">
        <v>5572</v>
      </c>
      <c r="AK1247" s="1761">
        <v>1638</v>
      </c>
      <c r="AL1247" s="1761" t="s">
        <v>5566</v>
      </c>
      <c r="AM1247" s="1761">
        <v>665</v>
      </c>
      <c r="AN1247" s="1761"/>
      <c r="AO1247" s="1764"/>
      <c r="AP1247" s="1761" t="s">
        <v>5377</v>
      </c>
      <c r="AQ1247" s="1761" t="s">
        <v>5378</v>
      </c>
      <c r="AR1247" s="1761" t="s">
        <v>2971</v>
      </c>
      <c r="AS1247" s="1761" t="s">
        <v>396</v>
      </c>
      <c r="AT1247" s="1761" t="s">
        <v>328</v>
      </c>
      <c r="AU1247" s="1763"/>
      <c r="AV1247" s="1763"/>
    </row>
    <row r="1248" spans="1:48" ht="25">
      <c r="A1248" s="1785" t="str">
        <f t="shared" si="209"/>
        <v>פנסיה</v>
      </c>
      <c r="B1248" s="1786">
        <f t="shared" si="210"/>
        <v>1645</v>
      </c>
      <c r="C1248" s="1787">
        <v>28946</v>
      </c>
      <c r="D1248" s="1786" t="str">
        <f t="shared" si="211"/>
        <v>מנורה מבטחים משלימה - יעד לפרישה 2040</v>
      </c>
      <c r="E1248" s="1786" t="s">
        <v>3929</v>
      </c>
      <c r="F1248" s="1786" t="s">
        <v>2958</v>
      </c>
      <c r="G1248" s="1786" t="s">
        <v>2959</v>
      </c>
      <c r="H1248" s="1786" t="str">
        <f t="shared" si="212"/>
        <v>פעיל</v>
      </c>
      <c r="I1248" s="1788">
        <f t="shared" si="213"/>
        <v>36620</v>
      </c>
      <c r="J1248" s="1788" t="str">
        <f t="shared" si="214"/>
        <v/>
      </c>
      <c r="K1248" s="1786">
        <v>0</v>
      </c>
      <c r="L1248" s="1786" t="s">
        <v>1594</v>
      </c>
      <c r="M1248" s="1786" t="s">
        <v>1653</v>
      </c>
      <c r="N1248" s="1786" t="s">
        <v>1653</v>
      </c>
      <c r="O1248" s="1786">
        <v>0</v>
      </c>
      <c r="P1248" s="1786"/>
      <c r="Q1248" s="1786">
        <v>0</v>
      </c>
      <c r="R1248" s="1788"/>
      <c r="S1248" s="1786">
        <f t="shared" si="215"/>
        <v>665</v>
      </c>
      <c r="T1248" s="1786">
        <f t="shared" si="216"/>
        <v>0</v>
      </c>
      <c r="U1248" s="1786" t="str">
        <f t="shared" si="217"/>
        <v>מנורה מבטחים משלימה</v>
      </c>
      <c r="V1248" s="1786" t="str">
        <f t="shared" si="218"/>
        <v>520007469</v>
      </c>
      <c r="W1248" s="1789" t="str">
        <f t="shared" si="219"/>
        <v>מנורה מבטחים פנסיה וגמל בע"מ</v>
      </c>
      <c r="AC1248" s="1759" t="s">
        <v>346</v>
      </c>
      <c r="AD1248" s="1759"/>
      <c r="AE1248" s="1760">
        <v>36620</v>
      </c>
      <c r="AF1248" s="1759" t="s">
        <v>4113</v>
      </c>
      <c r="AG1248" s="1759" t="s">
        <v>4113</v>
      </c>
      <c r="AH1248" s="1759" t="s">
        <v>3658</v>
      </c>
      <c r="AI1248" s="1759" t="s">
        <v>5573</v>
      </c>
      <c r="AJ1248" s="1759" t="s">
        <v>5573</v>
      </c>
      <c r="AK1248" s="1759">
        <v>1645</v>
      </c>
      <c r="AL1248" s="1759" t="s">
        <v>5566</v>
      </c>
      <c r="AM1248" s="1759">
        <v>665</v>
      </c>
      <c r="AN1248" s="1759"/>
      <c r="AO1248" s="1764"/>
      <c r="AP1248" s="1759" t="s">
        <v>5377</v>
      </c>
      <c r="AQ1248" s="1759" t="s">
        <v>5378</v>
      </c>
      <c r="AR1248" s="1759" t="s">
        <v>2971</v>
      </c>
      <c r="AS1248" s="1759" t="s">
        <v>396</v>
      </c>
      <c r="AT1248" s="1759" t="s">
        <v>328</v>
      </c>
      <c r="AU1248" s="1763"/>
      <c r="AV1248" s="1763"/>
    </row>
    <row r="1249" spans="1:48" ht="25">
      <c r="A1249" s="1785" t="str">
        <f t="shared" si="209"/>
        <v>פנסיה</v>
      </c>
      <c r="B1249" s="1786">
        <f t="shared" si="210"/>
        <v>1651</v>
      </c>
      <c r="C1249" s="1787">
        <v>28946</v>
      </c>
      <c r="D1249" s="1786" t="str">
        <f t="shared" si="211"/>
        <v>מנורה מבטחים משלימה - יעד לפרישה 2045</v>
      </c>
      <c r="E1249" s="1786" t="s">
        <v>3929</v>
      </c>
      <c r="F1249" s="1786" t="s">
        <v>2958</v>
      </c>
      <c r="G1249" s="1786" t="s">
        <v>2959</v>
      </c>
      <c r="H1249" s="1786" t="str">
        <f t="shared" si="212"/>
        <v>פעיל</v>
      </c>
      <c r="I1249" s="1788">
        <f t="shared" si="213"/>
        <v>36620</v>
      </c>
      <c r="J1249" s="1788" t="str">
        <f t="shared" si="214"/>
        <v/>
      </c>
      <c r="K1249" s="1786">
        <v>0</v>
      </c>
      <c r="L1249" s="1786" t="s">
        <v>1594</v>
      </c>
      <c r="M1249" s="1786" t="s">
        <v>1653</v>
      </c>
      <c r="N1249" s="1786" t="s">
        <v>1653</v>
      </c>
      <c r="O1249" s="1786">
        <v>0</v>
      </c>
      <c r="P1249" s="1786"/>
      <c r="Q1249" s="1786">
        <v>0</v>
      </c>
      <c r="R1249" s="1788"/>
      <c r="S1249" s="1786">
        <f t="shared" si="215"/>
        <v>665</v>
      </c>
      <c r="T1249" s="1786">
        <f t="shared" si="216"/>
        <v>0</v>
      </c>
      <c r="U1249" s="1786" t="str">
        <f t="shared" si="217"/>
        <v>מנורה מבטחים משלימה</v>
      </c>
      <c r="V1249" s="1786" t="str">
        <f t="shared" si="218"/>
        <v>520007469</v>
      </c>
      <c r="W1249" s="1789" t="str">
        <f t="shared" si="219"/>
        <v>מנורה מבטחים פנסיה וגמל בע"מ</v>
      </c>
      <c r="AC1249" s="1761" t="s">
        <v>346</v>
      </c>
      <c r="AD1249" s="1761"/>
      <c r="AE1249" s="1762">
        <v>36620</v>
      </c>
      <c r="AF1249" s="1761" t="s">
        <v>4113</v>
      </c>
      <c r="AG1249" s="1761" t="s">
        <v>4113</v>
      </c>
      <c r="AH1249" s="1761" t="s">
        <v>3658</v>
      </c>
      <c r="AI1249" s="1761" t="s">
        <v>5574</v>
      </c>
      <c r="AJ1249" s="1761" t="s">
        <v>5574</v>
      </c>
      <c r="AK1249" s="1761">
        <v>1651</v>
      </c>
      <c r="AL1249" s="1761" t="s">
        <v>5566</v>
      </c>
      <c r="AM1249" s="1761">
        <v>665</v>
      </c>
      <c r="AN1249" s="1761"/>
      <c r="AO1249" s="1764"/>
      <c r="AP1249" s="1761" t="s">
        <v>5377</v>
      </c>
      <c r="AQ1249" s="1761" t="s">
        <v>5378</v>
      </c>
      <c r="AR1249" s="1761" t="s">
        <v>2971</v>
      </c>
      <c r="AS1249" s="1761" t="s">
        <v>396</v>
      </c>
      <c r="AT1249" s="1761" t="s">
        <v>328</v>
      </c>
      <c r="AU1249" s="1763"/>
      <c r="AV1249" s="1763"/>
    </row>
    <row r="1250" spans="1:48" ht="25">
      <c r="A1250" s="1785" t="str">
        <f t="shared" si="209"/>
        <v>פנסיה</v>
      </c>
      <c r="B1250" s="1786">
        <f t="shared" si="210"/>
        <v>1652</v>
      </c>
      <c r="C1250" s="1787">
        <v>28946</v>
      </c>
      <c r="D1250" s="1786" t="str">
        <f t="shared" si="211"/>
        <v>מנורה מבטחים משלימה -יעד לפרישה 2050</v>
      </c>
      <c r="E1250" s="1786" t="s">
        <v>3929</v>
      </c>
      <c r="F1250" s="1786" t="s">
        <v>2958</v>
      </c>
      <c r="G1250" s="1786" t="s">
        <v>2959</v>
      </c>
      <c r="H1250" s="1786" t="str">
        <f t="shared" si="212"/>
        <v>פעיל</v>
      </c>
      <c r="I1250" s="1788">
        <f t="shared" si="213"/>
        <v>36620</v>
      </c>
      <c r="J1250" s="1788" t="str">
        <f t="shared" si="214"/>
        <v/>
      </c>
      <c r="K1250" s="1786">
        <v>0</v>
      </c>
      <c r="L1250" s="1786" t="s">
        <v>1594</v>
      </c>
      <c r="M1250" s="1786" t="s">
        <v>1653</v>
      </c>
      <c r="N1250" s="1786" t="s">
        <v>1653</v>
      </c>
      <c r="O1250" s="1786">
        <v>0</v>
      </c>
      <c r="P1250" s="1786"/>
      <c r="Q1250" s="1786">
        <v>0</v>
      </c>
      <c r="R1250" s="1788"/>
      <c r="S1250" s="1786">
        <f t="shared" si="215"/>
        <v>665</v>
      </c>
      <c r="T1250" s="1786">
        <f t="shared" si="216"/>
        <v>0</v>
      </c>
      <c r="U1250" s="1786" t="str">
        <f t="shared" si="217"/>
        <v>מנורה מבטחים משלימה</v>
      </c>
      <c r="V1250" s="1786" t="str">
        <f t="shared" si="218"/>
        <v>520007469</v>
      </c>
      <c r="W1250" s="1789" t="str">
        <f t="shared" si="219"/>
        <v>מנורה מבטחים פנסיה וגמל בע"מ</v>
      </c>
      <c r="AC1250" s="1759" t="s">
        <v>346</v>
      </c>
      <c r="AD1250" s="1759"/>
      <c r="AE1250" s="1760">
        <v>36620</v>
      </c>
      <c r="AF1250" s="1759" t="s">
        <v>4113</v>
      </c>
      <c r="AG1250" s="1759" t="s">
        <v>4113</v>
      </c>
      <c r="AH1250" s="1759" t="s">
        <v>3658</v>
      </c>
      <c r="AI1250" s="1759" t="s">
        <v>5575</v>
      </c>
      <c r="AJ1250" s="1759" t="s">
        <v>5576</v>
      </c>
      <c r="AK1250" s="1759">
        <v>1652</v>
      </c>
      <c r="AL1250" s="1759" t="s">
        <v>5566</v>
      </c>
      <c r="AM1250" s="1759">
        <v>665</v>
      </c>
      <c r="AN1250" s="1759"/>
      <c r="AO1250" s="1764"/>
      <c r="AP1250" s="1759" t="s">
        <v>5377</v>
      </c>
      <c r="AQ1250" s="1759" t="s">
        <v>5378</v>
      </c>
      <c r="AR1250" s="1759" t="s">
        <v>2971</v>
      </c>
      <c r="AS1250" s="1759" t="s">
        <v>396</v>
      </c>
      <c r="AT1250" s="1759" t="s">
        <v>328</v>
      </c>
      <c r="AU1250" s="1763"/>
      <c r="AV1250" s="1763"/>
    </row>
    <row r="1251" spans="1:48" ht="25">
      <c r="A1251" s="1785" t="str">
        <f t="shared" si="209"/>
        <v>פנסיה</v>
      </c>
      <c r="B1251" s="1786">
        <f t="shared" si="210"/>
        <v>1653</v>
      </c>
      <c r="C1251" s="1787">
        <v>28946</v>
      </c>
      <c r="D1251" s="1786" t="str">
        <f t="shared" si="211"/>
        <v>מנורה מבטחים משלימה - יעד לפרישה 2055</v>
      </c>
      <c r="E1251" s="1786" t="s">
        <v>3929</v>
      </c>
      <c r="F1251" s="1786" t="s">
        <v>2958</v>
      </c>
      <c r="G1251" s="1786" t="s">
        <v>2959</v>
      </c>
      <c r="H1251" s="1786" t="str">
        <f t="shared" si="212"/>
        <v>פעיל</v>
      </c>
      <c r="I1251" s="1788">
        <f t="shared" si="213"/>
        <v>36620</v>
      </c>
      <c r="J1251" s="1788" t="str">
        <f t="shared" si="214"/>
        <v/>
      </c>
      <c r="K1251" s="1786">
        <v>0</v>
      </c>
      <c r="L1251" s="1786" t="s">
        <v>1594</v>
      </c>
      <c r="M1251" s="1786" t="s">
        <v>1653</v>
      </c>
      <c r="N1251" s="1786" t="s">
        <v>1653</v>
      </c>
      <c r="O1251" s="1786">
        <v>0</v>
      </c>
      <c r="P1251" s="1786"/>
      <c r="Q1251" s="1786">
        <v>0</v>
      </c>
      <c r="R1251" s="1788"/>
      <c r="S1251" s="1786">
        <f t="shared" si="215"/>
        <v>665</v>
      </c>
      <c r="T1251" s="1786">
        <f t="shared" si="216"/>
        <v>0</v>
      </c>
      <c r="U1251" s="1786" t="str">
        <f t="shared" si="217"/>
        <v>מנורה מבטחים משלימה</v>
      </c>
      <c r="V1251" s="1786" t="str">
        <f t="shared" si="218"/>
        <v>520007469</v>
      </c>
      <c r="W1251" s="1789" t="str">
        <f t="shared" si="219"/>
        <v>מנורה מבטחים פנסיה וגמל בע"מ</v>
      </c>
      <c r="AC1251" s="1761" t="s">
        <v>346</v>
      </c>
      <c r="AD1251" s="1761"/>
      <c r="AE1251" s="1762">
        <v>36620</v>
      </c>
      <c r="AF1251" s="1761" t="s">
        <v>4113</v>
      </c>
      <c r="AG1251" s="1761" t="s">
        <v>4113</v>
      </c>
      <c r="AH1251" s="1761" t="s">
        <v>3658</v>
      </c>
      <c r="AI1251" s="1761" t="s">
        <v>5577</v>
      </c>
      <c r="AJ1251" s="1761" t="s">
        <v>5577</v>
      </c>
      <c r="AK1251" s="1761">
        <v>1653</v>
      </c>
      <c r="AL1251" s="1761" t="s">
        <v>5566</v>
      </c>
      <c r="AM1251" s="1761">
        <v>665</v>
      </c>
      <c r="AN1251" s="1761"/>
      <c r="AO1251" s="1764"/>
      <c r="AP1251" s="1761" t="s">
        <v>5377</v>
      </c>
      <c r="AQ1251" s="1761" t="s">
        <v>5378</v>
      </c>
      <c r="AR1251" s="1761" t="s">
        <v>2971</v>
      </c>
      <c r="AS1251" s="1761" t="s">
        <v>396</v>
      </c>
      <c r="AT1251" s="1761" t="s">
        <v>328</v>
      </c>
      <c r="AU1251" s="1763"/>
      <c r="AV1251" s="1763"/>
    </row>
    <row r="1252" spans="1:48" ht="25">
      <c r="A1252" s="1785" t="str">
        <f t="shared" si="209"/>
        <v>פנסיה</v>
      </c>
      <c r="B1252" s="1786">
        <f t="shared" si="210"/>
        <v>1666</v>
      </c>
      <c r="C1252" s="1787">
        <v>28946</v>
      </c>
      <c r="D1252" s="1786" t="str">
        <f t="shared" si="211"/>
        <v>מנורה מבטחים משלימה - יעד לפרישה 2060</v>
      </c>
      <c r="E1252" s="1786" t="s">
        <v>3929</v>
      </c>
      <c r="F1252" s="1786" t="s">
        <v>2958</v>
      </c>
      <c r="G1252" s="1786" t="s">
        <v>2959</v>
      </c>
      <c r="H1252" s="1786" t="str">
        <f t="shared" si="212"/>
        <v>פעיל</v>
      </c>
      <c r="I1252" s="1788">
        <f t="shared" si="213"/>
        <v>36620</v>
      </c>
      <c r="J1252" s="1788" t="str">
        <f t="shared" si="214"/>
        <v/>
      </c>
      <c r="K1252" s="1786">
        <v>0</v>
      </c>
      <c r="L1252" s="1786" t="s">
        <v>1594</v>
      </c>
      <c r="M1252" s="1786" t="s">
        <v>1653</v>
      </c>
      <c r="N1252" s="1786" t="s">
        <v>1653</v>
      </c>
      <c r="O1252" s="1786">
        <v>0</v>
      </c>
      <c r="P1252" s="1786"/>
      <c r="Q1252" s="1786">
        <v>0</v>
      </c>
      <c r="R1252" s="1788"/>
      <c r="S1252" s="1786">
        <f t="shared" si="215"/>
        <v>665</v>
      </c>
      <c r="T1252" s="1786">
        <f t="shared" si="216"/>
        <v>0</v>
      </c>
      <c r="U1252" s="1786" t="str">
        <f t="shared" si="217"/>
        <v>מנורה מבטחים משלימה</v>
      </c>
      <c r="V1252" s="1786" t="str">
        <f t="shared" si="218"/>
        <v>520007469</v>
      </c>
      <c r="W1252" s="1789" t="str">
        <f t="shared" si="219"/>
        <v>מנורה מבטחים פנסיה וגמל בע"מ</v>
      </c>
      <c r="AC1252" s="1759" t="s">
        <v>346</v>
      </c>
      <c r="AD1252" s="1759"/>
      <c r="AE1252" s="1760">
        <v>36620</v>
      </c>
      <c r="AF1252" s="1759" t="s">
        <v>4113</v>
      </c>
      <c r="AG1252" s="1759" t="s">
        <v>4113</v>
      </c>
      <c r="AH1252" s="1759" t="s">
        <v>3658</v>
      </c>
      <c r="AI1252" s="1759" t="s">
        <v>5578</v>
      </c>
      <c r="AJ1252" s="1759" t="s">
        <v>5578</v>
      </c>
      <c r="AK1252" s="1759">
        <v>1666</v>
      </c>
      <c r="AL1252" s="1759" t="s">
        <v>5566</v>
      </c>
      <c r="AM1252" s="1759">
        <v>665</v>
      </c>
      <c r="AN1252" s="1759"/>
      <c r="AO1252" s="1764"/>
      <c r="AP1252" s="1759" t="s">
        <v>5377</v>
      </c>
      <c r="AQ1252" s="1759" t="s">
        <v>5378</v>
      </c>
      <c r="AR1252" s="1759" t="s">
        <v>2971</v>
      </c>
      <c r="AS1252" s="1759" t="s">
        <v>396</v>
      </c>
      <c r="AT1252" s="1759" t="s">
        <v>328</v>
      </c>
      <c r="AU1252" s="1763"/>
      <c r="AV1252" s="1763"/>
    </row>
    <row r="1253" spans="1:48" ht="25">
      <c r="A1253" s="1785" t="str">
        <f t="shared" si="209"/>
        <v>פנסיה</v>
      </c>
      <c r="B1253" s="1786">
        <f t="shared" si="210"/>
        <v>8562</v>
      </c>
      <c r="C1253" s="1787">
        <v>28946</v>
      </c>
      <c r="D1253" s="1786" t="str">
        <f t="shared" si="211"/>
        <v>מבטחים החדשה פלוס תיק זכאים קיימים</v>
      </c>
      <c r="E1253" s="1786" t="s">
        <v>3929</v>
      </c>
      <c r="F1253" s="1786" t="s">
        <v>2958</v>
      </c>
      <c r="G1253" s="1786" t="s">
        <v>2959</v>
      </c>
      <c r="H1253" s="1786" t="str">
        <f t="shared" si="212"/>
        <v>לא פעיל</v>
      </c>
      <c r="I1253" s="1788">
        <f t="shared" si="213"/>
        <v>36620</v>
      </c>
      <c r="J1253" s="1788">
        <f t="shared" si="214"/>
        <v>42071.460775462998</v>
      </c>
      <c r="K1253" s="1786">
        <v>0</v>
      </c>
      <c r="L1253" s="1786" t="s">
        <v>1594</v>
      </c>
      <c r="M1253" s="1786" t="s">
        <v>1653</v>
      </c>
      <c r="N1253" s="1786" t="s">
        <v>1653</v>
      </c>
      <c r="O1253" s="1786">
        <v>0</v>
      </c>
      <c r="P1253" s="1786"/>
      <c r="Q1253" s="1786">
        <v>0</v>
      </c>
      <c r="R1253" s="1788"/>
      <c r="S1253" s="1786">
        <f t="shared" si="215"/>
        <v>665</v>
      </c>
      <c r="T1253" s="1786">
        <f t="shared" si="216"/>
        <v>0</v>
      </c>
      <c r="U1253" s="1786" t="str">
        <f t="shared" si="217"/>
        <v>מנורה מבטחים משלימה</v>
      </c>
      <c r="V1253" s="1786" t="str">
        <f t="shared" si="218"/>
        <v>520007469</v>
      </c>
      <c r="W1253" s="1789" t="str">
        <f t="shared" si="219"/>
        <v>מנורה מבטחים פנסיה וגמל בע"מ</v>
      </c>
      <c r="AC1253" s="1761" t="s">
        <v>1586</v>
      </c>
      <c r="AD1253" s="1762">
        <v>42071.460775462998</v>
      </c>
      <c r="AE1253" s="1762">
        <v>36620</v>
      </c>
      <c r="AF1253" s="1761" t="s">
        <v>4160</v>
      </c>
      <c r="AG1253" s="1761" t="s">
        <v>2614</v>
      </c>
      <c r="AH1253" s="1761" t="s">
        <v>3658</v>
      </c>
      <c r="AI1253" s="1761" t="s">
        <v>3734</v>
      </c>
      <c r="AJ1253" s="1761" t="s">
        <v>3733</v>
      </c>
      <c r="AK1253" s="1761">
        <v>8562</v>
      </c>
      <c r="AL1253" s="1761" t="s">
        <v>5566</v>
      </c>
      <c r="AM1253" s="1761">
        <v>665</v>
      </c>
      <c r="AN1253" s="1761"/>
      <c r="AO1253" s="1764"/>
      <c r="AP1253" s="1761" t="s">
        <v>5377</v>
      </c>
      <c r="AQ1253" s="1761" t="s">
        <v>5378</v>
      </c>
      <c r="AR1253" s="1761" t="s">
        <v>2971</v>
      </c>
      <c r="AS1253" s="1761" t="s">
        <v>396</v>
      </c>
      <c r="AT1253" s="1761" t="s">
        <v>328</v>
      </c>
      <c r="AU1253" s="1763"/>
      <c r="AV1253" s="1763"/>
    </row>
    <row r="1254" spans="1:48" ht="25">
      <c r="A1254" s="1785" t="str">
        <f t="shared" si="209"/>
        <v>פנסיה</v>
      </c>
      <c r="B1254" s="1786">
        <f t="shared" si="210"/>
        <v>2138</v>
      </c>
      <c r="C1254" s="1787">
        <v>28946</v>
      </c>
      <c r="D1254" s="1786" t="str">
        <f t="shared" si="211"/>
        <v>מבטחים החדשה פלוס - מסלול מניות</v>
      </c>
      <c r="E1254" s="1786" t="s">
        <v>3929</v>
      </c>
      <c r="F1254" s="1786" t="s">
        <v>2958</v>
      </c>
      <c r="G1254" s="1786" t="s">
        <v>2959</v>
      </c>
      <c r="H1254" s="1786" t="str">
        <f t="shared" si="212"/>
        <v>לא פעיל</v>
      </c>
      <c r="I1254" s="1788">
        <f t="shared" si="213"/>
        <v>36620</v>
      </c>
      <c r="J1254" s="1788">
        <f t="shared" si="214"/>
        <v>42071.460775462998</v>
      </c>
      <c r="K1254" s="1786">
        <v>0</v>
      </c>
      <c r="L1254" s="1786" t="s">
        <v>1594</v>
      </c>
      <c r="M1254" s="1786" t="s">
        <v>1653</v>
      </c>
      <c r="N1254" s="1786" t="s">
        <v>1653</v>
      </c>
      <c r="O1254" s="1786">
        <v>0</v>
      </c>
      <c r="P1254" s="1786"/>
      <c r="Q1254" s="1786">
        <v>0</v>
      </c>
      <c r="R1254" s="1788"/>
      <c r="S1254" s="1786">
        <f t="shared" si="215"/>
        <v>665</v>
      </c>
      <c r="T1254" s="1786">
        <f t="shared" si="216"/>
        <v>0</v>
      </c>
      <c r="U1254" s="1786" t="str">
        <f t="shared" si="217"/>
        <v>מנורה מבטחים משלימה</v>
      </c>
      <c r="V1254" s="1786" t="str">
        <f t="shared" si="218"/>
        <v>520007469</v>
      </c>
      <c r="W1254" s="1789" t="str">
        <f t="shared" si="219"/>
        <v>מנורה מבטחים פנסיה וגמל בע"מ</v>
      </c>
      <c r="AC1254" s="1759" t="s">
        <v>1586</v>
      </c>
      <c r="AD1254" s="1760">
        <v>42071.460775462998</v>
      </c>
      <c r="AE1254" s="1760">
        <v>36620</v>
      </c>
      <c r="AF1254" s="1759" t="s">
        <v>1595</v>
      </c>
      <c r="AG1254" s="1759" t="s">
        <v>75</v>
      </c>
      <c r="AH1254" s="1759" t="s">
        <v>1594</v>
      </c>
      <c r="AI1254" s="1759" t="s">
        <v>2606</v>
      </c>
      <c r="AJ1254" s="1759" t="s">
        <v>2606</v>
      </c>
      <c r="AK1254" s="1759">
        <v>2138</v>
      </c>
      <c r="AL1254" s="1759" t="s">
        <v>5566</v>
      </c>
      <c r="AM1254" s="1759">
        <v>665</v>
      </c>
      <c r="AN1254" s="1759"/>
      <c r="AO1254" s="1764"/>
      <c r="AP1254" s="1759" t="s">
        <v>5377</v>
      </c>
      <c r="AQ1254" s="1759" t="s">
        <v>5378</v>
      </c>
      <c r="AR1254" s="1759" t="s">
        <v>2971</v>
      </c>
      <c r="AS1254" s="1759" t="s">
        <v>396</v>
      </c>
      <c r="AT1254" s="1759" t="s">
        <v>328</v>
      </c>
      <c r="AU1254" s="1763"/>
      <c r="AV1254" s="1763"/>
    </row>
    <row r="1255" spans="1:48" ht="37.5">
      <c r="A1255" s="1785" t="str">
        <f t="shared" si="209"/>
        <v>פנסיה</v>
      </c>
      <c r="B1255" s="1786">
        <f t="shared" si="210"/>
        <v>2164</v>
      </c>
      <c r="C1255" s="1787">
        <v>28946</v>
      </c>
      <c r="D1255" s="1786" t="str">
        <f t="shared" si="211"/>
        <v>הראל פנסיה כללית - כללי</v>
      </c>
      <c r="E1255" s="1786" t="s">
        <v>3929</v>
      </c>
      <c r="F1255" s="1786" t="s">
        <v>2958</v>
      </c>
      <c r="G1255" s="1786" t="s">
        <v>2959</v>
      </c>
      <c r="H1255" s="1786" t="str">
        <f t="shared" si="212"/>
        <v>פעיל</v>
      </c>
      <c r="I1255" s="1788">
        <f t="shared" si="213"/>
        <v>37257</v>
      </c>
      <c r="J1255" s="1788" t="str">
        <f t="shared" si="214"/>
        <v/>
      </c>
      <c r="K1255" s="1786">
        <v>0</v>
      </c>
      <c r="L1255" s="1786" t="s">
        <v>1594</v>
      </c>
      <c r="M1255" s="1786" t="s">
        <v>1653</v>
      </c>
      <c r="N1255" s="1786" t="s">
        <v>1653</v>
      </c>
      <c r="O1255" s="1786">
        <v>0</v>
      </c>
      <c r="P1255" s="1786"/>
      <c r="Q1255" s="1786">
        <v>0</v>
      </c>
      <c r="R1255" s="1788"/>
      <c r="S1255" s="1786">
        <f t="shared" si="215"/>
        <v>662</v>
      </c>
      <c r="T1255" s="1786">
        <f t="shared" si="216"/>
        <v>0</v>
      </c>
      <c r="U1255" s="1786" t="str">
        <f t="shared" si="217"/>
        <v>הראל פנסיה כללית</v>
      </c>
      <c r="V1255" s="1786" t="str">
        <f t="shared" si="218"/>
        <v>520033986</v>
      </c>
      <c r="W1255" s="1789" t="str">
        <f t="shared" si="219"/>
        <v>הראל פנסיה וגמל בע"מ</v>
      </c>
      <c r="AC1255" s="1761" t="s">
        <v>346</v>
      </c>
      <c r="AD1255" s="1761"/>
      <c r="AE1255" s="1762">
        <v>37257</v>
      </c>
      <c r="AF1255" s="1761" t="s">
        <v>1583</v>
      </c>
      <c r="AG1255" s="1761" t="s">
        <v>1583</v>
      </c>
      <c r="AH1255" s="1761" t="s">
        <v>1583</v>
      </c>
      <c r="AI1255" s="1761" t="s">
        <v>2619</v>
      </c>
      <c r="AJ1255" s="1761" t="s">
        <v>2619</v>
      </c>
      <c r="AK1255" s="1761">
        <v>2164</v>
      </c>
      <c r="AL1255" s="1761" t="s">
        <v>2620</v>
      </c>
      <c r="AM1255" s="1761">
        <v>662</v>
      </c>
      <c r="AN1255" s="1761"/>
      <c r="AO1255" s="1764"/>
      <c r="AP1255" s="1761" t="s">
        <v>5396</v>
      </c>
      <c r="AQ1255" s="1761" t="s">
        <v>5397</v>
      </c>
      <c r="AR1255" s="1761" t="s">
        <v>4588</v>
      </c>
      <c r="AS1255" s="1761" t="s">
        <v>405</v>
      </c>
      <c r="AT1255" s="1761" t="s">
        <v>328</v>
      </c>
      <c r="AU1255" s="1763"/>
      <c r="AV1255" s="1763"/>
    </row>
    <row r="1256" spans="1:48" ht="37.5">
      <c r="A1256" s="1785" t="str">
        <f t="shared" si="209"/>
        <v>פנסיה</v>
      </c>
      <c r="B1256" s="1786">
        <f t="shared" si="210"/>
        <v>2204</v>
      </c>
      <c r="C1256" s="1787">
        <v>28946</v>
      </c>
      <c r="D1256" s="1786" t="str">
        <f t="shared" si="211"/>
        <v>הראל פנסיה כללית - בסיסי למקבלי קצבה קיימים</v>
      </c>
      <c r="E1256" s="1786" t="s">
        <v>3929</v>
      </c>
      <c r="F1256" s="1786" t="s">
        <v>2958</v>
      </c>
      <c r="G1256" s="1786" t="s">
        <v>2959</v>
      </c>
      <c r="H1256" s="1786" t="str">
        <f t="shared" si="212"/>
        <v>פעיל</v>
      </c>
      <c r="I1256" s="1788">
        <f t="shared" si="213"/>
        <v>37257</v>
      </c>
      <c r="J1256" s="1788" t="str">
        <f t="shared" si="214"/>
        <v/>
      </c>
      <c r="K1256" s="1786">
        <v>0</v>
      </c>
      <c r="L1256" s="1786" t="s">
        <v>1594</v>
      </c>
      <c r="M1256" s="1786" t="s">
        <v>1653</v>
      </c>
      <c r="N1256" s="1786" t="s">
        <v>1653</v>
      </c>
      <c r="O1256" s="1786">
        <v>0</v>
      </c>
      <c r="P1256" s="1786"/>
      <c r="Q1256" s="1786">
        <v>0</v>
      </c>
      <c r="R1256" s="1788"/>
      <c r="S1256" s="1786">
        <f t="shared" si="215"/>
        <v>662</v>
      </c>
      <c r="T1256" s="1786">
        <f t="shared" si="216"/>
        <v>0</v>
      </c>
      <c r="U1256" s="1786" t="str">
        <f t="shared" si="217"/>
        <v>הראל פנסיה כללית</v>
      </c>
      <c r="V1256" s="1786" t="str">
        <f t="shared" si="218"/>
        <v>520033986</v>
      </c>
      <c r="W1256" s="1789" t="str">
        <f t="shared" si="219"/>
        <v>הראל פנסיה וגמל בע"מ</v>
      </c>
      <c r="AC1256" s="1759" t="s">
        <v>346</v>
      </c>
      <c r="AD1256" s="1759"/>
      <c r="AE1256" s="1760">
        <v>37257</v>
      </c>
      <c r="AF1256" s="1759" t="s">
        <v>1583</v>
      </c>
      <c r="AG1256" s="1759" t="s">
        <v>1583</v>
      </c>
      <c r="AH1256" s="1759" t="s">
        <v>1583</v>
      </c>
      <c r="AI1256" s="1759" t="s">
        <v>5579</v>
      </c>
      <c r="AJ1256" s="1759" t="s">
        <v>5579</v>
      </c>
      <c r="AK1256" s="1759">
        <v>2204</v>
      </c>
      <c r="AL1256" s="1759" t="s">
        <v>2620</v>
      </c>
      <c r="AM1256" s="1759">
        <v>662</v>
      </c>
      <c r="AN1256" s="1759"/>
      <c r="AO1256" s="1764"/>
      <c r="AP1256" s="1759" t="s">
        <v>5396</v>
      </c>
      <c r="AQ1256" s="1759" t="s">
        <v>5397</v>
      </c>
      <c r="AR1256" s="1759" t="s">
        <v>4588</v>
      </c>
      <c r="AS1256" s="1759" t="s">
        <v>405</v>
      </c>
      <c r="AT1256" s="1759" t="s">
        <v>328</v>
      </c>
      <c r="AU1256" s="1763"/>
      <c r="AV1256" s="1763"/>
    </row>
    <row r="1257" spans="1:48" ht="37.5">
      <c r="A1257" s="1785" t="str">
        <f t="shared" si="209"/>
        <v>פנסיה</v>
      </c>
      <c r="B1257" s="1786">
        <f t="shared" si="210"/>
        <v>2166</v>
      </c>
      <c r="C1257" s="1787">
        <v>28946</v>
      </c>
      <c r="D1257" s="1786" t="str">
        <f t="shared" si="211"/>
        <v>הראל פנסיה כללית- אפיק עד 20% במניות</v>
      </c>
      <c r="E1257" s="1786" t="s">
        <v>3929</v>
      </c>
      <c r="F1257" s="1786" t="s">
        <v>2958</v>
      </c>
      <c r="G1257" s="1786" t="s">
        <v>2959</v>
      </c>
      <c r="H1257" s="1786" t="str">
        <f t="shared" si="212"/>
        <v>לא פעיל</v>
      </c>
      <c r="I1257" s="1788">
        <f t="shared" si="213"/>
        <v>37257</v>
      </c>
      <c r="J1257" s="1788">
        <f t="shared" si="214"/>
        <v>42331.687349537002</v>
      </c>
      <c r="K1257" s="1786">
        <v>0</v>
      </c>
      <c r="L1257" s="1786" t="s">
        <v>1594</v>
      </c>
      <c r="M1257" s="1786" t="s">
        <v>1653</v>
      </c>
      <c r="N1257" s="1786" t="s">
        <v>1653</v>
      </c>
      <c r="O1257" s="1786">
        <v>0</v>
      </c>
      <c r="P1257" s="1786"/>
      <c r="Q1257" s="1786">
        <v>0</v>
      </c>
      <c r="R1257" s="1788"/>
      <c r="S1257" s="1786">
        <f t="shared" si="215"/>
        <v>662</v>
      </c>
      <c r="T1257" s="1786">
        <f t="shared" si="216"/>
        <v>0</v>
      </c>
      <c r="U1257" s="1786" t="str">
        <f t="shared" si="217"/>
        <v>הראל פנסיה כללית</v>
      </c>
      <c r="V1257" s="1786" t="str">
        <f t="shared" si="218"/>
        <v>520033986</v>
      </c>
      <c r="W1257" s="1789" t="str">
        <f t="shared" si="219"/>
        <v>הראל פנסיה וגמל בע"מ</v>
      </c>
      <c r="AC1257" s="1761" t="s">
        <v>1586</v>
      </c>
      <c r="AD1257" s="1762">
        <v>42331.687349537002</v>
      </c>
      <c r="AE1257" s="1762">
        <v>37257</v>
      </c>
      <c r="AF1257" s="1761" t="s">
        <v>1595</v>
      </c>
      <c r="AG1257" s="1761" t="s">
        <v>75</v>
      </c>
      <c r="AH1257" s="1761" t="s">
        <v>1594</v>
      </c>
      <c r="AI1257" s="1761" t="s">
        <v>2622</v>
      </c>
      <c r="AJ1257" s="1761" t="s">
        <v>2622</v>
      </c>
      <c r="AK1257" s="1761">
        <v>2166</v>
      </c>
      <c r="AL1257" s="1761" t="s">
        <v>2620</v>
      </c>
      <c r="AM1257" s="1761">
        <v>662</v>
      </c>
      <c r="AN1257" s="1761"/>
      <c r="AO1257" s="1764"/>
      <c r="AP1257" s="1761" t="s">
        <v>5396</v>
      </c>
      <c r="AQ1257" s="1761" t="s">
        <v>5397</v>
      </c>
      <c r="AR1257" s="1761" t="s">
        <v>4588</v>
      </c>
      <c r="AS1257" s="1761" t="s">
        <v>405</v>
      </c>
      <c r="AT1257" s="1761" t="s">
        <v>328</v>
      </c>
      <c r="AU1257" s="1763"/>
      <c r="AV1257" s="1763"/>
    </row>
    <row r="1258" spans="1:48" ht="37.5">
      <c r="A1258" s="1785" t="str">
        <f t="shared" si="209"/>
        <v>פנסיה</v>
      </c>
      <c r="B1258" s="1786">
        <f t="shared" si="210"/>
        <v>2167</v>
      </c>
      <c r="C1258" s="1787">
        <v>28946</v>
      </c>
      <c r="D1258" s="1786" t="str">
        <f t="shared" si="211"/>
        <v>הראל פנסיה כללית - אפיק עד 40% במניות</v>
      </c>
      <c r="E1258" s="1786" t="s">
        <v>3929</v>
      </c>
      <c r="F1258" s="1786" t="s">
        <v>2958</v>
      </c>
      <c r="G1258" s="1786" t="s">
        <v>2959</v>
      </c>
      <c r="H1258" s="1786" t="str">
        <f t="shared" si="212"/>
        <v>לא פעיל</v>
      </c>
      <c r="I1258" s="1788">
        <f t="shared" si="213"/>
        <v>37257</v>
      </c>
      <c r="J1258" s="1788">
        <f t="shared" si="214"/>
        <v>42331.687349537002</v>
      </c>
      <c r="K1258" s="1786">
        <v>0</v>
      </c>
      <c r="L1258" s="1786" t="s">
        <v>1594</v>
      </c>
      <c r="M1258" s="1786" t="s">
        <v>1653</v>
      </c>
      <c r="N1258" s="1786" t="s">
        <v>1653</v>
      </c>
      <c r="O1258" s="1786">
        <v>0</v>
      </c>
      <c r="P1258" s="1786"/>
      <c r="Q1258" s="1786">
        <v>0</v>
      </c>
      <c r="R1258" s="1788"/>
      <c r="S1258" s="1786">
        <f t="shared" si="215"/>
        <v>662</v>
      </c>
      <c r="T1258" s="1786">
        <f t="shared" si="216"/>
        <v>0</v>
      </c>
      <c r="U1258" s="1786" t="str">
        <f t="shared" si="217"/>
        <v>הראל פנסיה כללית</v>
      </c>
      <c r="V1258" s="1786" t="str">
        <f t="shared" si="218"/>
        <v>520033986</v>
      </c>
      <c r="W1258" s="1789" t="str">
        <f t="shared" si="219"/>
        <v>הראל פנסיה וגמל בע"מ</v>
      </c>
      <c r="AC1258" s="1759" t="s">
        <v>1586</v>
      </c>
      <c r="AD1258" s="1760">
        <v>42331.687349537002</v>
      </c>
      <c r="AE1258" s="1760">
        <v>37257</v>
      </c>
      <c r="AF1258" s="1759" t="s">
        <v>1595</v>
      </c>
      <c r="AG1258" s="1759" t="s">
        <v>75</v>
      </c>
      <c r="AH1258" s="1759" t="s">
        <v>1594</v>
      </c>
      <c r="AI1258" s="1759" t="s">
        <v>2623</v>
      </c>
      <c r="AJ1258" s="1759" t="s">
        <v>2623</v>
      </c>
      <c r="AK1258" s="1759">
        <v>2167</v>
      </c>
      <c r="AL1258" s="1759" t="s">
        <v>2620</v>
      </c>
      <c r="AM1258" s="1759">
        <v>662</v>
      </c>
      <c r="AN1258" s="1759"/>
      <c r="AO1258" s="1764"/>
      <c r="AP1258" s="1759" t="s">
        <v>5396</v>
      </c>
      <c r="AQ1258" s="1759" t="s">
        <v>5397</v>
      </c>
      <c r="AR1258" s="1759" t="s">
        <v>4588</v>
      </c>
      <c r="AS1258" s="1759" t="s">
        <v>405</v>
      </c>
      <c r="AT1258" s="1759" t="s">
        <v>328</v>
      </c>
      <c r="AU1258" s="1763"/>
      <c r="AV1258" s="1763"/>
    </row>
    <row r="1259" spans="1:48" ht="37.5">
      <c r="A1259" s="1785" t="str">
        <f t="shared" si="209"/>
        <v>פנסיה</v>
      </c>
      <c r="B1259" s="1786">
        <f t="shared" si="210"/>
        <v>2168</v>
      </c>
      <c r="C1259" s="1787">
        <v>28946</v>
      </c>
      <c r="D1259" s="1786" t="str">
        <f t="shared" si="211"/>
        <v>הראל פנסיה כללית - אפיק מניות (70%)</v>
      </c>
      <c r="E1259" s="1786" t="s">
        <v>3929</v>
      </c>
      <c r="F1259" s="1786" t="s">
        <v>2958</v>
      </c>
      <c r="G1259" s="1786" t="s">
        <v>2959</v>
      </c>
      <c r="H1259" s="1786" t="str">
        <f t="shared" si="212"/>
        <v>לא פעיל</v>
      </c>
      <c r="I1259" s="1788">
        <f t="shared" si="213"/>
        <v>37257</v>
      </c>
      <c r="J1259" s="1788">
        <f t="shared" si="214"/>
        <v>42331.687349537002</v>
      </c>
      <c r="K1259" s="1786">
        <v>0</v>
      </c>
      <c r="L1259" s="1786" t="s">
        <v>1594</v>
      </c>
      <c r="M1259" s="1786" t="s">
        <v>1653</v>
      </c>
      <c r="N1259" s="1786" t="s">
        <v>1653</v>
      </c>
      <c r="O1259" s="1786">
        <v>0</v>
      </c>
      <c r="P1259" s="1786"/>
      <c r="Q1259" s="1786">
        <v>0</v>
      </c>
      <c r="R1259" s="1788"/>
      <c r="S1259" s="1786">
        <f t="shared" si="215"/>
        <v>662</v>
      </c>
      <c r="T1259" s="1786">
        <f t="shared" si="216"/>
        <v>0</v>
      </c>
      <c r="U1259" s="1786" t="str">
        <f t="shared" si="217"/>
        <v>הראל פנסיה כללית</v>
      </c>
      <c r="V1259" s="1786" t="str">
        <f t="shared" si="218"/>
        <v>520033986</v>
      </c>
      <c r="W1259" s="1789" t="str">
        <f t="shared" si="219"/>
        <v>הראל פנסיה וגמל בע"מ</v>
      </c>
      <c r="AC1259" s="1761" t="s">
        <v>1586</v>
      </c>
      <c r="AD1259" s="1762">
        <v>42331.687349537002</v>
      </c>
      <c r="AE1259" s="1762">
        <v>37257</v>
      </c>
      <c r="AF1259" s="1761" t="s">
        <v>1595</v>
      </c>
      <c r="AG1259" s="1761" t="s">
        <v>75</v>
      </c>
      <c r="AH1259" s="1761" t="s">
        <v>1594</v>
      </c>
      <c r="AI1259" s="1761" t="s">
        <v>2624</v>
      </c>
      <c r="AJ1259" s="1761" t="s">
        <v>2624</v>
      </c>
      <c r="AK1259" s="1761">
        <v>2168</v>
      </c>
      <c r="AL1259" s="1761" t="s">
        <v>2620</v>
      </c>
      <c r="AM1259" s="1761">
        <v>662</v>
      </c>
      <c r="AN1259" s="1761"/>
      <c r="AO1259" s="1764"/>
      <c r="AP1259" s="1761" t="s">
        <v>5396</v>
      </c>
      <c r="AQ1259" s="1761" t="s">
        <v>5397</v>
      </c>
      <c r="AR1259" s="1761" t="s">
        <v>4588</v>
      </c>
      <c r="AS1259" s="1761" t="s">
        <v>405</v>
      </c>
      <c r="AT1259" s="1761" t="s">
        <v>328</v>
      </c>
      <c r="AU1259" s="1763"/>
      <c r="AV1259" s="1763"/>
    </row>
    <row r="1260" spans="1:48" ht="37.5">
      <c r="A1260" s="1785" t="str">
        <f t="shared" si="209"/>
        <v>פנסיה</v>
      </c>
      <c r="B1260" s="1786">
        <f t="shared" si="210"/>
        <v>2169</v>
      </c>
      <c r="C1260" s="1787">
        <v>28946</v>
      </c>
      <c r="D1260" s="1786" t="str">
        <f t="shared" si="211"/>
        <v>הראל פנסיה כללית - אפיק מדד (90%)</v>
      </c>
      <c r="E1260" s="1786" t="s">
        <v>3929</v>
      </c>
      <c r="F1260" s="1786" t="s">
        <v>2958</v>
      </c>
      <c r="G1260" s="1786" t="s">
        <v>2959</v>
      </c>
      <c r="H1260" s="1786" t="str">
        <f t="shared" si="212"/>
        <v>לא פעיל</v>
      </c>
      <c r="I1260" s="1788">
        <f t="shared" si="213"/>
        <v>37257</v>
      </c>
      <c r="J1260" s="1788">
        <f t="shared" si="214"/>
        <v>42331.687349537002</v>
      </c>
      <c r="K1260" s="1786">
        <v>0</v>
      </c>
      <c r="L1260" s="1786" t="s">
        <v>1594</v>
      </c>
      <c r="M1260" s="1786" t="s">
        <v>1653</v>
      </c>
      <c r="N1260" s="1786" t="s">
        <v>1653</v>
      </c>
      <c r="O1260" s="1786">
        <v>0</v>
      </c>
      <c r="P1260" s="1786"/>
      <c r="Q1260" s="1786">
        <v>0</v>
      </c>
      <c r="R1260" s="1788"/>
      <c r="S1260" s="1786">
        <f t="shared" si="215"/>
        <v>662</v>
      </c>
      <c r="T1260" s="1786">
        <f t="shared" si="216"/>
        <v>0</v>
      </c>
      <c r="U1260" s="1786" t="str">
        <f t="shared" si="217"/>
        <v>הראל פנסיה כללית</v>
      </c>
      <c r="V1260" s="1786" t="str">
        <f t="shared" si="218"/>
        <v>520033986</v>
      </c>
      <c r="W1260" s="1789" t="str">
        <f t="shared" si="219"/>
        <v>הראל פנסיה וגמל בע"מ</v>
      </c>
      <c r="AC1260" s="1759" t="s">
        <v>1586</v>
      </c>
      <c r="AD1260" s="1760">
        <v>42331.687349537002</v>
      </c>
      <c r="AE1260" s="1760">
        <v>37257</v>
      </c>
      <c r="AF1260" s="1759" t="s">
        <v>1094</v>
      </c>
      <c r="AG1260" s="1759" t="s">
        <v>1094</v>
      </c>
      <c r="AH1260" s="1759" t="s">
        <v>1594</v>
      </c>
      <c r="AI1260" s="1759" t="s">
        <v>2625</v>
      </c>
      <c r="AJ1260" s="1759" t="s">
        <v>2625</v>
      </c>
      <c r="AK1260" s="1759">
        <v>2169</v>
      </c>
      <c r="AL1260" s="1759" t="s">
        <v>2620</v>
      </c>
      <c r="AM1260" s="1759">
        <v>662</v>
      </c>
      <c r="AN1260" s="1759"/>
      <c r="AO1260" s="1764"/>
      <c r="AP1260" s="1759" t="s">
        <v>5396</v>
      </c>
      <c r="AQ1260" s="1759" t="s">
        <v>5397</v>
      </c>
      <c r="AR1260" s="1759" t="s">
        <v>4588</v>
      </c>
      <c r="AS1260" s="1759" t="s">
        <v>405</v>
      </c>
      <c r="AT1260" s="1759" t="s">
        <v>328</v>
      </c>
      <c r="AU1260" s="1763"/>
      <c r="AV1260" s="1763"/>
    </row>
    <row r="1261" spans="1:48" ht="37.5">
      <c r="A1261" s="1785" t="str">
        <f t="shared" si="209"/>
        <v>פנסיה</v>
      </c>
      <c r="B1261" s="1786">
        <f t="shared" si="210"/>
        <v>2170</v>
      </c>
      <c r="C1261" s="1787">
        <v>28946</v>
      </c>
      <c r="D1261" s="1786" t="str">
        <f t="shared" si="211"/>
        <v>הראל פנסיה כללית - אפיק אופק חיים</v>
      </c>
      <c r="E1261" s="1786" t="s">
        <v>3929</v>
      </c>
      <c r="F1261" s="1786" t="s">
        <v>2958</v>
      </c>
      <c r="G1261" s="1786" t="s">
        <v>2959</v>
      </c>
      <c r="H1261" s="1786" t="str">
        <f t="shared" si="212"/>
        <v>לא פעיל</v>
      </c>
      <c r="I1261" s="1788">
        <f t="shared" si="213"/>
        <v>37257</v>
      </c>
      <c r="J1261" s="1788">
        <f t="shared" si="214"/>
        <v>42331.687349537002</v>
      </c>
      <c r="K1261" s="1786">
        <v>0</v>
      </c>
      <c r="L1261" s="1786" t="s">
        <v>1594</v>
      </c>
      <c r="M1261" s="1786" t="s">
        <v>1653</v>
      </c>
      <c r="N1261" s="1786" t="s">
        <v>1653</v>
      </c>
      <c r="O1261" s="1786">
        <v>0</v>
      </c>
      <c r="P1261" s="1786"/>
      <c r="Q1261" s="1786">
        <v>0</v>
      </c>
      <c r="R1261" s="1788"/>
      <c r="S1261" s="1786">
        <f t="shared" si="215"/>
        <v>662</v>
      </c>
      <c r="T1261" s="1786">
        <f t="shared" si="216"/>
        <v>0</v>
      </c>
      <c r="U1261" s="1786" t="str">
        <f t="shared" si="217"/>
        <v>הראל פנסיה כללית</v>
      </c>
      <c r="V1261" s="1786" t="str">
        <f t="shared" si="218"/>
        <v>520033986</v>
      </c>
      <c r="W1261" s="1789" t="str">
        <f t="shared" si="219"/>
        <v>הראל פנסיה וגמל בע"מ</v>
      </c>
      <c r="AC1261" s="1761" t="s">
        <v>1586</v>
      </c>
      <c r="AD1261" s="1762">
        <v>42331.687349537002</v>
      </c>
      <c r="AE1261" s="1762">
        <v>37257</v>
      </c>
      <c r="AF1261" s="1761" t="s">
        <v>70</v>
      </c>
      <c r="AG1261" s="1761" t="s">
        <v>70</v>
      </c>
      <c r="AH1261" s="1761" t="s">
        <v>3658</v>
      </c>
      <c r="AI1261" s="1761" t="s">
        <v>2626</v>
      </c>
      <c r="AJ1261" s="1761" t="s">
        <v>2626</v>
      </c>
      <c r="AK1261" s="1761">
        <v>2170</v>
      </c>
      <c r="AL1261" s="1761" t="s">
        <v>2620</v>
      </c>
      <c r="AM1261" s="1761">
        <v>662</v>
      </c>
      <c r="AN1261" s="1761"/>
      <c r="AO1261" s="1764"/>
      <c r="AP1261" s="1761" t="s">
        <v>5396</v>
      </c>
      <c r="AQ1261" s="1761" t="s">
        <v>5397</v>
      </c>
      <c r="AR1261" s="1761" t="s">
        <v>4588</v>
      </c>
      <c r="AS1261" s="1761" t="s">
        <v>405</v>
      </c>
      <c r="AT1261" s="1761" t="s">
        <v>328</v>
      </c>
      <c r="AU1261" s="1763"/>
      <c r="AV1261" s="1763"/>
    </row>
    <row r="1262" spans="1:48" ht="37.5">
      <c r="A1262" s="1785" t="str">
        <f t="shared" si="209"/>
        <v>פנסיה</v>
      </c>
      <c r="B1262" s="1786">
        <f t="shared" si="210"/>
        <v>2171</v>
      </c>
      <c r="C1262" s="1787">
        <v>28946</v>
      </c>
      <c r="D1262" s="1786" t="str">
        <f t="shared" si="211"/>
        <v>הראל פנסיה כללית - אפיק ללא מניות</v>
      </c>
      <c r="E1262" s="1786" t="s">
        <v>3929</v>
      </c>
      <c r="F1262" s="1786" t="s">
        <v>2958</v>
      </c>
      <c r="G1262" s="1786" t="s">
        <v>2959</v>
      </c>
      <c r="H1262" s="1786" t="str">
        <f t="shared" si="212"/>
        <v>לא פעיל</v>
      </c>
      <c r="I1262" s="1788">
        <f t="shared" si="213"/>
        <v>37257</v>
      </c>
      <c r="J1262" s="1788">
        <f t="shared" si="214"/>
        <v>42331.687349537002</v>
      </c>
      <c r="K1262" s="1786">
        <v>0</v>
      </c>
      <c r="L1262" s="1786" t="s">
        <v>1594</v>
      </c>
      <c r="M1262" s="1786" t="s">
        <v>1653</v>
      </c>
      <c r="N1262" s="1786" t="s">
        <v>1653</v>
      </c>
      <c r="O1262" s="1786">
        <v>0</v>
      </c>
      <c r="P1262" s="1786"/>
      <c r="Q1262" s="1786">
        <v>0</v>
      </c>
      <c r="R1262" s="1788"/>
      <c r="S1262" s="1786">
        <f t="shared" si="215"/>
        <v>662</v>
      </c>
      <c r="T1262" s="1786">
        <f t="shared" si="216"/>
        <v>0</v>
      </c>
      <c r="U1262" s="1786" t="str">
        <f t="shared" si="217"/>
        <v>הראל פנסיה כללית</v>
      </c>
      <c r="V1262" s="1786" t="str">
        <f t="shared" si="218"/>
        <v>520033986</v>
      </c>
      <c r="W1262" s="1789" t="str">
        <f t="shared" si="219"/>
        <v>הראל פנסיה וגמל בע"מ</v>
      </c>
      <c r="AC1262" s="1759" t="s">
        <v>1586</v>
      </c>
      <c r="AD1262" s="1760">
        <v>42331.687349537002</v>
      </c>
      <c r="AE1262" s="1760">
        <v>37257</v>
      </c>
      <c r="AF1262" s="1759" t="s">
        <v>1681</v>
      </c>
      <c r="AG1262" s="1759" t="s">
        <v>1583</v>
      </c>
      <c r="AH1262" s="1759" t="s">
        <v>1583</v>
      </c>
      <c r="AI1262" s="1759" t="s">
        <v>2627</v>
      </c>
      <c r="AJ1262" s="1759" t="s">
        <v>2627</v>
      </c>
      <c r="AK1262" s="1759">
        <v>2171</v>
      </c>
      <c r="AL1262" s="1759" t="s">
        <v>2620</v>
      </c>
      <c r="AM1262" s="1759">
        <v>662</v>
      </c>
      <c r="AN1262" s="1759"/>
      <c r="AO1262" s="1764"/>
      <c r="AP1262" s="1759" t="s">
        <v>5396</v>
      </c>
      <c r="AQ1262" s="1759" t="s">
        <v>5397</v>
      </c>
      <c r="AR1262" s="1759" t="s">
        <v>4588</v>
      </c>
      <c r="AS1262" s="1759" t="s">
        <v>405</v>
      </c>
      <c r="AT1262" s="1759" t="s">
        <v>328</v>
      </c>
      <c r="AU1262" s="1763"/>
      <c r="AV1262" s="1763"/>
    </row>
    <row r="1263" spans="1:48" ht="37.5">
      <c r="A1263" s="1785" t="str">
        <f t="shared" si="209"/>
        <v>פנסיה</v>
      </c>
      <c r="B1263" s="1786">
        <f t="shared" si="210"/>
        <v>12140</v>
      </c>
      <c r="C1263" s="1787">
        <v>28946</v>
      </c>
      <c r="D1263" s="1786" t="str">
        <f t="shared" si="211"/>
        <v>הראל פנסיה כללית - בסיסי למקבלי קצבה</v>
      </c>
      <c r="E1263" s="1786" t="s">
        <v>3929</v>
      </c>
      <c r="F1263" s="1786" t="s">
        <v>2958</v>
      </c>
      <c r="G1263" s="1786" t="s">
        <v>2959</v>
      </c>
      <c r="H1263" s="1786" t="str">
        <f t="shared" si="212"/>
        <v>פעיל</v>
      </c>
      <c r="I1263" s="1788">
        <f t="shared" si="213"/>
        <v>37257</v>
      </c>
      <c r="J1263" s="1788" t="str">
        <f t="shared" si="214"/>
        <v/>
      </c>
      <c r="K1263" s="1786">
        <v>0</v>
      </c>
      <c r="L1263" s="1786" t="s">
        <v>1594</v>
      </c>
      <c r="M1263" s="1786" t="s">
        <v>1653</v>
      </c>
      <c r="N1263" s="1786" t="s">
        <v>1653</v>
      </c>
      <c r="O1263" s="1786">
        <v>0</v>
      </c>
      <c r="P1263" s="1786"/>
      <c r="Q1263" s="1786">
        <v>0</v>
      </c>
      <c r="R1263" s="1788"/>
      <c r="S1263" s="1786">
        <f t="shared" si="215"/>
        <v>662</v>
      </c>
      <c r="T1263" s="1786">
        <f t="shared" si="216"/>
        <v>0</v>
      </c>
      <c r="U1263" s="1786" t="str">
        <f t="shared" si="217"/>
        <v>הראל פנסיה כללית</v>
      </c>
      <c r="V1263" s="1786" t="str">
        <f t="shared" si="218"/>
        <v>520033986</v>
      </c>
      <c r="W1263" s="1789" t="str">
        <f t="shared" si="219"/>
        <v>הראל פנסיה וגמל בע"מ</v>
      </c>
      <c r="AC1263" s="1761" t="s">
        <v>346</v>
      </c>
      <c r="AD1263" s="1761"/>
      <c r="AE1263" s="1762">
        <v>37257</v>
      </c>
      <c r="AF1263" s="1761" t="s">
        <v>1583</v>
      </c>
      <c r="AG1263" s="1761" t="s">
        <v>1583</v>
      </c>
      <c r="AH1263" s="1761" t="s">
        <v>1583</v>
      </c>
      <c r="AI1263" s="1761" t="s">
        <v>5580</v>
      </c>
      <c r="AJ1263" s="1761" t="s">
        <v>4174</v>
      </c>
      <c r="AK1263" s="1761">
        <v>12140</v>
      </c>
      <c r="AL1263" s="1761" t="s">
        <v>2620</v>
      </c>
      <c r="AM1263" s="1761">
        <v>662</v>
      </c>
      <c r="AN1263" s="1761"/>
      <c r="AO1263" s="1764"/>
      <c r="AP1263" s="1761" t="s">
        <v>5396</v>
      </c>
      <c r="AQ1263" s="1761" t="s">
        <v>5397</v>
      </c>
      <c r="AR1263" s="1761" t="s">
        <v>4588</v>
      </c>
      <c r="AS1263" s="1761" t="s">
        <v>405</v>
      </c>
      <c r="AT1263" s="1761" t="s">
        <v>328</v>
      </c>
      <c r="AU1263" s="1763"/>
      <c r="AV1263" s="1763"/>
    </row>
    <row r="1264" spans="1:48" ht="37.5">
      <c r="A1264" s="1785" t="str">
        <f t="shared" si="209"/>
        <v>פנסיה</v>
      </c>
      <c r="B1264" s="1786">
        <f t="shared" si="210"/>
        <v>9856</v>
      </c>
      <c r="C1264" s="1787">
        <v>28946</v>
      </c>
      <c r="D1264" s="1786" t="str">
        <f t="shared" si="211"/>
        <v>הראל פנסיה כללית - גילאי 60 ומעלה</v>
      </c>
      <c r="E1264" s="1786" t="s">
        <v>3929</v>
      </c>
      <c r="F1264" s="1786" t="s">
        <v>2958</v>
      </c>
      <c r="G1264" s="1786" t="s">
        <v>2959</v>
      </c>
      <c r="H1264" s="1786" t="str">
        <f t="shared" si="212"/>
        <v>פעיל</v>
      </c>
      <c r="I1264" s="1788">
        <f t="shared" si="213"/>
        <v>37257</v>
      </c>
      <c r="J1264" s="1788" t="str">
        <f t="shared" si="214"/>
        <v/>
      </c>
      <c r="K1264" s="1786">
        <v>0</v>
      </c>
      <c r="L1264" s="1786" t="s">
        <v>1594</v>
      </c>
      <c r="M1264" s="1786" t="s">
        <v>1653</v>
      </c>
      <c r="N1264" s="1786" t="s">
        <v>1653</v>
      </c>
      <c r="O1264" s="1786">
        <v>0</v>
      </c>
      <c r="P1264" s="1786"/>
      <c r="Q1264" s="1786">
        <v>0</v>
      </c>
      <c r="R1264" s="1788"/>
      <c r="S1264" s="1786">
        <f t="shared" si="215"/>
        <v>662</v>
      </c>
      <c r="T1264" s="1786">
        <f t="shared" si="216"/>
        <v>0</v>
      </c>
      <c r="U1264" s="1786" t="str">
        <f t="shared" si="217"/>
        <v>הראל פנסיה כללית</v>
      </c>
      <c r="V1264" s="1786" t="str">
        <f t="shared" si="218"/>
        <v>520033986</v>
      </c>
      <c r="W1264" s="1789" t="str">
        <f t="shared" si="219"/>
        <v>הראל פנסיה וגמל בע"מ</v>
      </c>
      <c r="AC1264" s="1759" t="s">
        <v>346</v>
      </c>
      <c r="AD1264" s="1759"/>
      <c r="AE1264" s="1760">
        <v>37257</v>
      </c>
      <c r="AF1264" s="1759" t="s">
        <v>3963</v>
      </c>
      <c r="AG1264" s="1759" t="s">
        <v>3931</v>
      </c>
      <c r="AH1264" s="1759" t="s">
        <v>3658</v>
      </c>
      <c r="AI1264" s="1759" t="s">
        <v>5581</v>
      </c>
      <c r="AJ1264" s="1759" t="s">
        <v>5581</v>
      </c>
      <c r="AK1264" s="1759">
        <v>9856</v>
      </c>
      <c r="AL1264" s="1759" t="s">
        <v>2620</v>
      </c>
      <c r="AM1264" s="1759">
        <v>662</v>
      </c>
      <c r="AN1264" s="1759"/>
      <c r="AO1264" s="1764"/>
      <c r="AP1264" s="1759" t="s">
        <v>5396</v>
      </c>
      <c r="AQ1264" s="1759" t="s">
        <v>5397</v>
      </c>
      <c r="AR1264" s="1759" t="s">
        <v>4588</v>
      </c>
      <c r="AS1264" s="1759" t="s">
        <v>405</v>
      </c>
      <c r="AT1264" s="1759" t="s">
        <v>328</v>
      </c>
      <c r="AU1264" s="1763"/>
      <c r="AV1264" s="1763"/>
    </row>
    <row r="1265" spans="1:48" ht="37.5">
      <c r="A1265" s="1785" t="str">
        <f t="shared" si="209"/>
        <v>פנסיה</v>
      </c>
      <c r="B1265" s="1786">
        <f t="shared" si="210"/>
        <v>9857</v>
      </c>
      <c r="C1265" s="1787">
        <v>28946</v>
      </c>
      <c r="D1265" s="1786" t="str">
        <f t="shared" si="211"/>
        <v>הראל פנסיה כללית - ילידי 1955 עד 1959</v>
      </c>
      <c r="E1265" s="1786" t="s">
        <v>3929</v>
      </c>
      <c r="F1265" s="1786" t="s">
        <v>2958</v>
      </c>
      <c r="G1265" s="1786" t="s">
        <v>2959</v>
      </c>
      <c r="H1265" s="1786" t="str">
        <f t="shared" si="212"/>
        <v>לא פעיל</v>
      </c>
      <c r="I1265" s="1788">
        <f t="shared" si="213"/>
        <v>37257</v>
      </c>
      <c r="J1265" s="1788">
        <f t="shared" si="214"/>
        <v>42366.382106481498</v>
      </c>
      <c r="K1265" s="1786">
        <v>0</v>
      </c>
      <c r="L1265" s="1786" t="s">
        <v>1594</v>
      </c>
      <c r="M1265" s="1786" t="s">
        <v>1653</v>
      </c>
      <c r="N1265" s="1786" t="s">
        <v>1653</v>
      </c>
      <c r="O1265" s="1786">
        <v>0</v>
      </c>
      <c r="P1265" s="1786"/>
      <c r="Q1265" s="1786">
        <v>0</v>
      </c>
      <c r="R1265" s="1788"/>
      <c r="S1265" s="1786">
        <f t="shared" si="215"/>
        <v>662</v>
      </c>
      <c r="T1265" s="1786">
        <f t="shared" si="216"/>
        <v>0</v>
      </c>
      <c r="U1265" s="1786" t="str">
        <f t="shared" si="217"/>
        <v>הראל פנסיה כללית</v>
      </c>
      <c r="V1265" s="1786" t="str">
        <f t="shared" si="218"/>
        <v>520033986</v>
      </c>
      <c r="W1265" s="1789" t="str">
        <f t="shared" si="219"/>
        <v>הראל פנסיה וגמל בע"מ</v>
      </c>
      <c r="AC1265" s="1761" t="s">
        <v>1586</v>
      </c>
      <c r="AD1265" s="1762">
        <v>42366.382106481498</v>
      </c>
      <c r="AE1265" s="1762">
        <v>37257</v>
      </c>
      <c r="AF1265" s="1761" t="s">
        <v>4113</v>
      </c>
      <c r="AG1265" s="1761" t="s">
        <v>4113</v>
      </c>
      <c r="AH1265" s="1761" t="s">
        <v>3658</v>
      </c>
      <c r="AI1265" s="1761" t="s">
        <v>4544</v>
      </c>
      <c r="AJ1265" s="1761" t="s">
        <v>4544</v>
      </c>
      <c r="AK1265" s="1761">
        <v>9857</v>
      </c>
      <c r="AL1265" s="1761" t="s">
        <v>2620</v>
      </c>
      <c r="AM1265" s="1761">
        <v>662</v>
      </c>
      <c r="AN1265" s="1761"/>
      <c r="AO1265" s="1764"/>
      <c r="AP1265" s="1761" t="s">
        <v>5396</v>
      </c>
      <c r="AQ1265" s="1761" t="s">
        <v>5397</v>
      </c>
      <c r="AR1265" s="1761" t="s">
        <v>4588</v>
      </c>
      <c r="AS1265" s="1761" t="s">
        <v>405</v>
      </c>
      <c r="AT1265" s="1761" t="s">
        <v>328</v>
      </c>
      <c r="AU1265" s="1763"/>
      <c r="AV1265" s="1763"/>
    </row>
    <row r="1266" spans="1:48" ht="37.5">
      <c r="A1266" s="1785" t="str">
        <f t="shared" si="209"/>
        <v>פנסיה</v>
      </c>
      <c r="B1266" s="1786">
        <f t="shared" si="210"/>
        <v>9858</v>
      </c>
      <c r="C1266" s="1787">
        <v>28946</v>
      </c>
      <c r="D1266" s="1786" t="str">
        <f t="shared" si="211"/>
        <v>הראל פנסיה כללית - גילאי 50 עד 60</v>
      </c>
      <c r="E1266" s="1786" t="s">
        <v>3929</v>
      </c>
      <c r="F1266" s="1786" t="s">
        <v>2958</v>
      </c>
      <c r="G1266" s="1786" t="s">
        <v>2959</v>
      </c>
      <c r="H1266" s="1786" t="str">
        <f t="shared" si="212"/>
        <v>פעיל</v>
      </c>
      <c r="I1266" s="1788">
        <f t="shared" si="213"/>
        <v>37257</v>
      </c>
      <c r="J1266" s="1788" t="str">
        <f t="shared" si="214"/>
        <v/>
      </c>
      <c r="K1266" s="1786">
        <v>0</v>
      </c>
      <c r="L1266" s="1786" t="s">
        <v>1594</v>
      </c>
      <c r="M1266" s="1786" t="s">
        <v>1653</v>
      </c>
      <c r="N1266" s="1786" t="s">
        <v>1653</v>
      </c>
      <c r="O1266" s="1786">
        <v>0</v>
      </c>
      <c r="P1266" s="1786"/>
      <c r="Q1266" s="1786">
        <v>0</v>
      </c>
      <c r="R1266" s="1788"/>
      <c r="S1266" s="1786">
        <f t="shared" si="215"/>
        <v>662</v>
      </c>
      <c r="T1266" s="1786">
        <f t="shared" si="216"/>
        <v>0</v>
      </c>
      <c r="U1266" s="1786" t="str">
        <f t="shared" si="217"/>
        <v>הראל פנסיה כללית</v>
      </c>
      <c r="V1266" s="1786" t="str">
        <f t="shared" si="218"/>
        <v>520033986</v>
      </c>
      <c r="W1266" s="1789" t="str">
        <f t="shared" si="219"/>
        <v>הראל פנסיה וגמל בע"מ</v>
      </c>
      <c r="AC1266" s="1759" t="s">
        <v>346</v>
      </c>
      <c r="AD1266" s="1759"/>
      <c r="AE1266" s="1760">
        <v>37257</v>
      </c>
      <c r="AF1266" s="1759" t="s">
        <v>3932</v>
      </c>
      <c r="AG1266" s="1759" t="s">
        <v>3931</v>
      </c>
      <c r="AH1266" s="1759" t="s">
        <v>3658</v>
      </c>
      <c r="AI1266" s="1759" t="s">
        <v>5582</v>
      </c>
      <c r="AJ1266" s="1759" t="s">
        <v>5582</v>
      </c>
      <c r="AK1266" s="1759">
        <v>9858</v>
      </c>
      <c r="AL1266" s="1759" t="s">
        <v>2620</v>
      </c>
      <c r="AM1266" s="1759">
        <v>662</v>
      </c>
      <c r="AN1266" s="1759"/>
      <c r="AO1266" s="1764"/>
      <c r="AP1266" s="1759" t="s">
        <v>5396</v>
      </c>
      <c r="AQ1266" s="1759" t="s">
        <v>5397</v>
      </c>
      <c r="AR1266" s="1759" t="s">
        <v>4588</v>
      </c>
      <c r="AS1266" s="1759" t="s">
        <v>405</v>
      </c>
      <c r="AT1266" s="1759" t="s">
        <v>328</v>
      </c>
      <c r="AU1266" s="1763"/>
      <c r="AV1266" s="1763"/>
    </row>
    <row r="1267" spans="1:48" ht="37.5">
      <c r="A1267" s="1785" t="str">
        <f t="shared" si="209"/>
        <v>פנסיה</v>
      </c>
      <c r="B1267" s="1786">
        <f t="shared" si="210"/>
        <v>9859</v>
      </c>
      <c r="C1267" s="1787">
        <v>28946</v>
      </c>
      <c r="D1267" s="1786" t="str">
        <f t="shared" si="211"/>
        <v>הראל פנסיה כללית - ילידי 1965 עד 1969</v>
      </c>
      <c r="E1267" s="1786" t="s">
        <v>3929</v>
      </c>
      <c r="F1267" s="1786" t="s">
        <v>2958</v>
      </c>
      <c r="G1267" s="1786" t="s">
        <v>2959</v>
      </c>
      <c r="H1267" s="1786" t="str">
        <f t="shared" si="212"/>
        <v>לא פעיל</v>
      </c>
      <c r="I1267" s="1788">
        <f t="shared" si="213"/>
        <v>37257</v>
      </c>
      <c r="J1267" s="1788">
        <f t="shared" si="214"/>
        <v>42366.382106481498</v>
      </c>
      <c r="K1267" s="1786">
        <v>0</v>
      </c>
      <c r="L1267" s="1786" t="s">
        <v>1594</v>
      </c>
      <c r="M1267" s="1786" t="s">
        <v>1653</v>
      </c>
      <c r="N1267" s="1786" t="s">
        <v>1653</v>
      </c>
      <c r="O1267" s="1786">
        <v>0</v>
      </c>
      <c r="P1267" s="1786"/>
      <c r="Q1267" s="1786">
        <v>0</v>
      </c>
      <c r="R1267" s="1788"/>
      <c r="S1267" s="1786">
        <f t="shared" si="215"/>
        <v>662</v>
      </c>
      <c r="T1267" s="1786">
        <f t="shared" si="216"/>
        <v>0</v>
      </c>
      <c r="U1267" s="1786" t="str">
        <f t="shared" si="217"/>
        <v>הראל פנסיה כללית</v>
      </c>
      <c r="V1267" s="1786" t="str">
        <f t="shared" si="218"/>
        <v>520033986</v>
      </c>
      <c r="W1267" s="1789" t="str">
        <f t="shared" si="219"/>
        <v>הראל פנסיה וגמל בע"מ</v>
      </c>
      <c r="AC1267" s="1761" t="s">
        <v>1586</v>
      </c>
      <c r="AD1267" s="1762">
        <v>42366.382106481498</v>
      </c>
      <c r="AE1267" s="1762">
        <v>37257</v>
      </c>
      <c r="AF1267" s="1761" t="s">
        <v>4113</v>
      </c>
      <c r="AG1267" s="1761" t="s">
        <v>4113</v>
      </c>
      <c r="AH1267" s="1761" t="s">
        <v>3658</v>
      </c>
      <c r="AI1267" s="1761" t="s">
        <v>4545</v>
      </c>
      <c r="AJ1267" s="1761" t="s">
        <v>4545</v>
      </c>
      <c r="AK1267" s="1761">
        <v>9859</v>
      </c>
      <c r="AL1267" s="1761" t="s">
        <v>2620</v>
      </c>
      <c r="AM1267" s="1761">
        <v>662</v>
      </c>
      <c r="AN1267" s="1761"/>
      <c r="AO1267" s="1764"/>
      <c r="AP1267" s="1761" t="s">
        <v>5396</v>
      </c>
      <c r="AQ1267" s="1761" t="s">
        <v>5397</v>
      </c>
      <c r="AR1267" s="1761" t="s">
        <v>4588</v>
      </c>
      <c r="AS1267" s="1761" t="s">
        <v>405</v>
      </c>
      <c r="AT1267" s="1761" t="s">
        <v>328</v>
      </c>
      <c r="AU1267" s="1763"/>
      <c r="AV1267" s="1763"/>
    </row>
    <row r="1268" spans="1:48" ht="37.5">
      <c r="A1268" s="1785" t="str">
        <f t="shared" si="209"/>
        <v>פנסיה</v>
      </c>
      <c r="B1268" s="1786">
        <f t="shared" si="210"/>
        <v>9860</v>
      </c>
      <c r="C1268" s="1787">
        <v>28946</v>
      </c>
      <c r="D1268" s="1786" t="str">
        <f t="shared" si="211"/>
        <v>הראל פנסיה כללית - ילידי שנות ה-70</v>
      </c>
      <c r="E1268" s="1786" t="s">
        <v>3929</v>
      </c>
      <c r="F1268" s="1786" t="s">
        <v>2958</v>
      </c>
      <c r="G1268" s="1786" t="s">
        <v>2959</v>
      </c>
      <c r="H1268" s="1786" t="str">
        <f t="shared" si="212"/>
        <v>לא פעיל</v>
      </c>
      <c r="I1268" s="1788">
        <f t="shared" si="213"/>
        <v>37257</v>
      </c>
      <c r="J1268" s="1788">
        <f t="shared" si="214"/>
        <v>43830.8048263889</v>
      </c>
      <c r="K1268" s="1786">
        <v>0</v>
      </c>
      <c r="L1268" s="1786" t="s">
        <v>1594</v>
      </c>
      <c r="M1268" s="1786" t="s">
        <v>1653</v>
      </c>
      <c r="N1268" s="1786" t="s">
        <v>1653</v>
      </c>
      <c r="O1268" s="1786">
        <v>0</v>
      </c>
      <c r="P1268" s="1786"/>
      <c r="Q1268" s="1786">
        <v>0</v>
      </c>
      <c r="R1268" s="1788"/>
      <c r="S1268" s="1786">
        <f t="shared" si="215"/>
        <v>662</v>
      </c>
      <c r="T1268" s="1786">
        <f t="shared" si="216"/>
        <v>0</v>
      </c>
      <c r="U1268" s="1786" t="str">
        <f t="shared" si="217"/>
        <v>הראל פנסיה כללית</v>
      </c>
      <c r="V1268" s="1786" t="str">
        <f t="shared" si="218"/>
        <v>520033986</v>
      </c>
      <c r="W1268" s="1789" t="str">
        <f t="shared" si="219"/>
        <v>הראל פנסיה וגמל בע"מ</v>
      </c>
      <c r="AC1268" s="1759" t="s">
        <v>1586</v>
      </c>
      <c r="AD1268" s="1760">
        <v>43830.8048263889</v>
      </c>
      <c r="AE1268" s="1760">
        <v>37257</v>
      </c>
      <c r="AF1268" s="1759" t="s">
        <v>4113</v>
      </c>
      <c r="AG1268" s="1759" t="s">
        <v>4113</v>
      </c>
      <c r="AH1268" s="1759" t="s">
        <v>3658</v>
      </c>
      <c r="AI1268" s="1759" t="s">
        <v>4416</v>
      </c>
      <c r="AJ1268" s="1759" t="s">
        <v>4416</v>
      </c>
      <c r="AK1268" s="1759">
        <v>9860</v>
      </c>
      <c r="AL1268" s="1759" t="s">
        <v>2620</v>
      </c>
      <c r="AM1268" s="1759">
        <v>662</v>
      </c>
      <c r="AN1268" s="1759"/>
      <c r="AO1268" s="1764"/>
      <c r="AP1268" s="1759" t="s">
        <v>5396</v>
      </c>
      <c r="AQ1268" s="1759" t="s">
        <v>5397</v>
      </c>
      <c r="AR1268" s="1759" t="s">
        <v>4588</v>
      </c>
      <c r="AS1268" s="1759" t="s">
        <v>405</v>
      </c>
      <c r="AT1268" s="1759" t="s">
        <v>328</v>
      </c>
      <c r="AU1268" s="1763"/>
      <c r="AV1268" s="1763"/>
    </row>
    <row r="1269" spans="1:48" ht="37.5">
      <c r="A1269" s="1785" t="str">
        <f t="shared" si="209"/>
        <v>פנסיה</v>
      </c>
      <c r="B1269" s="1786">
        <f t="shared" si="210"/>
        <v>9861</v>
      </c>
      <c r="C1269" s="1787">
        <v>28946</v>
      </c>
      <c r="D1269" s="1786" t="str">
        <f t="shared" si="211"/>
        <v>הראל פנסיה כללית - ילידי 1975 עד 1979</v>
      </c>
      <c r="E1269" s="1786" t="s">
        <v>3929</v>
      </c>
      <c r="F1269" s="1786" t="s">
        <v>2958</v>
      </c>
      <c r="G1269" s="1786" t="s">
        <v>2959</v>
      </c>
      <c r="H1269" s="1786" t="str">
        <f t="shared" si="212"/>
        <v>לא פעיל</v>
      </c>
      <c r="I1269" s="1788">
        <f t="shared" si="213"/>
        <v>37257</v>
      </c>
      <c r="J1269" s="1788">
        <f t="shared" si="214"/>
        <v>42366.382106481498</v>
      </c>
      <c r="K1269" s="1786">
        <v>0</v>
      </c>
      <c r="L1269" s="1786" t="s">
        <v>1594</v>
      </c>
      <c r="M1269" s="1786" t="s">
        <v>1653</v>
      </c>
      <c r="N1269" s="1786" t="s">
        <v>1653</v>
      </c>
      <c r="O1269" s="1786">
        <v>0</v>
      </c>
      <c r="P1269" s="1786"/>
      <c r="Q1269" s="1786">
        <v>0</v>
      </c>
      <c r="R1269" s="1788"/>
      <c r="S1269" s="1786">
        <f t="shared" si="215"/>
        <v>662</v>
      </c>
      <c r="T1269" s="1786">
        <f t="shared" si="216"/>
        <v>0</v>
      </c>
      <c r="U1269" s="1786" t="str">
        <f t="shared" si="217"/>
        <v>הראל פנסיה כללית</v>
      </c>
      <c r="V1269" s="1786" t="str">
        <f t="shared" si="218"/>
        <v>520033986</v>
      </c>
      <c r="W1269" s="1789" t="str">
        <f t="shared" si="219"/>
        <v>הראל פנסיה וגמל בע"מ</v>
      </c>
      <c r="AC1269" s="1761" t="s">
        <v>1586</v>
      </c>
      <c r="AD1269" s="1762">
        <v>42366.382106481498</v>
      </c>
      <c r="AE1269" s="1762">
        <v>37257</v>
      </c>
      <c r="AF1269" s="1761" t="s">
        <v>4113</v>
      </c>
      <c r="AG1269" s="1761" t="s">
        <v>4113</v>
      </c>
      <c r="AH1269" s="1761" t="s">
        <v>3658</v>
      </c>
      <c r="AI1269" s="1761" t="s">
        <v>4546</v>
      </c>
      <c r="AJ1269" s="1761" t="s">
        <v>4546</v>
      </c>
      <c r="AK1269" s="1761">
        <v>9861</v>
      </c>
      <c r="AL1269" s="1761" t="s">
        <v>2620</v>
      </c>
      <c r="AM1269" s="1761">
        <v>662</v>
      </c>
      <c r="AN1269" s="1761"/>
      <c r="AO1269" s="1764"/>
      <c r="AP1269" s="1761" t="s">
        <v>5396</v>
      </c>
      <c r="AQ1269" s="1761" t="s">
        <v>5397</v>
      </c>
      <c r="AR1269" s="1761" t="s">
        <v>4588</v>
      </c>
      <c r="AS1269" s="1761" t="s">
        <v>405</v>
      </c>
      <c r="AT1269" s="1761" t="s">
        <v>328</v>
      </c>
      <c r="AU1269" s="1763"/>
      <c r="AV1269" s="1763"/>
    </row>
    <row r="1270" spans="1:48" ht="37.5">
      <c r="A1270" s="1785" t="str">
        <f t="shared" si="209"/>
        <v>פנסיה</v>
      </c>
      <c r="B1270" s="1786">
        <f t="shared" si="210"/>
        <v>9862</v>
      </c>
      <c r="C1270" s="1787">
        <v>28946</v>
      </c>
      <c r="D1270" s="1786" t="str">
        <f t="shared" si="211"/>
        <v>הראל פנסיה כללית - גילאי 50 ומטה</v>
      </c>
      <c r="E1270" s="1786" t="s">
        <v>3929</v>
      </c>
      <c r="F1270" s="1786" t="s">
        <v>2958</v>
      </c>
      <c r="G1270" s="1786" t="s">
        <v>2959</v>
      </c>
      <c r="H1270" s="1786" t="str">
        <f t="shared" si="212"/>
        <v>פעיל</v>
      </c>
      <c r="I1270" s="1788">
        <f t="shared" si="213"/>
        <v>37257</v>
      </c>
      <c r="J1270" s="1788" t="str">
        <f t="shared" si="214"/>
        <v/>
      </c>
      <c r="K1270" s="1786">
        <v>0</v>
      </c>
      <c r="L1270" s="1786" t="s">
        <v>1594</v>
      </c>
      <c r="M1270" s="1786" t="s">
        <v>1653</v>
      </c>
      <c r="N1270" s="1786" t="s">
        <v>1653</v>
      </c>
      <c r="O1270" s="1786">
        <v>0</v>
      </c>
      <c r="P1270" s="1786"/>
      <c r="Q1270" s="1786">
        <v>0</v>
      </c>
      <c r="R1270" s="1788"/>
      <c r="S1270" s="1786">
        <f t="shared" si="215"/>
        <v>662</v>
      </c>
      <c r="T1270" s="1786">
        <f t="shared" si="216"/>
        <v>0</v>
      </c>
      <c r="U1270" s="1786" t="str">
        <f t="shared" si="217"/>
        <v>הראל פנסיה כללית</v>
      </c>
      <c r="V1270" s="1786" t="str">
        <f t="shared" si="218"/>
        <v>520033986</v>
      </c>
      <c r="W1270" s="1789" t="str">
        <f t="shared" si="219"/>
        <v>הראל פנסיה וגמל בע"מ</v>
      </c>
      <c r="AC1270" s="1759" t="s">
        <v>346</v>
      </c>
      <c r="AD1270" s="1759"/>
      <c r="AE1270" s="1760">
        <v>37257</v>
      </c>
      <c r="AF1270" s="1759" t="s">
        <v>4151</v>
      </c>
      <c r="AG1270" s="1759" t="s">
        <v>3931</v>
      </c>
      <c r="AH1270" s="1759" t="s">
        <v>3658</v>
      </c>
      <c r="AI1270" s="1759" t="s">
        <v>5583</v>
      </c>
      <c r="AJ1270" s="1759" t="s">
        <v>5583</v>
      </c>
      <c r="AK1270" s="1759">
        <v>9862</v>
      </c>
      <c r="AL1270" s="1759" t="s">
        <v>2620</v>
      </c>
      <c r="AM1270" s="1759">
        <v>662</v>
      </c>
      <c r="AN1270" s="1759"/>
      <c r="AO1270" s="1764"/>
      <c r="AP1270" s="1759" t="s">
        <v>5396</v>
      </c>
      <c r="AQ1270" s="1759" t="s">
        <v>5397</v>
      </c>
      <c r="AR1270" s="1759" t="s">
        <v>4588</v>
      </c>
      <c r="AS1270" s="1759" t="s">
        <v>405</v>
      </c>
      <c r="AT1270" s="1759" t="s">
        <v>328</v>
      </c>
      <c r="AU1270" s="1763"/>
      <c r="AV1270" s="1763"/>
    </row>
    <row r="1271" spans="1:48" ht="37.5">
      <c r="A1271" s="1785" t="str">
        <f t="shared" si="209"/>
        <v>פנסיה</v>
      </c>
      <c r="B1271" s="1786">
        <f t="shared" si="210"/>
        <v>9863</v>
      </c>
      <c r="C1271" s="1787">
        <v>28946</v>
      </c>
      <c r="D1271" s="1786" t="str">
        <f t="shared" si="211"/>
        <v>הראל פנסיה כללית - ילידי 1985 עד 1989</v>
      </c>
      <c r="E1271" s="1786" t="s">
        <v>3929</v>
      </c>
      <c r="F1271" s="1786" t="s">
        <v>2958</v>
      </c>
      <c r="G1271" s="1786" t="s">
        <v>2959</v>
      </c>
      <c r="H1271" s="1786" t="str">
        <f t="shared" si="212"/>
        <v>לא פעיל</v>
      </c>
      <c r="I1271" s="1788">
        <f t="shared" si="213"/>
        <v>37257</v>
      </c>
      <c r="J1271" s="1788">
        <f t="shared" si="214"/>
        <v>42366.382106481498</v>
      </c>
      <c r="K1271" s="1786">
        <v>0</v>
      </c>
      <c r="L1271" s="1786" t="s">
        <v>1594</v>
      </c>
      <c r="M1271" s="1786" t="s">
        <v>1653</v>
      </c>
      <c r="N1271" s="1786" t="s">
        <v>1653</v>
      </c>
      <c r="O1271" s="1786">
        <v>0</v>
      </c>
      <c r="P1271" s="1786"/>
      <c r="Q1271" s="1786">
        <v>0</v>
      </c>
      <c r="R1271" s="1788"/>
      <c r="S1271" s="1786">
        <f t="shared" si="215"/>
        <v>662</v>
      </c>
      <c r="T1271" s="1786">
        <f t="shared" si="216"/>
        <v>0</v>
      </c>
      <c r="U1271" s="1786" t="str">
        <f t="shared" si="217"/>
        <v>הראל פנסיה כללית</v>
      </c>
      <c r="V1271" s="1786" t="str">
        <f t="shared" si="218"/>
        <v>520033986</v>
      </c>
      <c r="W1271" s="1789" t="str">
        <f t="shared" si="219"/>
        <v>הראל פנסיה וגמל בע"מ</v>
      </c>
      <c r="AC1271" s="1761" t="s">
        <v>1586</v>
      </c>
      <c r="AD1271" s="1762">
        <v>42366.382106481498</v>
      </c>
      <c r="AE1271" s="1762">
        <v>37257</v>
      </c>
      <c r="AF1271" s="1761" t="s">
        <v>4113</v>
      </c>
      <c r="AG1271" s="1761" t="s">
        <v>4113</v>
      </c>
      <c r="AH1271" s="1761" t="s">
        <v>3658</v>
      </c>
      <c r="AI1271" s="1761" t="s">
        <v>4547</v>
      </c>
      <c r="AJ1271" s="1761" t="s">
        <v>4547</v>
      </c>
      <c r="AK1271" s="1761">
        <v>9863</v>
      </c>
      <c r="AL1271" s="1761" t="s">
        <v>2620</v>
      </c>
      <c r="AM1271" s="1761">
        <v>662</v>
      </c>
      <c r="AN1271" s="1761"/>
      <c r="AO1271" s="1764"/>
      <c r="AP1271" s="1761" t="s">
        <v>5396</v>
      </c>
      <c r="AQ1271" s="1761" t="s">
        <v>5397</v>
      </c>
      <c r="AR1271" s="1761" t="s">
        <v>4588</v>
      </c>
      <c r="AS1271" s="1761" t="s">
        <v>405</v>
      </c>
      <c r="AT1271" s="1761" t="s">
        <v>328</v>
      </c>
      <c r="AU1271" s="1763"/>
      <c r="AV1271" s="1763"/>
    </row>
    <row r="1272" spans="1:48" ht="37.5">
      <c r="A1272" s="1785" t="str">
        <f t="shared" si="209"/>
        <v>פנסיה</v>
      </c>
      <c r="B1272" s="1786">
        <f t="shared" si="210"/>
        <v>9864</v>
      </c>
      <c r="C1272" s="1787">
        <v>28946</v>
      </c>
      <c r="D1272" s="1786" t="str">
        <f t="shared" si="211"/>
        <v>הראל פנסיה כללית - ילידי שנות ה-90</v>
      </c>
      <c r="E1272" s="1786" t="s">
        <v>3929</v>
      </c>
      <c r="F1272" s="1786" t="s">
        <v>2958</v>
      </c>
      <c r="G1272" s="1786" t="s">
        <v>2959</v>
      </c>
      <c r="H1272" s="1786" t="str">
        <f t="shared" si="212"/>
        <v>לא פעיל</v>
      </c>
      <c r="I1272" s="1788">
        <f t="shared" si="213"/>
        <v>37257</v>
      </c>
      <c r="J1272" s="1788">
        <f t="shared" si="214"/>
        <v>43830.8048263889</v>
      </c>
      <c r="K1272" s="1786">
        <v>0</v>
      </c>
      <c r="L1272" s="1786" t="s">
        <v>1594</v>
      </c>
      <c r="M1272" s="1786" t="s">
        <v>1653</v>
      </c>
      <c r="N1272" s="1786" t="s">
        <v>1653</v>
      </c>
      <c r="O1272" s="1786">
        <v>0</v>
      </c>
      <c r="P1272" s="1786"/>
      <c r="Q1272" s="1786">
        <v>0</v>
      </c>
      <c r="R1272" s="1788"/>
      <c r="S1272" s="1786">
        <f t="shared" si="215"/>
        <v>662</v>
      </c>
      <c r="T1272" s="1786">
        <f t="shared" si="216"/>
        <v>0</v>
      </c>
      <c r="U1272" s="1786" t="str">
        <f t="shared" si="217"/>
        <v>הראל פנסיה כללית</v>
      </c>
      <c r="V1272" s="1786" t="str">
        <f t="shared" si="218"/>
        <v>520033986</v>
      </c>
      <c r="W1272" s="1789" t="str">
        <f t="shared" si="219"/>
        <v>הראל פנסיה וגמל בע"מ</v>
      </c>
      <c r="AC1272" s="1759" t="s">
        <v>1586</v>
      </c>
      <c r="AD1272" s="1760">
        <v>43830.8048263889</v>
      </c>
      <c r="AE1272" s="1760">
        <v>37257</v>
      </c>
      <c r="AF1272" s="1759" t="s">
        <v>4113</v>
      </c>
      <c r="AG1272" s="1759" t="s">
        <v>4113</v>
      </c>
      <c r="AH1272" s="1759" t="s">
        <v>3658</v>
      </c>
      <c r="AI1272" s="1759" t="s">
        <v>4417</v>
      </c>
      <c r="AJ1272" s="1759" t="s">
        <v>4417</v>
      </c>
      <c r="AK1272" s="1759">
        <v>9864</v>
      </c>
      <c r="AL1272" s="1759" t="s">
        <v>2620</v>
      </c>
      <c r="AM1272" s="1759">
        <v>662</v>
      </c>
      <c r="AN1272" s="1759"/>
      <c r="AO1272" s="1764"/>
      <c r="AP1272" s="1759" t="s">
        <v>5396</v>
      </c>
      <c r="AQ1272" s="1759" t="s">
        <v>5397</v>
      </c>
      <c r="AR1272" s="1759" t="s">
        <v>4588</v>
      </c>
      <c r="AS1272" s="1759" t="s">
        <v>405</v>
      </c>
      <c r="AT1272" s="1759" t="s">
        <v>328</v>
      </c>
      <c r="AU1272" s="1763"/>
      <c r="AV1272" s="1763"/>
    </row>
    <row r="1273" spans="1:48" ht="37.5">
      <c r="A1273" s="1785" t="str">
        <f t="shared" si="209"/>
        <v>פנסיה</v>
      </c>
      <c r="B1273" s="1786">
        <f t="shared" si="210"/>
        <v>9865</v>
      </c>
      <c r="C1273" s="1787">
        <v>28946</v>
      </c>
      <c r="D1273" s="1786" t="str">
        <f t="shared" si="211"/>
        <v>הראל פנסיה כללית - ילידי 1995 עד 1999</v>
      </c>
      <c r="E1273" s="1786" t="s">
        <v>3929</v>
      </c>
      <c r="F1273" s="1786" t="s">
        <v>2958</v>
      </c>
      <c r="G1273" s="1786" t="s">
        <v>2959</v>
      </c>
      <c r="H1273" s="1786" t="str">
        <f t="shared" si="212"/>
        <v>לא פעיל</v>
      </c>
      <c r="I1273" s="1788">
        <f t="shared" si="213"/>
        <v>37257</v>
      </c>
      <c r="J1273" s="1788">
        <f t="shared" si="214"/>
        <v>42366.382106481498</v>
      </c>
      <c r="K1273" s="1786">
        <v>0</v>
      </c>
      <c r="L1273" s="1786" t="s">
        <v>1594</v>
      </c>
      <c r="M1273" s="1786" t="s">
        <v>1653</v>
      </c>
      <c r="N1273" s="1786" t="s">
        <v>1653</v>
      </c>
      <c r="O1273" s="1786">
        <v>0</v>
      </c>
      <c r="P1273" s="1786"/>
      <c r="Q1273" s="1786">
        <v>0</v>
      </c>
      <c r="R1273" s="1788"/>
      <c r="S1273" s="1786">
        <f t="shared" si="215"/>
        <v>662</v>
      </c>
      <c r="T1273" s="1786">
        <f t="shared" si="216"/>
        <v>0</v>
      </c>
      <c r="U1273" s="1786" t="str">
        <f t="shared" si="217"/>
        <v>הראל פנסיה כללית</v>
      </c>
      <c r="V1273" s="1786" t="str">
        <f t="shared" si="218"/>
        <v>520033986</v>
      </c>
      <c r="W1273" s="1789" t="str">
        <f t="shared" si="219"/>
        <v>הראל פנסיה וגמל בע"מ</v>
      </c>
      <c r="AC1273" s="1761" t="s">
        <v>1586</v>
      </c>
      <c r="AD1273" s="1762">
        <v>42366.382106481498</v>
      </c>
      <c r="AE1273" s="1762">
        <v>37257</v>
      </c>
      <c r="AF1273" s="1761" t="s">
        <v>4113</v>
      </c>
      <c r="AG1273" s="1761" t="s">
        <v>4113</v>
      </c>
      <c r="AH1273" s="1761" t="s">
        <v>3658</v>
      </c>
      <c r="AI1273" s="1761" t="s">
        <v>4548</v>
      </c>
      <c r="AJ1273" s="1761" t="s">
        <v>4548</v>
      </c>
      <c r="AK1273" s="1761">
        <v>9865</v>
      </c>
      <c r="AL1273" s="1761" t="s">
        <v>2620</v>
      </c>
      <c r="AM1273" s="1761">
        <v>662</v>
      </c>
      <c r="AN1273" s="1761"/>
      <c r="AO1273" s="1764"/>
      <c r="AP1273" s="1761" t="s">
        <v>5396</v>
      </c>
      <c r="AQ1273" s="1761" t="s">
        <v>5397</v>
      </c>
      <c r="AR1273" s="1761" t="s">
        <v>4588</v>
      </c>
      <c r="AS1273" s="1761" t="s">
        <v>405</v>
      </c>
      <c r="AT1273" s="1761" t="s">
        <v>328</v>
      </c>
      <c r="AU1273" s="1763"/>
      <c r="AV1273" s="1763"/>
    </row>
    <row r="1274" spans="1:48" ht="37.5">
      <c r="A1274" s="1785" t="str">
        <f t="shared" si="209"/>
        <v>פנסיה</v>
      </c>
      <c r="B1274" s="1786">
        <f t="shared" si="210"/>
        <v>2165</v>
      </c>
      <c r="C1274" s="1787">
        <v>28946</v>
      </c>
      <c r="D1274" s="1786" t="str">
        <f t="shared" si="211"/>
        <v>הראל פנסיה כללית - אפיק השקעה כללי (2)</v>
      </c>
      <c r="E1274" s="1786" t="s">
        <v>3929</v>
      </c>
      <c r="F1274" s="1786" t="s">
        <v>2958</v>
      </c>
      <c r="G1274" s="1786" t="s">
        <v>2959</v>
      </c>
      <c r="H1274" s="1786" t="str">
        <f t="shared" si="212"/>
        <v>לא פעיל</v>
      </c>
      <c r="I1274" s="1788">
        <f t="shared" si="213"/>
        <v>37257</v>
      </c>
      <c r="J1274" s="1788">
        <f t="shared" si="214"/>
        <v>42331.687349537002</v>
      </c>
      <c r="K1274" s="1786">
        <v>0</v>
      </c>
      <c r="L1274" s="1786" t="s">
        <v>1594</v>
      </c>
      <c r="M1274" s="1786" t="s">
        <v>1653</v>
      </c>
      <c r="N1274" s="1786" t="s">
        <v>1653</v>
      </c>
      <c r="O1274" s="1786">
        <v>0</v>
      </c>
      <c r="P1274" s="1786"/>
      <c r="Q1274" s="1786">
        <v>0</v>
      </c>
      <c r="R1274" s="1788"/>
      <c r="S1274" s="1786">
        <f t="shared" si="215"/>
        <v>662</v>
      </c>
      <c r="T1274" s="1786">
        <f t="shared" si="216"/>
        <v>0</v>
      </c>
      <c r="U1274" s="1786" t="str">
        <f t="shared" si="217"/>
        <v>הראל פנסיה כללית</v>
      </c>
      <c r="V1274" s="1786" t="str">
        <f t="shared" si="218"/>
        <v>520033986</v>
      </c>
      <c r="W1274" s="1789" t="str">
        <f t="shared" si="219"/>
        <v>הראל פנסיה וגמל בע"מ</v>
      </c>
      <c r="AC1274" s="1759" t="s">
        <v>1586</v>
      </c>
      <c r="AD1274" s="1760">
        <v>42331.687349537002</v>
      </c>
      <c r="AE1274" s="1760">
        <v>37257</v>
      </c>
      <c r="AF1274" s="1759" t="s">
        <v>1583</v>
      </c>
      <c r="AG1274" s="1759" t="s">
        <v>1583</v>
      </c>
      <c r="AH1274" s="1759" t="s">
        <v>1583</v>
      </c>
      <c r="AI1274" s="1759" t="s">
        <v>2621</v>
      </c>
      <c r="AJ1274" s="1759" t="s">
        <v>2621</v>
      </c>
      <c r="AK1274" s="1759">
        <v>2165</v>
      </c>
      <c r="AL1274" s="1759" t="s">
        <v>2620</v>
      </c>
      <c r="AM1274" s="1759">
        <v>662</v>
      </c>
      <c r="AN1274" s="1759"/>
      <c r="AO1274" s="1764"/>
      <c r="AP1274" s="1759" t="s">
        <v>5396</v>
      </c>
      <c r="AQ1274" s="1759" t="s">
        <v>5397</v>
      </c>
      <c r="AR1274" s="1759" t="s">
        <v>4588</v>
      </c>
      <c r="AS1274" s="1759" t="s">
        <v>405</v>
      </c>
      <c r="AT1274" s="1759" t="s">
        <v>328</v>
      </c>
      <c r="AU1274" s="1763"/>
      <c r="AV1274" s="1763"/>
    </row>
    <row r="1275" spans="1:48" ht="25">
      <c r="A1275" s="1785" t="str">
        <f t="shared" si="209"/>
        <v>פנסיה</v>
      </c>
      <c r="B1275" s="1786">
        <f t="shared" si="210"/>
        <v>2108</v>
      </c>
      <c r="C1275" s="1787">
        <v>28946</v>
      </c>
      <c r="D1275" s="1786" t="str">
        <f t="shared" si="211"/>
        <v>איילון מיטב כללית מסלול אג"ח עד 10% במניות</v>
      </c>
      <c r="E1275" s="1786" t="s">
        <v>3929</v>
      </c>
      <c r="F1275" s="1786" t="s">
        <v>2958</v>
      </c>
      <c r="G1275" s="1786" t="s">
        <v>2959</v>
      </c>
      <c r="H1275" s="1786" t="str">
        <f t="shared" si="212"/>
        <v>פעיל</v>
      </c>
      <c r="I1275" s="1788">
        <f t="shared" si="213"/>
        <v>37987</v>
      </c>
      <c r="J1275" s="1788" t="str">
        <f t="shared" si="214"/>
        <v/>
      </c>
      <c r="K1275" s="1786">
        <v>0</v>
      </c>
      <c r="L1275" s="1786" t="s">
        <v>1594</v>
      </c>
      <c r="M1275" s="1786" t="s">
        <v>1653</v>
      </c>
      <c r="N1275" s="1786" t="s">
        <v>1653</v>
      </c>
      <c r="O1275" s="1786">
        <v>0</v>
      </c>
      <c r="P1275" s="1786"/>
      <c r="Q1275" s="1786">
        <v>0</v>
      </c>
      <c r="R1275" s="1788"/>
      <c r="S1275" s="1786">
        <f t="shared" si="215"/>
        <v>660</v>
      </c>
      <c r="T1275" s="1786">
        <f t="shared" si="216"/>
        <v>0</v>
      </c>
      <c r="U1275" s="1786" t="str">
        <f t="shared" si="217"/>
        <v>איילון מיטב פנסיה כללית</v>
      </c>
      <c r="V1275" s="1786" t="str">
        <f t="shared" si="218"/>
        <v>520043795</v>
      </c>
      <c r="W1275" s="1789" t="str">
        <f t="shared" si="219"/>
        <v>מיטב דש גמל ופנסיה בע"מ</v>
      </c>
      <c r="AC1275" s="1761" t="s">
        <v>346</v>
      </c>
      <c r="AD1275" s="1761"/>
      <c r="AE1275" s="1762">
        <v>37987</v>
      </c>
      <c r="AF1275" s="1761" t="s">
        <v>1653</v>
      </c>
      <c r="AG1275" s="1761" t="s">
        <v>1653</v>
      </c>
      <c r="AH1275" s="1761" t="s">
        <v>1594</v>
      </c>
      <c r="AI1275" s="1761" t="s">
        <v>5584</v>
      </c>
      <c r="AJ1275" s="1761" t="s">
        <v>5584</v>
      </c>
      <c r="AK1275" s="1761">
        <v>2108</v>
      </c>
      <c r="AL1275" s="1761" t="s">
        <v>5585</v>
      </c>
      <c r="AM1275" s="1761">
        <v>660</v>
      </c>
      <c r="AN1275" s="1761"/>
      <c r="AO1275" s="1764"/>
      <c r="AP1275" s="1761" t="s">
        <v>5373</v>
      </c>
      <c r="AQ1275" s="1761" t="s">
        <v>5374</v>
      </c>
      <c r="AR1275" s="1761" t="s">
        <v>2899</v>
      </c>
      <c r="AS1275" s="1761" t="s">
        <v>349</v>
      </c>
      <c r="AT1275" s="1761" t="s">
        <v>328</v>
      </c>
      <c r="AU1275" s="1763"/>
      <c r="AV1275" s="1763"/>
    </row>
    <row r="1276" spans="1:48" ht="25">
      <c r="A1276" s="1785" t="str">
        <f t="shared" si="209"/>
        <v>פנסיה</v>
      </c>
      <c r="B1276" s="1786">
        <f t="shared" si="210"/>
        <v>9973</v>
      </c>
      <c r="C1276" s="1787">
        <v>28946</v>
      </c>
      <c r="D1276" s="1786" t="str">
        <f t="shared" si="211"/>
        <v>איילון מיטב כללית לבני 60 ומעלה</v>
      </c>
      <c r="E1276" s="1786" t="s">
        <v>3929</v>
      </c>
      <c r="F1276" s="1786" t="s">
        <v>2958</v>
      </c>
      <c r="G1276" s="1786" t="s">
        <v>2959</v>
      </c>
      <c r="H1276" s="1786" t="str">
        <f t="shared" si="212"/>
        <v>פעיל</v>
      </c>
      <c r="I1276" s="1788">
        <f t="shared" si="213"/>
        <v>37987</v>
      </c>
      <c r="J1276" s="1788" t="str">
        <f t="shared" si="214"/>
        <v/>
      </c>
      <c r="K1276" s="1786">
        <v>0</v>
      </c>
      <c r="L1276" s="1786" t="s">
        <v>1594</v>
      </c>
      <c r="M1276" s="1786" t="s">
        <v>1653</v>
      </c>
      <c r="N1276" s="1786" t="s">
        <v>1653</v>
      </c>
      <c r="O1276" s="1786">
        <v>0</v>
      </c>
      <c r="P1276" s="1786"/>
      <c r="Q1276" s="1786">
        <v>0</v>
      </c>
      <c r="R1276" s="1788"/>
      <c r="S1276" s="1786">
        <f t="shared" si="215"/>
        <v>660</v>
      </c>
      <c r="T1276" s="1786">
        <f t="shared" si="216"/>
        <v>0</v>
      </c>
      <c r="U1276" s="1786" t="str">
        <f t="shared" si="217"/>
        <v>איילון מיטב פנסיה כללית</v>
      </c>
      <c r="V1276" s="1786" t="str">
        <f t="shared" si="218"/>
        <v>520043795</v>
      </c>
      <c r="W1276" s="1789" t="str">
        <f t="shared" si="219"/>
        <v>מיטב דש גמל ופנסיה בע"מ</v>
      </c>
      <c r="AC1276" s="1759" t="s">
        <v>346</v>
      </c>
      <c r="AD1276" s="1759"/>
      <c r="AE1276" s="1760">
        <v>37987</v>
      </c>
      <c r="AF1276" s="1759" t="s">
        <v>3963</v>
      </c>
      <c r="AG1276" s="1759" t="s">
        <v>3931</v>
      </c>
      <c r="AH1276" s="1759" t="s">
        <v>3658</v>
      </c>
      <c r="AI1276" s="1759" t="s">
        <v>5586</v>
      </c>
      <c r="AJ1276" s="1759" t="s">
        <v>5587</v>
      </c>
      <c r="AK1276" s="1759">
        <v>9973</v>
      </c>
      <c r="AL1276" s="1759" t="s">
        <v>5585</v>
      </c>
      <c r="AM1276" s="1759">
        <v>660</v>
      </c>
      <c r="AN1276" s="1759"/>
      <c r="AO1276" s="1764"/>
      <c r="AP1276" s="1759" t="s">
        <v>5373</v>
      </c>
      <c r="AQ1276" s="1759" t="s">
        <v>5374</v>
      </c>
      <c r="AR1276" s="1759" t="s">
        <v>2899</v>
      </c>
      <c r="AS1276" s="1759" t="s">
        <v>349</v>
      </c>
      <c r="AT1276" s="1759" t="s">
        <v>328</v>
      </c>
      <c r="AU1276" s="1763"/>
      <c r="AV1276" s="1763"/>
    </row>
    <row r="1277" spans="1:48" ht="25">
      <c r="A1277" s="1785" t="str">
        <f t="shared" si="209"/>
        <v>פנסיה</v>
      </c>
      <c r="B1277" s="1786">
        <f t="shared" si="210"/>
        <v>2109</v>
      </c>
      <c r="C1277" s="1787">
        <v>28946</v>
      </c>
      <c r="D1277" s="1786" t="str">
        <f t="shared" si="211"/>
        <v>איילון מיטב כללית מסלול מניות</v>
      </c>
      <c r="E1277" s="1786" t="s">
        <v>3929</v>
      </c>
      <c r="F1277" s="1786" t="s">
        <v>2958</v>
      </c>
      <c r="G1277" s="1786" t="s">
        <v>2959</v>
      </c>
      <c r="H1277" s="1786" t="str">
        <f t="shared" si="212"/>
        <v>פעיל</v>
      </c>
      <c r="I1277" s="1788">
        <f t="shared" si="213"/>
        <v>37987</v>
      </c>
      <c r="J1277" s="1788" t="str">
        <f t="shared" si="214"/>
        <v/>
      </c>
      <c r="K1277" s="1786">
        <v>0</v>
      </c>
      <c r="L1277" s="1786" t="s">
        <v>1594</v>
      </c>
      <c r="M1277" s="1786" t="s">
        <v>1653</v>
      </c>
      <c r="N1277" s="1786" t="s">
        <v>1653</v>
      </c>
      <c r="O1277" s="1786">
        <v>0</v>
      </c>
      <c r="P1277" s="1786"/>
      <c r="Q1277" s="1786">
        <v>0</v>
      </c>
      <c r="R1277" s="1788"/>
      <c r="S1277" s="1786">
        <f t="shared" si="215"/>
        <v>660</v>
      </c>
      <c r="T1277" s="1786">
        <f t="shared" si="216"/>
        <v>0</v>
      </c>
      <c r="U1277" s="1786" t="str">
        <f t="shared" si="217"/>
        <v>איילון מיטב פנסיה כללית</v>
      </c>
      <c r="V1277" s="1786" t="str">
        <f t="shared" si="218"/>
        <v>520043795</v>
      </c>
      <c r="W1277" s="1789" t="str">
        <f t="shared" si="219"/>
        <v>מיטב דש גמל ופנסיה בע"מ</v>
      </c>
      <c r="AC1277" s="1761" t="s">
        <v>346</v>
      </c>
      <c r="AD1277" s="1761"/>
      <c r="AE1277" s="1762">
        <v>37987</v>
      </c>
      <c r="AF1277" s="1761" t="s">
        <v>1595</v>
      </c>
      <c r="AG1277" s="1761" t="s">
        <v>75</v>
      </c>
      <c r="AH1277" s="1761" t="s">
        <v>1594</v>
      </c>
      <c r="AI1277" s="1761" t="s">
        <v>5588</v>
      </c>
      <c r="AJ1277" s="1761" t="s">
        <v>5589</v>
      </c>
      <c r="AK1277" s="1761">
        <v>2109</v>
      </c>
      <c r="AL1277" s="1761" t="s">
        <v>5585</v>
      </c>
      <c r="AM1277" s="1761">
        <v>660</v>
      </c>
      <c r="AN1277" s="1761"/>
      <c r="AO1277" s="1764"/>
      <c r="AP1277" s="1761" t="s">
        <v>5373</v>
      </c>
      <c r="AQ1277" s="1761" t="s">
        <v>5374</v>
      </c>
      <c r="AR1277" s="1761" t="s">
        <v>2899</v>
      </c>
      <c r="AS1277" s="1761" t="s">
        <v>349</v>
      </c>
      <c r="AT1277" s="1761" t="s">
        <v>328</v>
      </c>
      <c r="AU1277" s="1763"/>
      <c r="AV1277" s="1763"/>
    </row>
    <row r="1278" spans="1:48" ht="25">
      <c r="A1278" s="1785" t="str">
        <f t="shared" si="209"/>
        <v>פנסיה</v>
      </c>
      <c r="B1278" s="1786">
        <f t="shared" si="210"/>
        <v>2109</v>
      </c>
      <c r="C1278" s="1787">
        <v>28946</v>
      </c>
      <c r="D1278" s="1786" t="str">
        <f t="shared" si="211"/>
        <v>איילון מיטב כללית מסלול מניות</v>
      </c>
      <c r="E1278" s="1786" t="s">
        <v>3929</v>
      </c>
      <c r="F1278" s="1786" t="s">
        <v>2958</v>
      </c>
      <c r="G1278" s="1786" t="s">
        <v>2959</v>
      </c>
      <c r="H1278" s="1786" t="str">
        <f t="shared" si="212"/>
        <v>פעיל</v>
      </c>
      <c r="I1278" s="1788">
        <f t="shared" si="213"/>
        <v>37987</v>
      </c>
      <c r="J1278" s="1788" t="str">
        <f t="shared" si="214"/>
        <v/>
      </c>
      <c r="K1278" s="1786">
        <v>0</v>
      </c>
      <c r="L1278" s="1786" t="s">
        <v>1594</v>
      </c>
      <c r="M1278" s="1786" t="s">
        <v>1653</v>
      </c>
      <c r="N1278" s="1786" t="s">
        <v>1653</v>
      </c>
      <c r="O1278" s="1786">
        <v>0</v>
      </c>
      <c r="P1278" s="1786"/>
      <c r="Q1278" s="1786">
        <v>0</v>
      </c>
      <c r="R1278" s="1788"/>
      <c r="S1278" s="1786">
        <f t="shared" si="215"/>
        <v>660</v>
      </c>
      <c r="T1278" s="1786">
        <f t="shared" si="216"/>
        <v>0</v>
      </c>
      <c r="U1278" s="1786" t="str">
        <f t="shared" si="217"/>
        <v>איילון מיטב פנסיה כללית</v>
      </c>
      <c r="V1278" s="1786" t="str">
        <f t="shared" si="218"/>
        <v>520043795</v>
      </c>
      <c r="W1278" s="1789" t="str">
        <f t="shared" si="219"/>
        <v>מיטב דש גמל ופנסיה בע"מ</v>
      </c>
      <c r="AC1278" s="1759" t="s">
        <v>346</v>
      </c>
      <c r="AD1278" s="1759"/>
      <c r="AE1278" s="1760">
        <v>37987</v>
      </c>
      <c r="AF1278" s="1759" t="s">
        <v>1595</v>
      </c>
      <c r="AG1278" s="1759" t="s">
        <v>75</v>
      </c>
      <c r="AH1278" s="1759" t="s">
        <v>1594</v>
      </c>
      <c r="AI1278" s="1759" t="s">
        <v>5588</v>
      </c>
      <c r="AJ1278" s="1759" t="s">
        <v>5589</v>
      </c>
      <c r="AK1278" s="1759">
        <v>2109</v>
      </c>
      <c r="AL1278" s="1759" t="s">
        <v>5585</v>
      </c>
      <c r="AM1278" s="1759">
        <v>660</v>
      </c>
      <c r="AN1278" s="1759"/>
      <c r="AO1278" s="1764"/>
      <c r="AP1278" s="1759" t="s">
        <v>5373</v>
      </c>
      <c r="AQ1278" s="1759" t="s">
        <v>5374</v>
      </c>
      <c r="AR1278" s="1759" t="s">
        <v>2899</v>
      </c>
      <c r="AS1278" s="1759" t="s">
        <v>349</v>
      </c>
      <c r="AT1278" s="1759" t="s">
        <v>328</v>
      </c>
      <c r="AU1278" s="1763"/>
      <c r="AV1278" s="1763"/>
    </row>
    <row r="1279" spans="1:48" ht="25">
      <c r="A1279" s="1785" t="str">
        <f t="shared" si="209"/>
        <v>פנסיה</v>
      </c>
      <c r="B1279" s="1786">
        <f t="shared" si="210"/>
        <v>2158</v>
      </c>
      <c r="C1279" s="1787">
        <v>28946</v>
      </c>
      <c r="D1279" s="1786" t="str">
        <f t="shared" si="211"/>
        <v xml:space="preserve">איילון מיטב כללית מסלול לבני 50 ומטה </v>
      </c>
      <c r="E1279" s="1786" t="s">
        <v>3929</v>
      </c>
      <c r="F1279" s="1786" t="s">
        <v>2958</v>
      </c>
      <c r="G1279" s="1786" t="s">
        <v>2959</v>
      </c>
      <c r="H1279" s="1786" t="str">
        <f t="shared" si="212"/>
        <v>פעיל</v>
      </c>
      <c r="I1279" s="1788">
        <f t="shared" si="213"/>
        <v>37987</v>
      </c>
      <c r="J1279" s="1788" t="str">
        <f t="shared" si="214"/>
        <v/>
      </c>
      <c r="K1279" s="1786">
        <v>0</v>
      </c>
      <c r="L1279" s="1786" t="s">
        <v>1594</v>
      </c>
      <c r="M1279" s="1786" t="s">
        <v>1653</v>
      </c>
      <c r="N1279" s="1786" t="s">
        <v>1653</v>
      </c>
      <c r="O1279" s="1786">
        <v>0</v>
      </c>
      <c r="P1279" s="1786"/>
      <c r="Q1279" s="1786">
        <v>0</v>
      </c>
      <c r="R1279" s="1788"/>
      <c r="S1279" s="1786">
        <f t="shared" si="215"/>
        <v>660</v>
      </c>
      <c r="T1279" s="1786">
        <f t="shared" si="216"/>
        <v>0</v>
      </c>
      <c r="U1279" s="1786" t="str">
        <f t="shared" si="217"/>
        <v>איילון מיטב פנסיה כללית</v>
      </c>
      <c r="V1279" s="1786" t="str">
        <f t="shared" si="218"/>
        <v>520043795</v>
      </c>
      <c r="W1279" s="1789" t="str">
        <f t="shared" si="219"/>
        <v>מיטב דש גמל ופנסיה בע"מ</v>
      </c>
      <c r="AC1279" s="1761" t="s">
        <v>346</v>
      </c>
      <c r="AD1279" s="1761"/>
      <c r="AE1279" s="1762">
        <v>37987</v>
      </c>
      <c r="AF1279" s="1761" t="s">
        <v>4151</v>
      </c>
      <c r="AG1279" s="1761" t="s">
        <v>3931</v>
      </c>
      <c r="AH1279" s="1761" t="s">
        <v>3658</v>
      </c>
      <c r="AI1279" s="1761" t="s">
        <v>5590</v>
      </c>
      <c r="AJ1279" s="1761" t="s">
        <v>5591</v>
      </c>
      <c r="AK1279" s="1761">
        <v>2158</v>
      </c>
      <c r="AL1279" s="1761" t="s">
        <v>5585</v>
      </c>
      <c r="AM1279" s="1761">
        <v>660</v>
      </c>
      <c r="AN1279" s="1761"/>
      <c r="AO1279" s="1764"/>
      <c r="AP1279" s="1761" t="s">
        <v>5373</v>
      </c>
      <c r="AQ1279" s="1761" t="s">
        <v>5374</v>
      </c>
      <c r="AR1279" s="1761" t="s">
        <v>2899</v>
      </c>
      <c r="AS1279" s="1761" t="s">
        <v>349</v>
      </c>
      <c r="AT1279" s="1761" t="s">
        <v>328</v>
      </c>
      <c r="AU1279" s="1763"/>
      <c r="AV1279" s="1763"/>
    </row>
    <row r="1280" spans="1:48" ht="25">
      <c r="A1280" s="1785" t="str">
        <f t="shared" si="209"/>
        <v>פנסיה</v>
      </c>
      <c r="B1280" s="1786">
        <f t="shared" si="210"/>
        <v>2158</v>
      </c>
      <c r="C1280" s="1787">
        <v>28946</v>
      </c>
      <c r="D1280" s="1786" t="str">
        <f t="shared" si="211"/>
        <v xml:space="preserve">איילון מיטב כללית מסלול לבני 50 ומטה </v>
      </c>
      <c r="E1280" s="1786" t="s">
        <v>3929</v>
      </c>
      <c r="F1280" s="1786" t="s">
        <v>2958</v>
      </c>
      <c r="G1280" s="1786" t="s">
        <v>2959</v>
      </c>
      <c r="H1280" s="1786" t="str">
        <f t="shared" si="212"/>
        <v>פעיל</v>
      </c>
      <c r="I1280" s="1788">
        <f t="shared" si="213"/>
        <v>37987</v>
      </c>
      <c r="J1280" s="1788" t="str">
        <f t="shared" si="214"/>
        <v/>
      </c>
      <c r="K1280" s="1786">
        <v>0</v>
      </c>
      <c r="L1280" s="1786" t="s">
        <v>1594</v>
      </c>
      <c r="M1280" s="1786" t="s">
        <v>1653</v>
      </c>
      <c r="N1280" s="1786" t="s">
        <v>1653</v>
      </c>
      <c r="O1280" s="1786">
        <v>0</v>
      </c>
      <c r="P1280" s="1786"/>
      <c r="Q1280" s="1786">
        <v>0</v>
      </c>
      <c r="R1280" s="1788"/>
      <c r="S1280" s="1786">
        <f t="shared" si="215"/>
        <v>660</v>
      </c>
      <c r="T1280" s="1786">
        <f t="shared" si="216"/>
        <v>0</v>
      </c>
      <c r="U1280" s="1786" t="str">
        <f t="shared" si="217"/>
        <v>איילון מיטב פנסיה כללית</v>
      </c>
      <c r="V1280" s="1786" t="str">
        <f t="shared" si="218"/>
        <v>520043795</v>
      </c>
      <c r="W1280" s="1789" t="str">
        <f t="shared" si="219"/>
        <v>מיטב דש גמל ופנסיה בע"מ</v>
      </c>
      <c r="AC1280" s="1759" t="s">
        <v>346</v>
      </c>
      <c r="AD1280" s="1759"/>
      <c r="AE1280" s="1760">
        <v>37987</v>
      </c>
      <c r="AF1280" s="1759" t="s">
        <v>4151</v>
      </c>
      <c r="AG1280" s="1759" t="s">
        <v>3931</v>
      </c>
      <c r="AH1280" s="1759" t="s">
        <v>3658</v>
      </c>
      <c r="AI1280" s="1759" t="s">
        <v>5590</v>
      </c>
      <c r="AJ1280" s="1759" t="s">
        <v>5591</v>
      </c>
      <c r="AK1280" s="1759">
        <v>2158</v>
      </c>
      <c r="AL1280" s="1759" t="s">
        <v>5585</v>
      </c>
      <c r="AM1280" s="1759">
        <v>660</v>
      </c>
      <c r="AN1280" s="1759"/>
      <c r="AO1280" s="1764"/>
      <c r="AP1280" s="1759" t="s">
        <v>5373</v>
      </c>
      <c r="AQ1280" s="1759" t="s">
        <v>5374</v>
      </c>
      <c r="AR1280" s="1759" t="s">
        <v>2899</v>
      </c>
      <c r="AS1280" s="1759" t="s">
        <v>349</v>
      </c>
      <c r="AT1280" s="1759" t="s">
        <v>328</v>
      </c>
      <c r="AU1280" s="1763"/>
      <c r="AV1280" s="1763"/>
    </row>
    <row r="1281" spans="1:48" ht="25">
      <c r="A1281" s="1785" t="str">
        <f t="shared" si="209"/>
        <v>פנסיה</v>
      </c>
      <c r="B1281" s="1786">
        <f t="shared" si="210"/>
        <v>2159</v>
      </c>
      <c r="C1281" s="1787">
        <v>28946</v>
      </c>
      <c r="D1281" s="1786" t="str">
        <f t="shared" si="211"/>
        <v xml:space="preserve"> איילון מיטב כללית- מסלול הלכה</v>
      </c>
      <c r="E1281" s="1786" t="s">
        <v>3929</v>
      </c>
      <c r="F1281" s="1786" t="s">
        <v>2958</v>
      </c>
      <c r="G1281" s="1786" t="s">
        <v>2959</v>
      </c>
      <c r="H1281" s="1786" t="str">
        <f t="shared" si="212"/>
        <v>פעיל</v>
      </c>
      <c r="I1281" s="1788">
        <f t="shared" si="213"/>
        <v>37987</v>
      </c>
      <c r="J1281" s="1788" t="str">
        <f t="shared" si="214"/>
        <v/>
      </c>
      <c r="K1281" s="1786">
        <v>0</v>
      </c>
      <c r="L1281" s="1786" t="s">
        <v>1594</v>
      </c>
      <c r="M1281" s="1786" t="s">
        <v>1653</v>
      </c>
      <c r="N1281" s="1786" t="s">
        <v>1653</v>
      </c>
      <c r="O1281" s="1786">
        <v>0</v>
      </c>
      <c r="P1281" s="1786"/>
      <c r="Q1281" s="1786">
        <v>0</v>
      </c>
      <c r="R1281" s="1788"/>
      <c r="S1281" s="1786">
        <f t="shared" si="215"/>
        <v>660</v>
      </c>
      <c r="T1281" s="1786">
        <f t="shared" si="216"/>
        <v>0</v>
      </c>
      <c r="U1281" s="1786" t="str">
        <f t="shared" si="217"/>
        <v>איילון מיטב פנסיה כללית</v>
      </c>
      <c r="V1281" s="1786" t="str">
        <f t="shared" si="218"/>
        <v>520043795</v>
      </c>
      <c r="W1281" s="1789" t="str">
        <f t="shared" si="219"/>
        <v>מיטב דש גמל ופנסיה בע"מ</v>
      </c>
      <c r="AC1281" s="1761" t="s">
        <v>346</v>
      </c>
      <c r="AD1281" s="1761"/>
      <c r="AE1281" s="1762">
        <v>37987</v>
      </c>
      <c r="AF1281" s="1761" t="s">
        <v>4603</v>
      </c>
      <c r="AG1281" s="1761" t="s">
        <v>2029</v>
      </c>
      <c r="AH1281" s="1761" t="s">
        <v>2028</v>
      </c>
      <c r="AI1281" s="1761" t="s">
        <v>5592</v>
      </c>
      <c r="AJ1281" s="1761" t="s">
        <v>5593</v>
      </c>
      <c r="AK1281" s="1761">
        <v>2159</v>
      </c>
      <c r="AL1281" s="1761" t="s">
        <v>5585</v>
      </c>
      <c r="AM1281" s="1761">
        <v>660</v>
      </c>
      <c r="AN1281" s="1761"/>
      <c r="AO1281" s="1764"/>
      <c r="AP1281" s="1761" t="s">
        <v>5373</v>
      </c>
      <c r="AQ1281" s="1761" t="s">
        <v>5374</v>
      </c>
      <c r="AR1281" s="1761" t="s">
        <v>2899</v>
      </c>
      <c r="AS1281" s="1761" t="s">
        <v>349</v>
      </c>
      <c r="AT1281" s="1761" t="s">
        <v>328</v>
      </c>
      <c r="AU1281" s="1763"/>
      <c r="AV1281" s="1763"/>
    </row>
    <row r="1282" spans="1:48" ht="25">
      <c r="A1282" s="1785" t="str">
        <f t="shared" si="209"/>
        <v>פנסיה</v>
      </c>
      <c r="B1282" s="1786">
        <f t="shared" si="210"/>
        <v>2159</v>
      </c>
      <c r="C1282" s="1787">
        <v>28946</v>
      </c>
      <c r="D1282" s="1786" t="str">
        <f t="shared" si="211"/>
        <v xml:space="preserve"> איילון מיטב כללית- מסלול הלכה</v>
      </c>
      <c r="E1282" s="1786" t="s">
        <v>3929</v>
      </c>
      <c r="F1282" s="1786" t="s">
        <v>2958</v>
      </c>
      <c r="G1282" s="1786" t="s">
        <v>2959</v>
      </c>
      <c r="H1282" s="1786" t="str">
        <f t="shared" si="212"/>
        <v>פעיל</v>
      </c>
      <c r="I1282" s="1788">
        <f t="shared" si="213"/>
        <v>37987</v>
      </c>
      <c r="J1282" s="1788" t="str">
        <f t="shared" si="214"/>
        <v/>
      </c>
      <c r="K1282" s="1786">
        <v>0</v>
      </c>
      <c r="L1282" s="1786" t="s">
        <v>1594</v>
      </c>
      <c r="M1282" s="1786" t="s">
        <v>1653</v>
      </c>
      <c r="N1282" s="1786" t="s">
        <v>1653</v>
      </c>
      <c r="O1282" s="1786">
        <v>0</v>
      </c>
      <c r="P1282" s="1786"/>
      <c r="Q1282" s="1786">
        <v>0</v>
      </c>
      <c r="R1282" s="1788"/>
      <c r="S1282" s="1786">
        <f t="shared" si="215"/>
        <v>660</v>
      </c>
      <c r="T1282" s="1786">
        <f t="shared" si="216"/>
        <v>0</v>
      </c>
      <c r="U1282" s="1786" t="str">
        <f t="shared" si="217"/>
        <v>איילון מיטב פנסיה כללית</v>
      </c>
      <c r="V1282" s="1786" t="str">
        <f t="shared" si="218"/>
        <v>520043795</v>
      </c>
      <c r="W1282" s="1789" t="str">
        <f t="shared" si="219"/>
        <v>מיטב דש גמל ופנסיה בע"מ</v>
      </c>
      <c r="AC1282" s="1759" t="s">
        <v>346</v>
      </c>
      <c r="AD1282" s="1759"/>
      <c r="AE1282" s="1760">
        <v>37987</v>
      </c>
      <c r="AF1282" s="1759" t="s">
        <v>4603</v>
      </c>
      <c r="AG1282" s="1759" t="s">
        <v>2029</v>
      </c>
      <c r="AH1282" s="1759" t="s">
        <v>2028</v>
      </c>
      <c r="AI1282" s="1759" t="s">
        <v>5592</v>
      </c>
      <c r="AJ1282" s="1759" t="s">
        <v>5593</v>
      </c>
      <c r="AK1282" s="1759">
        <v>2159</v>
      </c>
      <c r="AL1282" s="1759" t="s">
        <v>5585</v>
      </c>
      <c r="AM1282" s="1759">
        <v>660</v>
      </c>
      <c r="AN1282" s="1759"/>
      <c r="AO1282" s="1764"/>
      <c r="AP1282" s="1759" t="s">
        <v>5373</v>
      </c>
      <c r="AQ1282" s="1759" t="s">
        <v>5374</v>
      </c>
      <c r="AR1282" s="1759" t="s">
        <v>2899</v>
      </c>
      <c r="AS1282" s="1759" t="s">
        <v>349</v>
      </c>
      <c r="AT1282" s="1759" t="s">
        <v>328</v>
      </c>
      <c r="AU1282" s="1763"/>
      <c r="AV1282" s="1763"/>
    </row>
    <row r="1283" spans="1:48" ht="25">
      <c r="A1283" s="1785" t="str">
        <f t="shared" si="209"/>
        <v>פנסיה</v>
      </c>
      <c r="B1283" s="1786">
        <f t="shared" si="210"/>
        <v>2160</v>
      </c>
      <c r="C1283" s="1787">
        <v>28946</v>
      </c>
      <c r="D1283" s="1786" t="str">
        <f t="shared" si="211"/>
        <v>איילון מיטב כללית מסלול בסיסי למקבלי קצבה</v>
      </c>
      <c r="E1283" s="1786" t="s">
        <v>3929</v>
      </c>
      <c r="F1283" s="1786" t="s">
        <v>2958</v>
      </c>
      <c r="G1283" s="1786" t="s">
        <v>2959</v>
      </c>
      <c r="H1283" s="1786" t="str">
        <f t="shared" si="212"/>
        <v>פעיל</v>
      </c>
      <c r="I1283" s="1788">
        <f t="shared" si="213"/>
        <v>37987</v>
      </c>
      <c r="J1283" s="1788" t="str">
        <f t="shared" si="214"/>
        <v/>
      </c>
      <c r="K1283" s="1786">
        <v>0</v>
      </c>
      <c r="L1283" s="1786" t="s">
        <v>1594</v>
      </c>
      <c r="M1283" s="1786" t="s">
        <v>1653</v>
      </c>
      <c r="N1283" s="1786" t="s">
        <v>1653</v>
      </c>
      <c r="O1283" s="1786">
        <v>0</v>
      </c>
      <c r="P1283" s="1786"/>
      <c r="Q1283" s="1786">
        <v>0</v>
      </c>
      <c r="R1283" s="1788"/>
      <c r="S1283" s="1786">
        <f t="shared" si="215"/>
        <v>660</v>
      </c>
      <c r="T1283" s="1786">
        <f t="shared" si="216"/>
        <v>0</v>
      </c>
      <c r="U1283" s="1786" t="str">
        <f t="shared" si="217"/>
        <v>איילון מיטב פנסיה כללית</v>
      </c>
      <c r="V1283" s="1786" t="str">
        <f t="shared" si="218"/>
        <v>520043795</v>
      </c>
      <c r="W1283" s="1789" t="str">
        <f t="shared" si="219"/>
        <v>מיטב דש גמל ופנסיה בע"מ</v>
      </c>
      <c r="AC1283" s="1761" t="s">
        <v>346</v>
      </c>
      <c r="AD1283" s="1761"/>
      <c r="AE1283" s="1762">
        <v>37987</v>
      </c>
      <c r="AF1283" s="1761" t="s">
        <v>4160</v>
      </c>
      <c r="AG1283" s="1761" t="s">
        <v>2614</v>
      </c>
      <c r="AH1283" s="1761" t="s">
        <v>3658</v>
      </c>
      <c r="AI1283" s="1761" t="s">
        <v>5594</v>
      </c>
      <c r="AJ1283" s="1761" t="s">
        <v>5594</v>
      </c>
      <c r="AK1283" s="1761">
        <v>2160</v>
      </c>
      <c r="AL1283" s="1761" t="s">
        <v>5585</v>
      </c>
      <c r="AM1283" s="1761">
        <v>660</v>
      </c>
      <c r="AN1283" s="1761"/>
      <c r="AO1283" s="1764"/>
      <c r="AP1283" s="1761" t="s">
        <v>5373</v>
      </c>
      <c r="AQ1283" s="1761" t="s">
        <v>5374</v>
      </c>
      <c r="AR1283" s="1761" t="s">
        <v>2899</v>
      </c>
      <c r="AS1283" s="1761" t="s">
        <v>349</v>
      </c>
      <c r="AT1283" s="1761" t="s">
        <v>328</v>
      </c>
      <c r="AU1283" s="1763"/>
      <c r="AV1283" s="1763"/>
    </row>
    <row r="1284" spans="1:48" ht="25">
      <c r="A1284" s="1785" t="str">
        <f t="shared" si="209"/>
        <v>פנסיה</v>
      </c>
      <c r="B1284" s="1786">
        <f t="shared" si="210"/>
        <v>2160</v>
      </c>
      <c r="C1284" s="1787">
        <v>28946</v>
      </c>
      <c r="D1284" s="1786" t="str">
        <f t="shared" si="211"/>
        <v>איילון מיטב כללית מסלול בסיסי למקבלי קצבה</v>
      </c>
      <c r="E1284" s="1786" t="s">
        <v>3929</v>
      </c>
      <c r="F1284" s="1786" t="s">
        <v>2958</v>
      </c>
      <c r="G1284" s="1786" t="s">
        <v>2959</v>
      </c>
      <c r="H1284" s="1786" t="str">
        <f t="shared" si="212"/>
        <v>פעיל</v>
      </c>
      <c r="I1284" s="1788">
        <f t="shared" si="213"/>
        <v>37987</v>
      </c>
      <c r="J1284" s="1788" t="str">
        <f t="shared" si="214"/>
        <v/>
      </c>
      <c r="K1284" s="1786">
        <v>0</v>
      </c>
      <c r="L1284" s="1786" t="s">
        <v>1594</v>
      </c>
      <c r="M1284" s="1786" t="s">
        <v>1653</v>
      </c>
      <c r="N1284" s="1786" t="s">
        <v>1653</v>
      </c>
      <c r="O1284" s="1786">
        <v>0</v>
      </c>
      <c r="P1284" s="1786"/>
      <c r="Q1284" s="1786">
        <v>0</v>
      </c>
      <c r="R1284" s="1788"/>
      <c r="S1284" s="1786">
        <f t="shared" si="215"/>
        <v>660</v>
      </c>
      <c r="T1284" s="1786">
        <f t="shared" si="216"/>
        <v>0</v>
      </c>
      <c r="U1284" s="1786" t="str">
        <f t="shared" si="217"/>
        <v>איילון מיטב פנסיה כללית</v>
      </c>
      <c r="V1284" s="1786" t="str">
        <f t="shared" si="218"/>
        <v>520043795</v>
      </c>
      <c r="W1284" s="1789" t="str">
        <f t="shared" si="219"/>
        <v>מיטב דש גמל ופנסיה בע"מ</v>
      </c>
      <c r="AC1284" s="1759" t="s">
        <v>346</v>
      </c>
      <c r="AD1284" s="1759"/>
      <c r="AE1284" s="1760">
        <v>37987</v>
      </c>
      <c r="AF1284" s="1759" t="s">
        <v>4160</v>
      </c>
      <c r="AG1284" s="1759" t="s">
        <v>2614</v>
      </c>
      <c r="AH1284" s="1759" t="s">
        <v>3658</v>
      </c>
      <c r="AI1284" s="1759" t="s">
        <v>5594</v>
      </c>
      <c r="AJ1284" s="1759" t="s">
        <v>5594</v>
      </c>
      <c r="AK1284" s="1759">
        <v>2160</v>
      </c>
      <c r="AL1284" s="1759" t="s">
        <v>5585</v>
      </c>
      <c r="AM1284" s="1759">
        <v>660</v>
      </c>
      <c r="AN1284" s="1759"/>
      <c r="AO1284" s="1764"/>
      <c r="AP1284" s="1759" t="s">
        <v>5373</v>
      </c>
      <c r="AQ1284" s="1759" t="s">
        <v>5374</v>
      </c>
      <c r="AR1284" s="1759" t="s">
        <v>2899</v>
      </c>
      <c r="AS1284" s="1759" t="s">
        <v>349</v>
      </c>
      <c r="AT1284" s="1759" t="s">
        <v>328</v>
      </c>
      <c r="AU1284" s="1763"/>
      <c r="AV1284" s="1763"/>
    </row>
    <row r="1285" spans="1:48" ht="25">
      <c r="A1285" s="1785" t="str">
        <f t="shared" si="209"/>
        <v>פנסיה</v>
      </c>
      <c r="B1285" s="1786">
        <f t="shared" si="210"/>
        <v>12158</v>
      </c>
      <c r="C1285" s="1787">
        <v>28946</v>
      </c>
      <c r="D1285" s="1786" t="str">
        <f t="shared" si="211"/>
        <v xml:space="preserve">איילון מיטב פנסיה כללית מסלול מקבלי קצבה החל מיום 1.1.2018 </v>
      </c>
      <c r="E1285" s="1786" t="s">
        <v>3929</v>
      </c>
      <c r="F1285" s="1786" t="s">
        <v>2958</v>
      </c>
      <c r="G1285" s="1786" t="s">
        <v>2959</v>
      </c>
      <c r="H1285" s="1786" t="str">
        <f t="shared" si="212"/>
        <v>פעיל</v>
      </c>
      <c r="I1285" s="1788">
        <f t="shared" si="213"/>
        <v>37987</v>
      </c>
      <c r="J1285" s="1788" t="str">
        <f t="shared" si="214"/>
        <v/>
      </c>
      <c r="K1285" s="1786">
        <v>0</v>
      </c>
      <c r="L1285" s="1786" t="s">
        <v>1594</v>
      </c>
      <c r="M1285" s="1786" t="s">
        <v>1653</v>
      </c>
      <c r="N1285" s="1786" t="s">
        <v>1653</v>
      </c>
      <c r="O1285" s="1786">
        <v>0</v>
      </c>
      <c r="P1285" s="1786"/>
      <c r="Q1285" s="1786">
        <v>0</v>
      </c>
      <c r="R1285" s="1788"/>
      <c r="S1285" s="1786">
        <f t="shared" si="215"/>
        <v>660</v>
      </c>
      <c r="T1285" s="1786">
        <f t="shared" si="216"/>
        <v>0</v>
      </c>
      <c r="U1285" s="1786" t="str">
        <f t="shared" si="217"/>
        <v>איילון מיטב פנסיה כללית</v>
      </c>
      <c r="V1285" s="1786" t="str">
        <f t="shared" si="218"/>
        <v>520043795</v>
      </c>
      <c r="W1285" s="1789" t="str">
        <f t="shared" si="219"/>
        <v>מיטב דש גמל ופנסיה בע"מ</v>
      </c>
      <c r="AC1285" s="1761" t="s">
        <v>346</v>
      </c>
      <c r="AD1285" s="1761"/>
      <c r="AE1285" s="1762">
        <v>37987</v>
      </c>
      <c r="AF1285" s="1761" t="s">
        <v>4160</v>
      </c>
      <c r="AG1285" s="1761" t="s">
        <v>2614</v>
      </c>
      <c r="AH1285" s="1761" t="s">
        <v>3658</v>
      </c>
      <c r="AI1285" s="1761" t="s">
        <v>5595</v>
      </c>
      <c r="AJ1285" s="1761" t="s">
        <v>5596</v>
      </c>
      <c r="AK1285" s="1761">
        <v>12158</v>
      </c>
      <c r="AL1285" s="1761" t="s">
        <v>5585</v>
      </c>
      <c r="AM1285" s="1761">
        <v>660</v>
      </c>
      <c r="AN1285" s="1761"/>
      <c r="AO1285" s="1764"/>
      <c r="AP1285" s="1761" t="s">
        <v>5373</v>
      </c>
      <c r="AQ1285" s="1761" t="s">
        <v>5374</v>
      </c>
      <c r="AR1285" s="1761" t="s">
        <v>2899</v>
      </c>
      <c r="AS1285" s="1761" t="s">
        <v>349</v>
      </c>
      <c r="AT1285" s="1761" t="s">
        <v>328</v>
      </c>
      <c r="AU1285" s="1763"/>
      <c r="AV1285" s="1763"/>
    </row>
    <row r="1286" spans="1:48" ht="25">
      <c r="A1286" s="1785" t="str">
        <f t="shared" si="209"/>
        <v>פנסיה</v>
      </c>
      <c r="B1286" s="1786">
        <f t="shared" si="210"/>
        <v>12158</v>
      </c>
      <c r="C1286" s="1787">
        <v>28946</v>
      </c>
      <c r="D1286" s="1786" t="str">
        <f t="shared" si="211"/>
        <v xml:space="preserve">איילון מיטב פנסיה כללית מסלול מקבלי קצבה החל מיום 1.1.2018 </v>
      </c>
      <c r="E1286" s="1786" t="s">
        <v>3929</v>
      </c>
      <c r="F1286" s="1786" t="s">
        <v>2958</v>
      </c>
      <c r="G1286" s="1786" t="s">
        <v>2959</v>
      </c>
      <c r="H1286" s="1786" t="str">
        <f t="shared" si="212"/>
        <v>פעיל</v>
      </c>
      <c r="I1286" s="1788">
        <f t="shared" si="213"/>
        <v>37987</v>
      </c>
      <c r="J1286" s="1788" t="str">
        <f t="shared" si="214"/>
        <v/>
      </c>
      <c r="K1286" s="1786">
        <v>0</v>
      </c>
      <c r="L1286" s="1786" t="s">
        <v>1594</v>
      </c>
      <c r="M1286" s="1786" t="s">
        <v>1653</v>
      </c>
      <c r="N1286" s="1786" t="s">
        <v>1653</v>
      </c>
      <c r="O1286" s="1786">
        <v>0</v>
      </c>
      <c r="P1286" s="1786"/>
      <c r="Q1286" s="1786">
        <v>0</v>
      </c>
      <c r="R1286" s="1788"/>
      <c r="S1286" s="1786">
        <f t="shared" si="215"/>
        <v>660</v>
      </c>
      <c r="T1286" s="1786">
        <f t="shared" si="216"/>
        <v>0</v>
      </c>
      <c r="U1286" s="1786" t="str">
        <f t="shared" si="217"/>
        <v>איילון מיטב פנסיה כללית</v>
      </c>
      <c r="V1286" s="1786" t="str">
        <f t="shared" si="218"/>
        <v>520043795</v>
      </c>
      <c r="W1286" s="1789" t="str">
        <f t="shared" si="219"/>
        <v>מיטב דש גמל ופנסיה בע"מ</v>
      </c>
      <c r="AC1286" s="1759" t="s">
        <v>346</v>
      </c>
      <c r="AD1286" s="1759"/>
      <c r="AE1286" s="1760">
        <v>37987</v>
      </c>
      <c r="AF1286" s="1759" t="s">
        <v>4160</v>
      </c>
      <c r="AG1286" s="1759" t="s">
        <v>2614</v>
      </c>
      <c r="AH1286" s="1759" t="s">
        <v>3658</v>
      </c>
      <c r="AI1286" s="1759" t="s">
        <v>5595</v>
      </c>
      <c r="AJ1286" s="1759" t="s">
        <v>5596</v>
      </c>
      <c r="AK1286" s="1759">
        <v>12158</v>
      </c>
      <c r="AL1286" s="1759" t="s">
        <v>5585</v>
      </c>
      <c r="AM1286" s="1759">
        <v>660</v>
      </c>
      <c r="AN1286" s="1759"/>
      <c r="AO1286" s="1764"/>
      <c r="AP1286" s="1759" t="s">
        <v>5373</v>
      </c>
      <c r="AQ1286" s="1759" t="s">
        <v>5374</v>
      </c>
      <c r="AR1286" s="1759" t="s">
        <v>2899</v>
      </c>
      <c r="AS1286" s="1759" t="s">
        <v>349</v>
      </c>
      <c r="AT1286" s="1759" t="s">
        <v>328</v>
      </c>
      <c r="AU1286" s="1763"/>
      <c r="AV1286" s="1763"/>
    </row>
    <row r="1287" spans="1:48" ht="25">
      <c r="A1287" s="1785" t="str">
        <f t="shared" si="209"/>
        <v>פנסיה</v>
      </c>
      <c r="B1287" s="1786">
        <f t="shared" si="210"/>
        <v>9972</v>
      </c>
      <c r="C1287" s="1787">
        <v>28946</v>
      </c>
      <c r="D1287" s="1786" t="str">
        <f t="shared" si="211"/>
        <v>איילון מיטב כללית לבני 50-60</v>
      </c>
      <c r="E1287" s="1786" t="s">
        <v>3929</v>
      </c>
      <c r="F1287" s="1786" t="s">
        <v>2958</v>
      </c>
      <c r="G1287" s="1786" t="s">
        <v>2959</v>
      </c>
      <c r="H1287" s="1786" t="str">
        <f t="shared" si="212"/>
        <v>פעיל</v>
      </c>
      <c r="I1287" s="1788">
        <f t="shared" si="213"/>
        <v>37987</v>
      </c>
      <c r="J1287" s="1788" t="str">
        <f t="shared" si="214"/>
        <v/>
      </c>
      <c r="K1287" s="1786">
        <v>0</v>
      </c>
      <c r="L1287" s="1786" t="s">
        <v>1594</v>
      </c>
      <c r="M1287" s="1786" t="s">
        <v>1653</v>
      </c>
      <c r="N1287" s="1786" t="s">
        <v>1653</v>
      </c>
      <c r="O1287" s="1786">
        <v>0</v>
      </c>
      <c r="P1287" s="1786"/>
      <c r="Q1287" s="1786">
        <v>0</v>
      </c>
      <c r="R1287" s="1788"/>
      <c r="S1287" s="1786">
        <f t="shared" si="215"/>
        <v>660</v>
      </c>
      <c r="T1287" s="1786">
        <f t="shared" si="216"/>
        <v>0</v>
      </c>
      <c r="U1287" s="1786" t="str">
        <f t="shared" si="217"/>
        <v>איילון מיטב פנסיה כללית</v>
      </c>
      <c r="V1287" s="1786" t="str">
        <f t="shared" si="218"/>
        <v>520043795</v>
      </c>
      <c r="W1287" s="1789" t="str">
        <f t="shared" si="219"/>
        <v>מיטב דש גמל ופנסיה בע"מ</v>
      </c>
      <c r="AC1287" s="1761" t="s">
        <v>346</v>
      </c>
      <c r="AD1287" s="1761"/>
      <c r="AE1287" s="1762">
        <v>37987</v>
      </c>
      <c r="AF1287" s="1761" t="s">
        <v>3932</v>
      </c>
      <c r="AG1287" s="1761" t="s">
        <v>3931</v>
      </c>
      <c r="AH1287" s="1761" t="s">
        <v>3658</v>
      </c>
      <c r="AI1287" s="1761" t="s">
        <v>5597</v>
      </c>
      <c r="AJ1287" s="1761" t="s">
        <v>5598</v>
      </c>
      <c r="AK1287" s="1761">
        <v>9972</v>
      </c>
      <c r="AL1287" s="1761" t="s">
        <v>5585</v>
      </c>
      <c r="AM1287" s="1761">
        <v>660</v>
      </c>
      <c r="AN1287" s="1761"/>
      <c r="AO1287" s="1764"/>
      <c r="AP1287" s="1761" t="s">
        <v>5373</v>
      </c>
      <c r="AQ1287" s="1761" t="s">
        <v>5374</v>
      </c>
      <c r="AR1287" s="1761" t="s">
        <v>2899</v>
      </c>
      <c r="AS1287" s="1761" t="s">
        <v>349</v>
      </c>
      <c r="AT1287" s="1761" t="s">
        <v>328</v>
      </c>
      <c r="AU1287" s="1763"/>
      <c r="AV1287" s="1763"/>
    </row>
    <row r="1288" spans="1:48" ht="25">
      <c r="A1288" s="1785" t="str">
        <f t="shared" si="209"/>
        <v>פנסיה</v>
      </c>
      <c r="B1288" s="1786">
        <f t="shared" si="210"/>
        <v>9972</v>
      </c>
      <c r="C1288" s="1787">
        <v>28946</v>
      </c>
      <c r="D1288" s="1786" t="str">
        <f t="shared" si="211"/>
        <v>איילון מיטב כללית לבני 50-60</v>
      </c>
      <c r="E1288" s="1786" t="s">
        <v>3929</v>
      </c>
      <c r="F1288" s="1786" t="s">
        <v>2958</v>
      </c>
      <c r="G1288" s="1786" t="s">
        <v>2959</v>
      </c>
      <c r="H1288" s="1786" t="str">
        <f t="shared" si="212"/>
        <v>פעיל</v>
      </c>
      <c r="I1288" s="1788">
        <f t="shared" si="213"/>
        <v>37987</v>
      </c>
      <c r="J1288" s="1788" t="str">
        <f t="shared" si="214"/>
        <v/>
      </c>
      <c r="K1288" s="1786">
        <v>0</v>
      </c>
      <c r="L1288" s="1786" t="s">
        <v>1594</v>
      </c>
      <c r="M1288" s="1786" t="s">
        <v>1653</v>
      </c>
      <c r="N1288" s="1786" t="s">
        <v>1653</v>
      </c>
      <c r="O1288" s="1786">
        <v>0</v>
      </c>
      <c r="P1288" s="1786"/>
      <c r="Q1288" s="1786">
        <v>0</v>
      </c>
      <c r="R1288" s="1788"/>
      <c r="S1288" s="1786">
        <f t="shared" si="215"/>
        <v>660</v>
      </c>
      <c r="T1288" s="1786">
        <f t="shared" si="216"/>
        <v>0</v>
      </c>
      <c r="U1288" s="1786" t="str">
        <f t="shared" si="217"/>
        <v>איילון מיטב פנסיה כללית</v>
      </c>
      <c r="V1288" s="1786" t="str">
        <f t="shared" si="218"/>
        <v>520043795</v>
      </c>
      <c r="W1288" s="1789" t="str">
        <f t="shared" si="219"/>
        <v>מיטב דש גמל ופנסיה בע"מ</v>
      </c>
      <c r="AC1288" s="1759" t="s">
        <v>346</v>
      </c>
      <c r="AD1288" s="1759"/>
      <c r="AE1288" s="1760">
        <v>37987</v>
      </c>
      <c r="AF1288" s="1759" t="s">
        <v>3932</v>
      </c>
      <c r="AG1288" s="1759" t="s">
        <v>3931</v>
      </c>
      <c r="AH1288" s="1759" t="s">
        <v>3658</v>
      </c>
      <c r="AI1288" s="1759" t="s">
        <v>5597</v>
      </c>
      <c r="AJ1288" s="1759" t="s">
        <v>5598</v>
      </c>
      <c r="AK1288" s="1759">
        <v>9972</v>
      </c>
      <c r="AL1288" s="1759" t="s">
        <v>5585</v>
      </c>
      <c r="AM1288" s="1759">
        <v>660</v>
      </c>
      <c r="AN1288" s="1759"/>
      <c r="AO1288" s="1764"/>
      <c r="AP1288" s="1759" t="s">
        <v>5373</v>
      </c>
      <c r="AQ1288" s="1759" t="s">
        <v>5374</v>
      </c>
      <c r="AR1288" s="1759" t="s">
        <v>2899</v>
      </c>
      <c r="AS1288" s="1759" t="s">
        <v>349</v>
      </c>
      <c r="AT1288" s="1759" t="s">
        <v>328</v>
      </c>
      <c r="AU1288" s="1763"/>
      <c r="AV1288" s="1763"/>
    </row>
    <row r="1289" spans="1:48" ht="25">
      <c r="A1289" s="1785" t="str">
        <f t="shared" si="209"/>
        <v>פנסיה</v>
      </c>
      <c r="B1289" s="1786">
        <f t="shared" si="210"/>
        <v>9973</v>
      </c>
      <c r="C1289" s="1787">
        <v>28946</v>
      </c>
      <c r="D1289" s="1786" t="str">
        <f t="shared" si="211"/>
        <v>איילון מיטב כללית לבני 60 ומעלה</v>
      </c>
      <c r="E1289" s="1786" t="s">
        <v>3929</v>
      </c>
      <c r="F1289" s="1786" t="s">
        <v>2958</v>
      </c>
      <c r="G1289" s="1786" t="s">
        <v>2959</v>
      </c>
      <c r="H1289" s="1786" t="str">
        <f t="shared" si="212"/>
        <v>פעיל</v>
      </c>
      <c r="I1289" s="1788">
        <f t="shared" si="213"/>
        <v>37987</v>
      </c>
      <c r="J1289" s="1788" t="str">
        <f t="shared" si="214"/>
        <v/>
      </c>
      <c r="K1289" s="1786">
        <v>0</v>
      </c>
      <c r="L1289" s="1786" t="s">
        <v>1594</v>
      </c>
      <c r="M1289" s="1786" t="s">
        <v>1653</v>
      </c>
      <c r="N1289" s="1786" t="s">
        <v>1653</v>
      </c>
      <c r="O1289" s="1786">
        <v>0</v>
      </c>
      <c r="P1289" s="1786"/>
      <c r="Q1289" s="1786">
        <v>0</v>
      </c>
      <c r="R1289" s="1788"/>
      <c r="S1289" s="1786">
        <f t="shared" si="215"/>
        <v>660</v>
      </c>
      <c r="T1289" s="1786">
        <f t="shared" si="216"/>
        <v>0</v>
      </c>
      <c r="U1289" s="1786" t="str">
        <f t="shared" si="217"/>
        <v>איילון מיטב פנסיה כללית</v>
      </c>
      <c r="V1289" s="1786" t="str">
        <f t="shared" si="218"/>
        <v>520043795</v>
      </c>
      <c r="W1289" s="1789" t="str">
        <f t="shared" si="219"/>
        <v>מיטב דש גמל ופנסיה בע"מ</v>
      </c>
      <c r="AC1289" s="1761" t="s">
        <v>346</v>
      </c>
      <c r="AD1289" s="1761"/>
      <c r="AE1289" s="1762">
        <v>37987</v>
      </c>
      <c r="AF1289" s="1761" t="s">
        <v>3963</v>
      </c>
      <c r="AG1289" s="1761" t="s">
        <v>3931</v>
      </c>
      <c r="AH1289" s="1761" t="s">
        <v>3658</v>
      </c>
      <c r="AI1289" s="1761" t="s">
        <v>5586</v>
      </c>
      <c r="AJ1289" s="1761" t="s">
        <v>5587</v>
      </c>
      <c r="AK1289" s="1761">
        <v>9973</v>
      </c>
      <c r="AL1289" s="1761" t="s">
        <v>5585</v>
      </c>
      <c r="AM1289" s="1761">
        <v>660</v>
      </c>
      <c r="AN1289" s="1761"/>
      <c r="AO1289" s="1764"/>
      <c r="AP1289" s="1761" t="s">
        <v>5373</v>
      </c>
      <c r="AQ1289" s="1761" t="s">
        <v>5374</v>
      </c>
      <c r="AR1289" s="1761" t="s">
        <v>2899</v>
      </c>
      <c r="AS1289" s="1761" t="s">
        <v>349</v>
      </c>
      <c r="AT1289" s="1761" t="s">
        <v>328</v>
      </c>
      <c r="AU1289" s="1763"/>
      <c r="AV1289" s="1763"/>
    </row>
    <row r="1290" spans="1:48" ht="25">
      <c r="A1290" s="1785" t="str">
        <f t="shared" si="209"/>
        <v>פנסיה</v>
      </c>
      <c r="B1290" s="1786">
        <f t="shared" si="210"/>
        <v>2108</v>
      </c>
      <c r="C1290" s="1787">
        <v>28946</v>
      </c>
      <c r="D1290" s="1786" t="str">
        <f t="shared" si="211"/>
        <v>איילון מיטב כללית מסלול אג"ח עד 10% במניות</v>
      </c>
      <c r="E1290" s="1786" t="s">
        <v>3929</v>
      </c>
      <c r="F1290" s="1786" t="s">
        <v>2958</v>
      </c>
      <c r="G1290" s="1786" t="s">
        <v>2959</v>
      </c>
      <c r="H1290" s="1786" t="str">
        <f t="shared" si="212"/>
        <v>פעיל</v>
      </c>
      <c r="I1290" s="1788">
        <f t="shared" si="213"/>
        <v>37987</v>
      </c>
      <c r="J1290" s="1788" t="str">
        <f t="shared" si="214"/>
        <v/>
      </c>
      <c r="K1290" s="1786">
        <v>0</v>
      </c>
      <c r="L1290" s="1786" t="s">
        <v>1594</v>
      </c>
      <c r="M1290" s="1786" t="s">
        <v>1653</v>
      </c>
      <c r="N1290" s="1786" t="s">
        <v>1653</v>
      </c>
      <c r="O1290" s="1786">
        <v>0</v>
      </c>
      <c r="P1290" s="1786"/>
      <c r="Q1290" s="1786">
        <v>0</v>
      </c>
      <c r="R1290" s="1788"/>
      <c r="S1290" s="1786">
        <f t="shared" si="215"/>
        <v>660</v>
      </c>
      <c r="T1290" s="1786">
        <f t="shared" si="216"/>
        <v>0</v>
      </c>
      <c r="U1290" s="1786" t="str">
        <f t="shared" si="217"/>
        <v>איילון מיטב פנסיה כללית</v>
      </c>
      <c r="V1290" s="1786" t="str">
        <f t="shared" si="218"/>
        <v>520043795</v>
      </c>
      <c r="W1290" s="1789" t="str">
        <f t="shared" si="219"/>
        <v>מיטב דש גמל ופנסיה בע"מ</v>
      </c>
      <c r="AC1290" s="1759" t="s">
        <v>346</v>
      </c>
      <c r="AD1290" s="1759"/>
      <c r="AE1290" s="1760">
        <v>37987</v>
      </c>
      <c r="AF1290" s="1759" t="s">
        <v>1653</v>
      </c>
      <c r="AG1290" s="1759" t="s">
        <v>1653</v>
      </c>
      <c r="AH1290" s="1759" t="s">
        <v>1594</v>
      </c>
      <c r="AI1290" s="1759" t="s">
        <v>5584</v>
      </c>
      <c r="AJ1290" s="1759" t="s">
        <v>5584</v>
      </c>
      <c r="AK1290" s="1759">
        <v>2108</v>
      </c>
      <c r="AL1290" s="1759" t="s">
        <v>5585</v>
      </c>
      <c r="AM1290" s="1759">
        <v>660</v>
      </c>
      <c r="AN1290" s="1759"/>
      <c r="AO1290" s="1764"/>
      <c r="AP1290" s="1759" t="s">
        <v>5373</v>
      </c>
      <c r="AQ1290" s="1759" t="s">
        <v>5374</v>
      </c>
      <c r="AR1290" s="1759" t="s">
        <v>2899</v>
      </c>
      <c r="AS1290" s="1759" t="s">
        <v>349</v>
      </c>
      <c r="AT1290" s="1759" t="s">
        <v>328</v>
      </c>
      <c r="AU1290" s="1763"/>
      <c r="AV1290" s="1763"/>
    </row>
    <row r="1291" spans="1:48" ht="37.5">
      <c r="A1291" s="1785" t="str">
        <f t="shared" si="209"/>
        <v>פנסיה</v>
      </c>
      <c r="B1291" s="1786">
        <f t="shared" si="210"/>
        <v>2145</v>
      </c>
      <c r="C1291" s="1787">
        <v>28946</v>
      </c>
      <c r="D1291" s="1786" t="str">
        <f t="shared" si="211"/>
        <v>מגדל מקפת משלימה כללי</v>
      </c>
      <c r="E1291" s="1786" t="s">
        <v>3929</v>
      </c>
      <c r="F1291" s="1786" t="s">
        <v>2958</v>
      </c>
      <c r="G1291" s="1786" t="s">
        <v>2959</v>
      </c>
      <c r="H1291" s="1786" t="str">
        <f t="shared" si="212"/>
        <v>פעיל</v>
      </c>
      <c r="I1291" s="1788">
        <f t="shared" si="213"/>
        <v>37622</v>
      </c>
      <c r="J1291" s="1788" t="str">
        <f t="shared" si="214"/>
        <v/>
      </c>
      <c r="K1291" s="1786">
        <v>0</v>
      </c>
      <c r="L1291" s="1786" t="s">
        <v>1594</v>
      </c>
      <c r="M1291" s="1786" t="s">
        <v>1653</v>
      </c>
      <c r="N1291" s="1786" t="s">
        <v>1653</v>
      </c>
      <c r="O1291" s="1786">
        <v>0</v>
      </c>
      <c r="P1291" s="1786"/>
      <c r="Q1291" s="1786">
        <v>0</v>
      </c>
      <c r="R1291" s="1788"/>
      <c r="S1291" s="1786">
        <f t="shared" si="215"/>
        <v>659</v>
      </c>
      <c r="T1291" s="1786">
        <f t="shared" si="216"/>
        <v>0</v>
      </c>
      <c r="U1291" s="1786" t="str">
        <f t="shared" si="217"/>
        <v>מגדל מקפת משלימה</v>
      </c>
      <c r="V1291" s="1786" t="str">
        <f t="shared" si="218"/>
        <v>510464803</v>
      </c>
      <c r="W1291" s="1789" t="str">
        <f t="shared" si="219"/>
        <v>מגדל מקפת קרנות פנסיה וקופות גמל בע"מ</v>
      </c>
      <c r="AC1291" s="1761" t="s">
        <v>346</v>
      </c>
      <c r="AD1291" s="1761"/>
      <c r="AE1291" s="1762">
        <v>37622</v>
      </c>
      <c r="AF1291" s="1761" t="s">
        <v>1583</v>
      </c>
      <c r="AG1291" s="1761" t="s">
        <v>1583</v>
      </c>
      <c r="AH1291" s="1761" t="s">
        <v>1583</v>
      </c>
      <c r="AI1291" s="1761" t="s">
        <v>5599</v>
      </c>
      <c r="AJ1291" s="1761" t="s">
        <v>5600</v>
      </c>
      <c r="AK1291" s="1761">
        <v>2145</v>
      </c>
      <c r="AL1291" s="1761" t="s">
        <v>3703</v>
      </c>
      <c r="AM1291" s="1761">
        <v>659</v>
      </c>
      <c r="AN1291" s="1761"/>
      <c r="AO1291" s="1764"/>
      <c r="AP1291" s="1761" t="s">
        <v>5382</v>
      </c>
      <c r="AQ1291" s="1761" t="s">
        <v>5383</v>
      </c>
      <c r="AR1291" s="1761" t="s">
        <v>394</v>
      </c>
      <c r="AS1291" s="1761" t="s">
        <v>395</v>
      </c>
      <c r="AT1291" s="1761" t="s">
        <v>328</v>
      </c>
      <c r="AU1291" s="1763"/>
      <c r="AV1291" s="1763"/>
    </row>
    <row r="1292" spans="1:48" ht="37.5">
      <c r="A1292" s="1785" t="str">
        <f t="shared" si="209"/>
        <v>פנסיה</v>
      </c>
      <c r="B1292" s="1786">
        <f t="shared" si="210"/>
        <v>2146</v>
      </c>
      <c r="C1292" s="1787">
        <v>28946</v>
      </c>
      <c r="D1292" s="1786" t="str">
        <f t="shared" si="211"/>
        <v>מגדל מקפת משלימה מניות</v>
      </c>
      <c r="E1292" s="1786" t="s">
        <v>3929</v>
      </c>
      <c r="F1292" s="1786" t="s">
        <v>2958</v>
      </c>
      <c r="G1292" s="1786" t="s">
        <v>2959</v>
      </c>
      <c r="H1292" s="1786" t="str">
        <f t="shared" si="212"/>
        <v>פעיל</v>
      </c>
      <c r="I1292" s="1788">
        <f t="shared" si="213"/>
        <v>37622</v>
      </c>
      <c r="J1292" s="1788" t="str">
        <f t="shared" si="214"/>
        <v/>
      </c>
      <c r="K1292" s="1786">
        <v>0</v>
      </c>
      <c r="L1292" s="1786" t="s">
        <v>1594</v>
      </c>
      <c r="M1292" s="1786" t="s">
        <v>1653</v>
      </c>
      <c r="N1292" s="1786" t="s">
        <v>1653</v>
      </c>
      <c r="O1292" s="1786">
        <v>0</v>
      </c>
      <c r="P1292" s="1786"/>
      <c r="Q1292" s="1786">
        <v>0</v>
      </c>
      <c r="R1292" s="1788"/>
      <c r="S1292" s="1786">
        <f t="shared" si="215"/>
        <v>659</v>
      </c>
      <c r="T1292" s="1786">
        <f t="shared" si="216"/>
        <v>0</v>
      </c>
      <c r="U1292" s="1786" t="str">
        <f t="shared" si="217"/>
        <v>מגדל מקפת משלימה</v>
      </c>
      <c r="V1292" s="1786" t="str">
        <f t="shared" si="218"/>
        <v>510464803</v>
      </c>
      <c r="W1292" s="1789" t="str">
        <f t="shared" si="219"/>
        <v>מגדל מקפת קרנות פנסיה וקופות גמל בע"מ</v>
      </c>
      <c r="AC1292" s="1759" t="s">
        <v>346</v>
      </c>
      <c r="AD1292" s="1759"/>
      <c r="AE1292" s="1760">
        <v>37622</v>
      </c>
      <c r="AF1292" s="1759" t="s">
        <v>1595</v>
      </c>
      <c r="AG1292" s="1759" t="s">
        <v>75</v>
      </c>
      <c r="AH1292" s="1759" t="s">
        <v>1594</v>
      </c>
      <c r="AI1292" s="1759" t="s">
        <v>5601</v>
      </c>
      <c r="AJ1292" s="1759" t="s">
        <v>5602</v>
      </c>
      <c r="AK1292" s="1759">
        <v>2146</v>
      </c>
      <c r="AL1292" s="1759" t="s">
        <v>3703</v>
      </c>
      <c r="AM1292" s="1759">
        <v>659</v>
      </c>
      <c r="AN1292" s="1759"/>
      <c r="AO1292" s="1764"/>
      <c r="AP1292" s="1759" t="s">
        <v>5382</v>
      </c>
      <c r="AQ1292" s="1759" t="s">
        <v>5383</v>
      </c>
      <c r="AR1292" s="1759" t="s">
        <v>394</v>
      </c>
      <c r="AS1292" s="1759" t="s">
        <v>395</v>
      </c>
      <c r="AT1292" s="1759" t="s">
        <v>328</v>
      </c>
      <c r="AU1292" s="1763"/>
      <c r="AV1292" s="1763"/>
    </row>
    <row r="1293" spans="1:48" ht="37.5">
      <c r="A1293" s="1785" t="str">
        <f t="shared" si="209"/>
        <v>פנסיה</v>
      </c>
      <c r="B1293" s="1786">
        <f t="shared" si="210"/>
        <v>2147</v>
      </c>
      <c r="C1293" s="1787">
        <v>28946</v>
      </c>
      <c r="D1293" s="1786" t="str">
        <f t="shared" si="211"/>
        <v>מגדל מקפת משלימה שקלי טווח קצר</v>
      </c>
      <c r="E1293" s="1786" t="s">
        <v>3929</v>
      </c>
      <c r="F1293" s="1786" t="s">
        <v>2958</v>
      </c>
      <c r="G1293" s="1786" t="s">
        <v>2959</v>
      </c>
      <c r="H1293" s="1786" t="str">
        <f t="shared" si="212"/>
        <v>פעיל</v>
      </c>
      <c r="I1293" s="1788">
        <f t="shared" si="213"/>
        <v>37622</v>
      </c>
      <c r="J1293" s="1788" t="str">
        <f t="shared" si="214"/>
        <v/>
      </c>
      <c r="K1293" s="1786">
        <v>0</v>
      </c>
      <c r="L1293" s="1786" t="s">
        <v>1594</v>
      </c>
      <c r="M1293" s="1786" t="s">
        <v>1653</v>
      </c>
      <c r="N1293" s="1786" t="s">
        <v>1653</v>
      </c>
      <c r="O1293" s="1786">
        <v>0</v>
      </c>
      <c r="P1293" s="1786"/>
      <c r="Q1293" s="1786">
        <v>0</v>
      </c>
      <c r="R1293" s="1788"/>
      <c r="S1293" s="1786">
        <f t="shared" si="215"/>
        <v>659</v>
      </c>
      <c r="T1293" s="1786">
        <f t="shared" si="216"/>
        <v>0</v>
      </c>
      <c r="U1293" s="1786" t="str">
        <f t="shared" si="217"/>
        <v>מגדל מקפת משלימה</v>
      </c>
      <c r="V1293" s="1786" t="str">
        <f t="shared" si="218"/>
        <v>510464803</v>
      </c>
      <c r="W1293" s="1789" t="str">
        <f t="shared" si="219"/>
        <v>מגדל מקפת קרנות פנסיה וקופות גמל בע"מ</v>
      </c>
      <c r="AC1293" s="1761" t="s">
        <v>346</v>
      </c>
      <c r="AD1293" s="1761"/>
      <c r="AE1293" s="1762">
        <v>37622</v>
      </c>
      <c r="AF1293" s="1761" t="s">
        <v>1673</v>
      </c>
      <c r="AG1293" s="1761" t="s">
        <v>1614</v>
      </c>
      <c r="AH1293" s="1761" t="s">
        <v>1594</v>
      </c>
      <c r="AI1293" s="1761" t="s">
        <v>5603</v>
      </c>
      <c r="AJ1293" s="1761" t="s">
        <v>5604</v>
      </c>
      <c r="AK1293" s="1761">
        <v>2147</v>
      </c>
      <c r="AL1293" s="1761" t="s">
        <v>3703</v>
      </c>
      <c r="AM1293" s="1761">
        <v>659</v>
      </c>
      <c r="AN1293" s="1761"/>
      <c r="AO1293" s="1764"/>
      <c r="AP1293" s="1761" t="s">
        <v>5382</v>
      </c>
      <c r="AQ1293" s="1761" t="s">
        <v>5383</v>
      </c>
      <c r="AR1293" s="1761" t="s">
        <v>394</v>
      </c>
      <c r="AS1293" s="1761" t="s">
        <v>395</v>
      </c>
      <c r="AT1293" s="1761" t="s">
        <v>328</v>
      </c>
      <c r="AU1293" s="1763"/>
      <c r="AV1293" s="1763"/>
    </row>
    <row r="1294" spans="1:48" ht="37.5">
      <c r="A1294" s="1785" t="str">
        <f t="shared" si="209"/>
        <v>פנסיה</v>
      </c>
      <c r="B1294" s="1786">
        <f t="shared" si="210"/>
        <v>2148</v>
      </c>
      <c r="C1294" s="1787">
        <v>28946</v>
      </c>
      <c r="D1294" s="1786" t="str">
        <f t="shared" si="211"/>
        <v>מגדל מקפת משלימה אג"ח</v>
      </c>
      <c r="E1294" s="1786" t="s">
        <v>3929</v>
      </c>
      <c r="F1294" s="1786" t="s">
        <v>2958</v>
      </c>
      <c r="G1294" s="1786" t="s">
        <v>2959</v>
      </c>
      <c r="H1294" s="1786" t="str">
        <f t="shared" si="212"/>
        <v>פעיל</v>
      </c>
      <c r="I1294" s="1788">
        <f t="shared" si="213"/>
        <v>37622</v>
      </c>
      <c r="J1294" s="1788" t="str">
        <f t="shared" si="214"/>
        <v/>
      </c>
      <c r="K1294" s="1786">
        <v>0</v>
      </c>
      <c r="L1294" s="1786" t="s">
        <v>1594</v>
      </c>
      <c r="M1294" s="1786" t="s">
        <v>1653</v>
      </c>
      <c r="N1294" s="1786" t="s">
        <v>1653</v>
      </c>
      <c r="O1294" s="1786">
        <v>0</v>
      </c>
      <c r="P1294" s="1786"/>
      <c r="Q1294" s="1786">
        <v>0</v>
      </c>
      <c r="R1294" s="1788"/>
      <c r="S1294" s="1786">
        <f t="shared" si="215"/>
        <v>659</v>
      </c>
      <c r="T1294" s="1786">
        <f t="shared" si="216"/>
        <v>0</v>
      </c>
      <c r="U1294" s="1786" t="str">
        <f t="shared" si="217"/>
        <v>מגדל מקפת משלימה</v>
      </c>
      <c r="V1294" s="1786" t="str">
        <f t="shared" si="218"/>
        <v>510464803</v>
      </c>
      <c r="W1294" s="1789" t="str">
        <f t="shared" si="219"/>
        <v>מגדל מקפת קרנות פנסיה וקופות גמל בע"מ</v>
      </c>
      <c r="AC1294" s="1759" t="s">
        <v>346</v>
      </c>
      <c r="AD1294" s="1759"/>
      <c r="AE1294" s="1760">
        <v>37622</v>
      </c>
      <c r="AF1294" s="1759" t="s">
        <v>1653</v>
      </c>
      <c r="AG1294" s="1759" t="s">
        <v>1653</v>
      </c>
      <c r="AH1294" s="1759" t="s">
        <v>1594</v>
      </c>
      <c r="AI1294" s="1759" t="s">
        <v>5605</v>
      </c>
      <c r="AJ1294" s="1759" t="s">
        <v>5606</v>
      </c>
      <c r="AK1294" s="1759">
        <v>2148</v>
      </c>
      <c r="AL1294" s="1759" t="s">
        <v>3703</v>
      </c>
      <c r="AM1294" s="1759">
        <v>659</v>
      </c>
      <c r="AN1294" s="1759"/>
      <c r="AO1294" s="1764"/>
      <c r="AP1294" s="1759" t="s">
        <v>5382</v>
      </c>
      <c r="AQ1294" s="1759" t="s">
        <v>5383</v>
      </c>
      <c r="AR1294" s="1759" t="s">
        <v>394</v>
      </c>
      <c r="AS1294" s="1759" t="s">
        <v>395</v>
      </c>
      <c r="AT1294" s="1759" t="s">
        <v>328</v>
      </c>
      <c r="AU1294" s="1763"/>
      <c r="AV1294" s="1763"/>
    </row>
    <row r="1295" spans="1:48" ht="37.5">
      <c r="A1295" s="1785" t="str">
        <f t="shared" si="209"/>
        <v>פנסיה</v>
      </c>
      <c r="B1295" s="1786">
        <f t="shared" si="210"/>
        <v>2149</v>
      </c>
      <c r="C1295" s="1787">
        <v>28946</v>
      </c>
      <c r="D1295" s="1786" t="str">
        <f t="shared" si="211"/>
        <v>מגדל מקפת משלימה הלכה</v>
      </c>
      <c r="E1295" s="1786" t="s">
        <v>3929</v>
      </c>
      <c r="F1295" s="1786" t="s">
        <v>2958</v>
      </c>
      <c r="G1295" s="1786" t="s">
        <v>2959</v>
      </c>
      <c r="H1295" s="1786" t="str">
        <f t="shared" si="212"/>
        <v>פעיל</v>
      </c>
      <c r="I1295" s="1788">
        <f t="shared" si="213"/>
        <v>37622</v>
      </c>
      <c r="J1295" s="1788" t="str">
        <f t="shared" si="214"/>
        <v/>
      </c>
      <c r="K1295" s="1786">
        <v>0</v>
      </c>
      <c r="L1295" s="1786" t="s">
        <v>1594</v>
      </c>
      <c r="M1295" s="1786" t="s">
        <v>1653</v>
      </c>
      <c r="N1295" s="1786" t="s">
        <v>1653</v>
      </c>
      <c r="O1295" s="1786">
        <v>0</v>
      </c>
      <c r="P1295" s="1786"/>
      <c r="Q1295" s="1786">
        <v>0</v>
      </c>
      <c r="R1295" s="1788"/>
      <c r="S1295" s="1786">
        <f t="shared" si="215"/>
        <v>659</v>
      </c>
      <c r="T1295" s="1786">
        <f t="shared" si="216"/>
        <v>0</v>
      </c>
      <c r="U1295" s="1786" t="str">
        <f t="shared" si="217"/>
        <v>מגדל מקפת משלימה</v>
      </c>
      <c r="V1295" s="1786" t="str">
        <f t="shared" si="218"/>
        <v>510464803</v>
      </c>
      <c r="W1295" s="1789" t="str">
        <f t="shared" si="219"/>
        <v>מגדל מקפת קרנות פנסיה וקופות גמל בע"מ</v>
      </c>
      <c r="AC1295" s="1761" t="s">
        <v>346</v>
      </c>
      <c r="AD1295" s="1761"/>
      <c r="AE1295" s="1762">
        <v>37622</v>
      </c>
      <c r="AF1295" s="1761" t="s">
        <v>4603</v>
      </c>
      <c r="AG1295" s="1761" t="s">
        <v>2029</v>
      </c>
      <c r="AH1295" s="1761" t="s">
        <v>2028</v>
      </c>
      <c r="AI1295" s="1761" t="s">
        <v>5607</v>
      </c>
      <c r="AJ1295" s="1761" t="s">
        <v>5608</v>
      </c>
      <c r="AK1295" s="1761">
        <v>2149</v>
      </c>
      <c r="AL1295" s="1761" t="s">
        <v>3703</v>
      </c>
      <c r="AM1295" s="1761">
        <v>659</v>
      </c>
      <c r="AN1295" s="1761"/>
      <c r="AO1295" s="1764"/>
      <c r="AP1295" s="1761" t="s">
        <v>5382</v>
      </c>
      <c r="AQ1295" s="1761" t="s">
        <v>5383</v>
      </c>
      <c r="AR1295" s="1761" t="s">
        <v>394</v>
      </c>
      <c r="AS1295" s="1761" t="s">
        <v>395</v>
      </c>
      <c r="AT1295" s="1761" t="s">
        <v>328</v>
      </c>
      <c r="AU1295" s="1763"/>
      <c r="AV1295" s="1763"/>
    </row>
    <row r="1296" spans="1:48" ht="37.5">
      <c r="A1296" s="1785" t="str">
        <f t="shared" si="209"/>
        <v>פנסיה</v>
      </c>
      <c r="B1296" s="1786">
        <f t="shared" si="210"/>
        <v>2208</v>
      </c>
      <c r="C1296" s="1787">
        <v>28946</v>
      </c>
      <c r="D1296" s="1786" t="str">
        <f t="shared" si="211"/>
        <v>מגדל מקפת משלימה למקבלי קצבה קיימים</v>
      </c>
      <c r="E1296" s="1786" t="s">
        <v>3929</v>
      </c>
      <c r="F1296" s="1786" t="s">
        <v>2958</v>
      </c>
      <c r="G1296" s="1786" t="s">
        <v>2959</v>
      </c>
      <c r="H1296" s="1786" t="str">
        <f t="shared" si="212"/>
        <v>פעיל</v>
      </c>
      <c r="I1296" s="1788">
        <f t="shared" si="213"/>
        <v>37622</v>
      </c>
      <c r="J1296" s="1788" t="str">
        <f t="shared" si="214"/>
        <v/>
      </c>
      <c r="K1296" s="1786">
        <v>0</v>
      </c>
      <c r="L1296" s="1786" t="s">
        <v>1594</v>
      </c>
      <c r="M1296" s="1786" t="s">
        <v>1653</v>
      </c>
      <c r="N1296" s="1786" t="s">
        <v>1653</v>
      </c>
      <c r="O1296" s="1786">
        <v>0</v>
      </c>
      <c r="P1296" s="1786"/>
      <c r="Q1296" s="1786">
        <v>0</v>
      </c>
      <c r="R1296" s="1788"/>
      <c r="S1296" s="1786">
        <f t="shared" si="215"/>
        <v>659</v>
      </c>
      <c r="T1296" s="1786">
        <f t="shared" si="216"/>
        <v>0</v>
      </c>
      <c r="U1296" s="1786" t="str">
        <f t="shared" si="217"/>
        <v>מגדל מקפת משלימה</v>
      </c>
      <c r="V1296" s="1786" t="str">
        <f t="shared" si="218"/>
        <v>510464803</v>
      </c>
      <c r="W1296" s="1789" t="str">
        <f t="shared" si="219"/>
        <v>מגדל מקפת קרנות פנסיה וקופות גמל בע"מ</v>
      </c>
      <c r="AC1296" s="1759" t="s">
        <v>346</v>
      </c>
      <c r="AD1296" s="1759"/>
      <c r="AE1296" s="1760">
        <v>37622</v>
      </c>
      <c r="AF1296" s="1759" t="s">
        <v>1583</v>
      </c>
      <c r="AG1296" s="1759" t="s">
        <v>1583</v>
      </c>
      <c r="AH1296" s="1759" t="s">
        <v>1583</v>
      </c>
      <c r="AI1296" s="1759" t="s">
        <v>5609</v>
      </c>
      <c r="AJ1296" s="1759" t="s">
        <v>5610</v>
      </c>
      <c r="AK1296" s="1759">
        <v>2208</v>
      </c>
      <c r="AL1296" s="1759" t="s">
        <v>3703</v>
      </c>
      <c r="AM1296" s="1759">
        <v>659</v>
      </c>
      <c r="AN1296" s="1759"/>
      <c r="AO1296" s="1764"/>
      <c r="AP1296" s="1759" t="s">
        <v>5382</v>
      </c>
      <c r="AQ1296" s="1759" t="s">
        <v>5383</v>
      </c>
      <c r="AR1296" s="1759" t="s">
        <v>394</v>
      </c>
      <c r="AS1296" s="1759" t="s">
        <v>395</v>
      </c>
      <c r="AT1296" s="1759" t="s">
        <v>328</v>
      </c>
      <c r="AU1296" s="1763"/>
      <c r="AV1296" s="1763"/>
    </row>
    <row r="1297" spans="1:48" ht="37.5">
      <c r="A1297" s="1785" t="str">
        <f t="shared" si="209"/>
        <v>פנסיה</v>
      </c>
      <c r="B1297" s="1786">
        <f t="shared" si="210"/>
        <v>8604</v>
      </c>
      <c r="C1297" s="1787">
        <v>28946</v>
      </c>
      <c r="D1297" s="1786" t="str">
        <f t="shared" si="211"/>
        <v>מגדל מקפת משלימה הלכה למקבלי קצבה</v>
      </c>
      <c r="E1297" s="1786" t="s">
        <v>3929</v>
      </c>
      <c r="F1297" s="1786" t="s">
        <v>2958</v>
      </c>
      <c r="G1297" s="1786" t="s">
        <v>2959</v>
      </c>
      <c r="H1297" s="1786" t="str">
        <f t="shared" si="212"/>
        <v>פעיל</v>
      </c>
      <c r="I1297" s="1788">
        <f t="shared" si="213"/>
        <v>37622</v>
      </c>
      <c r="J1297" s="1788" t="str">
        <f t="shared" si="214"/>
        <v/>
      </c>
      <c r="K1297" s="1786">
        <v>0</v>
      </c>
      <c r="L1297" s="1786" t="s">
        <v>1594</v>
      </c>
      <c r="M1297" s="1786" t="s">
        <v>1653</v>
      </c>
      <c r="N1297" s="1786" t="s">
        <v>1653</v>
      </c>
      <c r="O1297" s="1786">
        <v>0</v>
      </c>
      <c r="P1297" s="1786"/>
      <c r="Q1297" s="1786">
        <v>0</v>
      </c>
      <c r="R1297" s="1788"/>
      <c r="S1297" s="1786">
        <f t="shared" si="215"/>
        <v>659</v>
      </c>
      <c r="T1297" s="1786">
        <f t="shared" si="216"/>
        <v>0</v>
      </c>
      <c r="U1297" s="1786" t="str">
        <f t="shared" si="217"/>
        <v>מגדל מקפת משלימה</v>
      </c>
      <c r="V1297" s="1786" t="str">
        <f t="shared" si="218"/>
        <v>510464803</v>
      </c>
      <c r="W1297" s="1789" t="str">
        <f t="shared" si="219"/>
        <v>מגדל מקפת קרנות פנסיה וקופות גמל בע"מ</v>
      </c>
      <c r="AC1297" s="1761" t="s">
        <v>346</v>
      </c>
      <c r="AD1297" s="1761"/>
      <c r="AE1297" s="1762">
        <v>37622</v>
      </c>
      <c r="AF1297" s="1761" t="s">
        <v>4603</v>
      </c>
      <c r="AG1297" s="1761" t="s">
        <v>2029</v>
      </c>
      <c r="AH1297" s="1761" t="s">
        <v>2028</v>
      </c>
      <c r="AI1297" s="1761" t="s">
        <v>5611</v>
      </c>
      <c r="AJ1297" s="1761" t="s">
        <v>5612</v>
      </c>
      <c r="AK1297" s="1761">
        <v>8604</v>
      </c>
      <c r="AL1297" s="1761" t="s">
        <v>3703</v>
      </c>
      <c r="AM1297" s="1761">
        <v>659</v>
      </c>
      <c r="AN1297" s="1761"/>
      <c r="AO1297" s="1764"/>
      <c r="AP1297" s="1761" t="s">
        <v>5382</v>
      </c>
      <c r="AQ1297" s="1761" t="s">
        <v>5383</v>
      </c>
      <c r="AR1297" s="1761" t="s">
        <v>394</v>
      </c>
      <c r="AS1297" s="1761" t="s">
        <v>395</v>
      </c>
      <c r="AT1297" s="1761" t="s">
        <v>328</v>
      </c>
      <c r="AU1297" s="1763"/>
      <c r="AV1297" s="1763"/>
    </row>
    <row r="1298" spans="1:48" ht="37.5">
      <c r="A1298" s="1785" t="str">
        <f t="shared" si="209"/>
        <v>פנסיה</v>
      </c>
      <c r="B1298" s="1786">
        <f t="shared" si="210"/>
        <v>9453</v>
      </c>
      <c r="C1298" s="1787">
        <v>28946</v>
      </c>
      <c r="D1298" s="1786" t="str">
        <f t="shared" si="211"/>
        <v>מגדל מקפת משלימה לבני 50 ומטה</v>
      </c>
      <c r="E1298" s="1786" t="s">
        <v>3929</v>
      </c>
      <c r="F1298" s="1786" t="s">
        <v>2958</v>
      </c>
      <c r="G1298" s="1786" t="s">
        <v>2959</v>
      </c>
      <c r="H1298" s="1786" t="str">
        <f t="shared" si="212"/>
        <v>פעיל</v>
      </c>
      <c r="I1298" s="1788">
        <f t="shared" si="213"/>
        <v>37622</v>
      </c>
      <c r="J1298" s="1788" t="str">
        <f t="shared" si="214"/>
        <v/>
      </c>
      <c r="K1298" s="1786">
        <v>0</v>
      </c>
      <c r="L1298" s="1786" t="s">
        <v>1594</v>
      </c>
      <c r="M1298" s="1786" t="s">
        <v>1653</v>
      </c>
      <c r="N1298" s="1786" t="s">
        <v>1653</v>
      </c>
      <c r="O1298" s="1786">
        <v>0</v>
      </c>
      <c r="P1298" s="1786"/>
      <c r="Q1298" s="1786">
        <v>0</v>
      </c>
      <c r="R1298" s="1788"/>
      <c r="S1298" s="1786">
        <f t="shared" si="215"/>
        <v>659</v>
      </c>
      <c r="T1298" s="1786">
        <f t="shared" si="216"/>
        <v>0</v>
      </c>
      <c r="U1298" s="1786" t="str">
        <f t="shared" si="217"/>
        <v>מגדל מקפת משלימה</v>
      </c>
      <c r="V1298" s="1786" t="str">
        <f t="shared" si="218"/>
        <v>510464803</v>
      </c>
      <c r="W1298" s="1789" t="str">
        <f t="shared" si="219"/>
        <v>מגדל מקפת קרנות פנסיה וקופות גמל בע"מ</v>
      </c>
      <c r="AC1298" s="1759" t="s">
        <v>346</v>
      </c>
      <c r="AD1298" s="1759"/>
      <c r="AE1298" s="1760">
        <v>37622</v>
      </c>
      <c r="AF1298" s="1759" t="s">
        <v>70</v>
      </c>
      <c r="AG1298" s="1759" t="s">
        <v>70</v>
      </c>
      <c r="AH1298" s="1759" t="s">
        <v>3658</v>
      </c>
      <c r="AI1298" s="1759" t="s">
        <v>5613</v>
      </c>
      <c r="AJ1298" s="1759" t="s">
        <v>5614</v>
      </c>
      <c r="AK1298" s="1759">
        <v>9453</v>
      </c>
      <c r="AL1298" s="1759" t="s">
        <v>3703</v>
      </c>
      <c r="AM1298" s="1759">
        <v>659</v>
      </c>
      <c r="AN1298" s="1759"/>
      <c r="AO1298" s="1764"/>
      <c r="AP1298" s="1759" t="s">
        <v>5382</v>
      </c>
      <c r="AQ1298" s="1759" t="s">
        <v>5383</v>
      </c>
      <c r="AR1298" s="1759" t="s">
        <v>394</v>
      </c>
      <c r="AS1298" s="1759" t="s">
        <v>395</v>
      </c>
      <c r="AT1298" s="1759" t="s">
        <v>328</v>
      </c>
      <c r="AU1298" s="1763"/>
      <c r="AV1298" s="1763"/>
    </row>
    <row r="1299" spans="1:48" ht="37.5">
      <c r="A1299" s="1785" t="str">
        <f t="shared" si="209"/>
        <v>פנסיה</v>
      </c>
      <c r="B1299" s="1786">
        <f t="shared" si="210"/>
        <v>9454</v>
      </c>
      <c r="C1299" s="1787">
        <v>28946</v>
      </c>
      <c r="D1299" s="1786" t="str">
        <f t="shared" si="211"/>
        <v>מגדל מקפת משלימה לבני 50 עד 60</v>
      </c>
      <c r="E1299" s="1786" t="s">
        <v>3929</v>
      </c>
      <c r="F1299" s="1786" t="s">
        <v>2958</v>
      </c>
      <c r="G1299" s="1786" t="s">
        <v>2959</v>
      </c>
      <c r="H1299" s="1786" t="str">
        <f t="shared" si="212"/>
        <v>פעיל</v>
      </c>
      <c r="I1299" s="1788">
        <f t="shared" si="213"/>
        <v>37622</v>
      </c>
      <c r="J1299" s="1788" t="str">
        <f t="shared" si="214"/>
        <v/>
      </c>
      <c r="K1299" s="1786">
        <v>0</v>
      </c>
      <c r="L1299" s="1786" t="s">
        <v>1594</v>
      </c>
      <c r="M1299" s="1786" t="s">
        <v>1653</v>
      </c>
      <c r="N1299" s="1786" t="s">
        <v>1653</v>
      </c>
      <c r="O1299" s="1786">
        <v>0</v>
      </c>
      <c r="P1299" s="1786"/>
      <c r="Q1299" s="1786">
        <v>0</v>
      </c>
      <c r="R1299" s="1788"/>
      <c r="S1299" s="1786">
        <f t="shared" si="215"/>
        <v>659</v>
      </c>
      <c r="T1299" s="1786">
        <f t="shared" si="216"/>
        <v>0</v>
      </c>
      <c r="U1299" s="1786" t="str">
        <f t="shared" si="217"/>
        <v>מגדל מקפת משלימה</v>
      </c>
      <c r="V1299" s="1786" t="str">
        <f t="shared" si="218"/>
        <v>510464803</v>
      </c>
      <c r="W1299" s="1789" t="str">
        <f t="shared" si="219"/>
        <v>מגדל מקפת קרנות פנסיה וקופות גמל בע"מ</v>
      </c>
      <c r="AC1299" s="1761" t="s">
        <v>346</v>
      </c>
      <c r="AD1299" s="1761"/>
      <c r="AE1299" s="1762">
        <v>37622</v>
      </c>
      <c r="AF1299" s="1761" t="s">
        <v>70</v>
      </c>
      <c r="AG1299" s="1761" t="s">
        <v>70</v>
      </c>
      <c r="AH1299" s="1761" t="s">
        <v>3658</v>
      </c>
      <c r="AI1299" s="1761" t="s">
        <v>5615</v>
      </c>
      <c r="AJ1299" s="1761" t="s">
        <v>5616</v>
      </c>
      <c r="AK1299" s="1761">
        <v>9454</v>
      </c>
      <c r="AL1299" s="1761" t="s">
        <v>3703</v>
      </c>
      <c r="AM1299" s="1761">
        <v>659</v>
      </c>
      <c r="AN1299" s="1761"/>
      <c r="AO1299" s="1764"/>
      <c r="AP1299" s="1761" t="s">
        <v>5382</v>
      </c>
      <c r="AQ1299" s="1761" t="s">
        <v>5383</v>
      </c>
      <c r="AR1299" s="1761" t="s">
        <v>394</v>
      </c>
      <c r="AS1299" s="1761" t="s">
        <v>395</v>
      </c>
      <c r="AT1299" s="1761" t="s">
        <v>328</v>
      </c>
      <c r="AU1299" s="1763"/>
      <c r="AV1299" s="1763"/>
    </row>
    <row r="1300" spans="1:48" ht="37.5">
      <c r="A1300" s="1785" t="str">
        <f t="shared" si="209"/>
        <v>פנסיה</v>
      </c>
      <c r="B1300" s="1786">
        <f t="shared" si="210"/>
        <v>9455</v>
      </c>
      <c r="C1300" s="1787">
        <v>28946</v>
      </c>
      <c r="D1300" s="1786" t="str">
        <f t="shared" si="211"/>
        <v>מגדל מקפת משלימה לבני 60 ומעלה</v>
      </c>
      <c r="E1300" s="1786" t="s">
        <v>3929</v>
      </c>
      <c r="F1300" s="1786" t="s">
        <v>2958</v>
      </c>
      <c r="G1300" s="1786" t="s">
        <v>2959</v>
      </c>
      <c r="H1300" s="1786" t="str">
        <f t="shared" si="212"/>
        <v>פעיל</v>
      </c>
      <c r="I1300" s="1788">
        <f t="shared" si="213"/>
        <v>37622</v>
      </c>
      <c r="J1300" s="1788" t="str">
        <f t="shared" si="214"/>
        <v/>
      </c>
      <c r="K1300" s="1786">
        <v>0</v>
      </c>
      <c r="L1300" s="1786" t="s">
        <v>1594</v>
      </c>
      <c r="M1300" s="1786" t="s">
        <v>1653</v>
      </c>
      <c r="N1300" s="1786" t="s">
        <v>1653</v>
      </c>
      <c r="O1300" s="1786">
        <v>0</v>
      </c>
      <c r="P1300" s="1786"/>
      <c r="Q1300" s="1786">
        <v>0</v>
      </c>
      <c r="R1300" s="1788"/>
      <c r="S1300" s="1786">
        <f t="shared" si="215"/>
        <v>659</v>
      </c>
      <c r="T1300" s="1786">
        <f t="shared" si="216"/>
        <v>0</v>
      </c>
      <c r="U1300" s="1786" t="str">
        <f t="shared" si="217"/>
        <v>מגדל מקפת משלימה</v>
      </c>
      <c r="V1300" s="1786" t="str">
        <f t="shared" si="218"/>
        <v>510464803</v>
      </c>
      <c r="W1300" s="1789" t="str">
        <f t="shared" si="219"/>
        <v>מגדל מקפת קרנות פנסיה וקופות גמל בע"מ</v>
      </c>
      <c r="AC1300" s="1759" t="s">
        <v>346</v>
      </c>
      <c r="AD1300" s="1759"/>
      <c r="AE1300" s="1760">
        <v>37622</v>
      </c>
      <c r="AF1300" s="1759" t="s">
        <v>3963</v>
      </c>
      <c r="AG1300" s="1759" t="s">
        <v>3931</v>
      </c>
      <c r="AH1300" s="1759" t="s">
        <v>3658</v>
      </c>
      <c r="AI1300" s="1759" t="s">
        <v>5617</v>
      </c>
      <c r="AJ1300" s="1759" t="s">
        <v>5618</v>
      </c>
      <c r="AK1300" s="1759">
        <v>9455</v>
      </c>
      <c r="AL1300" s="1759" t="s">
        <v>3703</v>
      </c>
      <c r="AM1300" s="1759">
        <v>659</v>
      </c>
      <c r="AN1300" s="1759"/>
      <c r="AO1300" s="1764"/>
      <c r="AP1300" s="1759" t="s">
        <v>5382</v>
      </c>
      <c r="AQ1300" s="1759" t="s">
        <v>5383</v>
      </c>
      <c r="AR1300" s="1759" t="s">
        <v>394</v>
      </c>
      <c r="AS1300" s="1759" t="s">
        <v>395</v>
      </c>
      <c r="AT1300" s="1759" t="s">
        <v>328</v>
      </c>
      <c r="AU1300" s="1763"/>
      <c r="AV1300" s="1763"/>
    </row>
    <row r="1301" spans="1:48" ht="37.5">
      <c r="A1301" s="1785" t="str">
        <f t="shared" si="209"/>
        <v>פנסיה</v>
      </c>
      <c r="B1301" s="1786">
        <f t="shared" si="210"/>
        <v>12152</v>
      </c>
      <c r="C1301" s="1787">
        <v>28946</v>
      </c>
      <c r="D1301" s="1786" t="str">
        <f t="shared" si="211"/>
        <v>מגדל מקפת משלימה למקבלי קצבה</v>
      </c>
      <c r="E1301" s="1786" t="s">
        <v>3929</v>
      </c>
      <c r="F1301" s="1786" t="s">
        <v>2958</v>
      </c>
      <c r="G1301" s="1786" t="s">
        <v>2959</v>
      </c>
      <c r="H1301" s="1786" t="str">
        <f t="shared" si="212"/>
        <v>פעיל</v>
      </c>
      <c r="I1301" s="1788">
        <f t="shared" si="213"/>
        <v>37622</v>
      </c>
      <c r="J1301" s="1788" t="str">
        <f t="shared" si="214"/>
        <v/>
      </c>
      <c r="K1301" s="1786">
        <v>0</v>
      </c>
      <c r="L1301" s="1786" t="s">
        <v>1594</v>
      </c>
      <c r="M1301" s="1786" t="s">
        <v>1653</v>
      </c>
      <c r="N1301" s="1786" t="s">
        <v>1653</v>
      </c>
      <c r="O1301" s="1786">
        <v>0</v>
      </c>
      <c r="P1301" s="1786"/>
      <c r="Q1301" s="1786">
        <v>0</v>
      </c>
      <c r="R1301" s="1788"/>
      <c r="S1301" s="1786">
        <f t="shared" si="215"/>
        <v>659</v>
      </c>
      <c r="T1301" s="1786">
        <f t="shared" si="216"/>
        <v>0</v>
      </c>
      <c r="U1301" s="1786" t="str">
        <f t="shared" si="217"/>
        <v>מגדל מקפת משלימה</v>
      </c>
      <c r="V1301" s="1786" t="str">
        <f t="shared" si="218"/>
        <v>510464803</v>
      </c>
      <c r="W1301" s="1789" t="str">
        <f t="shared" si="219"/>
        <v>מגדל מקפת קרנות פנסיה וקופות גמל בע"מ</v>
      </c>
      <c r="AC1301" s="1761" t="s">
        <v>346</v>
      </c>
      <c r="AD1301" s="1761"/>
      <c r="AE1301" s="1762">
        <v>37622</v>
      </c>
      <c r="AF1301" s="1761" t="s">
        <v>1583</v>
      </c>
      <c r="AG1301" s="1761" t="s">
        <v>1583</v>
      </c>
      <c r="AH1301" s="1761" t="s">
        <v>1583</v>
      </c>
      <c r="AI1301" s="1761" t="s">
        <v>5619</v>
      </c>
      <c r="AJ1301" s="1761" t="s">
        <v>5620</v>
      </c>
      <c r="AK1301" s="1761">
        <v>12152</v>
      </c>
      <c r="AL1301" s="1761" t="s">
        <v>3703</v>
      </c>
      <c r="AM1301" s="1761">
        <v>659</v>
      </c>
      <c r="AN1301" s="1761"/>
      <c r="AO1301" s="1764"/>
      <c r="AP1301" s="1761" t="s">
        <v>5382</v>
      </c>
      <c r="AQ1301" s="1761" t="s">
        <v>5383</v>
      </c>
      <c r="AR1301" s="1761" t="s">
        <v>394</v>
      </c>
      <c r="AS1301" s="1761" t="s">
        <v>395</v>
      </c>
      <c r="AT1301" s="1761" t="s">
        <v>328</v>
      </c>
      <c r="AU1301" s="1763"/>
      <c r="AV1301" s="1763"/>
    </row>
    <row r="1302" spans="1:48" ht="25">
      <c r="A1302" s="1785" t="str">
        <f t="shared" si="209"/>
        <v>פנסיה</v>
      </c>
      <c r="B1302" s="1786">
        <f t="shared" si="210"/>
        <v>2150</v>
      </c>
      <c r="C1302" s="1787">
        <v>28946</v>
      </c>
      <c r="D1302" s="1786" t="str">
        <f t="shared" si="211"/>
        <v>איילון פיסגה מנהלים -כללי</v>
      </c>
      <c r="E1302" s="1786" t="s">
        <v>3929</v>
      </c>
      <c r="F1302" s="1786" t="s">
        <v>2958</v>
      </c>
      <c r="G1302" s="1786" t="s">
        <v>2959</v>
      </c>
      <c r="H1302" s="1786" t="str">
        <f t="shared" si="212"/>
        <v>לא פעיל</v>
      </c>
      <c r="I1302" s="1788">
        <f t="shared" si="213"/>
        <v>36620</v>
      </c>
      <c r="J1302" s="1788">
        <f t="shared" si="214"/>
        <v>42746.536296296297</v>
      </c>
      <c r="K1302" s="1786">
        <v>0</v>
      </c>
      <c r="L1302" s="1786" t="s">
        <v>1594</v>
      </c>
      <c r="M1302" s="1786" t="s">
        <v>1653</v>
      </c>
      <c r="N1302" s="1786" t="s">
        <v>1653</v>
      </c>
      <c r="O1302" s="1786">
        <v>0</v>
      </c>
      <c r="P1302" s="1786"/>
      <c r="Q1302" s="1786">
        <v>0</v>
      </c>
      <c r="R1302" s="1788"/>
      <c r="S1302" s="1786">
        <f t="shared" si="215"/>
        <v>657</v>
      </c>
      <c r="T1302" s="1786">
        <f t="shared" si="216"/>
        <v>0</v>
      </c>
      <c r="U1302" s="1786" t="str">
        <f t="shared" si="217"/>
        <v>איילון פיסגה כללית</v>
      </c>
      <c r="V1302" s="1786" t="str">
        <f t="shared" si="218"/>
        <v>520030677</v>
      </c>
      <c r="W1302" s="1789" t="str">
        <f t="shared" si="219"/>
        <v>איילון פנסיה וגמל בע"מ</v>
      </c>
      <c r="AC1302" s="1759" t="s">
        <v>1586</v>
      </c>
      <c r="AD1302" s="1760">
        <v>42746.536296296297</v>
      </c>
      <c r="AE1302" s="1760">
        <v>36620</v>
      </c>
      <c r="AF1302" s="1759" t="s">
        <v>1583</v>
      </c>
      <c r="AG1302" s="1759" t="s">
        <v>1583</v>
      </c>
      <c r="AH1302" s="1759" t="s">
        <v>1583</v>
      </c>
      <c r="AI1302" s="1759" t="s">
        <v>2610</v>
      </c>
      <c r="AJ1302" s="1759" t="s">
        <v>2610</v>
      </c>
      <c r="AK1302" s="1759">
        <v>2150</v>
      </c>
      <c r="AL1302" s="1759" t="s">
        <v>4594</v>
      </c>
      <c r="AM1302" s="1759">
        <v>657</v>
      </c>
      <c r="AN1302" s="1759"/>
      <c r="AO1302" s="1764"/>
      <c r="AP1302" s="1759" t="s">
        <v>5385</v>
      </c>
      <c r="AQ1302" s="1759" t="s">
        <v>5386</v>
      </c>
      <c r="AR1302" s="1759" t="s">
        <v>2780</v>
      </c>
      <c r="AS1302" s="1759" t="s">
        <v>426</v>
      </c>
      <c r="AT1302" s="1759" t="s">
        <v>328</v>
      </c>
      <c r="AU1302" s="1763"/>
      <c r="AV1302" s="1763"/>
    </row>
    <row r="1303" spans="1:48" ht="25">
      <c r="A1303" s="1785" t="str">
        <f t="shared" ref="A1303:A1366" si="220">AT1303</f>
        <v>פנסיה</v>
      </c>
      <c r="B1303" s="1786">
        <f t="shared" ref="B1303:B1366" si="221">AK1303</f>
        <v>2151</v>
      </c>
      <c r="C1303" s="1787">
        <v>28946</v>
      </c>
      <c r="D1303" s="1786" t="str">
        <f t="shared" ref="D1303:D1366" si="222">AJ1303</f>
        <v>איילון פיסגה מנהלים - פריזמה איילון</v>
      </c>
      <c r="E1303" s="1786" t="s">
        <v>3929</v>
      </c>
      <c r="F1303" s="1786" t="s">
        <v>2958</v>
      </c>
      <c r="G1303" s="1786" t="s">
        <v>2959</v>
      </c>
      <c r="H1303" s="1786" t="str">
        <f t="shared" ref="H1303:H1366" si="223">AC1303</f>
        <v>לא פעיל</v>
      </c>
      <c r="I1303" s="1788">
        <f t="shared" ref="I1303:I1366" si="224">IF(AE1303="","",AE1303)</f>
        <v>36620</v>
      </c>
      <c r="J1303" s="1788">
        <f t="shared" ref="J1303:J1366" si="225">IF(AD1303="","",AD1303)</f>
        <v>42556.3836226852</v>
      </c>
      <c r="K1303" s="1786">
        <v>0</v>
      </c>
      <c r="L1303" s="1786" t="s">
        <v>1594</v>
      </c>
      <c r="M1303" s="1786" t="s">
        <v>1653</v>
      </c>
      <c r="N1303" s="1786" t="s">
        <v>1653</v>
      </c>
      <c r="O1303" s="1786">
        <v>0</v>
      </c>
      <c r="P1303" s="1786"/>
      <c r="Q1303" s="1786">
        <v>0</v>
      </c>
      <c r="R1303" s="1788"/>
      <c r="S1303" s="1786">
        <f t="shared" ref="S1303:S1366" si="226">AM1303</f>
        <v>657</v>
      </c>
      <c r="T1303" s="1786">
        <f t="shared" ref="T1303:T1366" si="227">AN1303</f>
        <v>0</v>
      </c>
      <c r="U1303" s="1786" t="str">
        <f t="shared" ref="U1303:U1366" si="228">AL1303</f>
        <v>איילון פיסגה כללית</v>
      </c>
      <c r="V1303" s="1786" t="str">
        <f t="shared" ref="V1303:V1366" si="229">AQ1303</f>
        <v>520030677</v>
      </c>
      <c r="W1303" s="1789" t="str">
        <f t="shared" ref="W1303:W1366" si="230">AR1303</f>
        <v>איילון פנסיה וגמל בע"מ</v>
      </c>
      <c r="AC1303" s="1761" t="s">
        <v>1586</v>
      </c>
      <c r="AD1303" s="1762">
        <v>42556.3836226852</v>
      </c>
      <c r="AE1303" s="1762">
        <v>36620</v>
      </c>
      <c r="AF1303" s="1761" t="s">
        <v>1583</v>
      </c>
      <c r="AG1303" s="1761" t="s">
        <v>1583</v>
      </c>
      <c r="AH1303" s="1761" t="s">
        <v>1583</v>
      </c>
      <c r="AI1303" s="1761" t="s">
        <v>2611</v>
      </c>
      <c r="AJ1303" s="1761" t="s">
        <v>2611</v>
      </c>
      <c r="AK1303" s="1761">
        <v>2151</v>
      </c>
      <c r="AL1303" s="1761" t="s">
        <v>4594</v>
      </c>
      <c r="AM1303" s="1761">
        <v>657</v>
      </c>
      <c r="AN1303" s="1761"/>
      <c r="AO1303" s="1764"/>
      <c r="AP1303" s="1761" t="s">
        <v>5385</v>
      </c>
      <c r="AQ1303" s="1761" t="s">
        <v>5386</v>
      </c>
      <c r="AR1303" s="1761" t="s">
        <v>2780</v>
      </c>
      <c r="AS1303" s="1761" t="s">
        <v>426</v>
      </c>
      <c r="AT1303" s="1761" t="s">
        <v>328</v>
      </c>
      <c r="AU1303" s="1763"/>
      <c r="AV1303" s="1763"/>
    </row>
    <row r="1304" spans="1:48" ht="25">
      <c r="A1304" s="1785" t="str">
        <f t="shared" si="220"/>
        <v>פנסיה</v>
      </c>
      <c r="B1304" s="1786">
        <f t="shared" si="221"/>
        <v>2152</v>
      </c>
      <c r="C1304" s="1787">
        <v>28946</v>
      </c>
      <c r="D1304" s="1786" t="str">
        <f t="shared" si="222"/>
        <v>איילון פיסגה מנהלים - אג"ח</v>
      </c>
      <c r="E1304" s="1786" t="s">
        <v>3929</v>
      </c>
      <c r="F1304" s="1786" t="s">
        <v>2958</v>
      </c>
      <c r="G1304" s="1786" t="s">
        <v>2959</v>
      </c>
      <c r="H1304" s="1786" t="str">
        <f t="shared" si="223"/>
        <v>לא פעיל</v>
      </c>
      <c r="I1304" s="1788">
        <f t="shared" si="224"/>
        <v>36620</v>
      </c>
      <c r="J1304" s="1788">
        <f t="shared" si="225"/>
        <v>42746.391759259299</v>
      </c>
      <c r="K1304" s="1786">
        <v>0</v>
      </c>
      <c r="L1304" s="1786" t="s">
        <v>1594</v>
      </c>
      <c r="M1304" s="1786" t="s">
        <v>1653</v>
      </c>
      <c r="N1304" s="1786" t="s">
        <v>1653</v>
      </c>
      <c r="O1304" s="1786">
        <v>0</v>
      </c>
      <c r="P1304" s="1786"/>
      <c r="Q1304" s="1786">
        <v>0</v>
      </c>
      <c r="R1304" s="1788"/>
      <c r="S1304" s="1786">
        <f t="shared" si="226"/>
        <v>657</v>
      </c>
      <c r="T1304" s="1786">
        <f t="shared" si="227"/>
        <v>0</v>
      </c>
      <c r="U1304" s="1786" t="str">
        <f t="shared" si="228"/>
        <v>איילון פיסגה כללית</v>
      </c>
      <c r="V1304" s="1786" t="str">
        <f t="shared" si="229"/>
        <v>520030677</v>
      </c>
      <c r="W1304" s="1789" t="str">
        <f t="shared" si="230"/>
        <v>איילון פנסיה וגמל בע"מ</v>
      </c>
      <c r="AC1304" s="1759" t="s">
        <v>1586</v>
      </c>
      <c r="AD1304" s="1760">
        <v>42746.391759259299</v>
      </c>
      <c r="AE1304" s="1760">
        <v>36620</v>
      </c>
      <c r="AF1304" s="1759" t="s">
        <v>1653</v>
      </c>
      <c r="AG1304" s="1759" t="s">
        <v>1653</v>
      </c>
      <c r="AH1304" s="1759" t="s">
        <v>1594</v>
      </c>
      <c r="AI1304" s="1759" t="s">
        <v>3704</v>
      </c>
      <c r="AJ1304" s="1759" t="s">
        <v>3704</v>
      </c>
      <c r="AK1304" s="1759">
        <v>2152</v>
      </c>
      <c r="AL1304" s="1759" t="s">
        <v>4594</v>
      </c>
      <c r="AM1304" s="1759">
        <v>657</v>
      </c>
      <c r="AN1304" s="1759"/>
      <c r="AO1304" s="1764"/>
      <c r="AP1304" s="1759" t="s">
        <v>5385</v>
      </c>
      <c r="AQ1304" s="1759" t="s">
        <v>5386</v>
      </c>
      <c r="AR1304" s="1759" t="s">
        <v>2780</v>
      </c>
      <c r="AS1304" s="1759" t="s">
        <v>426</v>
      </c>
      <c r="AT1304" s="1759" t="s">
        <v>328</v>
      </c>
      <c r="AU1304" s="1763"/>
      <c r="AV1304" s="1763"/>
    </row>
    <row r="1305" spans="1:48" ht="25">
      <c r="A1305" s="1785" t="str">
        <f t="shared" si="220"/>
        <v>פנסיה</v>
      </c>
      <c r="B1305" s="1786">
        <f t="shared" si="221"/>
        <v>2153</v>
      </c>
      <c r="C1305" s="1787">
        <v>28946</v>
      </c>
      <c r="D1305" s="1786" t="str">
        <f t="shared" si="222"/>
        <v>איילון פיסגה מנהלים - פסגות איילון</v>
      </c>
      <c r="E1305" s="1786" t="s">
        <v>3929</v>
      </c>
      <c r="F1305" s="1786" t="s">
        <v>2958</v>
      </c>
      <c r="G1305" s="1786" t="s">
        <v>2959</v>
      </c>
      <c r="H1305" s="1786" t="str">
        <f t="shared" si="223"/>
        <v>לא פעיל</v>
      </c>
      <c r="I1305" s="1788">
        <f t="shared" si="224"/>
        <v>36620</v>
      </c>
      <c r="J1305" s="1788">
        <f t="shared" si="225"/>
        <v>42556.3836226852</v>
      </c>
      <c r="K1305" s="1786">
        <v>0</v>
      </c>
      <c r="L1305" s="1786" t="s">
        <v>1594</v>
      </c>
      <c r="M1305" s="1786" t="s">
        <v>1653</v>
      </c>
      <c r="N1305" s="1786" t="s">
        <v>1653</v>
      </c>
      <c r="O1305" s="1786">
        <v>0</v>
      </c>
      <c r="P1305" s="1786"/>
      <c r="Q1305" s="1786">
        <v>0</v>
      </c>
      <c r="R1305" s="1788"/>
      <c r="S1305" s="1786">
        <f t="shared" si="226"/>
        <v>657</v>
      </c>
      <c r="T1305" s="1786">
        <f t="shared" si="227"/>
        <v>0</v>
      </c>
      <c r="U1305" s="1786" t="str">
        <f t="shared" si="228"/>
        <v>איילון פיסגה כללית</v>
      </c>
      <c r="V1305" s="1786" t="str">
        <f t="shared" si="229"/>
        <v>520030677</v>
      </c>
      <c r="W1305" s="1789" t="str">
        <f t="shared" si="230"/>
        <v>איילון פנסיה וגמל בע"מ</v>
      </c>
      <c r="AC1305" s="1761" t="s">
        <v>1586</v>
      </c>
      <c r="AD1305" s="1762">
        <v>42556.3836226852</v>
      </c>
      <c r="AE1305" s="1762">
        <v>36620</v>
      </c>
      <c r="AF1305" s="1761" t="s">
        <v>1583</v>
      </c>
      <c r="AG1305" s="1761" t="s">
        <v>1583</v>
      </c>
      <c r="AH1305" s="1761" t="s">
        <v>1583</v>
      </c>
      <c r="AI1305" s="1761" t="s">
        <v>2612</v>
      </c>
      <c r="AJ1305" s="1761" t="s">
        <v>2612</v>
      </c>
      <c r="AK1305" s="1761">
        <v>2153</v>
      </c>
      <c r="AL1305" s="1761" t="s">
        <v>4594</v>
      </c>
      <c r="AM1305" s="1761">
        <v>657</v>
      </c>
      <c r="AN1305" s="1761"/>
      <c r="AO1305" s="1764"/>
      <c r="AP1305" s="1761" t="s">
        <v>5385</v>
      </c>
      <c r="AQ1305" s="1761" t="s">
        <v>5386</v>
      </c>
      <c r="AR1305" s="1761" t="s">
        <v>2780</v>
      </c>
      <c r="AS1305" s="1761" t="s">
        <v>426</v>
      </c>
      <c r="AT1305" s="1761" t="s">
        <v>328</v>
      </c>
      <c r="AU1305" s="1763"/>
      <c r="AV1305" s="1763"/>
    </row>
    <row r="1306" spans="1:48" ht="25">
      <c r="A1306" s="1785" t="str">
        <f t="shared" si="220"/>
        <v>פנסיה</v>
      </c>
      <c r="B1306" s="1786">
        <f t="shared" si="221"/>
        <v>2194</v>
      </c>
      <c r="C1306" s="1787">
        <v>28946</v>
      </c>
      <c r="D1306" s="1786" t="str">
        <f t="shared" si="222"/>
        <v>איילון פיסגה מנהלים - פנסיונרים</v>
      </c>
      <c r="E1306" s="1786" t="s">
        <v>3929</v>
      </c>
      <c r="F1306" s="1786" t="s">
        <v>2958</v>
      </c>
      <c r="G1306" s="1786" t="s">
        <v>2959</v>
      </c>
      <c r="H1306" s="1786" t="str">
        <f t="shared" si="223"/>
        <v>לא פעיל</v>
      </c>
      <c r="I1306" s="1788">
        <f t="shared" si="224"/>
        <v>36620</v>
      </c>
      <c r="J1306" s="1788">
        <f t="shared" si="225"/>
        <v>42746.536296296297</v>
      </c>
      <c r="K1306" s="1786">
        <v>0</v>
      </c>
      <c r="L1306" s="1786" t="s">
        <v>1594</v>
      </c>
      <c r="M1306" s="1786" t="s">
        <v>1653</v>
      </c>
      <c r="N1306" s="1786" t="s">
        <v>1653</v>
      </c>
      <c r="O1306" s="1786">
        <v>0</v>
      </c>
      <c r="P1306" s="1786"/>
      <c r="Q1306" s="1786">
        <v>0</v>
      </c>
      <c r="R1306" s="1788"/>
      <c r="S1306" s="1786">
        <f t="shared" si="226"/>
        <v>657</v>
      </c>
      <c r="T1306" s="1786">
        <f t="shared" si="227"/>
        <v>0</v>
      </c>
      <c r="U1306" s="1786" t="str">
        <f t="shared" si="228"/>
        <v>איילון פיסגה כללית</v>
      </c>
      <c r="V1306" s="1786" t="str">
        <f t="shared" si="229"/>
        <v>520030677</v>
      </c>
      <c r="W1306" s="1789" t="str">
        <f t="shared" si="230"/>
        <v>איילון פנסיה וגמל בע"מ</v>
      </c>
      <c r="AC1306" s="1759" t="s">
        <v>1586</v>
      </c>
      <c r="AD1306" s="1760">
        <v>42746.536296296297</v>
      </c>
      <c r="AE1306" s="1760">
        <v>36620</v>
      </c>
      <c r="AF1306" s="1759" t="s">
        <v>4160</v>
      </c>
      <c r="AG1306" s="1759" t="s">
        <v>2614</v>
      </c>
      <c r="AH1306" s="1759" t="s">
        <v>3658</v>
      </c>
      <c r="AI1306" s="1759" t="s">
        <v>2644</v>
      </c>
      <c r="AJ1306" s="1759" t="s">
        <v>2644</v>
      </c>
      <c r="AK1306" s="1759">
        <v>2194</v>
      </c>
      <c r="AL1306" s="1759" t="s">
        <v>4594</v>
      </c>
      <c r="AM1306" s="1759">
        <v>657</v>
      </c>
      <c r="AN1306" s="1759"/>
      <c r="AO1306" s="1764"/>
      <c r="AP1306" s="1759" t="s">
        <v>5385</v>
      </c>
      <c r="AQ1306" s="1759" t="s">
        <v>5386</v>
      </c>
      <c r="AR1306" s="1759" t="s">
        <v>2780</v>
      </c>
      <c r="AS1306" s="1759" t="s">
        <v>426</v>
      </c>
      <c r="AT1306" s="1759" t="s">
        <v>328</v>
      </c>
      <c r="AU1306" s="1763"/>
      <c r="AV1306" s="1763"/>
    </row>
    <row r="1307" spans="1:48" ht="25">
      <c r="A1307" s="1785" t="str">
        <f t="shared" si="220"/>
        <v>פנסיה</v>
      </c>
      <c r="B1307" s="1786">
        <f t="shared" si="221"/>
        <v>475</v>
      </c>
      <c r="C1307" s="1787">
        <v>28946</v>
      </c>
      <c r="D1307" s="1786" t="str">
        <f t="shared" si="222"/>
        <v>איילון פיסגה כללית עד 50</v>
      </c>
      <c r="E1307" s="1786" t="s">
        <v>3929</v>
      </c>
      <c r="F1307" s="1786" t="s">
        <v>2958</v>
      </c>
      <c r="G1307" s="1786" t="s">
        <v>2959</v>
      </c>
      <c r="H1307" s="1786" t="str">
        <f t="shared" si="223"/>
        <v>לא פעיל</v>
      </c>
      <c r="I1307" s="1788">
        <f t="shared" si="224"/>
        <v>36620</v>
      </c>
      <c r="J1307" s="1788">
        <f t="shared" si="225"/>
        <v>42746.536296296297</v>
      </c>
      <c r="K1307" s="1786">
        <v>0</v>
      </c>
      <c r="L1307" s="1786" t="s">
        <v>1594</v>
      </c>
      <c r="M1307" s="1786" t="s">
        <v>1653</v>
      </c>
      <c r="N1307" s="1786" t="s">
        <v>1653</v>
      </c>
      <c r="O1307" s="1786">
        <v>0</v>
      </c>
      <c r="P1307" s="1786"/>
      <c r="Q1307" s="1786">
        <v>0</v>
      </c>
      <c r="R1307" s="1788"/>
      <c r="S1307" s="1786">
        <f t="shared" si="226"/>
        <v>657</v>
      </c>
      <c r="T1307" s="1786">
        <f t="shared" si="227"/>
        <v>0</v>
      </c>
      <c r="U1307" s="1786" t="str">
        <f t="shared" si="228"/>
        <v>איילון פיסגה כללית</v>
      </c>
      <c r="V1307" s="1786" t="str">
        <f t="shared" si="229"/>
        <v>520030677</v>
      </c>
      <c r="W1307" s="1789" t="str">
        <f t="shared" si="230"/>
        <v>איילון פנסיה וגמל בע"מ</v>
      </c>
      <c r="AC1307" s="1761" t="s">
        <v>1586</v>
      </c>
      <c r="AD1307" s="1762">
        <v>42746.536296296297</v>
      </c>
      <c r="AE1307" s="1762">
        <v>36620</v>
      </c>
      <c r="AF1307" s="1761" t="s">
        <v>4151</v>
      </c>
      <c r="AG1307" s="1761" t="s">
        <v>3931</v>
      </c>
      <c r="AH1307" s="1761" t="s">
        <v>3658</v>
      </c>
      <c r="AI1307" s="1761" t="s">
        <v>4593</v>
      </c>
      <c r="AJ1307" s="1761" t="s">
        <v>4593</v>
      </c>
      <c r="AK1307" s="1761">
        <v>475</v>
      </c>
      <c r="AL1307" s="1761" t="s">
        <v>4594</v>
      </c>
      <c r="AM1307" s="1761">
        <v>657</v>
      </c>
      <c r="AN1307" s="1761"/>
      <c r="AO1307" s="1764"/>
      <c r="AP1307" s="1761" t="s">
        <v>5385</v>
      </c>
      <c r="AQ1307" s="1761" t="s">
        <v>5386</v>
      </c>
      <c r="AR1307" s="1761" t="s">
        <v>2780</v>
      </c>
      <c r="AS1307" s="1761" t="s">
        <v>426</v>
      </c>
      <c r="AT1307" s="1761" t="s">
        <v>328</v>
      </c>
      <c r="AU1307" s="1763"/>
      <c r="AV1307" s="1763"/>
    </row>
    <row r="1308" spans="1:48" ht="25">
      <c r="A1308" s="1785" t="str">
        <f t="shared" si="220"/>
        <v>פנסיה</v>
      </c>
      <c r="B1308" s="1786">
        <f t="shared" si="221"/>
        <v>476</v>
      </c>
      <c r="C1308" s="1787">
        <v>28946</v>
      </c>
      <c r="D1308" s="1786" t="str">
        <f t="shared" si="222"/>
        <v>איילון פיסגה כללית 50 עד 60</v>
      </c>
      <c r="E1308" s="1786" t="s">
        <v>3929</v>
      </c>
      <c r="F1308" s="1786" t="s">
        <v>2958</v>
      </c>
      <c r="G1308" s="1786" t="s">
        <v>2959</v>
      </c>
      <c r="H1308" s="1786" t="str">
        <f t="shared" si="223"/>
        <v>לא פעיל</v>
      </c>
      <c r="I1308" s="1788">
        <f t="shared" si="224"/>
        <v>36620</v>
      </c>
      <c r="J1308" s="1788">
        <f t="shared" si="225"/>
        <v>42746.536296296297</v>
      </c>
      <c r="K1308" s="1786">
        <v>0</v>
      </c>
      <c r="L1308" s="1786" t="s">
        <v>1594</v>
      </c>
      <c r="M1308" s="1786" t="s">
        <v>1653</v>
      </c>
      <c r="N1308" s="1786" t="s">
        <v>1653</v>
      </c>
      <c r="O1308" s="1786">
        <v>0</v>
      </c>
      <c r="P1308" s="1786"/>
      <c r="Q1308" s="1786">
        <v>0</v>
      </c>
      <c r="R1308" s="1788"/>
      <c r="S1308" s="1786">
        <f t="shared" si="226"/>
        <v>657</v>
      </c>
      <c r="T1308" s="1786">
        <f t="shared" si="227"/>
        <v>0</v>
      </c>
      <c r="U1308" s="1786" t="str">
        <f t="shared" si="228"/>
        <v>איילון פיסגה כללית</v>
      </c>
      <c r="V1308" s="1786" t="str">
        <f t="shared" si="229"/>
        <v>520030677</v>
      </c>
      <c r="W1308" s="1789" t="str">
        <f t="shared" si="230"/>
        <v>איילון פנסיה וגמל בע"מ</v>
      </c>
      <c r="AC1308" s="1759" t="s">
        <v>1586</v>
      </c>
      <c r="AD1308" s="1760">
        <v>42746.536296296297</v>
      </c>
      <c r="AE1308" s="1760">
        <v>36620</v>
      </c>
      <c r="AF1308" s="1759" t="s">
        <v>3932</v>
      </c>
      <c r="AG1308" s="1759" t="s">
        <v>3931</v>
      </c>
      <c r="AH1308" s="1759" t="s">
        <v>3658</v>
      </c>
      <c r="AI1308" s="1759" t="s">
        <v>4595</v>
      </c>
      <c r="AJ1308" s="1759" t="s">
        <v>4595</v>
      </c>
      <c r="AK1308" s="1759">
        <v>476</v>
      </c>
      <c r="AL1308" s="1759" t="s">
        <v>4594</v>
      </c>
      <c r="AM1308" s="1759">
        <v>657</v>
      </c>
      <c r="AN1308" s="1759"/>
      <c r="AO1308" s="1764"/>
      <c r="AP1308" s="1759" t="s">
        <v>5385</v>
      </c>
      <c r="AQ1308" s="1759" t="s">
        <v>5386</v>
      </c>
      <c r="AR1308" s="1759" t="s">
        <v>2780</v>
      </c>
      <c r="AS1308" s="1759" t="s">
        <v>426</v>
      </c>
      <c r="AT1308" s="1759" t="s">
        <v>328</v>
      </c>
      <c r="AU1308" s="1763"/>
      <c r="AV1308" s="1763"/>
    </row>
    <row r="1309" spans="1:48" ht="25">
      <c r="A1309" s="1785" t="str">
        <f t="shared" si="220"/>
        <v>פנסיה</v>
      </c>
      <c r="B1309" s="1786">
        <f t="shared" si="221"/>
        <v>477</v>
      </c>
      <c r="C1309" s="1787">
        <v>28946</v>
      </c>
      <c r="D1309" s="1786" t="str">
        <f t="shared" si="222"/>
        <v>איילון פיסגה כללית מעל 60</v>
      </c>
      <c r="E1309" s="1786" t="s">
        <v>3929</v>
      </c>
      <c r="F1309" s="1786" t="s">
        <v>2958</v>
      </c>
      <c r="G1309" s="1786" t="s">
        <v>2959</v>
      </c>
      <c r="H1309" s="1786" t="str">
        <f t="shared" si="223"/>
        <v>לא פעיל</v>
      </c>
      <c r="I1309" s="1788">
        <f t="shared" si="224"/>
        <v>36620</v>
      </c>
      <c r="J1309" s="1788">
        <f t="shared" si="225"/>
        <v>42746.536296296297</v>
      </c>
      <c r="K1309" s="1786">
        <v>0</v>
      </c>
      <c r="L1309" s="1786" t="s">
        <v>1594</v>
      </c>
      <c r="M1309" s="1786" t="s">
        <v>1653</v>
      </c>
      <c r="N1309" s="1786" t="s">
        <v>1653</v>
      </c>
      <c r="O1309" s="1786">
        <v>0</v>
      </c>
      <c r="P1309" s="1786"/>
      <c r="Q1309" s="1786">
        <v>0</v>
      </c>
      <c r="R1309" s="1788"/>
      <c r="S1309" s="1786">
        <f t="shared" si="226"/>
        <v>657</v>
      </c>
      <c r="T1309" s="1786">
        <f t="shared" si="227"/>
        <v>0</v>
      </c>
      <c r="U1309" s="1786" t="str">
        <f t="shared" si="228"/>
        <v>איילון פיסגה כללית</v>
      </c>
      <c r="V1309" s="1786" t="str">
        <f t="shared" si="229"/>
        <v>520030677</v>
      </c>
      <c r="W1309" s="1789" t="str">
        <f t="shared" si="230"/>
        <v>איילון פנסיה וגמל בע"מ</v>
      </c>
      <c r="AC1309" s="1761" t="s">
        <v>1586</v>
      </c>
      <c r="AD1309" s="1762">
        <v>42746.536296296297</v>
      </c>
      <c r="AE1309" s="1762">
        <v>36620</v>
      </c>
      <c r="AF1309" s="1761" t="s">
        <v>3963</v>
      </c>
      <c r="AG1309" s="1761" t="s">
        <v>3931</v>
      </c>
      <c r="AH1309" s="1761" t="s">
        <v>3658</v>
      </c>
      <c r="AI1309" s="1761" t="s">
        <v>4596</v>
      </c>
      <c r="AJ1309" s="1761" t="s">
        <v>4596</v>
      </c>
      <c r="AK1309" s="1761">
        <v>477</v>
      </c>
      <c r="AL1309" s="1761" t="s">
        <v>4594</v>
      </c>
      <c r="AM1309" s="1761">
        <v>657</v>
      </c>
      <c r="AN1309" s="1761"/>
      <c r="AO1309" s="1764"/>
      <c r="AP1309" s="1761" t="s">
        <v>5385</v>
      </c>
      <c r="AQ1309" s="1761" t="s">
        <v>5386</v>
      </c>
      <c r="AR1309" s="1761" t="s">
        <v>2780</v>
      </c>
      <c r="AS1309" s="1761" t="s">
        <v>426</v>
      </c>
      <c r="AT1309" s="1761" t="s">
        <v>328</v>
      </c>
      <c r="AU1309" s="1763"/>
      <c r="AV1309" s="1763"/>
    </row>
    <row r="1310" spans="1:48" ht="25">
      <c r="A1310" s="1785" t="str">
        <f t="shared" si="220"/>
        <v>פנסיה</v>
      </c>
      <c r="B1310" s="1786">
        <f t="shared" si="221"/>
        <v>2154</v>
      </c>
      <c r="C1310" s="1787">
        <v>28946</v>
      </c>
      <c r="D1310" s="1786" t="str">
        <f t="shared" si="222"/>
        <v>איילון פיסגה מנהלים - הדס איילון</v>
      </c>
      <c r="E1310" s="1786" t="s">
        <v>3929</v>
      </c>
      <c r="F1310" s="1786" t="s">
        <v>2958</v>
      </c>
      <c r="G1310" s="1786" t="s">
        <v>2959</v>
      </c>
      <c r="H1310" s="1786" t="str">
        <f t="shared" si="223"/>
        <v>לא פעיל</v>
      </c>
      <c r="I1310" s="1788">
        <f t="shared" si="224"/>
        <v>36620</v>
      </c>
      <c r="J1310" s="1788">
        <f t="shared" si="225"/>
        <v>42556.3836226852</v>
      </c>
      <c r="K1310" s="1786">
        <v>0</v>
      </c>
      <c r="L1310" s="1786" t="s">
        <v>1594</v>
      </c>
      <c r="M1310" s="1786" t="s">
        <v>1653</v>
      </c>
      <c r="N1310" s="1786" t="s">
        <v>1653</v>
      </c>
      <c r="O1310" s="1786">
        <v>0</v>
      </c>
      <c r="P1310" s="1786"/>
      <c r="Q1310" s="1786">
        <v>0</v>
      </c>
      <c r="R1310" s="1788"/>
      <c r="S1310" s="1786">
        <f t="shared" si="226"/>
        <v>657</v>
      </c>
      <c r="T1310" s="1786">
        <f t="shared" si="227"/>
        <v>0</v>
      </c>
      <c r="U1310" s="1786" t="str">
        <f t="shared" si="228"/>
        <v>איילון פיסגה כללית</v>
      </c>
      <c r="V1310" s="1786" t="str">
        <f t="shared" si="229"/>
        <v>520030677</v>
      </c>
      <c r="W1310" s="1789" t="str">
        <f t="shared" si="230"/>
        <v>איילון פנסיה וגמל בע"מ</v>
      </c>
      <c r="AC1310" s="1759" t="s">
        <v>1586</v>
      </c>
      <c r="AD1310" s="1760">
        <v>42556.3836226852</v>
      </c>
      <c r="AE1310" s="1760">
        <v>36620</v>
      </c>
      <c r="AF1310" s="1759" t="s">
        <v>1583</v>
      </c>
      <c r="AG1310" s="1759" t="s">
        <v>1583</v>
      </c>
      <c r="AH1310" s="1759" t="s">
        <v>1583</v>
      </c>
      <c r="AI1310" s="1759" t="s">
        <v>2613</v>
      </c>
      <c r="AJ1310" s="1759" t="s">
        <v>2613</v>
      </c>
      <c r="AK1310" s="1759">
        <v>2154</v>
      </c>
      <c r="AL1310" s="1759" t="s">
        <v>4594</v>
      </c>
      <c r="AM1310" s="1759">
        <v>657</v>
      </c>
      <c r="AN1310" s="1759"/>
      <c r="AO1310" s="1764"/>
      <c r="AP1310" s="1759" t="s">
        <v>5385</v>
      </c>
      <c r="AQ1310" s="1759" t="s">
        <v>5386</v>
      </c>
      <c r="AR1310" s="1759" t="s">
        <v>2780</v>
      </c>
      <c r="AS1310" s="1759" t="s">
        <v>426</v>
      </c>
      <c r="AT1310" s="1759" t="s">
        <v>328</v>
      </c>
      <c r="AU1310" s="1763"/>
      <c r="AV1310" s="1763"/>
    </row>
    <row r="1311" spans="1:48" ht="37.5" hidden="1">
      <c r="A1311" s="1785" t="str">
        <f t="shared" si="220"/>
        <v>גמל</v>
      </c>
      <c r="B1311" s="1786">
        <f t="shared" si="221"/>
        <v>651</v>
      </c>
      <c r="C1311" s="1787">
        <v>28946</v>
      </c>
      <c r="D1311" s="1786" t="str">
        <f t="shared" si="222"/>
        <v>מקפת מודוס פיצויים - מסלול מדדי</v>
      </c>
      <c r="E1311" s="1786" t="s">
        <v>3929</v>
      </c>
      <c r="F1311" s="1786" t="s">
        <v>2958</v>
      </c>
      <c r="G1311" s="1786" t="s">
        <v>2959</v>
      </c>
      <c r="H1311" s="1786" t="str">
        <f t="shared" si="223"/>
        <v>לא פעיל</v>
      </c>
      <c r="I1311" s="1788">
        <f t="shared" si="224"/>
        <v>36608</v>
      </c>
      <c r="J1311" s="1788">
        <f t="shared" si="225"/>
        <v>37798.657974537004</v>
      </c>
      <c r="K1311" s="1786">
        <v>0</v>
      </c>
      <c r="L1311" s="1786" t="s">
        <v>1594</v>
      </c>
      <c r="M1311" s="1786" t="s">
        <v>1653</v>
      </c>
      <c r="N1311" s="1786" t="s">
        <v>1653</v>
      </c>
      <c r="O1311" s="1786">
        <v>0</v>
      </c>
      <c r="P1311" s="1786"/>
      <c r="Q1311" s="1786">
        <v>0</v>
      </c>
      <c r="R1311" s="1788"/>
      <c r="S1311" s="1786">
        <f t="shared" si="226"/>
        <v>651</v>
      </c>
      <c r="T1311" s="1786">
        <f t="shared" si="227"/>
        <v>0</v>
      </c>
      <c r="U1311" s="1786" t="str">
        <f t="shared" si="228"/>
        <v>מקפת מודוס פיצויים - מסלול מדדי</v>
      </c>
      <c r="V1311" s="1786">
        <f t="shared" si="229"/>
        <v>0</v>
      </c>
      <c r="W1311" s="1789" t="str">
        <f t="shared" si="230"/>
        <v>מקפת מודוס חברה לניהול קופות גמל בע"מ</v>
      </c>
      <c r="AC1311" s="1761" t="s">
        <v>1586</v>
      </c>
      <c r="AD1311" s="1762">
        <v>37798.657974537004</v>
      </c>
      <c r="AE1311" s="1762">
        <v>36608</v>
      </c>
      <c r="AF1311" s="1761" t="s">
        <v>1583</v>
      </c>
      <c r="AG1311" s="1761" t="s">
        <v>1583</v>
      </c>
      <c r="AH1311" s="1761" t="s">
        <v>1583</v>
      </c>
      <c r="AI1311" s="1761" t="s">
        <v>3235</v>
      </c>
      <c r="AJ1311" s="1761" t="s">
        <v>1953</v>
      </c>
      <c r="AK1311" s="1761">
        <v>651</v>
      </c>
      <c r="AL1311" s="1761" t="s">
        <v>1953</v>
      </c>
      <c r="AM1311" s="1761">
        <v>651</v>
      </c>
      <c r="AN1311" s="1761"/>
      <c r="AO1311" s="1764"/>
      <c r="AP1311" s="1761"/>
      <c r="AQ1311" s="1761"/>
      <c r="AR1311" s="1761" t="s">
        <v>1951</v>
      </c>
      <c r="AS1311" s="1761" t="s">
        <v>1950</v>
      </c>
      <c r="AT1311" s="1761" t="s">
        <v>327</v>
      </c>
      <c r="AU1311" s="1763"/>
      <c r="AV1311" s="1763"/>
    </row>
    <row r="1312" spans="1:48" ht="37.5" hidden="1">
      <c r="A1312" s="1785" t="str">
        <f t="shared" si="220"/>
        <v>גמל</v>
      </c>
      <c r="B1312" s="1786">
        <f t="shared" si="221"/>
        <v>678</v>
      </c>
      <c r="C1312" s="1787">
        <v>28946</v>
      </c>
      <c r="D1312" s="1786" t="str">
        <f t="shared" si="222"/>
        <v>מקפת מודוס פיצויים - מסלול גמיש מעורב</v>
      </c>
      <c r="E1312" s="1786" t="s">
        <v>3929</v>
      </c>
      <c r="F1312" s="1786" t="s">
        <v>2958</v>
      </c>
      <c r="G1312" s="1786" t="s">
        <v>2959</v>
      </c>
      <c r="H1312" s="1786" t="str">
        <f t="shared" si="223"/>
        <v>לא פעיל</v>
      </c>
      <c r="I1312" s="1788">
        <f t="shared" si="224"/>
        <v>36608</v>
      </c>
      <c r="J1312" s="1788">
        <f t="shared" si="225"/>
        <v>36745.520590277803</v>
      </c>
      <c r="K1312" s="1786">
        <v>0</v>
      </c>
      <c r="L1312" s="1786" t="s">
        <v>1594</v>
      </c>
      <c r="M1312" s="1786" t="s">
        <v>1653</v>
      </c>
      <c r="N1312" s="1786" t="s">
        <v>1653</v>
      </c>
      <c r="O1312" s="1786">
        <v>0</v>
      </c>
      <c r="P1312" s="1786"/>
      <c r="Q1312" s="1786">
        <v>0</v>
      </c>
      <c r="R1312" s="1788"/>
      <c r="S1312" s="1786">
        <f t="shared" si="226"/>
        <v>651</v>
      </c>
      <c r="T1312" s="1786">
        <f t="shared" si="227"/>
        <v>0</v>
      </c>
      <c r="U1312" s="1786" t="str">
        <f t="shared" si="228"/>
        <v>מקפת מודוס פיצויים - מסלול מדדי</v>
      </c>
      <c r="V1312" s="1786">
        <f t="shared" si="229"/>
        <v>0</v>
      </c>
      <c r="W1312" s="1789" t="str">
        <f t="shared" si="230"/>
        <v>מקפת מודוס חברה לניהול קופות גמל בע"מ</v>
      </c>
      <c r="AC1312" s="1759" t="s">
        <v>1586</v>
      </c>
      <c r="AD1312" s="1760">
        <v>36745.520590277803</v>
      </c>
      <c r="AE1312" s="1760">
        <v>36608</v>
      </c>
      <c r="AF1312" s="1759" t="s">
        <v>1583</v>
      </c>
      <c r="AG1312" s="1759" t="s">
        <v>1583</v>
      </c>
      <c r="AH1312" s="1759" t="s">
        <v>1583</v>
      </c>
      <c r="AI1312" s="1759" t="s">
        <v>3246</v>
      </c>
      <c r="AJ1312" s="1759" t="s">
        <v>1964</v>
      </c>
      <c r="AK1312" s="1759">
        <v>678</v>
      </c>
      <c r="AL1312" s="1759" t="s">
        <v>1953</v>
      </c>
      <c r="AM1312" s="1759">
        <v>651</v>
      </c>
      <c r="AN1312" s="1759"/>
      <c r="AO1312" s="1764"/>
      <c r="AP1312" s="1759"/>
      <c r="AQ1312" s="1759"/>
      <c r="AR1312" s="1759" t="s">
        <v>1951</v>
      </c>
      <c r="AS1312" s="1759" t="s">
        <v>1950</v>
      </c>
      <c r="AT1312" s="1759" t="s">
        <v>327</v>
      </c>
      <c r="AU1312" s="1763"/>
      <c r="AV1312" s="1763"/>
    </row>
    <row r="1313" spans="1:48" ht="37.5" hidden="1">
      <c r="A1313" s="1785" t="str">
        <f t="shared" si="220"/>
        <v>גמל</v>
      </c>
      <c r="B1313" s="1786">
        <f t="shared" si="221"/>
        <v>677</v>
      </c>
      <c r="C1313" s="1787">
        <v>28946</v>
      </c>
      <c r="D1313" s="1786" t="str">
        <f t="shared" si="222"/>
        <v>מקפת מודוס פיצויים - מסלול מוטה מניות</v>
      </c>
      <c r="E1313" s="1786" t="s">
        <v>3929</v>
      </c>
      <c r="F1313" s="1786" t="s">
        <v>2958</v>
      </c>
      <c r="G1313" s="1786" t="s">
        <v>2959</v>
      </c>
      <c r="H1313" s="1786" t="str">
        <f t="shared" si="223"/>
        <v>לא פעיל</v>
      </c>
      <c r="I1313" s="1788">
        <f t="shared" si="224"/>
        <v>36608</v>
      </c>
      <c r="J1313" s="1788">
        <f t="shared" si="225"/>
        <v>36745.520590277803</v>
      </c>
      <c r="K1313" s="1786">
        <v>0</v>
      </c>
      <c r="L1313" s="1786" t="s">
        <v>1594</v>
      </c>
      <c r="M1313" s="1786" t="s">
        <v>1653</v>
      </c>
      <c r="N1313" s="1786" t="s">
        <v>1653</v>
      </c>
      <c r="O1313" s="1786">
        <v>0</v>
      </c>
      <c r="P1313" s="1786"/>
      <c r="Q1313" s="1786">
        <v>0</v>
      </c>
      <c r="R1313" s="1788"/>
      <c r="S1313" s="1786">
        <f t="shared" si="226"/>
        <v>651</v>
      </c>
      <c r="T1313" s="1786">
        <f t="shared" si="227"/>
        <v>0</v>
      </c>
      <c r="U1313" s="1786" t="str">
        <f t="shared" si="228"/>
        <v>מקפת מודוס פיצויים - מסלול מדדי</v>
      </c>
      <c r="V1313" s="1786">
        <f t="shared" si="229"/>
        <v>0</v>
      </c>
      <c r="W1313" s="1789" t="str">
        <f t="shared" si="230"/>
        <v>מקפת מודוס חברה לניהול קופות גמל בע"מ</v>
      </c>
      <c r="AC1313" s="1761" t="s">
        <v>1586</v>
      </c>
      <c r="AD1313" s="1762">
        <v>36745.520590277803</v>
      </c>
      <c r="AE1313" s="1762">
        <v>36608</v>
      </c>
      <c r="AF1313" s="1761" t="s">
        <v>1583</v>
      </c>
      <c r="AG1313" s="1761" t="s">
        <v>1583</v>
      </c>
      <c r="AH1313" s="1761" t="s">
        <v>1583</v>
      </c>
      <c r="AI1313" s="1761" t="s">
        <v>3245</v>
      </c>
      <c r="AJ1313" s="1761" t="s">
        <v>1963</v>
      </c>
      <c r="AK1313" s="1761">
        <v>677</v>
      </c>
      <c r="AL1313" s="1761" t="s">
        <v>1953</v>
      </c>
      <c r="AM1313" s="1761">
        <v>651</v>
      </c>
      <c r="AN1313" s="1761"/>
      <c r="AO1313" s="1764"/>
      <c r="AP1313" s="1761"/>
      <c r="AQ1313" s="1761"/>
      <c r="AR1313" s="1761" t="s">
        <v>1951</v>
      </c>
      <c r="AS1313" s="1761" t="s">
        <v>1950</v>
      </c>
      <c r="AT1313" s="1761" t="s">
        <v>327</v>
      </c>
      <c r="AU1313" s="1763"/>
      <c r="AV1313" s="1763"/>
    </row>
    <row r="1314" spans="1:48" ht="37.5" hidden="1">
      <c r="A1314" s="1785" t="str">
        <f t="shared" si="220"/>
        <v>גמל</v>
      </c>
      <c r="B1314" s="1786">
        <f t="shared" si="221"/>
        <v>676</v>
      </c>
      <c r="C1314" s="1787">
        <v>28946</v>
      </c>
      <c r="D1314" s="1786" t="str">
        <f t="shared" si="222"/>
        <v>מקפת מודוס פיצויים - מסלול מעורב</v>
      </c>
      <c r="E1314" s="1786" t="s">
        <v>3929</v>
      </c>
      <c r="F1314" s="1786" t="s">
        <v>2958</v>
      </c>
      <c r="G1314" s="1786" t="s">
        <v>2959</v>
      </c>
      <c r="H1314" s="1786" t="str">
        <f t="shared" si="223"/>
        <v>לא פעיל</v>
      </c>
      <c r="I1314" s="1788">
        <f t="shared" si="224"/>
        <v>36608</v>
      </c>
      <c r="J1314" s="1788">
        <f t="shared" si="225"/>
        <v>36745.520590277803</v>
      </c>
      <c r="K1314" s="1786">
        <v>0</v>
      </c>
      <c r="L1314" s="1786" t="s">
        <v>1594</v>
      </c>
      <c r="M1314" s="1786" t="s">
        <v>1653</v>
      </c>
      <c r="N1314" s="1786" t="s">
        <v>1653</v>
      </c>
      <c r="O1314" s="1786">
        <v>0</v>
      </c>
      <c r="P1314" s="1786"/>
      <c r="Q1314" s="1786">
        <v>0</v>
      </c>
      <c r="R1314" s="1788"/>
      <c r="S1314" s="1786">
        <f t="shared" si="226"/>
        <v>651</v>
      </c>
      <c r="T1314" s="1786">
        <f t="shared" si="227"/>
        <v>0</v>
      </c>
      <c r="U1314" s="1786" t="str">
        <f t="shared" si="228"/>
        <v>מקפת מודוס פיצויים - מסלול מדדי</v>
      </c>
      <c r="V1314" s="1786">
        <f t="shared" si="229"/>
        <v>0</v>
      </c>
      <c r="W1314" s="1789" t="str">
        <f t="shared" si="230"/>
        <v>מקפת מודוס חברה לניהול קופות גמל בע"מ</v>
      </c>
      <c r="AC1314" s="1759" t="s">
        <v>1586</v>
      </c>
      <c r="AD1314" s="1760">
        <v>36745.520590277803</v>
      </c>
      <c r="AE1314" s="1760">
        <v>36608</v>
      </c>
      <c r="AF1314" s="1759" t="s">
        <v>1583</v>
      </c>
      <c r="AG1314" s="1759" t="s">
        <v>1583</v>
      </c>
      <c r="AH1314" s="1759" t="s">
        <v>1583</v>
      </c>
      <c r="AI1314" s="1759" t="s">
        <v>3244</v>
      </c>
      <c r="AJ1314" s="1759" t="s">
        <v>1962</v>
      </c>
      <c r="AK1314" s="1759">
        <v>676</v>
      </c>
      <c r="AL1314" s="1759" t="s">
        <v>1953</v>
      </c>
      <c r="AM1314" s="1759">
        <v>651</v>
      </c>
      <c r="AN1314" s="1759"/>
      <c r="AO1314" s="1764"/>
      <c r="AP1314" s="1759"/>
      <c r="AQ1314" s="1759"/>
      <c r="AR1314" s="1759" t="s">
        <v>1951</v>
      </c>
      <c r="AS1314" s="1759" t="s">
        <v>1950</v>
      </c>
      <c r="AT1314" s="1759" t="s">
        <v>327</v>
      </c>
      <c r="AU1314" s="1763"/>
      <c r="AV1314" s="1763"/>
    </row>
    <row r="1315" spans="1:48" ht="37.5" hidden="1">
      <c r="A1315" s="1785" t="str">
        <f t="shared" si="220"/>
        <v>גמל</v>
      </c>
      <c r="B1315" s="1786">
        <f t="shared" si="221"/>
        <v>650</v>
      </c>
      <c r="C1315" s="1787">
        <v>28946</v>
      </c>
      <c r="D1315" s="1786" t="str">
        <f t="shared" si="222"/>
        <v>מקפת מודוס קופת תגמולים ופיצויים - מסלול מדדי</v>
      </c>
      <c r="E1315" s="1786" t="s">
        <v>3929</v>
      </c>
      <c r="F1315" s="1786" t="s">
        <v>2958</v>
      </c>
      <c r="G1315" s="1786" t="s">
        <v>2959</v>
      </c>
      <c r="H1315" s="1786" t="str">
        <f t="shared" si="223"/>
        <v>לא פעיל</v>
      </c>
      <c r="I1315" s="1788">
        <f t="shared" si="224"/>
        <v>36607</v>
      </c>
      <c r="J1315" s="1788">
        <f t="shared" si="225"/>
        <v>37798.6581365741</v>
      </c>
      <c r="K1315" s="1786">
        <v>0</v>
      </c>
      <c r="L1315" s="1786" t="s">
        <v>1594</v>
      </c>
      <c r="M1315" s="1786" t="s">
        <v>1653</v>
      </c>
      <c r="N1315" s="1786" t="s">
        <v>1653</v>
      </c>
      <c r="O1315" s="1786">
        <v>0</v>
      </c>
      <c r="P1315" s="1786"/>
      <c r="Q1315" s="1786">
        <v>0</v>
      </c>
      <c r="R1315" s="1788"/>
      <c r="S1315" s="1786">
        <f t="shared" si="226"/>
        <v>650</v>
      </c>
      <c r="T1315" s="1786">
        <f t="shared" si="227"/>
        <v>0</v>
      </c>
      <c r="U1315" s="1786" t="str">
        <f t="shared" si="228"/>
        <v>מקפת מודוס קופת תגמולים ופיצויים - מסלול מדדי</v>
      </c>
      <c r="V1315" s="1786">
        <f t="shared" si="229"/>
        <v>0</v>
      </c>
      <c r="W1315" s="1789" t="str">
        <f t="shared" si="230"/>
        <v>מקפת מודוס חברה לניהול קופות גמל בע"מ</v>
      </c>
      <c r="AC1315" s="1761" t="s">
        <v>1586</v>
      </c>
      <c r="AD1315" s="1762">
        <v>37798.6581365741</v>
      </c>
      <c r="AE1315" s="1762">
        <v>36607</v>
      </c>
      <c r="AF1315" s="1761" t="s">
        <v>1583</v>
      </c>
      <c r="AG1315" s="1761" t="s">
        <v>1583</v>
      </c>
      <c r="AH1315" s="1761" t="s">
        <v>1583</v>
      </c>
      <c r="AI1315" s="1761" t="s">
        <v>3234</v>
      </c>
      <c r="AJ1315" s="1761" t="s">
        <v>1952</v>
      </c>
      <c r="AK1315" s="1761">
        <v>650</v>
      </c>
      <c r="AL1315" s="1761" t="s">
        <v>1952</v>
      </c>
      <c r="AM1315" s="1761">
        <v>650</v>
      </c>
      <c r="AN1315" s="1761"/>
      <c r="AO1315" s="1764"/>
      <c r="AP1315" s="1761"/>
      <c r="AQ1315" s="1761"/>
      <c r="AR1315" s="1761" t="s">
        <v>1951</v>
      </c>
      <c r="AS1315" s="1761" t="s">
        <v>1950</v>
      </c>
      <c r="AT1315" s="1761" t="s">
        <v>327</v>
      </c>
      <c r="AU1315" s="1763"/>
      <c r="AV1315" s="1763"/>
    </row>
    <row r="1316" spans="1:48" ht="37.5" hidden="1">
      <c r="A1316" s="1785" t="str">
        <f t="shared" si="220"/>
        <v>גמל</v>
      </c>
      <c r="B1316" s="1786">
        <f t="shared" si="221"/>
        <v>675</v>
      </c>
      <c r="C1316" s="1787">
        <v>28946</v>
      </c>
      <c r="D1316" s="1786" t="str">
        <f t="shared" si="222"/>
        <v>מקפת מודוס קופת תגמולים ופיצויים - מסלול גמיש מעורב</v>
      </c>
      <c r="E1316" s="1786" t="s">
        <v>3929</v>
      </c>
      <c r="F1316" s="1786" t="s">
        <v>2958</v>
      </c>
      <c r="G1316" s="1786" t="s">
        <v>2959</v>
      </c>
      <c r="H1316" s="1786" t="str">
        <f t="shared" si="223"/>
        <v>לא פעיל</v>
      </c>
      <c r="I1316" s="1788">
        <f t="shared" si="224"/>
        <v>36607</v>
      </c>
      <c r="J1316" s="1788">
        <f t="shared" si="225"/>
        <v>36745.520497685196</v>
      </c>
      <c r="K1316" s="1786">
        <v>0</v>
      </c>
      <c r="L1316" s="1786" t="s">
        <v>1594</v>
      </c>
      <c r="M1316" s="1786" t="s">
        <v>1653</v>
      </c>
      <c r="N1316" s="1786" t="s">
        <v>1653</v>
      </c>
      <c r="O1316" s="1786">
        <v>0</v>
      </c>
      <c r="P1316" s="1786"/>
      <c r="Q1316" s="1786">
        <v>0</v>
      </c>
      <c r="R1316" s="1788"/>
      <c r="S1316" s="1786">
        <f t="shared" si="226"/>
        <v>650</v>
      </c>
      <c r="T1316" s="1786">
        <f t="shared" si="227"/>
        <v>0</v>
      </c>
      <c r="U1316" s="1786" t="str">
        <f t="shared" si="228"/>
        <v>מקפת מודוס קופת תגמולים ופיצויים - מסלול מדדי</v>
      </c>
      <c r="V1316" s="1786">
        <f t="shared" si="229"/>
        <v>0</v>
      </c>
      <c r="W1316" s="1789" t="str">
        <f t="shared" si="230"/>
        <v>מקפת מודוס חברה לניהול קופות גמל בע"מ</v>
      </c>
      <c r="AC1316" s="1759" t="s">
        <v>1586</v>
      </c>
      <c r="AD1316" s="1760">
        <v>36745.520497685196</v>
      </c>
      <c r="AE1316" s="1760">
        <v>36607</v>
      </c>
      <c r="AF1316" s="1759" t="s">
        <v>1583</v>
      </c>
      <c r="AG1316" s="1759" t="s">
        <v>1583</v>
      </c>
      <c r="AH1316" s="1759" t="s">
        <v>1583</v>
      </c>
      <c r="AI1316" s="1759" t="s">
        <v>3243</v>
      </c>
      <c r="AJ1316" s="1759" t="s">
        <v>1961</v>
      </c>
      <c r="AK1316" s="1759">
        <v>675</v>
      </c>
      <c r="AL1316" s="1759" t="s">
        <v>1952</v>
      </c>
      <c r="AM1316" s="1759">
        <v>650</v>
      </c>
      <c r="AN1316" s="1759"/>
      <c r="AO1316" s="1764"/>
      <c r="AP1316" s="1759"/>
      <c r="AQ1316" s="1759"/>
      <c r="AR1316" s="1759" t="s">
        <v>1951</v>
      </c>
      <c r="AS1316" s="1759" t="s">
        <v>1950</v>
      </c>
      <c r="AT1316" s="1759" t="s">
        <v>327</v>
      </c>
      <c r="AU1316" s="1763"/>
      <c r="AV1316" s="1763"/>
    </row>
    <row r="1317" spans="1:48" ht="37.5" hidden="1">
      <c r="A1317" s="1785" t="str">
        <f t="shared" si="220"/>
        <v>גמל</v>
      </c>
      <c r="B1317" s="1786">
        <f t="shared" si="221"/>
        <v>674</v>
      </c>
      <c r="C1317" s="1787">
        <v>28946</v>
      </c>
      <c r="D1317" s="1786" t="str">
        <f t="shared" si="222"/>
        <v>מקפת מודוס קופת תגמולים ופיצויים - מסלול מוטה מניות</v>
      </c>
      <c r="E1317" s="1786" t="s">
        <v>3929</v>
      </c>
      <c r="F1317" s="1786" t="s">
        <v>2958</v>
      </c>
      <c r="G1317" s="1786" t="s">
        <v>2959</v>
      </c>
      <c r="H1317" s="1786" t="str">
        <f t="shared" si="223"/>
        <v>לא פעיל</v>
      </c>
      <c r="I1317" s="1788">
        <f t="shared" si="224"/>
        <v>36607</v>
      </c>
      <c r="J1317" s="1788">
        <f t="shared" si="225"/>
        <v>36745.520497685196</v>
      </c>
      <c r="K1317" s="1786">
        <v>0</v>
      </c>
      <c r="L1317" s="1786" t="s">
        <v>1594</v>
      </c>
      <c r="M1317" s="1786" t="s">
        <v>1653</v>
      </c>
      <c r="N1317" s="1786" t="s">
        <v>1653</v>
      </c>
      <c r="O1317" s="1786">
        <v>0</v>
      </c>
      <c r="P1317" s="1786"/>
      <c r="Q1317" s="1786">
        <v>0</v>
      </c>
      <c r="R1317" s="1788"/>
      <c r="S1317" s="1786">
        <f t="shared" si="226"/>
        <v>650</v>
      </c>
      <c r="T1317" s="1786">
        <f t="shared" si="227"/>
        <v>0</v>
      </c>
      <c r="U1317" s="1786" t="str">
        <f t="shared" si="228"/>
        <v>מקפת מודוס קופת תגמולים ופיצויים - מסלול מדדי</v>
      </c>
      <c r="V1317" s="1786">
        <f t="shared" si="229"/>
        <v>0</v>
      </c>
      <c r="W1317" s="1789" t="str">
        <f t="shared" si="230"/>
        <v>מקפת מודוס חברה לניהול קופות גמל בע"מ</v>
      </c>
      <c r="AC1317" s="1761" t="s">
        <v>1586</v>
      </c>
      <c r="AD1317" s="1762">
        <v>36745.520497685196</v>
      </c>
      <c r="AE1317" s="1762">
        <v>36607</v>
      </c>
      <c r="AF1317" s="1761" t="s">
        <v>1583</v>
      </c>
      <c r="AG1317" s="1761" t="s">
        <v>1583</v>
      </c>
      <c r="AH1317" s="1761" t="s">
        <v>1583</v>
      </c>
      <c r="AI1317" s="1761" t="s">
        <v>3242</v>
      </c>
      <c r="AJ1317" s="1761" t="s">
        <v>1960</v>
      </c>
      <c r="AK1317" s="1761">
        <v>674</v>
      </c>
      <c r="AL1317" s="1761" t="s">
        <v>1952</v>
      </c>
      <c r="AM1317" s="1761">
        <v>650</v>
      </c>
      <c r="AN1317" s="1761"/>
      <c r="AO1317" s="1764"/>
      <c r="AP1317" s="1761"/>
      <c r="AQ1317" s="1761"/>
      <c r="AR1317" s="1761" t="s">
        <v>1951</v>
      </c>
      <c r="AS1317" s="1761" t="s">
        <v>1950</v>
      </c>
      <c r="AT1317" s="1761" t="s">
        <v>327</v>
      </c>
      <c r="AU1317" s="1763"/>
      <c r="AV1317" s="1763"/>
    </row>
    <row r="1318" spans="1:48" ht="37.5" hidden="1">
      <c r="A1318" s="1785" t="str">
        <f t="shared" si="220"/>
        <v>גמל</v>
      </c>
      <c r="B1318" s="1786">
        <f t="shared" si="221"/>
        <v>673</v>
      </c>
      <c r="C1318" s="1787">
        <v>28946</v>
      </c>
      <c r="D1318" s="1786" t="str">
        <f t="shared" si="222"/>
        <v>מקפת מודוס קופת תגמולים ופיצויים - מסלול מעורב</v>
      </c>
      <c r="E1318" s="1786" t="s">
        <v>3929</v>
      </c>
      <c r="F1318" s="1786" t="s">
        <v>2958</v>
      </c>
      <c r="G1318" s="1786" t="s">
        <v>2959</v>
      </c>
      <c r="H1318" s="1786" t="str">
        <f t="shared" si="223"/>
        <v>לא פעיל</v>
      </c>
      <c r="I1318" s="1788">
        <f t="shared" si="224"/>
        <v>36607</v>
      </c>
      <c r="J1318" s="1788">
        <f t="shared" si="225"/>
        <v>36745.520497685196</v>
      </c>
      <c r="K1318" s="1786">
        <v>0</v>
      </c>
      <c r="L1318" s="1786" t="s">
        <v>1594</v>
      </c>
      <c r="M1318" s="1786" t="s">
        <v>1653</v>
      </c>
      <c r="N1318" s="1786" t="s">
        <v>1653</v>
      </c>
      <c r="O1318" s="1786">
        <v>0</v>
      </c>
      <c r="P1318" s="1786"/>
      <c r="Q1318" s="1786">
        <v>0</v>
      </c>
      <c r="R1318" s="1788"/>
      <c r="S1318" s="1786">
        <f t="shared" si="226"/>
        <v>650</v>
      </c>
      <c r="T1318" s="1786">
        <f t="shared" si="227"/>
        <v>0</v>
      </c>
      <c r="U1318" s="1786" t="str">
        <f t="shared" si="228"/>
        <v>מקפת מודוס קופת תגמולים ופיצויים - מסלול מדדי</v>
      </c>
      <c r="V1318" s="1786">
        <f t="shared" si="229"/>
        <v>0</v>
      </c>
      <c r="W1318" s="1789" t="str">
        <f t="shared" si="230"/>
        <v>מקפת מודוס חברה לניהול קופות גמל בע"מ</v>
      </c>
      <c r="AC1318" s="1759" t="s">
        <v>1586</v>
      </c>
      <c r="AD1318" s="1760">
        <v>36745.520497685196</v>
      </c>
      <c r="AE1318" s="1760">
        <v>36607</v>
      </c>
      <c r="AF1318" s="1759" t="s">
        <v>1583</v>
      </c>
      <c r="AG1318" s="1759" t="s">
        <v>1583</v>
      </c>
      <c r="AH1318" s="1759" t="s">
        <v>1583</v>
      </c>
      <c r="AI1318" s="1759" t="s">
        <v>3241</v>
      </c>
      <c r="AJ1318" s="1759" t="s">
        <v>1959</v>
      </c>
      <c r="AK1318" s="1759">
        <v>673</v>
      </c>
      <c r="AL1318" s="1759" t="s">
        <v>1952</v>
      </c>
      <c r="AM1318" s="1759">
        <v>650</v>
      </c>
      <c r="AN1318" s="1759"/>
      <c r="AO1318" s="1764"/>
      <c r="AP1318" s="1759"/>
      <c r="AQ1318" s="1759"/>
      <c r="AR1318" s="1759" t="s">
        <v>1951</v>
      </c>
      <c r="AS1318" s="1759" t="s">
        <v>1950</v>
      </c>
      <c r="AT1318" s="1759" t="s">
        <v>327</v>
      </c>
      <c r="AU1318" s="1763"/>
      <c r="AV1318" s="1763"/>
    </row>
    <row r="1319" spans="1:48" ht="37.5" hidden="1">
      <c r="A1319" s="1785" t="str">
        <f t="shared" si="220"/>
        <v>גמל</v>
      </c>
      <c r="B1319" s="1786">
        <f t="shared" si="221"/>
        <v>649</v>
      </c>
      <c r="C1319" s="1787">
        <v>28946</v>
      </c>
      <c r="D1319" s="1786" t="str">
        <f t="shared" si="222"/>
        <v>מקפת מודוס קרן השתלמות מסלול מדדי</v>
      </c>
      <c r="E1319" s="1786" t="s">
        <v>3929</v>
      </c>
      <c r="F1319" s="1786" t="s">
        <v>2958</v>
      </c>
      <c r="G1319" s="1786" t="s">
        <v>2959</v>
      </c>
      <c r="H1319" s="1786" t="str">
        <f t="shared" si="223"/>
        <v>לא פעיל</v>
      </c>
      <c r="I1319" s="1788">
        <f t="shared" si="224"/>
        <v>36534</v>
      </c>
      <c r="J1319" s="1788">
        <f t="shared" si="225"/>
        <v>37798.657812500001</v>
      </c>
      <c r="K1319" s="1786">
        <v>0</v>
      </c>
      <c r="L1319" s="1786" t="s">
        <v>1594</v>
      </c>
      <c r="M1319" s="1786" t="s">
        <v>1653</v>
      </c>
      <c r="N1319" s="1786" t="s">
        <v>1653</v>
      </c>
      <c r="O1319" s="1786">
        <v>0</v>
      </c>
      <c r="P1319" s="1786"/>
      <c r="Q1319" s="1786">
        <v>0</v>
      </c>
      <c r="R1319" s="1788"/>
      <c r="S1319" s="1786">
        <f t="shared" si="226"/>
        <v>649</v>
      </c>
      <c r="T1319" s="1786">
        <f t="shared" si="227"/>
        <v>0</v>
      </c>
      <c r="U1319" s="1786" t="str">
        <f t="shared" si="228"/>
        <v>מקפת מודוס קרן השתלמות מסלול מדדי</v>
      </c>
      <c r="V1319" s="1786">
        <f t="shared" si="229"/>
        <v>0</v>
      </c>
      <c r="W1319" s="1789" t="str">
        <f t="shared" si="230"/>
        <v>מקפת מודוס חברה לניהול קופות גמל בע"מ</v>
      </c>
      <c r="AC1319" s="1761" t="s">
        <v>1586</v>
      </c>
      <c r="AD1319" s="1762">
        <v>37798.657812500001</v>
      </c>
      <c r="AE1319" s="1762">
        <v>36534</v>
      </c>
      <c r="AF1319" s="1761" t="s">
        <v>1583</v>
      </c>
      <c r="AG1319" s="1761" t="s">
        <v>1583</v>
      </c>
      <c r="AH1319" s="1761" t="s">
        <v>1583</v>
      </c>
      <c r="AI1319" s="1761" t="s">
        <v>3233</v>
      </c>
      <c r="AJ1319" s="1761" t="s">
        <v>1949</v>
      </c>
      <c r="AK1319" s="1761">
        <v>649</v>
      </c>
      <c r="AL1319" s="1761" t="s">
        <v>1949</v>
      </c>
      <c r="AM1319" s="1761">
        <v>649</v>
      </c>
      <c r="AN1319" s="1761"/>
      <c r="AO1319" s="1764"/>
      <c r="AP1319" s="1761"/>
      <c r="AQ1319" s="1761"/>
      <c r="AR1319" s="1761" t="s">
        <v>1951</v>
      </c>
      <c r="AS1319" s="1761" t="s">
        <v>1950</v>
      </c>
      <c r="AT1319" s="1761" t="s">
        <v>327</v>
      </c>
      <c r="AU1319" s="1763"/>
      <c r="AV1319" s="1763"/>
    </row>
    <row r="1320" spans="1:48" ht="37.5" hidden="1">
      <c r="A1320" s="1785" t="str">
        <f t="shared" si="220"/>
        <v>גמל</v>
      </c>
      <c r="B1320" s="1786">
        <f t="shared" si="221"/>
        <v>652</v>
      </c>
      <c r="C1320" s="1787">
        <v>28946</v>
      </c>
      <c r="D1320" s="1786" t="str">
        <f t="shared" si="222"/>
        <v>מקפת מודוס קרן השתלמות מסלול מט"חי</v>
      </c>
      <c r="E1320" s="1786" t="s">
        <v>3929</v>
      </c>
      <c r="F1320" s="1786" t="s">
        <v>2958</v>
      </c>
      <c r="G1320" s="1786" t="s">
        <v>2959</v>
      </c>
      <c r="H1320" s="1786" t="str">
        <f t="shared" si="223"/>
        <v>לא פעיל</v>
      </c>
      <c r="I1320" s="1788">
        <f t="shared" si="224"/>
        <v>36534</v>
      </c>
      <c r="J1320" s="1788">
        <f t="shared" si="225"/>
        <v>36902.520659722199</v>
      </c>
      <c r="K1320" s="1786">
        <v>0</v>
      </c>
      <c r="L1320" s="1786" t="s">
        <v>1594</v>
      </c>
      <c r="M1320" s="1786" t="s">
        <v>1653</v>
      </c>
      <c r="N1320" s="1786" t="s">
        <v>1653</v>
      </c>
      <c r="O1320" s="1786">
        <v>0</v>
      </c>
      <c r="P1320" s="1786"/>
      <c r="Q1320" s="1786">
        <v>0</v>
      </c>
      <c r="R1320" s="1788"/>
      <c r="S1320" s="1786">
        <f t="shared" si="226"/>
        <v>649</v>
      </c>
      <c r="T1320" s="1786">
        <f t="shared" si="227"/>
        <v>0</v>
      </c>
      <c r="U1320" s="1786" t="str">
        <f t="shared" si="228"/>
        <v>מקפת מודוס קרן השתלמות מסלול מדדי</v>
      </c>
      <c r="V1320" s="1786">
        <f t="shared" si="229"/>
        <v>0</v>
      </c>
      <c r="W1320" s="1789" t="str">
        <f t="shared" si="230"/>
        <v>מקפת מודוס חברה לניהול קופות גמל בע"מ</v>
      </c>
      <c r="AC1320" s="1759" t="s">
        <v>1586</v>
      </c>
      <c r="AD1320" s="1760">
        <v>36902.520659722199</v>
      </c>
      <c r="AE1320" s="1760">
        <v>36534</v>
      </c>
      <c r="AF1320" s="1759" t="s">
        <v>1583</v>
      </c>
      <c r="AG1320" s="1759" t="s">
        <v>1583</v>
      </c>
      <c r="AH1320" s="1759" t="s">
        <v>1583</v>
      </c>
      <c r="AI1320" s="1759" t="s">
        <v>3236</v>
      </c>
      <c r="AJ1320" s="1759" t="s">
        <v>1954</v>
      </c>
      <c r="AK1320" s="1759">
        <v>652</v>
      </c>
      <c r="AL1320" s="1759" t="s">
        <v>1949</v>
      </c>
      <c r="AM1320" s="1759">
        <v>649</v>
      </c>
      <c r="AN1320" s="1759"/>
      <c r="AO1320" s="1764"/>
      <c r="AP1320" s="1759"/>
      <c r="AQ1320" s="1759"/>
      <c r="AR1320" s="1759" t="s">
        <v>1951</v>
      </c>
      <c r="AS1320" s="1759" t="s">
        <v>1950</v>
      </c>
      <c r="AT1320" s="1759" t="s">
        <v>327</v>
      </c>
      <c r="AU1320" s="1763"/>
      <c r="AV1320" s="1763"/>
    </row>
    <row r="1321" spans="1:48" ht="37.5" hidden="1">
      <c r="A1321" s="1785" t="str">
        <f t="shared" si="220"/>
        <v>גמל</v>
      </c>
      <c r="B1321" s="1786">
        <f t="shared" si="221"/>
        <v>656</v>
      </c>
      <c r="C1321" s="1787">
        <v>28946</v>
      </c>
      <c r="D1321" s="1786" t="str">
        <f t="shared" si="222"/>
        <v>מקפת מודוס קרן השתלמות מסלול גמיש</v>
      </c>
      <c r="E1321" s="1786" t="s">
        <v>3929</v>
      </c>
      <c r="F1321" s="1786" t="s">
        <v>2958</v>
      </c>
      <c r="G1321" s="1786" t="s">
        <v>2959</v>
      </c>
      <c r="H1321" s="1786" t="str">
        <f t="shared" si="223"/>
        <v>לא פעיל</v>
      </c>
      <c r="I1321" s="1788">
        <f t="shared" si="224"/>
        <v>36534</v>
      </c>
      <c r="J1321" s="1788">
        <f t="shared" si="225"/>
        <v>36902.520659722199</v>
      </c>
      <c r="K1321" s="1786">
        <v>0</v>
      </c>
      <c r="L1321" s="1786" t="s">
        <v>1594</v>
      </c>
      <c r="M1321" s="1786" t="s">
        <v>1653</v>
      </c>
      <c r="N1321" s="1786" t="s">
        <v>1653</v>
      </c>
      <c r="O1321" s="1786">
        <v>0</v>
      </c>
      <c r="P1321" s="1786"/>
      <c r="Q1321" s="1786">
        <v>0</v>
      </c>
      <c r="R1321" s="1788"/>
      <c r="S1321" s="1786">
        <f t="shared" si="226"/>
        <v>649</v>
      </c>
      <c r="T1321" s="1786">
        <f t="shared" si="227"/>
        <v>0</v>
      </c>
      <c r="U1321" s="1786" t="str">
        <f t="shared" si="228"/>
        <v>מקפת מודוס קרן השתלמות מסלול מדדי</v>
      </c>
      <c r="V1321" s="1786">
        <f t="shared" si="229"/>
        <v>0</v>
      </c>
      <c r="W1321" s="1789" t="str">
        <f t="shared" si="230"/>
        <v>מקפת מודוס חברה לניהול קופות גמל בע"מ</v>
      </c>
      <c r="AC1321" s="1761" t="s">
        <v>1586</v>
      </c>
      <c r="AD1321" s="1762">
        <v>36902.520659722199</v>
      </c>
      <c r="AE1321" s="1762">
        <v>36534</v>
      </c>
      <c r="AF1321" s="1761" t="s">
        <v>1583</v>
      </c>
      <c r="AG1321" s="1761" t="s">
        <v>1583</v>
      </c>
      <c r="AH1321" s="1761" t="s">
        <v>1583</v>
      </c>
      <c r="AI1321" s="1761" t="s">
        <v>3240</v>
      </c>
      <c r="AJ1321" s="1761" t="s">
        <v>1958</v>
      </c>
      <c r="AK1321" s="1761">
        <v>656</v>
      </c>
      <c r="AL1321" s="1761" t="s">
        <v>1949</v>
      </c>
      <c r="AM1321" s="1761">
        <v>649</v>
      </c>
      <c r="AN1321" s="1761"/>
      <c r="AO1321" s="1764"/>
      <c r="AP1321" s="1761"/>
      <c r="AQ1321" s="1761"/>
      <c r="AR1321" s="1761" t="s">
        <v>1951</v>
      </c>
      <c r="AS1321" s="1761" t="s">
        <v>1950</v>
      </c>
      <c r="AT1321" s="1761" t="s">
        <v>327</v>
      </c>
      <c r="AU1321" s="1763"/>
      <c r="AV1321" s="1763"/>
    </row>
    <row r="1322" spans="1:48" ht="37.5" hidden="1">
      <c r="A1322" s="1785" t="str">
        <f t="shared" si="220"/>
        <v>גמל</v>
      </c>
      <c r="B1322" s="1786">
        <f t="shared" si="221"/>
        <v>654</v>
      </c>
      <c r="C1322" s="1787">
        <v>28946</v>
      </c>
      <c r="D1322" s="1786" t="str">
        <f t="shared" si="222"/>
        <v>מקפת מודוס קרן השתלמות מסלול סולידי</v>
      </c>
      <c r="E1322" s="1786" t="s">
        <v>3929</v>
      </c>
      <c r="F1322" s="1786" t="s">
        <v>2958</v>
      </c>
      <c r="G1322" s="1786" t="s">
        <v>2959</v>
      </c>
      <c r="H1322" s="1786" t="str">
        <f t="shared" si="223"/>
        <v>לא פעיל</v>
      </c>
      <c r="I1322" s="1788">
        <f t="shared" si="224"/>
        <v>36534</v>
      </c>
      <c r="J1322" s="1788">
        <f t="shared" si="225"/>
        <v>36902.520659722199</v>
      </c>
      <c r="K1322" s="1786">
        <v>0</v>
      </c>
      <c r="L1322" s="1786" t="s">
        <v>1594</v>
      </c>
      <c r="M1322" s="1786" t="s">
        <v>1653</v>
      </c>
      <c r="N1322" s="1786" t="s">
        <v>1653</v>
      </c>
      <c r="O1322" s="1786">
        <v>0</v>
      </c>
      <c r="P1322" s="1786"/>
      <c r="Q1322" s="1786">
        <v>0</v>
      </c>
      <c r="R1322" s="1788"/>
      <c r="S1322" s="1786">
        <f t="shared" si="226"/>
        <v>649</v>
      </c>
      <c r="T1322" s="1786">
        <f t="shared" si="227"/>
        <v>0</v>
      </c>
      <c r="U1322" s="1786" t="str">
        <f t="shared" si="228"/>
        <v>מקפת מודוס קרן השתלמות מסלול מדדי</v>
      </c>
      <c r="V1322" s="1786">
        <f t="shared" si="229"/>
        <v>0</v>
      </c>
      <c r="W1322" s="1789" t="str">
        <f t="shared" si="230"/>
        <v>מקפת מודוס חברה לניהול קופות גמל בע"מ</v>
      </c>
      <c r="AC1322" s="1759" t="s">
        <v>1586</v>
      </c>
      <c r="AD1322" s="1760">
        <v>36902.520659722199</v>
      </c>
      <c r="AE1322" s="1760">
        <v>36534</v>
      </c>
      <c r="AF1322" s="1759" t="s">
        <v>1583</v>
      </c>
      <c r="AG1322" s="1759" t="s">
        <v>1583</v>
      </c>
      <c r="AH1322" s="1759" t="s">
        <v>1583</v>
      </c>
      <c r="AI1322" s="1759" t="s">
        <v>3238</v>
      </c>
      <c r="AJ1322" s="1759" t="s">
        <v>1956</v>
      </c>
      <c r="AK1322" s="1759">
        <v>654</v>
      </c>
      <c r="AL1322" s="1759" t="s">
        <v>1949</v>
      </c>
      <c r="AM1322" s="1759">
        <v>649</v>
      </c>
      <c r="AN1322" s="1759"/>
      <c r="AO1322" s="1764"/>
      <c r="AP1322" s="1759"/>
      <c r="AQ1322" s="1759"/>
      <c r="AR1322" s="1759" t="s">
        <v>1951</v>
      </c>
      <c r="AS1322" s="1759" t="s">
        <v>1950</v>
      </c>
      <c r="AT1322" s="1759" t="s">
        <v>327</v>
      </c>
      <c r="AU1322" s="1763"/>
      <c r="AV1322" s="1763"/>
    </row>
    <row r="1323" spans="1:48" ht="37.5" hidden="1">
      <c r="A1323" s="1785" t="str">
        <f t="shared" si="220"/>
        <v>גמל</v>
      </c>
      <c r="B1323" s="1786">
        <f t="shared" si="221"/>
        <v>655</v>
      </c>
      <c r="C1323" s="1787">
        <v>28946</v>
      </c>
      <c r="D1323" s="1786" t="str">
        <f t="shared" si="222"/>
        <v>מקפת מודוס קרן השתלמות מסלול מנייתי</v>
      </c>
      <c r="E1323" s="1786" t="s">
        <v>3929</v>
      </c>
      <c r="F1323" s="1786" t="s">
        <v>2958</v>
      </c>
      <c r="G1323" s="1786" t="s">
        <v>2959</v>
      </c>
      <c r="H1323" s="1786" t="str">
        <f t="shared" si="223"/>
        <v>לא פעיל</v>
      </c>
      <c r="I1323" s="1788">
        <f t="shared" si="224"/>
        <v>36534</v>
      </c>
      <c r="J1323" s="1788">
        <f t="shared" si="225"/>
        <v>36902.520659722199</v>
      </c>
      <c r="K1323" s="1786">
        <v>0</v>
      </c>
      <c r="L1323" s="1786" t="s">
        <v>1594</v>
      </c>
      <c r="M1323" s="1786" t="s">
        <v>1653</v>
      </c>
      <c r="N1323" s="1786" t="s">
        <v>1653</v>
      </c>
      <c r="O1323" s="1786">
        <v>0</v>
      </c>
      <c r="P1323" s="1786"/>
      <c r="Q1323" s="1786">
        <v>0</v>
      </c>
      <c r="R1323" s="1788"/>
      <c r="S1323" s="1786">
        <f t="shared" si="226"/>
        <v>649</v>
      </c>
      <c r="T1323" s="1786">
        <f t="shared" si="227"/>
        <v>0</v>
      </c>
      <c r="U1323" s="1786" t="str">
        <f t="shared" si="228"/>
        <v>מקפת מודוס קרן השתלמות מסלול מדדי</v>
      </c>
      <c r="V1323" s="1786">
        <f t="shared" si="229"/>
        <v>0</v>
      </c>
      <c r="W1323" s="1789" t="str">
        <f t="shared" si="230"/>
        <v>מקפת מודוס חברה לניהול קופות גמל בע"מ</v>
      </c>
      <c r="AC1323" s="1761" t="s">
        <v>1586</v>
      </c>
      <c r="AD1323" s="1762">
        <v>36902.520659722199</v>
      </c>
      <c r="AE1323" s="1762">
        <v>36534</v>
      </c>
      <c r="AF1323" s="1761" t="s">
        <v>1583</v>
      </c>
      <c r="AG1323" s="1761" t="s">
        <v>1583</v>
      </c>
      <c r="AH1323" s="1761" t="s">
        <v>1583</v>
      </c>
      <c r="AI1323" s="1761" t="s">
        <v>3239</v>
      </c>
      <c r="AJ1323" s="1761" t="s">
        <v>1957</v>
      </c>
      <c r="AK1323" s="1761">
        <v>655</v>
      </c>
      <c r="AL1323" s="1761" t="s">
        <v>1949</v>
      </c>
      <c r="AM1323" s="1761">
        <v>649</v>
      </c>
      <c r="AN1323" s="1761"/>
      <c r="AO1323" s="1764"/>
      <c r="AP1323" s="1761"/>
      <c r="AQ1323" s="1761"/>
      <c r="AR1323" s="1761" t="s">
        <v>1951</v>
      </c>
      <c r="AS1323" s="1761" t="s">
        <v>1950</v>
      </c>
      <c r="AT1323" s="1761" t="s">
        <v>327</v>
      </c>
      <c r="AU1323" s="1763"/>
      <c r="AV1323" s="1763"/>
    </row>
    <row r="1324" spans="1:48" ht="37.5" hidden="1">
      <c r="A1324" s="1785" t="str">
        <f t="shared" si="220"/>
        <v>גמל</v>
      </c>
      <c r="B1324" s="1786">
        <f t="shared" si="221"/>
        <v>653</v>
      </c>
      <c r="C1324" s="1787">
        <v>28946</v>
      </c>
      <c r="D1324" s="1786" t="str">
        <f t="shared" si="222"/>
        <v>מקפת מודוס קרן השתלמות מסלול שיקלי</v>
      </c>
      <c r="E1324" s="1786" t="s">
        <v>3929</v>
      </c>
      <c r="F1324" s="1786" t="s">
        <v>2958</v>
      </c>
      <c r="G1324" s="1786" t="s">
        <v>2959</v>
      </c>
      <c r="H1324" s="1786" t="str">
        <f t="shared" si="223"/>
        <v>לא פעיל</v>
      </c>
      <c r="I1324" s="1788">
        <f t="shared" si="224"/>
        <v>36534</v>
      </c>
      <c r="J1324" s="1788">
        <f t="shared" si="225"/>
        <v>36902.520659722199</v>
      </c>
      <c r="K1324" s="1786">
        <v>0</v>
      </c>
      <c r="L1324" s="1786" t="s">
        <v>1594</v>
      </c>
      <c r="M1324" s="1786" t="s">
        <v>1653</v>
      </c>
      <c r="N1324" s="1786" t="s">
        <v>1653</v>
      </c>
      <c r="O1324" s="1786">
        <v>0</v>
      </c>
      <c r="P1324" s="1786"/>
      <c r="Q1324" s="1786">
        <v>0</v>
      </c>
      <c r="R1324" s="1788"/>
      <c r="S1324" s="1786">
        <f t="shared" si="226"/>
        <v>649</v>
      </c>
      <c r="T1324" s="1786">
        <f t="shared" si="227"/>
        <v>0</v>
      </c>
      <c r="U1324" s="1786" t="str">
        <f t="shared" si="228"/>
        <v>מקפת מודוס קרן השתלמות מסלול מדדי</v>
      </c>
      <c r="V1324" s="1786">
        <f t="shared" si="229"/>
        <v>0</v>
      </c>
      <c r="W1324" s="1789" t="str">
        <f t="shared" si="230"/>
        <v>מקפת מודוס חברה לניהול קופות גמל בע"מ</v>
      </c>
      <c r="AC1324" s="1759" t="s">
        <v>1586</v>
      </c>
      <c r="AD1324" s="1760">
        <v>36902.520659722199</v>
      </c>
      <c r="AE1324" s="1760">
        <v>36534</v>
      </c>
      <c r="AF1324" s="1759" t="s">
        <v>1583</v>
      </c>
      <c r="AG1324" s="1759" t="s">
        <v>1583</v>
      </c>
      <c r="AH1324" s="1759" t="s">
        <v>1583</v>
      </c>
      <c r="AI1324" s="1759" t="s">
        <v>3237</v>
      </c>
      <c r="AJ1324" s="1759" t="s">
        <v>1955</v>
      </c>
      <c r="AK1324" s="1759">
        <v>653</v>
      </c>
      <c r="AL1324" s="1759" t="s">
        <v>1949</v>
      </c>
      <c r="AM1324" s="1759">
        <v>649</v>
      </c>
      <c r="AN1324" s="1759"/>
      <c r="AO1324" s="1764"/>
      <c r="AP1324" s="1759"/>
      <c r="AQ1324" s="1759"/>
      <c r="AR1324" s="1759" t="s">
        <v>1951</v>
      </c>
      <c r="AS1324" s="1759" t="s">
        <v>1950</v>
      </c>
      <c r="AT1324" s="1759" t="s">
        <v>327</v>
      </c>
      <c r="AU1324" s="1763"/>
      <c r="AV1324" s="1763"/>
    </row>
    <row r="1325" spans="1:48" ht="25" hidden="1">
      <c r="A1325" s="1785" t="str">
        <f t="shared" si="220"/>
        <v>גמל</v>
      </c>
      <c r="B1325" s="1786">
        <f t="shared" si="221"/>
        <v>648</v>
      </c>
      <c r="C1325" s="1787">
        <v>28946</v>
      </c>
      <c r="D1325" s="1786" t="str">
        <f t="shared" si="222"/>
        <v>פסגות השתלמות ב' מסלול חו"ל</v>
      </c>
      <c r="E1325" s="1786" t="s">
        <v>3929</v>
      </c>
      <c r="F1325" s="1786" t="s">
        <v>2958</v>
      </c>
      <c r="G1325" s="1786" t="s">
        <v>2959</v>
      </c>
      <c r="H1325" s="1786" t="str">
        <f t="shared" si="223"/>
        <v>לא פעיל</v>
      </c>
      <c r="I1325" s="1788">
        <f t="shared" si="224"/>
        <v>36457</v>
      </c>
      <c r="J1325" s="1788">
        <f t="shared" si="225"/>
        <v>40056</v>
      </c>
      <c r="K1325" s="1786">
        <v>0</v>
      </c>
      <c r="L1325" s="1786" t="s">
        <v>1594</v>
      </c>
      <c r="M1325" s="1786" t="s">
        <v>1653</v>
      </c>
      <c r="N1325" s="1786" t="s">
        <v>1653</v>
      </c>
      <c r="O1325" s="1786">
        <v>0</v>
      </c>
      <c r="P1325" s="1786"/>
      <c r="Q1325" s="1786">
        <v>0</v>
      </c>
      <c r="R1325" s="1788"/>
      <c r="S1325" s="1786">
        <f t="shared" si="226"/>
        <v>648</v>
      </c>
      <c r="T1325" s="1786" t="str">
        <f t="shared" si="227"/>
        <v>בנק הפועלים בע"מ</v>
      </c>
      <c r="U1325" s="1786" t="str">
        <f t="shared" si="228"/>
        <v>פסגות השתלמות ב' מסלול חו"ל</v>
      </c>
      <c r="V1325" s="1786" t="str">
        <f t="shared" si="229"/>
        <v>513767079</v>
      </c>
      <c r="W1325" s="1789" t="str">
        <f t="shared" si="230"/>
        <v>פסגות קופות גמל ופנסיה בע"מ</v>
      </c>
      <c r="AC1325" s="1761" t="s">
        <v>1586</v>
      </c>
      <c r="AD1325" s="1762">
        <v>40056</v>
      </c>
      <c r="AE1325" s="1762">
        <v>36457</v>
      </c>
      <c r="AF1325" s="1761" t="s">
        <v>1948</v>
      </c>
      <c r="AG1325" s="1761" t="s">
        <v>1947</v>
      </c>
      <c r="AH1325" s="1761" t="s">
        <v>1594</v>
      </c>
      <c r="AI1325" s="1761" t="s">
        <v>3232</v>
      </c>
      <c r="AJ1325" s="1761" t="s">
        <v>1946</v>
      </c>
      <c r="AK1325" s="1761">
        <v>648</v>
      </c>
      <c r="AL1325" s="1761" t="s">
        <v>1946</v>
      </c>
      <c r="AM1325" s="1761">
        <v>648</v>
      </c>
      <c r="AN1325" s="1761" t="s">
        <v>1695</v>
      </c>
      <c r="AO1325" s="1764"/>
      <c r="AP1325" s="1761" t="s">
        <v>5365</v>
      </c>
      <c r="AQ1325" s="1761" t="s">
        <v>5366</v>
      </c>
      <c r="AR1325" s="1761" t="s">
        <v>351</v>
      </c>
      <c r="AS1325" s="1761" t="s">
        <v>352</v>
      </c>
      <c r="AT1325" s="1761" t="s">
        <v>327</v>
      </c>
      <c r="AU1325" s="1763"/>
      <c r="AV1325" s="1763"/>
    </row>
    <row r="1326" spans="1:48" ht="25" hidden="1">
      <c r="A1326" s="1785" t="str">
        <f t="shared" si="220"/>
        <v>גמל</v>
      </c>
      <c r="B1326" s="1786">
        <f t="shared" si="221"/>
        <v>644</v>
      </c>
      <c r="C1326" s="1787">
        <v>28946</v>
      </c>
      <c r="D1326" s="1786" t="str">
        <f t="shared" si="222"/>
        <v>דש אור - קופת תגמולים</v>
      </c>
      <c r="E1326" s="1786" t="s">
        <v>3929</v>
      </c>
      <c r="F1326" s="1786" t="s">
        <v>2958</v>
      </c>
      <c r="G1326" s="1786" t="s">
        <v>2959</v>
      </c>
      <c r="H1326" s="1786" t="str">
        <f t="shared" si="223"/>
        <v>לא פעיל</v>
      </c>
      <c r="I1326" s="1788">
        <f t="shared" si="224"/>
        <v>36313</v>
      </c>
      <c r="J1326" s="1788">
        <f t="shared" si="225"/>
        <v>40917.768923611096</v>
      </c>
      <c r="K1326" s="1786">
        <v>0</v>
      </c>
      <c r="L1326" s="1786" t="s">
        <v>1594</v>
      </c>
      <c r="M1326" s="1786" t="s">
        <v>1653</v>
      </c>
      <c r="N1326" s="1786" t="s">
        <v>1653</v>
      </c>
      <c r="O1326" s="1786">
        <v>0</v>
      </c>
      <c r="P1326" s="1786"/>
      <c r="Q1326" s="1786">
        <v>0</v>
      </c>
      <c r="R1326" s="1788"/>
      <c r="S1326" s="1786">
        <f t="shared" si="226"/>
        <v>644</v>
      </c>
      <c r="T1326" s="1786" t="str">
        <f t="shared" si="227"/>
        <v>בנק מזרחי טפחות בע"מ</v>
      </c>
      <c r="U1326" s="1786" t="str">
        <f t="shared" si="228"/>
        <v>דש אור - קופת תגמולים</v>
      </c>
      <c r="V1326" s="1786" t="str">
        <f t="shared" si="229"/>
        <v>520043795</v>
      </c>
      <c r="W1326" s="1789" t="str">
        <f t="shared" si="230"/>
        <v>מיטב דש גמל ופנסיה בע"מ</v>
      </c>
      <c r="AC1326" s="1759" t="s">
        <v>1586</v>
      </c>
      <c r="AD1326" s="1760">
        <v>40917.768923611096</v>
      </c>
      <c r="AE1326" s="1760">
        <v>36313</v>
      </c>
      <c r="AF1326" s="1759" t="s">
        <v>1583</v>
      </c>
      <c r="AG1326" s="1759" t="s">
        <v>1583</v>
      </c>
      <c r="AH1326" s="1759" t="s">
        <v>1583</v>
      </c>
      <c r="AI1326" s="1759" t="s">
        <v>3230</v>
      </c>
      <c r="AJ1326" s="1759" t="s">
        <v>1943</v>
      </c>
      <c r="AK1326" s="1759">
        <v>644</v>
      </c>
      <c r="AL1326" s="1759" t="s">
        <v>1943</v>
      </c>
      <c r="AM1326" s="1759">
        <v>644</v>
      </c>
      <c r="AN1326" s="1759" t="s">
        <v>5370</v>
      </c>
      <c r="AO1326" s="1764"/>
      <c r="AP1326" s="1759" t="s">
        <v>5373</v>
      </c>
      <c r="AQ1326" s="1759" t="s">
        <v>5374</v>
      </c>
      <c r="AR1326" s="1759" t="s">
        <v>2899</v>
      </c>
      <c r="AS1326" s="1759" t="s">
        <v>349</v>
      </c>
      <c r="AT1326" s="1759" t="s">
        <v>327</v>
      </c>
      <c r="AU1326" s="1763"/>
      <c r="AV1326" s="1763"/>
    </row>
    <row r="1327" spans="1:48" ht="25" hidden="1">
      <c r="A1327" s="1785" t="str">
        <f t="shared" si="220"/>
        <v>גמל</v>
      </c>
      <c r="B1327" s="1786">
        <f t="shared" si="221"/>
        <v>644</v>
      </c>
      <c r="C1327" s="1787">
        <v>28946</v>
      </c>
      <c r="D1327" s="1786" t="str">
        <f t="shared" si="222"/>
        <v>דש אור - קופת תגמולים</v>
      </c>
      <c r="E1327" s="1786" t="s">
        <v>3929</v>
      </c>
      <c r="F1327" s="1786" t="s">
        <v>2958</v>
      </c>
      <c r="G1327" s="1786" t="s">
        <v>2959</v>
      </c>
      <c r="H1327" s="1786" t="str">
        <f t="shared" si="223"/>
        <v>לא פעיל</v>
      </c>
      <c r="I1327" s="1788">
        <f t="shared" si="224"/>
        <v>36313</v>
      </c>
      <c r="J1327" s="1788">
        <f t="shared" si="225"/>
        <v>40917.768923611096</v>
      </c>
      <c r="K1327" s="1786">
        <v>0</v>
      </c>
      <c r="L1327" s="1786" t="s">
        <v>1594</v>
      </c>
      <c r="M1327" s="1786" t="s">
        <v>1653</v>
      </c>
      <c r="N1327" s="1786" t="s">
        <v>1653</v>
      </c>
      <c r="O1327" s="1786">
        <v>0</v>
      </c>
      <c r="P1327" s="1786"/>
      <c r="Q1327" s="1786">
        <v>0</v>
      </c>
      <c r="R1327" s="1788"/>
      <c r="S1327" s="1786">
        <f t="shared" si="226"/>
        <v>644</v>
      </c>
      <c r="T1327" s="1786" t="str">
        <f t="shared" si="227"/>
        <v>בנק מזרחי טפחות בע"מ</v>
      </c>
      <c r="U1327" s="1786" t="str">
        <f t="shared" si="228"/>
        <v>דש אור - קופת תגמולים</v>
      </c>
      <c r="V1327" s="1786" t="str">
        <f t="shared" si="229"/>
        <v>520043795</v>
      </c>
      <c r="W1327" s="1789" t="str">
        <f t="shared" si="230"/>
        <v>מיטב דש גמל ופנסיה בע"מ</v>
      </c>
      <c r="AC1327" s="1761" t="s">
        <v>1586</v>
      </c>
      <c r="AD1327" s="1762">
        <v>40917.768923611096</v>
      </c>
      <c r="AE1327" s="1762">
        <v>36313</v>
      </c>
      <c r="AF1327" s="1761" t="s">
        <v>1583</v>
      </c>
      <c r="AG1327" s="1761" t="s">
        <v>1583</v>
      </c>
      <c r="AH1327" s="1761" t="s">
        <v>1583</v>
      </c>
      <c r="AI1327" s="1761" t="s">
        <v>3230</v>
      </c>
      <c r="AJ1327" s="1761" t="s">
        <v>1943</v>
      </c>
      <c r="AK1327" s="1761">
        <v>644</v>
      </c>
      <c r="AL1327" s="1761" t="s">
        <v>1943</v>
      </c>
      <c r="AM1327" s="1761">
        <v>644</v>
      </c>
      <c r="AN1327" s="1761" t="s">
        <v>5370</v>
      </c>
      <c r="AO1327" s="1764"/>
      <c r="AP1327" s="1761" t="s">
        <v>5373</v>
      </c>
      <c r="AQ1327" s="1761" t="s">
        <v>5374</v>
      </c>
      <c r="AR1327" s="1761" t="s">
        <v>2899</v>
      </c>
      <c r="AS1327" s="1761" t="s">
        <v>349</v>
      </c>
      <c r="AT1327" s="1761" t="s">
        <v>327</v>
      </c>
      <c r="AU1327" s="1763"/>
      <c r="AV1327" s="1763"/>
    </row>
    <row r="1328" spans="1:48" ht="25" hidden="1">
      <c r="A1328" s="1785" t="str">
        <f t="shared" si="220"/>
        <v>גמל</v>
      </c>
      <c r="B1328" s="1786">
        <f t="shared" si="221"/>
        <v>642</v>
      </c>
      <c r="C1328" s="1787">
        <v>28946</v>
      </c>
      <c r="D1328" s="1786" t="str">
        <f t="shared" si="222"/>
        <v>תואר</v>
      </c>
      <c r="E1328" s="1786" t="s">
        <v>3929</v>
      </c>
      <c r="F1328" s="1786" t="s">
        <v>2958</v>
      </c>
      <c r="G1328" s="1786" t="s">
        <v>2959</v>
      </c>
      <c r="H1328" s="1786" t="str">
        <f t="shared" si="223"/>
        <v>לא פעיל</v>
      </c>
      <c r="I1328" s="1788">
        <f t="shared" si="224"/>
        <v>36306</v>
      </c>
      <c r="J1328" s="1788">
        <f t="shared" si="225"/>
        <v>40917.812893518501</v>
      </c>
      <c r="K1328" s="1786">
        <v>0</v>
      </c>
      <c r="L1328" s="1786" t="s">
        <v>1594</v>
      </c>
      <c r="M1328" s="1786" t="s">
        <v>1653</v>
      </c>
      <c r="N1328" s="1786" t="s">
        <v>1653</v>
      </c>
      <c r="O1328" s="1786">
        <v>0</v>
      </c>
      <c r="P1328" s="1786"/>
      <c r="Q1328" s="1786">
        <v>0</v>
      </c>
      <c r="R1328" s="1788"/>
      <c r="S1328" s="1786">
        <f t="shared" si="226"/>
        <v>642</v>
      </c>
      <c r="T1328" s="1786" t="str">
        <f t="shared" si="227"/>
        <v>בנק דיסקונט לישראל בע"מ</v>
      </c>
      <c r="U1328" s="1786" t="str">
        <f t="shared" si="228"/>
        <v>תואר</v>
      </c>
      <c r="V1328" s="1786">
        <f t="shared" si="229"/>
        <v>0</v>
      </c>
      <c r="W1328" s="1789" t="str">
        <f t="shared" si="230"/>
        <v>כלל פנסיה וגמל בע"מ</v>
      </c>
      <c r="AC1328" s="1759" t="s">
        <v>1586</v>
      </c>
      <c r="AD1328" s="1760">
        <v>40917.812893518501</v>
      </c>
      <c r="AE1328" s="1760">
        <v>36306</v>
      </c>
      <c r="AF1328" s="1759" t="s">
        <v>1583</v>
      </c>
      <c r="AG1328" s="1759" t="s">
        <v>1583</v>
      </c>
      <c r="AH1328" s="1759" t="s">
        <v>1583</v>
      </c>
      <c r="AI1328" s="1759" t="s">
        <v>1942</v>
      </c>
      <c r="AJ1328" s="1759" t="s">
        <v>1942</v>
      </c>
      <c r="AK1328" s="1759">
        <v>642</v>
      </c>
      <c r="AL1328" s="1759" t="s">
        <v>1942</v>
      </c>
      <c r="AM1328" s="1759">
        <v>642</v>
      </c>
      <c r="AN1328" s="1759" t="s">
        <v>5535</v>
      </c>
      <c r="AO1328" s="1764"/>
      <c r="AP1328" s="1759"/>
      <c r="AQ1328" s="1759"/>
      <c r="AR1328" s="1759" t="s">
        <v>378</v>
      </c>
      <c r="AS1328" s="1759" t="s">
        <v>379</v>
      </c>
      <c r="AT1328" s="1759" t="s">
        <v>327</v>
      </c>
      <c r="AU1328" s="1763"/>
      <c r="AV1328" s="1763"/>
    </row>
    <row r="1329" spans="1:48" ht="25" hidden="1">
      <c r="A1329" s="1785" t="str">
        <f t="shared" si="220"/>
        <v>גמל</v>
      </c>
      <c r="B1329" s="1786">
        <f t="shared" si="221"/>
        <v>641</v>
      </c>
      <c r="C1329" s="1787">
        <v>28946</v>
      </c>
      <c r="D1329" s="1786" t="str">
        <f t="shared" si="222"/>
        <v>מקבץ קופת פיצויים מרכזית בניהול אישי</v>
      </c>
      <c r="E1329" s="1786" t="s">
        <v>3929</v>
      </c>
      <c r="F1329" s="1786" t="s">
        <v>2958</v>
      </c>
      <c r="G1329" s="1786" t="s">
        <v>2959</v>
      </c>
      <c r="H1329" s="1786" t="str">
        <f t="shared" si="223"/>
        <v>לא פעיל</v>
      </c>
      <c r="I1329" s="1788">
        <f t="shared" si="224"/>
        <v>36161</v>
      </c>
      <c r="J1329" s="1788">
        <f t="shared" si="225"/>
        <v>42015.462673611102</v>
      </c>
      <c r="K1329" s="1786">
        <v>0</v>
      </c>
      <c r="L1329" s="1786" t="s">
        <v>1594</v>
      </c>
      <c r="M1329" s="1786" t="s">
        <v>1653</v>
      </c>
      <c r="N1329" s="1786" t="s">
        <v>1653</v>
      </c>
      <c r="O1329" s="1786">
        <v>0</v>
      </c>
      <c r="P1329" s="1786"/>
      <c r="Q1329" s="1786">
        <v>0</v>
      </c>
      <c r="R1329" s="1788"/>
      <c r="S1329" s="1786">
        <f t="shared" si="226"/>
        <v>641</v>
      </c>
      <c r="T1329" s="1786" t="str">
        <f t="shared" si="227"/>
        <v>בנק הפועלים בע"מ</v>
      </c>
      <c r="U1329" s="1786" t="str">
        <f t="shared" si="228"/>
        <v>מקבץ קופת פיצויים מרכזית בניהול אישי</v>
      </c>
      <c r="V1329" s="1786">
        <f t="shared" si="229"/>
        <v>0</v>
      </c>
      <c r="W1329" s="1789" t="str">
        <f t="shared" si="230"/>
        <v>כלל פנסיה וגמל בע"מ</v>
      </c>
      <c r="AC1329" s="1761" t="s">
        <v>1586</v>
      </c>
      <c r="AD1329" s="1762">
        <v>42015.462673611102</v>
      </c>
      <c r="AE1329" s="1762">
        <v>36161</v>
      </c>
      <c r="AF1329" s="1761"/>
      <c r="AG1329" s="1761"/>
      <c r="AH1329" s="1761" t="s">
        <v>1812</v>
      </c>
      <c r="AI1329" s="1761" t="s">
        <v>3228</v>
      </c>
      <c r="AJ1329" s="1761" t="s">
        <v>592</v>
      </c>
      <c r="AK1329" s="1761">
        <v>641</v>
      </c>
      <c r="AL1329" s="1761" t="s">
        <v>592</v>
      </c>
      <c r="AM1329" s="1761">
        <v>641</v>
      </c>
      <c r="AN1329" s="1761" t="s">
        <v>1695</v>
      </c>
      <c r="AO1329" s="1764"/>
      <c r="AP1329" s="1761"/>
      <c r="AQ1329" s="1761"/>
      <c r="AR1329" s="1761" t="s">
        <v>378</v>
      </c>
      <c r="AS1329" s="1761" t="s">
        <v>379</v>
      </c>
      <c r="AT1329" s="1761" t="s">
        <v>327</v>
      </c>
      <c r="AU1329" s="1763"/>
      <c r="AV1329" s="1763"/>
    </row>
    <row r="1330" spans="1:48" ht="37.5" hidden="1">
      <c r="A1330" s="1785" t="str">
        <f t="shared" si="220"/>
        <v>גמל</v>
      </c>
      <c r="B1330" s="1786">
        <f t="shared" si="221"/>
        <v>640</v>
      </c>
      <c r="C1330" s="1787">
        <v>28946</v>
      </c>
      <c r="D1330" s="1786" t="str">
        <f t="shared" si="222"/>
        <v>הייטק השתלמות-קרן השתלמות למגזר ההייטק והטכנולוגיה</v>
      </c>
      <c r="E1330" s="1786" t="s">
        <v>3929</v>
      </c>
      <c r="F1330" s="1786" t="s">
        <v>2958</v>
      </c>
      <c r="G1330" s="1786" t="s">
        <v>2959</v>
      </c>
      <c r="H1330" s="1786" t="str">
        <f t="shared" si="223"/>
        <v>לא פעיל</v>
      </c>
      <c r="I1330" s="1788">
        <f t="shared" si="224"/>
        <v>36202</v>
      </c>
      <c r="J1330" s="1788">
        <f t="shared" si="225"/>
        <v>40178</v>
      </c>
      <c r="K1330" s="1786">
        <v>0</v>
      </c>
      <c r="L1330" s="1786" t="s">
        <v>1594</v>
      </c>
      <c r="M1330" s="1786" t="s">
        <v>1653</v>
      </c>
      <c r="N1330" s="1786" t="s">
        <v>1653</v>
      </c>
      <c r="O1330" s="1786">
        <v>0</v>
      </c>
      <c r="P1330" s="1786"/>
      <c r="Q1330" s="1786">
        <v>0</v>
      </c>
      <c r="R1330" s="1788"/>
      <c r="S1330" s="1786">
        <f t="shared" si="226"/>
        <v>640</v>
      </c>
      <c r="T1330" s="1786" t="str">
        <f t="shared" si="227"/>
        <v>בנק הפועלים בע"מ</v>
      </c>
      <c r="U1330" s="1786" t="str">
        <f t="shared" si="228"/>
        <v>הייטק השתלמות-קרן השתלמות למגזר ההייטק והטכנולוגיה</v>
      </c>
      <c r="V1330" s="1786">
        <f t="shared" si="229"/>
        <v>0</v>
      </c>
      <c r="W1330" s="1789" t="str">
        <f t="shared" si="230"/>
        <v>מיטב גמל ופנסיה בע"מ</v>
      </c>
      <c r="AC1330" s="1759" t="s">
        <v>1586</v>
      </c>
      <c r="AD1330" s="1760">
        <v>40178</v>
      </c>
      <c r="AE1330" s="1760">
        <v>36202</v>
      </c>
      <c r="AF1330" s="1759" t="s">
        <v>1583</v>
      </c>
      <c r="AG1330" s="1759" t="s">
        <v>1583</v>
      </c>
      <c r="AH1330" s="1759" t="s">
        <v>1583</v>
      </c>
      <c r="AI1330" s="1759" t="s">
        <v>3227</v>
      </c>
      <c r="AJ1330" s="1759" t="s">
        <v>1941</v>
      </c>
      <c r="AK1330" s="1759">
        <v>640</v>
      </c>
      <c r="AL1330" s="1759" t="s">
        <v>1941</v>
      </c>
      <c r="AM1330" s="1759">
        <v>640</v>
      </c>
      <c r="AN1330" s="1759" t="s">
        <v>1695</v>
      </c>
      <c r="AO1330" s="1764"/>
      <c r="AP1330" s="1759"/>
      <c r="AQ1330" s="1759"/>
      <c r="AR1330" s="1759" t="s">
        <v>365</v>
      </c>
      <c r="AS1330" s="1759" t="s">
        <v>366</v>
      </c>
      <c r="AT1330" s="1759" t="s">
        <v>327</v>
      </c>
      <c r="AU1330" s="1763"/>
      <c r="AV1330" s="1763"/>
    </row>
    <row r="1331" spans="1:48" ht="37.5" hidden="1">
      <c r="A1331" s="1785" t="str">
        <f t="shared" si="220"/>
        <v>גמל</v>
      </c>
      <c r="B1331" s="1786">
        <f t="shared" si="221"/>
        <v>637</v>
      </c>
      <c r="C1331" s="1787">
        <v>28946</v>
      </c>
      <c r="D1331" s="1786" t="str">
        <f t="shared" si="222"/>
        <v>גל - קופת גמל למורים - מסלול כללי</v>
      </c>
      <c r="E1331" s="1786" t="s">
        <v>3929</v>
      </c>
      <c r="F1331" s="1786" t="s">
        <v>2958</v>
      </c>
      <c r="G1331" s="1786" t="s">
        <v>2959</v>
      </c>
      <c r="H1331" s="1786" t="str">
        <f t="shared" si="223"/>
        <v>לא פעיל</v>
      </c>
      <c r="I1331" s="1788">
        <f t="shared" si="224"/>
        <v>36145</v>
      </c>
      <c r="J1331" s="1788">
        <f t="shared" si="225"/>
        <v>42370.444699074098</v>
      </c>
      <c r="K1331" s="1786">
        <v>0</v>
      </c>
      <c r="L1331" s="1786" t="s">
        <v>1594</v>
      </c>
      <c r="M1331" s="1786" t="s">
        <v>1653</v>
      </c>
      <c r="N1331" s="1786" t="s">
        <v>1653</v>
      </c>
      <c r="O1331" s="1786">
        <v>0</v>
      </c>
      <c r="P1331" s="1786"/>
      <c r="Q1331" s="1786">
        <v>0</v>
      </c>
      <c r="R1331" s="1788"/>
      <c r="S1331" s="1786">
        <f t="shared" si="226"/>
        <v>637</v>
      </c>
      <c r="T1331" s="1786" t="str">
        <f t="shared" si="227"/>
        <v>הבנק הבינלאומי הראשון</v>
      </c>
      <c r="U1331" s="1786" t="str">
        <f t="shared" si="228"/>
        <v xml:space="preserve">גל קופת גמל למורים </v>
      </c>
      <c r="V1331" s="1786">
        <f t="shared" si="229"/>
        <v>0</v>
      </c>
      <c r="W1331" s="1789" t="str">
        <f t="shared" si="230"/>
        <v>גל -ניהול קופות גמל לעובדי הוראה בע"מ</v>
      </c>
      <c r="AC1331" s="1761" t="s">
        <v>1586</v>
      </c>
      <c r="AD1331" s="1762">
        <v>42370.444699074098</v>
      </c>
      <c r="AE1331" s="1762">
        <v>36145</v>
      </c>
      <c r="AF1331" s="1761" t="s">
        <v>1583</v>
      </c>
      <c r="AG1331" s="1761" t="s">
        <v>1583</v>
      </c>
      <c r="AH1331" s="1761" t="s">
        <v>1583</v>
      </c>
      <c r="AI1331" s="1761" t="s">
        <v>3224</v>
      </c>
      <c r="AJ1331" s="1761" t="s">
        <v>591</v>
      </c>
      <c r="AK1331" s="1761">
        <v>637</v>
      </c>
      <c r="AL1331" s="1761" t="s">
        <v>4220</v>
      </c>
      <c r="AM1331" s="1761">
        <v>637</v>
      </c>
      <c r="AN1331" s="1761" t="s">
        <v>5384</v>
      </c>
      <c r="AO1331" s="1764"/>
      <c r="AP1331" s="1761" t="s">
        <v>5516</v>
      </c>
      <c r="AQ1331" s="1761"/>
      <c r="AR1331" s="1761" t="s">
        <v>3225</v>
      </c>
      <c r="AS1331" s="1761" t="s">
        <v>590</v>
      </c>
      <c r="AT1331" s="1761" t="s">
        <v>327</v>
      </c>
      <c r="AU1331" s="1763"/>
      <c r="AV1331" s="1763"/>
    </row>
    <row r="1332" spans="1:48" ht="37.5" hidden="1">
      <c r="A1332" s="1785" t="str">
        <f t="shared" si="220"/>
        <v>גמל</v>
      </c>
      <c r="B1332" s="1786">
        <f t="shared" si="221"/>
        <v>1444</v>
      </c>
      <c r="C1332" s="1787">
        <v>28946</v>
      </c>
      <c r="D1332" s="1786" t="str">
        <f t="shared" si="222"/>
        <v>גל - קופת גמל למורים מסלול אג"ח ללא מניות</v>
      </c>
      <c r="E1332" s="1786" t="s">
        <v>3929</v>
      </c>
      <c r="F1332" s="1786" t="s">
        <v>2958</v>
      </c>
      <c r="G1332" s="1786" t="s">
        <v>2959</v>
      </c>
      <c r="H1332" s="1786" t="str">
        <f t="shared" si="223"/>
        <v>לא פעיל</v>
      </c>
      <c r="I1332" s="1788">
        <f t="shared" si="224"/>
        <v>36145</v>
      </c>
      <c r="J1332" s="1788">
        <f t="shared" si="225"/>
        <v>42370.451574074097</v>
      </c>
      <c r="K1332" s="1786">
        <v>0</v>
      </c>
      <c r="L1332" s="1786" t="s">
        <v>1594</v>
      </c>
      <c r="M1332" s="1786" t="s">
        <v>1653</v>
      </c>
      <c r="N1332" s="1786" t="s">
        <v>1653</v>
      </c>
      <c r="O1332" s="1786">
        <v>0</v>
      </c>
      <c r="P1332" s="1786"/>
      <c r="Q1332" s="1786">
        <v>0</v>
      </c>
      <c r="R1332" s="1788"/>
      <c r="S1332" s="1786">
        <f t="shared" si="226"/>
        <v>637</v>
      </c>
      <c r="T1332" s="1786" t="str">
        <f t="shared" si="227"/>
        <v>הבנק הבינלאומי הראשון</v>
      </c>
      <c r="U1332" s="1786" t="str">
        <f t="shared" si="228"/>
        <v xml:space="preserve">גל קופת גמל למורים </v>
      </c>
      <c r="V1332" s="1786">
        <f t="shared" si="229"/>
        <v>0</v>
      </c>
      <c r="W1332" s="1789" t="str">
        <f t="shared" si="230"/>
        <v>גל -ניהול קופות גמל לעובדי הוראה בע"מ</v>
      </c>
      <c r="AC1332" s="1759" t="s">
        <v>1586</v>
      </c>
      <c r="AD1332" s="1760">
        <v>42370.451574074097</v>
      </c>
      <c r="AE1332" s="1760">
        <v>36145</v>
      </c>
      <c r="AF1332" s="1759" t="s">
        <v>1681</v>
      </c>
      <c r="AG1332" s="1759" t="s">
        <v>1653</v>
      </c>
      <c r="AH1332" s="1759" t="s">
        <v>1594</v>
      </c>
      <c r="AI1332" s="1759" t="s">
        <v>3638</v>
      </c>
      <c r="AJ1332" s="1759" t="s">
        <v>2468</v>
      </c>
      <c r="AK1332" s="1759">
        <v>1444</v>
      </c>
      <c r="AL1332" s="1759" t="s">
        <v>4220</v>
      </c>
      <c r="AM1332" s="1759">
        <v>637</v>
      </c>
      <c r="AN1332" s="1759" t="s">
        <v>5384</v>
      </c>
      <c r="AO1332" s="1764"/>
      <c r="AP1332" s="1759" t="s">
        <v>5516</v>
      </c>
      <c r="AQ1332" s="1759"/>
      <c r="AR1332" s="1759" t="s">
        <v>3225</v>
      </c>
      <c r="AS1332" s="1759" t="s">
        <v>590</v>
      </c>
      <c r="AT1332" s="1759" t="s">
        <v>327</v>
      </c>
      <c r="AU1332" s="1763"/>
      <c r="AV1332" s="1763"/>
    </row>
    <row r="1333" spans="1:48" ht="37.5" hidden="1">
      <c r="A1333" s="1785" t="str">
        <f t="shared" si="220"/>
        <v>גמל</v>
      </c>
      <c r="B1333" s="1786">
        <f t="shared" si="221"/>
        <v>1222</v>
      </c>
      <c r="C1333" s="1787">
        <v>28946</v>
      </c>
      <c r="D1333" s="1786" t="str">
        <f t="shared" si="222"/>
        <v>גל קופת גמל למורים מסלול מניות</v>
      </c>
      <c r="E1333" s="1786" t="s">
        <v>3929</v>
      </c>
      <c r="F1333" s="1786" t="s">
        <v>2958</v>
      </c>
      <c r="G1333" s="1786" t="s">
        <v>2959</v>
      </c>
      <c r="H1333" s="1786" t="str">
        <f t="shared" si="223"/>
        <v>לא פעיל</v>
      </c>
      <c r="I1333" s="1788">
        <f t="shared" si="224"/>
        <v>36145</v>
      </c>
      <c r="J1333" s="1788">
        <f t="shared" si="225"/>
        <v>42370.451574074097</v>
      </c>
      <c r="K1333" s="1786">
        <v>0</v>
      </c>
      <c r="L1333" s="1786" t="s">
        <v>1594</v>
      </c>
      <c r="M1333" s="1786" t="s">
        <v>1653</v>
      </c>
      <c r="N1333" s="1786" t="s">
        <v>1653</v>
      </c>
      <c r="O1333" s="1786">
        <v>0</v>
      </c>
      <c r="P1333" s="1786"/>
      <c r="Q1333" s="1786">
        <v>0</v>
      </c>
      <c r="R1333" s="1788"/>
      <c r="S1333" s="1786">
        <f t="shared" si="226"/>
        <v>637</v>
      </c>
      <c r="T1333" s="1786" t="str">
        <f t="shared" si="227"/>
        <v>הבנק הבינלאומי הראשון</v>
      </c>
      <c r="U1333" s="1786" t="str">
        <f t="shared" si="228"/>
        <v xml:space="preserve">גל קופת גמל למורים </v>
      </c>
      <c r="V1333" s="1786">
        <f t="shared" si="229"/>
        <v>0</v>
      </c>
      <c r="W1333" s="1789" t="str">
        <f t="shared" si="230"/>
        <v>גל -ניהול קופות גמל לעובדי הוראה בע"מ</v>
      </c>
      <c r="AC1333" s="1761" t="s">
        <v>1586</v>
      </c>
      <c r="AD1333" s="1762">
        <v>42370.451574074097</v>
      </c>
      <c r="AE1333" s="1762">
        <v>36145</v>
      </c>
      <c r="AF1333" s="1761" t="s">
        <v>1595</v>
      </c>
      <c r="AG1333" s="1761" t="s">
        <v>75</v>
      </c>
      <c r="AH1333" s="1761" t="s">
        <v>1594</v>
      </c>
      <c r="AI1333" s="1761" t="s">
        <v>3556</v>
      </c>
      <c r="AJ1333" s="1761" t="s">
        <v>2347</v>
      </c>
      <c r="AK1333" s="1761">
        <v>1222</v>
      </c>
      <c r="AL1333" s="1761" t="s">
        <v>4220</v>
      </c>
      <c r="AM1333" s="1761">
        <v>637</v>
      </c>
      <c r="AN1333" s="1761" t="s">
        <v>5384</v>
      </c>
      <c r="AO1333" s="1764"/>
      <c r="AP1333" s="1761" t="s">
        <v>5516</v>
      </c>
      <c r="AQ1333" s="1761"/>
      <c r="AR1333" s="1761" t="s">
        <v>3225</v>
      </c>
      <c r="AS1333" s="1761" t="s">
        <v>590</v>
      </c>
      <c r="AT1333" s="1761" t="s">
        <v>327</v>
      </c>
      <c r="AU1333" s="1763"/>
      <c r="AV1333" s="1763"/>
    </row>
    <row r="1334" spans="1:48" ht="37.5" hidden="1">
      <c r="A1334" s="1785" t="str">
        <f t="shared" si="220"/>
        <v>גמל</v>
      </c>
      <c r="B1334" s="1786">
        <f t="shared" si="221"/>
        <v>7242</v>
      </c>
      <c r="C1334" s="1787">
        <v>28946</v>
      </c>
      <c r="D1334" s="1786" t="str">
        <f t="shared" si="222"/>
        <v>קופת גמל גל לבני 50 ומטה</v>
      </c>
      <c r="E1334" s="1786" t="s">
        <v>3929</v>
      </c>
      <c r="F1334" s="1786" t="s">
        <v>2958</v>
      </c>
      <c r="G1334" s="1786" t="s">
        <v>2959</v>
      </c>
      <c r="H1334" s="1786" t="str">
        <f t="shared" si="223"/>
        <v>פעיל</v>
      </c>
      <c r="I1334" s="1788">
        <f t="shared" si="224"/>
        <v>36145</v>
      </c>
      <c r="J1334" s="1788" t="str">
        <f t="shared" si="225"/>
        <v/>
      </c>
      <c r="K1334" s="1786">
        <v>0</v>
      </c>
      <c r="L1334" s="1786" t="s">
        <v>1594</v>
      </c>
      <c r="M1334" s="1786" t="s">
        <v>1653</v>
      </c>
      <c r="N1334" s="1786" t="s">
        <v>1653</v>
      </c>
      <c r="O1334" s="1786">
        <v>0</v>
      </c>
      <c r="P1334" s="1786"/>
      <c r="Q1334" s="1786">
        <v>0</v>
      </c>
      <c r="R1334" s="1788"/>
      <c r="S1334" s="1786">
        <f t="shared" si="226"/>
        <v>637</v>
      </c>
      <c r="T1334" s="1786" t="str">
        <f t="shared" si="227"/>
        <v>הבנק הבינלאומי הראשון</v>
      </c>
      <c r="U1334" s="1786" t="str">
        <f t="shared" si="228"/>
        <v xml:space="preserve">גל קופת גמל למורים </v>
      </c>
      <c r="V1334" s="1786">
        <f t="shared" si="229"/>
        <v>0</v>
      </c>
      <c r="W1334" s="1789" t="str">
        <f t="shared" si="230"/>
        <v>גל -ניהול קופות גמל לעובדי הוראה בע"מ</v>
      </c>
      <c r="AC1334" s="1759" t="s">
        <v>346</v>
      </c>
      <c r="AD1334" s="1759"/>
      <c r="AE1334" s="1760">
        <v>36145</v>
      </c>
      <c r="AF1334" s="1759" t="s">
        <v>4151</v>
      </c>
      <c r="AG1334" s="1759" t="s">
        <v>3931</v>
      </c>
      <c r="AH1334" s="1759" t="s">
        <v>3658</v>
      </c>
      <c r="AI1334" s="1759" t="s">
        <v>4219</v>
      </c>
      <c r="AJ1334" s="1759" t="s">
        <v>4218</v>
      </c>
      <c r="AK1334" s="1759">
        <v>7242</v>
      </c>
      <c r="AL1334" s="1759" t="s">
        <v>4220</v>
      </c>
      <c r="AM1334" s="1759">
        <v>637</v>
      </c>
      <c r="AN1334" s="1759" t="s">
        <v>5384</v>
      </c>
      <c r="AO1334" s="1764"/>
      <c r="AP1334" s="1759" t="s">
        <v>5516</v>
      </c>
      <c r="AQ1334" s="1759"/>
      <c r="AR1334" s="1759" t="s">
        <v>3225</v>
      </c>
      <c r="AS1334" s="1759" t="s">
        <v>590</v>
      </c>
      <c r="AT1334" s="1759" t="s">
        <v>327</v>
      </c>
      <c r="AU1334" s="1763"/>
      <c r="AV1334" s="1763"/>
    </row>
    <row r="1335" spans="1:48" ht="37.5" hidden="1">
      <c r="A1335" s="1785" t="str">
        <f t="shared" si="220"/>
        <v>גמל</v>
      </c>
      <c r="B1335" s="1786">
        <f t="shared" si="221"/>
        <v>7243</v>
      </c>
      <c r="C1335" s="1787">
        <v>28946</v>
      </c>
      <c r="D1335" s="1786" t="str">
        <f t="shared" si="222"/>
        <v>קופת גמל גל לבני 50 עד 60</v>
      </c>
      <c r="E1335" s="1786" t="s">
        <v>3929</v>
      </c>
      <c r="F1335" s="1786" t="s">
        <v>2958</v>
      </c>
      <c r="G1335" s="1786" t="s">
        <v>2959</v>
      </c>
      <c r="H1335" s="1786" t="str">
        <f t="shared" si="223"/>
        <v>פעיל</v>
      </c>
      <c r="I1335" s="1788">
        <f t="shared" si="224"/>
        <v>36145</v>
      </c>
      <c r="J1335" s="1788" t="str">
        <f t="shared" si="225"/>
        <v/>
      </c>
      <c r="K1335" s="1786">
        <v>0</v>
      </c>
      <c r="L1335" s="1786" t="s">
        <v>1594</v>
      </c>
      <c r="M1335" s="1786" t="s">
        <v>1653</v>
      </c>
      <c r="N1335" s="1786" t="s">
        <v>1653</v>
      </c>
      <c r="O1335" s="1786">
        <v>0</v>
      </c>
      <c r="P1335" s="1786"/>
      <c r="Q1335" s="1786">
        <v>0</v>
      </c>
      <c r="R1335" s="1788"/>
      <c r="S1335" s="1786">
        <f t="shared" si="226"/>
        <v>637</v>
      </c>
      <c r="T1335" s="1786" t="str">
        <f t="shared" si="227"/>
        <v>הבנק הבינלאומי הראשון</v>
      </c>
      <c r="U1335" s="1786" t="str">
        <f t="shared" si="228"/>
        <v xml:space="preserve">גל קופת גמל למורים </v>
      </c>
      <c r="V1335" s="1786">
        <f t="shared" si="229"/>
        <v>0</v>
      </c>
      <c r="W1335" s="1789" t="str">
        <f t="shared" si="230"/>
        <v>גל -ניהול קופות גמל לעובדי הוראה בע"מ</v>
      </c>
      <c r="AC1335" s="1761" t="s">
        <v>346</v>
      </c>
      <c r="AD1335" s="1759"/>
      <c r="AE1335" s="1762">
        <v>36145</v>
      </c>
      <c r="AF1335" s="1761" t="s">
        <v>3932</v>
      </c>
      <c r="AG1335" s="1761" t="s">
        <v>3931</v>
      </c>
      <c r="AH1335" s="1761" t="s">
        <v>3658</v>
      </c>
      <c r="AI1335" s="1761" t="s">
        <v>4222</v>
      </c>
      <c r="AJ1335" s="1761" t="s">
        <v>4221</v>
      </c>
      <c r="AK1335" s="1761">
        <v>7243</v>
      </c>
      <c r="AL1335" s="1761" t="s">
        <v>4220</v>
      </c>
      <c r="AM1335" s="1761">
        <v>637</v>
      </c>
      <c r="AN1335" s="1761" t="s">
        <v>5384</v>
      </c>
      <c r="AO1335" s="1764"/>
      <c r="AP1335" s="1761" t="s">
        <v>5516</v>
      </c>
      <c r="AQ1335" s="1761"/>
      <c r="AR1335" s="1761" t="s">
        <v>3225</v>
      </c>
      <c r="AS1335" s="1761" t="s">
        <v>590</v>
      </c>
      <c r="AT1335" s="1761" t="s">
        <v>327</v>
      </c>
      <c r="AU1335" s="1763"/>
      <c r="AV1335" s="1763"/>
    </row>
    <row r="1336" spans="1:48" ht="37.5" hidden="1">
      <c r="A1336" s="1785" t="str">
        <f t="shared" si="220"/>
        <v>גמל</v>
      </c>
      <c r="B1336" s="1786">
        <f t="shared" si="221"/>
        <v>7244</v>
      </c>
      <c r="C1336" s="1787">
        <v>28946</v>
      </c>
      <c r="D1336" s="1786" t="str">
        <f t="shared" si="222"/>
        <v>קופת גמל גל לבני 60 ומעלה</v>
      </c>
      <c r="E1336" s="1786" t="s">
        <v>3929</v>
      </c>
      <c r="F1336" s="1786" t="s">
        <v>2958</v>
      </c>
      <c r="G1336" s="1786" t="s">
        <v>2959</v>
      </c>
      <c r="H1336" s="1786" t="str">
        <f t="shared" si="223"/>
        <v>פעיל</v>
      </c>
      <c r="I1336" s="1788">
        <f t="shared" si="224"/>
        <v>36145</v>
      </c>
      <c r="J1336" s="1788" t="str">
        <f t="shared" si="225"/>
        <v/>
      </c>
      <c r="K1336" s="1786">
        <v>0</v>
      </c>
      <c r="L1336" s="1786" t="s">
        <v>1594</v>
      </c>
      <c r="M1336" s="1786" t="s">
        <v>1653</v>
      </c>
      <c r="N1336" s="1786" t="s">
        <v>1653</v>
      </c>
      <c r="O1336" s="1786">
        <v>0</v>
      </c>
      <c r="P1336" s="1786"/>
      <c r="Q1336" s="1786">
        <v>0</v>
      </c>
      <c r="R1336" s="1788"/>
      <c r="S1336" s="1786">
        <f t="shared" si="226"/>
        <v>637</v>
      </c>
      <c r="T1336" s="1786" t="str">
        <f t="shared" si="227"/>
        <v>הבנק הבינלאומי הראשון</v>
      </c>
      <c r="U1336" s="1786" t="str">
        <f t="shared" si="228"/>
        <v xml:space="preserve">גל קופת גמל למורים </v>
      </c>
      <c r="V1336" s="1786">
        <f t="shared" si="229"/>
        <v>0</v>
      </c>
      <c r="W1336" s="1789" t="str">
        <f t="shared" si="230"/>
        <v>גל -ניהול קופות גמל לעובדי הוראה בע"מ</v>
      </c>
      <c r="AC1336" s="1759" t="s">
        <v>346</v>
      </c>
      <c r="AD1336" s="1759"/>
      <c r="AE1336" s="1760">
        <v>36145</v>
      </c>
      <c r="AF1336" s="1759" t="s">
        <v>3963</v>
      </c>
      <c r="AG1336" s="1759" t="s">
        <v>3931</v>
      </c>
      <c r="AH1336" s="1759" t="s">
        <v>3658</v>
      </c>
      <c r="AI1336" s="1759" t="s">
        <v>4224</v>
      </c>
      <c r="AJ1336" s="1759" t="s">
        <v>4223</v>
      </c>
      <c r="AK1336" s="1759">
        <v>7244</v>
      </c>
      <c r="AL1336" s="1759" t="s">
        <v>4220</v>
      </c>
      <c r="AM1336" s="1759">
        <v>637</v>
      </c>
      <c r="AN1336" s="1759" t="s">
        <v>5384</v>
      </c>
      <c r="AO1336" s="1764"/>
      <c r="AP1336" s="1759" t="s">
        <v>5516</v>
      </c>
      <c r="AQ1336" s="1759"/>
      <c r="AR1336" s="1759" t="s">
        <v>3225</v>
      </c>
      <c r="AS1336" s="1759" t="s">
        <v>590</v>
      </c>
      <c r="AT1336" s="1759" t="s">
        <v>327</v>
      </c>
      <c r="AU1336" s="1763"/>
      <c r="AV1336" s="1763"/>
    </row>
    <row r="1337" spans="1:48" ht="37.5" hidden="1">
      <c r="A1337" s="1785" t="str">
        <f t="shared" si="220"/>
        <v>גמל</v>
      </c>
      <c r="B1337" s="1786">
        <f t="shared" si="221"/>
        <v>1447</v>
      </c>
      <c r="C1337" s="1787">
        <v>28946</v>
      </c>
      <c r="D1337" s="1786" t="str">
        <f t="shared" si="222"/>
        <v xml:space="preserve">רשף קופת גמל לתגמולים מסלול אג"ח </v>
      </c>
      <c r="E1337" s="1786" t="s">
        <v>3929</v>
      </c>
      <c r="F1337" s="1786" t="s">
        <v>2958</v>
      </c>
      <c r="G1337" s="1786" t="s">
        <v>2959</v>
      </c>
      <c r="H1337" s="1786" t="str">
        <f t="shared" si="223"/>
        <v>לא פעיל</v>
      </c>
      <c r="I1337" s="1788">
        <f t="shared" si="224"/>
        <v>36161</v>
      </c>
      <c r="J1337" s="1788">
        <f t="shared" si="225"/>
        <v>42373.417013888902</v>
      </c>
      <c r="K1337" s="1786">
        <v>0</v>
      </c>
      <c r="L1337" s="1786" t="s">
        <v>1594</v>
      </c>
      <c r="M1337" s="1786" t="s">
        <v>1653</v>
      </c>
      <c r="N1337" s="1786" t="s">
        <v>1653</v>
      </c>
      <c r="O1337" s="1786">
        <v>0</v>
      </c>
      <c r="P1337" s="1786"/>
      <c r="Q1337" s="1786">
        <v>0</v>
      </c>
      <c r="R1337" s="1788"/>
      <c r="S1337" s="1786">
        <f t="shared" si="226"/>
        <v>636</v>
      </c>
      <c r="T1337" s="1786" t="str">
        <f t="shared" si="227"/>
        <v>הבנק הבינלאומי הראשון</v>
      </c>
      <c r="U1337" s="1786" t="str">
        <f t="shared" si="228"/>
        <v>רשף-קופ"ג ענפית לתגמולים לעובדי הוראה העל יסודיים</v>
      </c>
      <c r="V1337" s="1786" t="str">
        <f t="shared" si="229"/>
        <v>520007469</v>
      </c>
      <c r="W1337" s="1789" t="str">
        <f t="shared" si="230"/>
        <v>מנורה מבטחים פנסיה וגמל בע"מ</v>
      </c>
      <c r="AC1337" s="1761" t="s">
        <v>1586</v>
      </c>
      <c r="AD1337" s="1762">
        <v>42373.417013888902</v>
      </c>
      <c r="AE1337" s="1762">
        <v>36161</v>
      </c>
      <c r="AF1337" s="1761" t="s">
        <v>1653</v>
      </c>
      <c r="AG1337" s="1761" t="s">
        <v>1653</v>
      </c>
      <c r="AH1337" s="1761" t="s">
        <v>1594</v>
      </c>
      <c r="AI1337" s="1761" t="s">
        <v>3639</v>
      </c>
      <c r="AJ1337" s="1761" t="s">
        <v>2470</v>
      </c>
      <c r="AK1337" s="1761">
        <v>1447</v>
      </c>
      <c r="AL1337" s="1761" t="s">
        <v>4374</v>
      </c>
      <c r="AM1337" s="1761">
        <v>636</v>
      </c>
      <c r="AN1337" s="1761" t="s">
        <v>5384</v>
      </c>
      <c r="AO1337" s="1764"/>
      <c r="AP1337" s="1761" t="s">
        <v>5377</v>
      </c>
      <c r="AQ1337" s="1761" t="s">
        <v>5378</v>
      </c>
      <c r="AR1337" s="1761" t="s">
        <v>2971</v>
      </c>
      <c r="AS1337" s="1761" t="s">
        <v>396</v>
      </c>
      <c r="AT1337" s="1761" t="s">
        <v>327</v>
      </c>
      <c r="AU1337" s="1763"/>
      <c r="AV1337" s="1763"/>
    </row>
    <row r="1338" spans="1:48" ht="37.5" hidden="1">
      <c r="A1338" s="1785" t="str">
        <f t="shared" si="220"/>
        <v>גמל</v>
      </c>
      <c r="B1338" s="1786">
        <f t="shared" si="221"/>
        <v>9800</v>
      </c>
      <c r="C1338" s="1787">
        <v>28946</v>
      </c>
      <c r="D1338" s="1786" t="str">
        <f t="shared" si="222"/>
        <v>רשף - לבני 50-60</v>
      </c>
      <c r="E1338" s="1786" t="s">
        <v>3929</v>
      </c>
      <c r="F1338" s="1786" t="s">
        <v>2958</v>
      </c>
      <c r="G1338" s="1786" t="s">
        <v>2959</v>
      </c>
      <c r="H1338" s="1786" t="str">
        <f t="shared" si="223"/>
        <v>פעיל</v>
      </c>
      <c r="I1338" s="1788">
        <f t="shared" si="224"/>
        <v>36161</v>
      </c>
      <c r="J1338" s="1788" t="str">
        <f t="shared" si="225"/>
        <v/>
      </c>
      <c r="K1338" s="1786">
        <v>0</v>
      </c>
      <c r="L1338" s="1786" t="s">
        <v>1594</v>
      </c>
      <c r="M1338" s="1786" t="s">
        <v>1653</v>
      </c>
      <c r="N1338" s="1786" t="s">
        <v>1653</v>
      </c>
      <c r="O1338" s="1786">
        <v>0</v>
      </c>
      <c r="P1338" s="1786"/>
      <c r="Q1338" s="1786">
        <v>0</v>
      </c>
      <c r="R1338" s="1788"/>
      <c r="S1338" s="1786">
        <f t="shared" si="226"/>
        <v>636</v>
      </c>
      <c r="T1338" s="1786" t="str">
        <f t="shared" si="227"/>
        <v>הבנק הבינלאומי הראשון</v>
      </c>
      <c r="U1338" s="1786" t="str">
        <f t="shared" si="228"/>
        <v>רשף-קופ"ג ענפית לתגמולים לעובדי הוראה העל יסודיים</v>
      </c>
      <c r="V1338" s="1786" t="str">
        <f t="shared" si="229"/>
        <v>520007469</v>
      </c>
      <c r="W1338" s="1789" t="str">
        <f t="shared" si="230"/>
        <v>מנורה מבטחים פנסיה וגמל בע"מ</v>
      </c>
      <c r="AC1338" s="1759" t="s">
        <v>346</v>
      </c>
      <c r="AD1338" s="1759"/>
      <c r="AE1338" s="1760">
        <v>36161</v>
      </c>
      <c r="AF1338" s="1759" t="s">
        <v>3932</v>
      </c>
      <c r="AG1338" s="1759" t="s">
        <v>3931</v>
      </c>
      <c r="AH1338" s="1759" t="s">
        <v>3658</v>
      </c>
      <c r="AI1338" s="1759" t="s">
        <v>4376</v>
      </c>
      <c r="AJ1338" s="1759" t="s">
        <v>4375</v>
      </c>
      <c r="AK1338" s="1759">
        <v>9800</v>
      </c>
      <c r="AL1338" s="1759" t="s">
        <v>4374</v>
      </c>
      <c r="AM1338" s="1759">
        <v>636</v>
      </c>
      <c r="AN1338" s="1759" t="s">
        <v>5384</v>
      </c>
      <c r="AO1338" s="1764"/>
      <c r="AP1338" s="1759" t="s">
        <v>5377</v>
      </c>
      <c r="AQ1338" s="1759" t="s">
        <v>5378</v>
      </c>
      <c r="AR1338" s="1759" t="s">
        <v>2971</v>
      </c>
      <c r="AS1338" s="1759" t="s">
        <v>396</v>
      </c>
      <c r="AT1338" s="1759" t="s">
        <v>327</v>
      </c>
      <c r="AU1338" s="1763"/>
      <c r="AV1338" s="1763"/>
    </row>
    <row r="1339" spans="1:48" ht="37.5" hidden="1">
      <c r="A1339" s="1785" t="str">
        <f t="shared" si="220"/>
        <v>גמל</v>
      </c>
      <c r="B1339" s="1786">
        <f t="shared" si="221"/>
        <v>9799</v>
      </c>
      <c r="C1339" s="1787">
        <v>28946</v>
      </c>
      <c r="D1339" s="1786" t="str">
        <f t="shared" si="222"/>
        <v>רשף - לבני עד 50</v>
      </c>
      <c r="E1339" s="1786" t="s">
        <v>3929</v>
      </c>
      <c r="F1339" s="1786" t="s">
        <v>2958</v>
      </c>
      <c r="G1339" s="1786" t="s">
        <v>2959</v>
      </c>
      <c r="H1339" s="1786" t="str">
        <f t="shared" si="223"/>
        <v>פעיל</v>
      </c>
      <c r="I1339" s="1788">
        <f t="shared" si="224"/>
        <v>36161</v>
      </c>
      <c r="J1339" s="1788" t="str">
        <f t="shared" si="225"/>
        <v/>
      </c>
      <c r="K1339" s="1786">
        <v>0</v>
      </c>
      <c r="L1339" s="1786" t="s">
        <v>1594</v>
      </c>
      <c r="M1339" s="1786" t="s">
        <v>1653</v>
      </c>
      <c r="N1339" s="1786" t="s">
        <v>1653</v>
      </c>
      <c r="O1339" s="1786">
        <v>0</v>
      </c>
      <c r="P1339" s="1786"/>
      <c r="Q1339" s="1786">
        <v>0</v>
      </c>
      <c r="R1339" s="1788"/>
      <c r="S1339" s="1786">
        <f t="shared" si="226"/>
        <v>636</v>
      </c>
      <c r="T1339" s="1786" t="str">
        <f t="shared" si="227"/>
        <v>הבנק הבינלאומי הראשון</v>
      </c>
      <c r="U1339" s="1786" t="str">
        <f t="shared" si="228"/>
        <v>רשף-קופ"ג ענפית לתגמולים לעובדי הוראה העל יסודיים</v>
      </c>
      <c r="V1339" s="1786" t="str">
        <f t="shared" si="229"/>
        <v>520007469</v>
      </c>
      <c r="W1339" s="1789" t="str">
        <f t="shared" si="230"/>
        <v>מנורה מבטחים פנסיה וגמל בע"מ</v>
      </c>
      <c r="AC1339" s="1761" t="s">
        <v>346</v>
      </c>
      <c r="AD1339" s="1759"/>
      <c r="AE1339" s="1762">
        <v>36161</v>
      </c>
      <c r="AF1339" s="1761" t="s">
        <v>4151</v>
      </c>
      <c r="AG1339" s="1761" t="s">
        <v>3931</v>
      </c>
      <c r="AH1339" s="1761" t="s">
        <v>3658</v>
      </c>
      <c r="AI1339" s="1761" t="s">
        <v>4373</v>
      </c>
      <c r="AJ1339" s="1761" t="s">
        <v>4372</v>
      </c>
      <c r="AK1339" s="1761">
        <v>9799</v>
      </c>
      <c r="AL1339" s="1761" t="s">
        <v>4374</v>
      </c>
      <c r="AM1339" s="1761">
        <v>636</v>
      </c>
      <c r="AN1339" s="1761" t="s">
        <v>5384</v>
      </c>
      <c r="AO1339" s="1764"/>
      <c r="AP1339" s="1761" t="s">
        <v>5377</v>
      </c>
      <c r="AQ1339" s="1761" t="s">
        <v>5378</v>
      </c>
      <c r="AR1339" s="1761" t="s">
        <v>2971</v>
      </c>
      <c r="AS1339" s="1761" t="s">
        <v>396</v>
      </c>
      <c r="AT1339" s="1761" t="s">
        <v>327</v>
      </c>
      <c r="AU1339" s="1763"/>
      <c r="AV1339" s="1763"/>
    </row>
    <row r="1340" spans="1:48" ht="37.5" hidden="1">
      <c r="A1340" s="1785" t="str">
        <f t="shared" si="220"/>
        <v>גמל</v>
      </c>
      <c r="B1340" s="1786">
        <f t="shared" si="221"/>
        <v>636</v>
      </c>
      <c r="C1340" s="1787">
        <v>28946</v>
      </c>
      <c r="D1340" s="1786" t="str">
        <f t="shared" si="222"/>
        <v>רשף קופת גמל לתגמולים מסלול כללי</v>
      </c>
      <c r="E1340" s="1786" t="s">
        <v>3929</v>
      </c>
      <c r="F1340" s="1786" t="s">
        <v>2958</v>
      </c>
      <c r="G1340" s="1786" t="s">
        <v>2959</v>
      </c>
      <c r="H1340" s="1786" t="str">
        <f t="shared" si="223"/>
        <v>לא פעיל</v>
      </c>
      <c r="I1340" s="1788">
        <f t="shared" si="224"/>
        <v>36161</v>
      </c>
      <c r="J1340" s="1788">
        <f t="shared" si="225"/>
        <v>42373.417013888902</v>
      </c>
      <c r="K1340" s="1786">
        <v>0</v>
      </c>
      <c r="L1340" s="1786" t="s">
        <v>1594</v>
      </c>
      <c r="M1340" s="1786" t="s">
        <v>1653</v>
      </c>
      <c r="N1340" s="1786" t="s">
        <v>1653</v>
      </c>
      <c r="O1340" s="1786">
        <v>0</v>
      </c>
      <c r="P1340" s="1786"/>
      <c r="Q1340" s="1786">
        <v>0</v>
      </c>
      <c r="R1340" s="1788"/>
      <c r="S1340" s="1786">
        <f t="shared" si="226"/>
        <v>636</v>
      </c>
      <c r="T1340" s="1786" t="str">
        <f t="shared" si="227"/>
        <v>הבנק הבינלאומי הראשון</v>
      </c>
      <c r="U1340" s="1786" t="str">
        <f t="shared" si="228"/>
        <v>רשף-קופ"ג ענפית לתגמולים לעובדי הוראה העל יסודיים</v>
      </c>
      <c r="V1340" s="1786" t="str">
        <f t="shared" si="229"/>
        <v>520007469</v>
      </c>
      <c r="W1340" s="1789" t="str">
        <f t="shared" si="230"/>
        <v>מנורה מבטחים פנסיה וגמל בע"מ</v>
      </c>
      <c r="AC1340" s="1759" t="s">
        <v>1586</v>
      </c>
      <c r="AD1340" s="1760">
        <v>42373.417013888902</v>
      </c>
      <c r="AE1340" s="1760">
        <v>36161</v>
      </c>
      <c r="AF1340" s="1759" t="s">
        <v>1583</v>
      </c>
      <c r="AG1340" s="1759" t="s">
        <v>1583</v>
      </c>
      <c r="AH1340" s="1759" t="s">
        <v>1583</v>
      </c>
      <c r="AI1340" s="1759" t="s">
        <v>3223</v>
      </c>
      <c r="AJ1340" s="1759" t="s">
        <v>1938</v>
      </c>
      <c r="AK1340" s="1759">
        <v>636</v>
      </c>
      <c r="AL1340" s="1759" t="s">
        <v>4374</v>
      </c>
      <c r="AM1340" s="1759">
        <v>636</v>
      </c>
      <c r="AN1340" s="1759" t="s">
        <v>5384</v>
      </c>
      <c r="AO1340" s="1764"/>
      <c r="AP1340" s="1759" t="s">
        <v>5377</v>
      </c>
      <c r="AQ1340" s="1759" t="s">
        <v>5378</v>
      </c>
      <c r="AR1340" s="1759" t="s">
        <v>2971</v>
      </c>
      <c r="AS1340" s="1759" t="s">
        <v>396</v>
      </c>
      <c r="AT1340" s="1759" t="s">
        <v>327</v>
      </c>
      <c r="AU1340" s="1763"/>
      <c r="AV1340" s="1763"/>
    </row>
    <row r="1341" spans="1:48" ht="37.5" hidden="1">
      <c r="A1341" s="1785" t="str">
        <f t="shared" si="220"/>
        <v>גמל</v>
      </c>
      <c r="B1341" s="1786">
        <f t="shared" si="221"/>
        <v>9801</v>
      </c>
      <c r="C1341" s="1787">
        <v>28946</v>
      </c>
      <c r="D1341" s="1786" t="str">
        <f t="shared" si="222"/>
        <v>רשף- לבני 60 ומעלה</v>
      </c>
      <c r="E1341" s="1786" t="s">
        <v>3929</v>
      </c>
      <c r="F1341" s="1786" t="s">
        <v>2958</v>
      </c>
      <c r="G1341" s="1786" t="s">
        <v>2959</v>
      </c>
      <c r="H1341" s="1786" t="str">
        <f t="shared" si="223"/>
        <v>פעיל</v>
      </c>
      <c r="I1341" s="1788">
        <f t="shared" si="224"/>
        <v>36161</v>
      </c>
      <c r="J1341" s="1788" t="str">
        <f t="shared" si="225"/>
        <v/>
      </c>
      <c r="K1341" s="1786">
        <v>0</v>
      </c>
      <c r="L1341" s="1786" t="s">
        <v>1594</v>
      </c>
      <c r="M1341" s="1786" t="s">
        <v>1653</v>
      </c>
      <c r="N1341" s="1786" t="s">
        <v>1653</v>
      </c>
      <c r="O1341" s="1786">
        <v>0</v>
      </c>
      <c r="P1341" s="1786"/>
      <c r="Q1341" s="1786">
        <v>0</v>
      </c>
      <c r="R1341" s="1788"/>
      <c r="S1341" s="1786">
        <f t="shared" si="226"/>
        <v>636</v>
      </c>
      <c r="T1341" s="1786" t="str">
        <f t="shared" si="227"/>
        <v>הבנק הבינלאומי הראשון</v>
      </c>
      <c r="U1341" s="1786" t="str">
        <f t="shared" si="228"/>
        <v>רשף-קופ"ג ענפית לתגמולים לעובדי הוראה העל יסודיים</v>
      </c>
      <c r="V1341" s="1786" t="str">
        <f t="shared" si="229"/>
        <v>520007469</v>
      </c>
      <c r="W1341" s="1789" t="str">
        <f t="shared" si="230"/>
        <v>מנורה מבטחים פנסיה וגמל בע"מ</v>
      </c>
      <c r="AC1341" s="1761" t="s">
        <v>346</v>
      </c>
      <c r="AD1341" s="1761"/>
      <c r="AE1341" s="1762">
        <v>36161</v>
      </c>
      <c r="AF1341" s="1761" t="s">
        <v>3963</v>
      </c>
      <c r="AG1341" s="1761" t="s">
        <v>3931</v>
      </c>
      <c r="AH1341" s="1761" t="s">
        <v>3658</v>
      </c>
      <c r="AI1341" s="1761" t="s">
        <v>4378</v>
      </c>
      <c r="AJ1341" s="1761" t="s">
        <v>4377</v>
      </c>
      <c r="AK1341" s="1761">
        <v>9801</v>
      </c>
      <c r="AL1341" s="1761" t="s">
        <v>4374</v>
      </c>
      <c r="AM1341" s="1761">
        <v>636</v>
      </c>
      <c r="AN1341" s="1761" t="s">
        <v>5384</v>
      </c>
      <c r="AO1341" s="1764"/>
      <c r="AP1341" s="1761" t="s">
        <v>5377</v>
      </c>
      <c r="AQ1341" s="1761" t="s">
        <v>5378</v>
      </c>
      <c r="AR1341" s="1761" t="s">
        <v>2971</v>
      </c>
      <c r="AS1341" s="1761" t="s">
        <v>396</v>
      </c>
      <c r="AT1341" s="1761" t="s">
        <v>327</v>
      </c>
      <c r="AU1341" s="1763"/>
      <c r="AV1341" s="1763"/>
    </row>
    <row r="1342" spans="1:48" ht="25" hidden="1">
      <c r="A1342" s="1785" t="str">
        <f t="shared" si="220"/>
        <v>גמל</v>
      </c>
      <c r="B1342" s="1786">
        <f t="shared" si="221"/>
        <v>635</v>
      </c>
      <c r="C1342" s="1787">
        <v>28946</v>
      </c>
      <c r="D1342" s="1786" t="str">
        <f t="shared" si="222"/>
        <v>פסגות קופה לתשלום דמי מחלה</v>
      </c>
      <c r="E1342" s="1786" t="s">
        <v>3929</v>
      </c>
      <c r="F1342" s="1786" t="s">
        <v>2958</v>
      </c>
      <c r="G1342" s="1786" t="s">
        <v>2959</v>
      </c>
      <c r="H1342" s="1786" t="str">
        <f t="shared" si="223"/>
        <v>לא פעיל</v>
      </c>
      <c r="I1342" s="1788">
        <f t="shared" si="224"/>
        <v>36115</v>
      </c>
      <c r="J1342" s="1788">
        <f t="shared" si="225"/>
        <v>41655.613032407397</v>
      </c>
      <c r="K1342" s="1786">
        <v>0</v>
      </c>
      <c r="L1342" s="1786" t="s">
        <v>1594</v>
      </c>
      <c r="M1342" s="1786" t="s">
        <v>1653</v>
      </c>
      <c r="N1342" s="1786" t="s">
        <v>1653</v>
      </c>
      <c r="O1342" s="1786">
        <v>0</v>
      </c>
      <c r="P1342" s="1786"/>
      <c r="Q1342" s="1786">
        <v>0</v>
      </c>
      <c r="R1342" s="1788"/>
      <c r="S1342" s="1786">
        <f t="shared" si="226"/>
        <v>635</v>
      </c>
      <c r="T1342" s="1786" t="str">
        <f t="shared" si="227"/>
        <v>בנק לאומי בע"מ</v>
      </c>
      <c r="U1342" s="1786" t="str">
        <f t="shared" si="228"/>
        <v>פסגות קופה לתשלום דמי מחלה</v>
      </c>
      <c r="V1342" s="1786" t="str">
        <f t="shared" si="229"/>
        <v>513767079</v>
      </c>
      <c r="W1342" s="1789" t="str">
        <f t="shared" si="230"/>
        <v>פסגות קופות גמל ופנסיה בע"מ</v>
      </c>
      <c r="AC1342" s="1759" t="s">
        <v>1586</v>
      </c>
      <c r="AD1342" s="1760">
        <v>41655.613032407397</v>
      </c>
      <c r="AE1342" s="1760">
        <v>36115</v>
      </c>
      <c r="AF1342" s="1759" t="s">
        <v>1583</v>
      </c>
      <c r="AG1342" s="1759" t="s">
        <v>1583</v>
      </c>
      <c r="AH1342" s="1759" t="s">
        <v>1583</v>
      </c>
      <c r="AI1342" s="1759" t="s">
        <v>588</v>
      </c>
      <c r="AJ1342" s="1759" t="s">
        <v>588</v>
      </c>
      <c r="AK1342" s="1759">
        <v>635</v>
      </c>
      <c r="AL1342" s="1759" t="s">
        <v>588</v>
      </c>
      <c r="AM1342" s="1759">
        <v>635</v>
      </c>
      <c r="AN1342" s="1759" t="s">
        <v>5470</v>
      </c>
      <c r="AO1342" s="1764"/>
      <c r="AP1342" s="1759" t="s">
        <v>5365</v>
      </c>
      <c r="AQ1342" s="1759" t="s">
        <v>5366</v>
      </c>
      <c r="AR1342" s="1759" t="s">
        <v>351</v>
      </c>
      <c r="AS1342" s="1759" t="s">
        <v>352</v>
      </c>
      <c r="AT1342" s="1759" t="s">
        <v>327</v>
      </c>
      <c r="AU1342" s="1763"/>
      <c r="AV1342" s="1763"/>
    </row>
    <row r="1343" spans="1:48" ht="25" hidden="1">
      <c r="A1343" s="1785" t="str">
        <f t="shared" si="220"/>
        <v>גמל</v>
      </c>
      <c r="B1343" s="1786">
        <f t="shared" si="221"/>
        <v>622</v>
      </c>
      <c r="C1343" s="1787">
        <v>28946</v>
      </c>
      <c r="D1343" s="1786" t="str">
        <f t="shared" si="222"/>
        <v>לבונה - מסלול גמיש</v>
      </c>
      <c r="E1343" s="1786" t="s">
        <v>3929</v>
      </c>
      <c r="F1343" s="1786" t="s">
        <v>2958</v>
      </c>
      <c r="G1343" s="1786" t="s">
        <v>2959</v>
      </c>
      <c r="H1343" s="1786" t="str">
        <f t="shared" si="223"/>
        <v>לא פעיל</v>
      </c>
      <c r="I1343" s="1788">
        <f t="shared" si="224"/>
        <v>36017</v>
      </c>
      <c r="J1343" s="1788">
        <f t="shared" si="225"/>
        <v>36745.520428240699</v>
      </c>
      <c r="K1343" s="1786">
        <v>0</v>
      </c>
      <c r="L1343" s="1786" t="s">
        <v>1594</v>
      </c>
      <c r="M1343" s="1786" t="s">
        <v>1653</v>
      </c>
      <c r="N1343" s="1786" t="s">
        <v>1653</v>
      </c>
      <c r="O1343" s="1786">
        <v>0</v>
      </c>
      <c r="P1343" s="1786"/>
      <c r="Q1343" s="1786">
        <v>0</v>
      </c>
      <c r="R1343" s="1788"/>
      <c r="S1343" s="1786">
        <f t="shared" si="226"/>
        <v>618</v>
      </c>
      <c r="T1343" s="1786">
        <f t="shared" si="227"/>
        <v>0</v>
      </c>
      <c r="U1343" s="1786" t="str">
        <f t="shared" si="228"/>
        <v>לבונה - מסלול מדדי</v>
      </c>
      <c r="V1343" s="1786">
        <f t="shared" si="229"/>
        <v>0</v>
      </c>
      <c r="W1343" s="1789" t="str">
        <f t="shared" si="230"/>
        <v>דיסקונט ניהול קופות גמל בע"מ</v>
      </c>
      <c r="AC1343" s="1761" t="s">
        <v>1586</v>
      </c>
      <c r="AD1343" s="1762">
        <v>36745.520428240699</v>
      </c>
      <c r="AE1343" s="1762">
        <v>36017</v>
      </c>
      <c r="AF1343" s="1761" t="s">
        <v>1583</v>
      </c>
      <c r="AG1343" s="1761" t="s">
        <v>1583</v>
      </c>
      <c r="AH1343" s="1761" t="s">
        <v>1583</v>
      </c>
      <c r="AI1343" s="1761" t="s">
        <v>3218</v>
      </c>
      <c r="AJ1343" s="1761" t="s">
        <v>1934</v>
      </c>
      <c r="AK1343" s="1761">
        <v>622</v>
      </c>
      <c r="AL1343" s="1761" t="s">
        <v>1928</v>
      </c>
      <c r="AM1343" s="1761">
        <v>618</v>
      </c>
      <c r="AN1343" s="1761"/>
      <c r="AO1343" s="1764"/>
      <c r="AP1343" s="1761"/>
      <c r="AQ1343" s="1761"/>
      <c r="AR1343" s="1761" t="s">
        <v>1930</v>
      </c>
      <c r="AS1343" s="1761" t="s">
        <v>1929</v>
      </c>
      <c r="AT1343" s="1761" t="s">
        <v>327</v>
      </c>
      <c r="AU1343" s="1763"/>
      <c r="AV1343" s="1763"/>
    </row>
    <row r="1344" spans="1:48" ht="25" hidden="1">
      <c r="A1344" s="1785" t="str">
        <f t="shared" si="220"/>
        <v>גמל</v>
      </c>
      <c r="B1344" s="1786">
        <f t="shared" si="221"/>
        <v>625</v>
      </c>
      <c r="C1344" s="1787">
        <v>28946</v>
      </c>
      <c r="D1344" s="1786" t="str">
        <f t="shared" si="222"/>
        <v>לבונה - מסלול גמיש</v>
      </c>
      <c r="E1344" s="1786" t="s">
        <v>3929</v>
      </c>
      <c r="F1344" s="1786" t="s">
        <v>2958</v>
      </c>
      <c r="G1344" s="1786" t="s">
        <v>2959</v>
      </c>
      <c r="H1344" s="1786" t="str">
        <f t="shared" si="223"/>
        <v>לא פעיל</v>
      </c>
      <c r="I1344" s="1788">
        <f t="shared" si="224"/>
        <v>36017</v>
      </c>
      <c r="J1344" s="1788">
        <f t="shared" si="225"/>
        <v>36745.520428240699</v>
      </c>
      <c r="K1344" s="1786">
        <v>0</v>
      </c>
      <c r="L1344" s="1786" t="s">
        <v>1594</v>
      </c>
      <c r="M1344" s="1786" t="s">
        <v>1653</v>
      </c>
      <c r="N1344" s="1786" t="s">
        <v>1653</v>
      </c>
      <c r="O1344" s="1786">
        <v>0</v>
      </c>
      <c r="P1344" s="1786"/>
      <c r="Q1344" s="1786">
        <v>0</v>
      </c>
      <c r="R1344" s="1788"/>
      <c r="S1344" s="1786">
        <f t="shared" si="226"/>
        <v>618</v>
      </c>
      <c r="T1344" s="1786">
        <f t="shared" si="227"/>
        <v>0</v>
      </c>
      <c r="U1344" s="1786" t="str">
        <f t="shared" si="228"/>
        <v>לבונה - מסלול מדדי</v>
      </c>
      <c r="V1344" s="1786">
        <f t="shared" si="229"/>
        <v>0</v>
      </c>
      <c r="W1344" s="1789" t="str">
        <f t="shared" si="230"/>
        <v>דיסקונט ניהול קופות גמל בע"מ</v>
      </c>
      <c r="AC1344" s="1759" t="s">
        <v>1586</v>
      </c>
      <c r="AD1344" s="1760">
        <v>36745.520428240699</v>
      </c>
      <c r="AE1344" s="1760">
        <v>36017</v>
      </c>
      <c r="AF1344" s="1759" t="s">
        <v>1583</v>
      </c>
      <c r="AG1344" s="1759" t="s">
        <v>1583</v>
      </c>
      <c r="AH1344" s="1759" t="s">
        <v>1583</v>
      </c>
      <c r="AI1344" s="1759" t="s">
        <v>3218</v>
      </c>
      <c r="AJ1344" s="1759" t="s">
        <v>1934</v>
      </c>
      <c r="AK1344" s="1759">
        <v>625</v>
      </c>
      <c r="AL1344" s="1759" t="s">
        <v>1928</v>
      </c>
      <c r="AM1344" s="1759">
        <v>618</v>
      </c>
      <c r="AN1344" s="1759"/>
      <c r="AO1344" s="1764"/>
      <c r="AP1344" s="1759"/>
      <c r="AQ1344" s="1759"/>
      <c r="AR1344" s="1759" t="s">
        <v>1930</v>
      </c>
      <c r="AS1344" s="1759" t="s">
        <v>1929</v>
      </c>
      <c r="AT1344" s="1759" t="s">
        <v>327</v>
      </c>
      <c r="AU1344" s="1763"/>
      <c r="AV1344" s="1763"/>
    </row>
    <row r="1345" spans="1:48" ht="25" hidden="1">
      <c r="A1345" s="1785" t="str">
        <f t="shared" si="220"/>
        <v>גמל</v>
      </c>
      <c r="B1345" s="1786">
        <f t="shared" si="221"/>
        <v>624</v>
      </c>
      <c r="C1345" s="1787">
        <v>28946</v>
      </c>
      <c r="D1345" s="1786" t="str">
        <f t="shared" si="222"/>
        <v>לבונה - מסלול גמיש</v>
      </c>
      <c r="E1345" s="1786" t="s">
        <v>3929</v>
      </c>
      <c r="F1345" s="1786" t="s">
        <v>2958</v>
      </c>
      <c r="G1345" s="1786" t="s">
        <v>2959</v>
      </c>
      <c r="H1345" s="1786" t="str">
        <f t="shared" si="223"/>
        <v>לא פעיל</v>
      </c>
      <c r="I1345" s="1788">
        <f t="shared" si="224"/>
        <v>36017</v>
      </c>
      <c r="J1345" s="1788">
        <f t="shared" si="225"/>
        <v>36745.520428240699</v>
      </c>
      <c r="K1345" s="1786">
        <v>0</v>
      </c>
      <c r="L1345" s="1786" t="s">
        <v>1594</v>
      </c>
      <c r="M1345" s="1786" t="s">
        <v>1653</v>
      </c>
      <c r="N1345" s="1786" t="s">
        <v>1653</v>
      </c>
      <c r="O1345" s="1786">
        <v>0</v>
      </c>
      <c r="P1345" s="1786"/>
      <c r="Q1345" s="1786">
        <v>0</v>
      </c>
      <c r="R1345" s="1788"/>
      <c r="S1345" s="1786">
        <f t="shared" si="226"/>
        <v>618</v>
      </c>
      <c r="T1345" s="1786">
        <f t="shared" si="227"/>
        <v>0</v>
      </c>
      <c r="U1345" s="1786" t="str">
        <f t="shared" si="228"/>
        <v>לבונה - מסלול מדדי</v>
      </c>
      <c r="V1345" s="1786">
        <f t="shared" si="229"/>
        <v>0</v>
      </c>
      <c r="W1345" s="1789" t="str">
        <f t="shared" si="230"/>
        <v>דיסקונט ניהול קופות גמל בע"מ</v>
      </c>
      <c r="AC1345" s="1761" t="s">
        <v>1586</v>
      </c>
      <c r="AD1345" s="1762">
        <v>36745.520428240699</v>
      </c>
      <c r="AE1345" s="1762">
        <v>36017</v>
      </c>
      <c r="AF1345" s="1761" t="s">
        <v>1583</v>
      </c>
      <c r="AG1345" s="1761" t="s">
        <v>1583</v>
      </c>
      <c r="AH1345" s="1761" t="s">
        <v>1583</v>
      </c>
      <c r="AI1345" s="1761" t="s">
        <v>3218</v>
      </c>
      <c r="AJ1345" s="1761" t="s">
        <v>1934</v>
      </c>
      <c r="AK1345" s="1761">
        <v>624</v>
      </c>
      <c r="AL1345" s="1761" t="s">
        <v>1928</v>
      </c>
      <c r="AM1345" s="1761">
        <v>618</v>
      </c>
      <c r="AN1345" s="1761"/>
      <c r="AO1345" s="1764"/>
      <c r="AP1345" s="1761"/>
      <c r="AQ1345" s="1761"/>
      <c r="AR1345" s="1761" t="s">
        <v>1930</v>
      </c>
      <c r="AS1345" s="1761" t="s">
        <v>1929</v>
      </c>
      <c r="AT1345" s="1761" t="s">
        <v>327</v>
      </c>
      <c r="AU1345" s="1763"/>
      <c r="AV1345" s="1763"/>
    </row>
    <row r="1346" spans="1:48" ht="25" hidden="1">
      <c r="A1346" s="1785" t="str">
        <f t="shared" si="220"/>
        <v>גמל</v>
      </c>
      <c r="B1346" s="1786">
        <f t="shared" si="221"/>
        <v>623</v>
      </c>
      <c r="C1346" s="1787">
        <v>28946</v>
      </c>
      <c r="D1346" s="1786" t="str">
        <f t="shared" si="222"/>
        <v>לבונה - מסלול גמיש</v>
      </c>
      <c r="E1346" s="1786" t="s">
        <v>3929</v>
      </c>
      <c r="F1346" s="1786" t="s">
        <v>2958</v>
      </c>
      <c r="G1346" s="1786" t="s">
        <v>2959</v>
      </c>
      <c r="H1346" s="1786" t="str">
        <f t="shared" si="223"/>
        <v>לא פעיל</v>
      </c>
      <c r="I1346" s="1788">
        <f t="shared" si="224"/>
        <v>36017</v>
      </c>
      <c r="J1346" s="1788">
        <f t="shared" si="225"/>
        <v>36745.520428240699</v>
      </c>
      <c r="K1346" s="1786">
        <v>0</v>
      </c>
      <c r="L1346" s="1786" t="s">
        <v>1594</v>
      </c>
      <c r="M1346" s="1786" t="s">
        <v>1653</v>
      </c>
      <c r="N1346" s="1786" t="s">
        <v>1653</v>
      </c>
      <c r="O1346" s="1786">
        <v>0</v>
      </c>
      <c r="P1346" s="1786"/>
      <c r="Q1346" s="1786">
        <v>0</v>
      </c>
      <c r="R1346" s="1788"/>
      <c r="S1346" s="1786">
        <f t="shared" si="226"/>
        <v>618</v>
      </c>
      <c r="T1346" s="1786">
        <f t="shared" si="227"/>
        <v>0</v>
      </c>
      <c r="U1346" s="1786" t="str">
        <f t="shared" si="228"/>
        <v>לבונה - מסלול מדדי</v>
      </c>
      <c r="V1346" s="1786">
        <f t="shared" si="229"/>
        <v>0</v>
      </c>
      <c r="W1346" s="1789" t="str">
        <f t="shared" si="230"/>
        <v>דיסקונט ניהול קופות גמל בע"מ</v>
      </c>
      <c r="AC1346" s="1759" t="s">
        <v>1586</v>
      </c>
      <c r="AD1346" s="1760">
        <v>36745.520428240699</v>
      </c>
      <c r="AE1346" s="1760">
        <v>36017</v>
      </c>
      <c r="AF1346" s="1759" t="s">
        <v>1583</v>
      </c>
      <c r="AG1346" s="1759" t="s">
        <v>1583</v>
      </c>
      <c r="AH1346" s="1759" t="s">
        <v>1583</v>
      </c>
      <c r="AI1346" s="1759" t="s">
        <v>3218</v>
      </c>
      <c r="AJ1346" s="1759" t="s">
        <v>1934</v>
      </c>
      <c r="AK1346" s="1759">
        <v>623</v>
      </c>
      <c r="AL1346" s="1759" t="s">
        <v>1928</v>
      </c>
      <c r="AM1346" s="1759">
        <v>618</v>
      </c>
      <c r="AN1346" s="1759"/>
      <c r="AO1346" s="1764"/>
      <c r="AP1346" s="1759"/>
      <c r="AQ1346" s="1759"/>
      <c r="AR1346" s="1759" t="s">
        <v>1930</v>
      </c>
      <c r="AS1346" s="1759" t="s">
        <v>1929</v>
      </c>
      <c r="AT1346" s="1759" t="s">
        <v>327</v>
      </c>
      <c r="AU1346" s="1763"/>
      <c r="AV1346" s="1763"/>
    </row>
    <row r="1347" spans="1:48" ht="25" hidden="1">
      <c r="A1347" s="1785" t="str">
        <f t="shared" si="220"/>
        <v>גמל</v>
      </c>
      <c r="B1347" s="1786">
        <f t="shared" si="221"/>
        <v>628</v>
      </c>
      <c r="C1347" s="1787">
        <v>28946</v>
      </c>
      <c r="D1347" s="1786" t="str">
        <f t="shared" si="222"/>
        <v>לבונה - מסלול גמיש</v>
      </c>
      <c r="E1347" s="1786" t="s">
        <v>3929</v>
      </c>
      <c r="F1347" s="1786" t="s">
        <v>2958</v>
      </c>
      <c r="G1347" s="1786" t="s">
        <v>2959</v>
      </c>
      <c r="H1347" s="1786" t="str">
        <f t="shared" si="223"/>
        <v>לא פעיל</v>
      </c>
      <c r="I1347" s="1788">
        <f t="shared" si="224"/>
        <v>36017</v>
      </c>
      <c r="J1347" s="1788">
        <f t="shared" si="225"/>
        <v>36745.520428240699</v>
      </c>
      <c r="K1347" s="1786">
        <v>0</v>
      </c>
      <c r="L1347" s="1786" t="s">
        <v>1594</v>
      </c>
      <c r="M1347" s="1786" t="s">
        <v>1653</v>
      </c>
      <c r="N1347" s="1786" t="s">
        <v>1653</v>
      </c>
      <c r="O1347" s="1786">
        <v>0</v>
      </c>
      <c r="P1347" s="1786"/>
      <c r="Q1347" s="1786">
        <v>0</v>
      </c>
      <c r="R1347" s="1788"/>
      <c r="S1347" s="1786">
        <f t="shared" si="226"/>
        <v>618</v>
      </c>
      <c r="T1347" s="1786">
        <f t="shared" si="227"/>
        <v>0</v>
      </c>
      <c r="U1347" s="1786" t="str">
        <f t="shared" si="228"/>
        <v>לבונה - מסלול מדדי</v>
      </c>
      <c r="V1347" s="1786">
        <f t="shared" si="229"/>
        <v>0</v>
      </c>
      <c r="W1347" s="1789" t="str">
        <f t="shared" si="230"/>
        <v>דיסקונט ניהול קופות גמל בע"מ</v>
      </c>
      <c r="AC1347" s="1761" t="s">
        <v>1586</v>
      </c>
      <c r="AD1347" s="1762">
        <v>36745.520428240699</v>
      </c>
      <c r="AE1347" s="1762">
        <v>36017</v>
      </c>
      <c r="AF1347" s="1761" t="s">
        <v>1583</v>
      </c>
      <c r="AG1347" s="1761" t="s">
        <v>1583</v>
      </c>
      <c r="AH1347" s="1761" t="s">
        <v>1583</v>
      </c>
      <c r="AI1347" s="1761" t="s">
        <v>3218</v>
      </c>
      <c r="AJ1347" s="1761" t="s">
        <v>1934</v>
      </c>
      <c r="AK1347" s="1761">
        <v>628</v>
      </c>
      <c r="AL1347" s="1761" t="s">
        <v>1928</v>
      </c>
      <c r="AM1347" s="1761">
        <v>618</v>
      </c>
      <c r="AN1347" s="1761"/>
      <c r="AO1347" s="1764"/>
      <c r="AP1347" s="1761"/>
      <c r="AQ1347" s="1761"/>
      <c r="AR1347" s="1761" t="s">
        <v>1930</v>
      </c>
      <c r="AS1347" s="1761" t="s">
        <v>1929</v>
      </c>
      <c r="AT1347" s="1761" t="s">
        <v>327</v>
      </c>
      <c r="AU1347" s="1763"/>
      <c r="AV1347" s="1763"/>
    </row>
    <row r="1348" spans="1:48" ht="25" hidden="1">
      <c r="A1348" s="1785" t="str">
        <f t="shared" si="220"/>
        <v>גמל</v>
      </c>
      <c r="B1348" s="1786">
        <f t="shared" si="221"/>
        <v>631</v>
      </c>
      <c r="C1348" s="1787">
        <v>28946</v>
      </c>
      <c r="D1348" s="1786" t="str">
        <f t="shared" si="222"/>
        <v>לבונה - מסלול גמיש</v>
      </c>
      <c r="E1348" s="1786" t="s">
        <v>3929</v>
      </c>
      <c r="F1348" s="1786" t="s">
        <v>2958</v>
      </c>
      <c r="G1348" s="1786" t="s">
        <v>2959</v>
      </c>
      <c r="H1348" s="1786" t="str">
        <f t="shared" si="223"/>
        <v>לא פעיל</v>
      </c>
      <c r="I1348" s="1788">
        <f t="shared" si="224"/>
        <v>36017</v>
      </c>
      <c r="J1348" s="1788">
        <f t="shared" si="225"/>
        <v>36745.520428240699</v>
      </c>
      <c r="K1348" s="1786">
        <v>0</v>
      </c>
      <c r="L1348" s="1786" t="s">
        <v>1594</v>
      </c>
      <c r="M1348" s="1786" t="s">
        <v>1653</v>
      </c>
      <c r="N1348" s="1786" t="s">
        <v>1653</v>
      </c>
      <c r="O1348" s="1786">
        <v>0</v>
      </c>
      <c r="P1348" s="1786"/>
      <c r="Q1348" s="1786">
        <v>0</v>
      </c>
      <c r="R1348" s="1788"/>
      <c r="S1348" s="1786">
        <f t="shared" si="226"/>
        <v>618</v>
      </c>
      <c r="T1348" s="1786">
        <f t="shared" si="227"/>
        <v>0</v>
      </c>
      <c r="U1348" s="1786" t="str">
        <f t="shared" si="228"/>
        <v>לבונה - מסלול מדדי</v>
      </c>
      <c r="V1348" s="1786">
        <f t="shared" si="229"/>
        <v>0</v>
      </c>
      <c r="W1348" s="1789" t="str">
        <f t="shared" si="230"/>
        <v>דיסקונט ניהול קופות גמל בע"מ</v>
      </c>
      <c r="AC1348" s="1759" t="s">
        <v>1586</v>
      </c>
      <c r="AD1348" s="1760">
        <v>36745.520428240699</v>
      </c>
      <c r="AE1348" s="1760">
        <v>36017</v>
      </c>
      <c r="AF1348" s="1759" t="s">
        <v>1583</v>
      </c>
      <c r="AG1348" s="1759" t="s">
        <v>1583</v>
      </c>
      <c r="AH1348" s="1759" t="s">
        <v>1583</v>
      </c>
      <c r="AI1348" s="1759" t="s">
        <v>3218</v>
      </c>
      <c r="AJ1348" s="1759" t="s">
        <v>1934</v>
      </c>
      <c r="AK1348" s="1759">
        <v>631</v>
      </c>
      <c r="AL1348" s="1759" t="s">
        <v>1928</v>
      </c>
      <c r="AM1348" s="1759">
        <v>618</v>
      </c>
      <c r="AN1348" s="1759"/>
      <c r="AO1348" s="1764"/>
      <c r="AP1348" s="1759"/>
      <c r="AQ1348" s="1759"/>
      <c r="AR1348" s="1759" t="s">
        <v>1930</v>
      </c>
      <c r="AS1348" s="1759" t="s">
        <v>1929</v>
      </c>
      <c r="AT1348" s="1759" t="s">
        <v>327</v>
      </c>
      <c r="AU1348" s="1763"/>
      <c r="AV1348" s="1763"/>
    </row>
    <row r="1349" spans="1:48" ht="25" hidden="1">
      <c r="A1349" s="1785" t="str">
        <f t="shared" si="220"/>
        <v>גמל</v>
      </c>
      <c r="B1349" s="1786">
        <f t="shared" si="221"/>
        <v>627</v>
      </c>
      <c r="C1349" s="1787">
        <v>28946</v>
      </c>
      <c r="D1349" s="1786" t="str">
        <f t="shared" si="222"/>
        <v>לבונה - מסלול גמיש</v>
      </c>
      <c r="E1349" s="1786" t="s">
        <v>3929</v>
      </c>
      <c r="F1349" s="1786" t="s">
        <v>2958</v>
      </c>
      <c r="G1349" s="1786" t="s">
        <v>2959</v>
      </c>
      <c r="H1349" s="1786" t="str">
        <f t="shared" si="223"/>
        <v>לא פעיל</v>
      </c>
      <c r="I1349" s="1788">
        <f t="shared" si="224"/>
        <v>36017</v>
      </c>
      <c r="J1349" s="1788">
        <f t="shared" si="225"/>
        <v>36745.520428240699</v>
      </c>
      <c r="K1349" s="1786">
        <v>0</v>
      </c>
      <c r="L1349" s="1786" t="s">
        <v>1594</v>
      </c>
      <c r="M1349" s="1786" t="s">
        <v>1653</v>
      </c>
      <c r="N1349" s="1786" t="s">
        <v>1653</v>
      </c>
      <c r="O1349" s="1786">
        <v>0</v>
      </c>
      <c r="P1349" s="1786"/>
      <c r="Q1349" s="1786">
        <v>0</v>
      </c>
      <c r="R1349" s="1788"/>
      <c r="S1349" s="1786">
        <f t="shared" si="226"/>
        <v>618</v>
      </c>
      <c r="T1349" s="1786">
        <f t="shared" si="227"/>
        <v>0</v>
      </c>
      <c r="U1349" s="1786" t="str">
        <f t="shared" si="228"/>
        <v>לבונה - מסלול מדדי</v>
      </c>
      <c r="V1349" s="1786">
        <f t="shared" si="229"/>
        <v>0</v>
      </c>
      <c r="W1349" s="1789" t="str">
        <f t="shared" si="230"/>
        <v>דיסקונט ניהול קופות גמל בע"מ</v>
      </c>
      <c r="AC1349" s="1761" t="s">
        <v>1586</v>
      </c>
      <c r="AD1349" s="1762">
        <v>36745.520428240699</v>
      </c>
      <c r="AE1349" s="1762">
        <v>36017</v>
      </c>
      <c r="AF1349" s="1761" t="s">
        <v>1583</v>
      </c>
      <c r="AG1349" s="1761" t="s">
        <v>1583</v>
      </c>
      <c r="AH1349" s="1761" t="s">
        <v>1583</v>
      </c>
      <c r="AI1349" s="1761" t="s">
        <v>3218</v>
      </c>
      <c r="AJ1349" s="1761" t="s">
        <v>1934</v>
      </c>
      <c r="AK1349" s="1761">
        <v>627</v>
      </c>
      <c r="AL1349" s="1761" t="s">
        <v>1928</v>
      </c>
      <c r="AM1349" s="1761">
        <v>618</v>
      </c>
      <c r="AN1349" s="1761"/>
      <c r="AO1349" s="1764"/>
      <c r="AP1349" s="1761"/>
      <c r="AQ1349" s="1761"/>
      <c r="AR1349" s="1761" t="s">
        <v>1930</v>
      </c>
      <c r="AS1349" s="1761" t="s">
        <v>1929</v>
      </c>
      <c r="AT1349" s="1761" t="s">
        <v>327</v>
      </c>
      <c r="AU1349" s="1763"/>
      <c r="AV1349" s="1763"/>
    </row>
    <row r="1350" spans="1:48" ht="25" hidden="1">
      <c r="A1350" s="1785" t="str">
        <f t="shared" si="220"/>
        <v>גמל</v>
      </c>
      <c r="B1350" s="1786">
        <f t="shared" si="221"/>
        <v>626</v>
      </c>
      <c r="C1350" s="1787">
        <v>28946</v>
      </c>
      <c r="D1350" s="1786" t="str">
        <f t="shared" si="222"/>
        <v>לבונה - מסלול גמיש</v>
      </c>
      <c r="E1350" s="1786" t="s">
        <v>3929</v>
      </c>
      <c r="F1350" s="1786" t="s">
        <v>2958</v>
      </c>
      <c r="G1350" s="1786" t="s">
        <v>2959</v>
      </c>
      <c r="H1350" s="1786" t="str">
        <f t="shared" si="223"/>
        <v>לא פעיל</v>
      </c>
      <c r="I1350" s="1788">
        <f t="shared" si="224"/>
        <v>36017</v>
      </c>
      <c r="J1350" s="1788">
        <f t="shared" si="225"/>
        <v>36745.520428240699</v>
      </c>
      <c r="K1350" s="1786">
        <v>0</v>
      </c>
      <c r="L1350" s="1786" t="s">
        <v>1594</v>
      </c>
      <c r="M1350" s="1786" t="s">
        <v>1653</v>
      </c>
      <c r="N1350" s="1786" t="s">
        <v>1653</v>
      </c>
      <c r="O1350" s="1786">
        <v>0</v>
      </c>
      <c r="P1350" s="1786"/>
      <c r="Q1350" s="1786">
        <v>0</v>
      </c>
      <c r="R1350" s="1788"/>
      <c r="S1350" s="1786">
        <f t="shared" si="226"/>
        <v>618</v>
      </c>
      <c r="T1350" s="1786">
        <f t="shared" si="227"/>
        <v>0</v>
      </c>
      <c r="U1350" s="1786" t="str">
        <f t="shared" si="228"/>
        <v>לבונה - מסלול מדדי</v>
      </c>
      <c r="V1350" s="1786">
        <f t="shared" si="229"/>
        <v>0</v>
      </c>
      <c r="W1350" s="1789" t="str">
        <f t="shared" si="230"/>
        <v>דיסקונט ניהול קופות גמל בע"מ</v>
      </c>
      <c r="AC1350" s="1759" t="s">
        <v>1586</v>
      </c>
      <c r="AD1350" s="1760">
        <v>36745.520428240699</v>
      </c>
      <c r="AE1350" s="1760">
        <v>36017</v>
      </c>
      <c r="AF1350" s="1759" t="s">
        <v>1583</v>
      </c>
      <c r="AG1350" s="1759" t="s">
        <v>1583</v>
      </c>
      <c r="AH1350" s="1759" t="s">
        <v>1583</v>
      </c>
      <c r="AI1350" s="1759" t="s">
        <v>3218</v>
      </c>
      <c r="AJ1350" s="1759" t="s">
        <v>1934</v>
      </c>
      <c r="AK1350" s="1759">
        <v>626</v>
      </c>
      <c r="AL1350" s="1759" t="s">
        <v>1928</v>
      </c>
      <c r="AM1350" s="1759">
        <v>618</v>
      </c>
      <c r="AN1350" s="1759"/>
      <c r="AO1350" s="1764"/>
      <c r="AP1350" s="1759"/>
      <c r="AQ1350" s="1759"/>
      <c r="AR1350" s="1759" t="s">
        <v>1930</v>
      </c>
      <c r="AS1350" s="1759" t="s">
        <v>1929</v>
      </c>
      <c r="AT1350" s="1759" t="s">
        <v>327</v>
      </c>
      <c r="AU1350" s="1763"/>
      <c r="AV1350" s="1763"/>
    </row>
    <row r="1351" spans="1:48" ht="25" hidden="1">
      <c r="A1351" s="1785" t="str">
        <f t="shared" si="220"/>
        <v>גמל</v>
      </c>
      <c r="B1351" s="1786">
        <f t="shared" si="221"/>
        <v>621</v>
      </c>
      <c r="C1351" s="1787">
        <v>28946</v>
      </c>
      <c r="D1351" s="1786" t="str">
        <f t="shared" si="222"/>
        <v>לבונה - מסלול שיקלי</v>
      </c>
      <c r="E1351" s="1786" t="s">
        <v>3929</v>
      </c>
      <c r="F1351" s="1786" t="s">
        <v>2958</v>
      </c>
      <c r="G1351" s="1786" t="s">
        <v>2959</v>
      </c>
      <c r="H1351" s="1786" t="str">
        <f t="shared" si="223"/>
        <v>לא פעיל</v>
      </c>
      <c r="I1351" s="1788">
        <f t="shared" si="224"/>
        <v>36017</v>
      </c>
      <c r="J1351" s="1788">
        <f t="shared" si="225"/>
        <v>36745</v>
      </c>
      <c r="K1351" s="1786">
        <v>0</v>
      </c>
      <c r="L1351" s="1786" t="s">
        <v>1594</v>
      </c>
      <c r="M1351" s="1786" t="s">
        <v>1653</v>
      </c>
      <c r="N1351" s="1786" t="s">
        <v>1653</v>
      </c>
      <c r="O1351" s="1786">
        <v>0</v>
      </c>
      <c r="P1351" s="1786"/>
      <c r="Q1351" s="1786">
        <v>0</v>
      </c>
      <c r="R1351" s="1788"/>
      <c r="S1351" s="1786">
        <f t="shared" si="226"/>
        <v>618</v>
      </c>
      <c r="T1351" s="1786">
        <f t="shared" si="227"/>
        <v>0</v>
      </c>
      <c r="U1351" s="1786" t="str">
        <f t="shared" si="228"/>
        <v>לבונה - מסלול מדדי</v>
      </c>
      <c r="V1351" s="1786">
        <f t="shared" si="229"/>
        <v>0</v>
      </c>
      <c r="W1351" s="1789" t="str">
        <f t="shared" si="230"/>
        <v>דיסקונט ניהול קופות גמל בע"מ</v>
      </c>
      <c r="AC1351" s="1761" t="s">
        <v>1586</v>
      </c>
      <c r="AD1351" s="1762">
        <v>36745</v>
      </c>
      <c r="AE1351" s="1762">
        <v>36017</v>
      </c>
      <c r="AF1351" s="1761" t="s">
        <v>1583</v>
      </c>
      <c r="AG1351" s="1761" t="s">
        <v>1583</v>
      </c>
      <c r="AH1351" s="1761" t="s">
        <v>1583</v>
      </c>
      <c r="AI1351" s="1761" t="s">
        <v>3218</v>
      </c>
      <c r="AJ1351" s="1761" t="s">
        <v>1933</v>
      </c>
      <c r="AK1351" s="1761">
        <v>621</v>
      </c>
      <c r="AL1351" s="1761" t="s">
        <v>1928</v>
      </c>
      <c r="AM1351" s="1761">
        <v>618</v>
      </c>
      <c r="AN1351" s="1761"/>
      <c r="AO1351" s="1764"/>
      <c r="AP1351" s="1761"/>
      <c r="AQ1351" s="1761"/>
      <c r="AR1351" s="1761" t="s">
        <v>1930</v>
      </c>
      <c r="AS1351" s="1761" t="s">
        <v>1929</v>
      </c>
      <c r="AT1351" s="1761" t="s">
        <v>327</v>
      </c>
      <c r="AU1351" s="1763"/>
      <c r="AV1351" s="1763"/>
    </row>
    <row r="1352" spans="1:48" ht="25" hidden="1">
      <c r="A1352" s="1785" t="str">
        <f t="shared" si="220"/>
        <v>גמל</v>
      </c>
      <c r="B1352" s="1786">
        <f t="shared" si="221"/>
        <v>620</v>
      </c>
      <c r="C1352" s="1787">
        <v>28946</v>
      </c>
      <c r="D1352" s="1786" t="str">
        <f t="shared" si="222"/>
        <v>לבונה - מסלול מעורב</v>
      </c>
      <c r="E1352" s="1786" t="s">
        <v>3929</v>
      </c>
      <c r="F1352" s="1786" t="s">
        <v>2958</v>
      </c>
      <c r="G1352" s="1786" t="s">
        <v>2959</v>
      </c>
      <c r="H1352" s="1786" t="str">
        <f t="shared" si="223"/>
        <v>לא פעיל</v>
      </c>
      <c r="I1352" s="1788">
        <f t="shared" si="224"/>
        <v>36017</v>
      </c>
      <c r="J1352" s="1788">
        <f t="shared" si="225"/>
        <v>36745.520428240699</v>
      </c>
      <c r="K1352" s="1786">
        <v>0</v>
      </c>
      <c r="L1352" s="1786" t="s">
        <v>1594</v>
      </c>
      <c r="M1352" s="1786" t="s">
        <v>1653</v>
      </c>
      <c r="N1352" s="1786" t="s">
        <v>1653</v>
      </c>
      <c r="O1352" s="1786">
        <v>0</v>
      </c>
      <c r="P1352" s="1786"/>
      <c r="Q1352" s="1786">
        <v>0</v>
      </c>
      <c r="R1352" s="1788"/>
      <c r="S1352" s="1786">
        <f t="shared" si="226"/>
        <v>618</v>
      </c>
      <c r="T1352" s="1786">
        <f t="shared" si="227"/>
        <v>0</v>
      </c>
      <c r="U1352" s="1786" t="str">
        <f t="shared" si="228"/>
        <v>לבונה - מסלול מדדי</v>
      </c>
      <c r="V1352" s="1786">
        <f t="shared" si="229"/>
        <v>0</v>
      </c>
      <c r="W1352" s="1789" t="str">
        <f t="shared" si="230"/>
        <v>דיסקונט ניהול קופות גמל בע"מ</v>
      </c>
      <c r="AC1352" s="1759" t="s">
        <v>1586</v>
      </c>
      <c r="AD1352" s="1760">
        <v>36745.520428240699</v>
      </c>
      <c r="AE1352" s="1760">
        <v>36017</v>
      </c>
      <c r="AF1352" s="1759" t="s">
        <v>1583</v>
      </c>
      <c r="AG1352" s="1759" t="s">
        <v>1583</v>
      </c>
      <c r="AH1352" s="1759" t="s">
        <v>1583</v>
      </c>
      <c r="AI1352" s="1759" t="s">
        <v>3218</v>
      </c>
      <c r="AJ1352" s="1759" t="s">
        <v>1932</v>
      </c>
      <c r="AK1352" s="1759">
        <v>620</v>
      </c>
      <c r="AL1352" s="1759" t="s">
        <v>1928</v>
      </c>
      <c r="AM1352" s="1759">
        <v>618</v>
      </c>
      <c r="AN1352" s="1759"/>
      <c r="AO1352" s="1764"/>
      <c r="AP1352" s="1759"/>
      <c r="AQ1352" s="1759"/>
      <c r="AR1352" s="1759" t="s">
        <v>1930</v>
      </c>
      <c r="AS1352" s="1759" t="s">
        <v>1929</v>
      </c>
      <c r="AT1352" s="1759" t="s">
        <v>327</v>
      </c>
      <c r="AU1352" s="1763"/>
      <c r="AV1352" s="1763"/>
    </row>
    <row r="1353" spans="1:48" ht="25" hidden="1">
      <c r="A1353" s="1785" t="str">
        <f t="shared" si="220"/>
        <v>גמל</v>
      </c>
      <c r="B1353" s="1786">
        <f t="shared" si="221"/>
        <v>629</v>
      </c>
      <c r="C1353" s="1787">
        <v>28946</v>
      </c>
      <c r="D1353" s="1786" t="str">
        <f t="shared" si="222"/>
        <v>לבונה - מסלול גמיש</v>
      </c>
      <c r="E1353" s="1786" t="s">
        <v>3929</v>
      </c>
      <c r="F1353" s="1786" t="s">
        <v>2958</v>
      </c>
      <c r="G1353" s="1786" t="s">
        <v>2959</v>
      </c>
      <c r="H1353" s="1786" t="str">
        <f t="shared" si="223"/>
        <v>לא פעיל</v>
      </c>
      <c r="I1353" s="1788">
        <f t="shared" si="224"/>
        <v>36017</v>
      </c>
      <c r="J1353" s="1788">
        <f t="shared" si="225"/>
        <v>36745.520428240699</v>
      </c>
      <c r="K1353" s="1786">
        <v>0</v>
      </c>
      <c r="L1353" s="1786" t="s">
        <v>1594</v>
      </c>
      <c r="M1353" s="1786" t="s">
        <v>1653</v>
      </c>
      <c r="N1353" s="1786" t="s">
        <v>1653</v>
      </c>
      <c r="O1353" s="1786">
        <v>0</v>
      </c>
      <c r="P1353" s="1786"/>
      <c r="Q1353" s="1786">
        <v>0</v>
      </c>
      <c r="R1353" s="1788"/>
      <c r="S1353" s="1786">
        <f t="shared" si="226"/>
        <v>618</v>
      </c>
      <c r="T1353" s="1786">
        <f t="shared" si="227"/>
        <v>0</v>
      </c>
      <c r="U1353" s="1786" t="str">
        <f t="shared" si="228"/>
        <v>לבונה - מסלול מדדי</v>
      </c>
      <c r="V1353" s="1786">
        <f t="shared" si="229"/>
        <v>0</v>
      </c>
      <c r="W1353" s="1789" t="str">
        <f t="shared" si="230"/>
        <v>דיסקונט ניהול קופות גמל בע"מ</v>
      </c>
      <c r="AC1353" s="1761" t="s">
        <v>1586</v>
      </c>
      <c r="AD1353" s="1762">
        <v>36745.520428240699</v>
      </c>
      <c r="AE1353" s="1762">
        <v>36017</v>
      </c>
      <c r="AF1353" s="1761" t="s">
        <v>1583</v>
      </c>
      <c r="AG1353" s="1761" t="s">
        <v>1583</v>
      </c>
      <c r="AH1353" s="1761" t="s">
        <v>1583</v>
      </c>
      <c r="AI1353" s="1761" t="s">
        <v>3219</v>
      </c>
      <c r="AJ1353" s="1761" t="s">
        <v>1934</v>
      </c>
      <c r="AK1353" s="1761">
        <v>629</v>
      </c>
      <c r="AL1353" s="1761" t="s">
        <v>1928</v>
      </c>
      <c r="AM1353" s="1761">
        <v>618</v>
      </c>
      <c r="AN1353" s="1761"/>
      <c r="AO1353" s="1764"/>
      <c r="AP1353" s="1761"/>
      <c r="AQ1353" s="1761"/>
      <c r="AR1353" s="1761" t="s">
        <v>1930</v>
      </c>
      <c r="AS1353" s="1761" t="s">
        <v>1929</v>
      </c>
      <c r="AT1353" s="1761" t="s">
        <v>327</v>
      </c>
      <c r="AU1353" s="1763"/>
      <c r="AV1353" s="1763"/>
    </row>
    <row r="1354" spans="1:48" ht="25" hidden="1">
      <c r="A1354" s="1785" t="str">
        <f t="shared" si="220"/>
        <v>גמל</v>
      </c>
      <c r="B1354" s="1786">
        <f t="shared" si="221"/>
        <v>618</v>
      </c>
      <c r="C1354" s="1787">
        <v>28946</v>
      </c>
      <c r="D1354" s="1786" t="str">
        <f t="shared" si="222"/>
        <v>לבונה - מסלול מדדי</v>
      </c>
      <c r="E1354" s="1786" t="s">
        <v>3929</v>
      </c>
      <c r="F1354" s="1786" t="s">
        <v>2958</v>
      </c>
      <c r="G1354" s="1786" t="s">
        <v>2959</v>
      </c>
      <c r="H1354" s="1786" t="str">
        <f t="shared" si="223"/>
        <v>לא פעיל</v>
      </c>
      <c r="I1354" s="1788">
        <f t="shared" si="224"/>
        <v>36017</v>
      </c>
      <c r="J1354" s="1788">
        <f t="shared" si="225"/>
        <v>36790.564155092601</v>
      </c>
      <c r="K1354" s="1786">
        <v>0</v>
      </c>
      <c r="L1354" s="1786" t="s">
        <v>1594</v>
      </c>
      <c r="M1354" s="1786" t="s">
        <v>1653</v>
      </c>
      <c r="N1354" s="1786" t="s">
        <v>1653</v>
      </c>
      <c r="O1354" s="1786">
        <v>0</v>
      </c>
      <c r="P1354" s="1786"/>
      <c r="Q1354" s="1786">
        <v>0</v>
      </c>
      <c r="R1354" s="1788"/>
      <c r="S1354" s="1786">
        <f t="shared" si="226"/>
        <v>618</v>
      </c>
      <c r="T1354" s="1786">
        <f t="shared" si="227"/>
        <v>0</v>
      </c>
      <c r="U1354" s="1786" t="str">
        <f t="shared" si="228"/>
        <v>לבונה - מסלול מדדי</v>
      </c>
      <c r="V1354" s="1786">
        <f t="shared" si="229"/>
        <v>0</v>
      </c>
      <c r="W1354" s="1789" t="str">
        <f t="shared" si="230"/>
        <v>דיסקונט ניהול קופות גמל בע"מ</v>
      </c>
      <c r="AC1354" s="1759" t="s">
        <v>1586</v>
      </c>
      <c r="AD1354" s="1760">
        <v>36790.564155092601</v>
      </c>
      <c r="AE1354" s="1760">
        <v>36017</v>
      </c>
      <c r="AF1354" s="1759" t="s">
        <v>1583</v>
      </c>
      <c r="AG1354" s="1759" t="s">
        <v>1583</v>
      </c>
      <c r="AH1354" s="1759" t="s">
        <v>1583</v>
      </c>
      <c r="AI1354" s="1759" t="s">
        <v>3218</v>
      </c>
      <c r="AJ1354" s="1759" t="s">
        <v>1928</v>
      </c>
      <c r="AK1354" s="1759">
        <v>618</v>
      </c>
      <c r="AL1354" s="1759" t="s">
        <v>1928</v>
      </c>
      <c r="AM1354" s="1759">
        <v>618</v>
      </c>
      <c r="AN1354" s="1759"/>
      <c r="AO1354" s="1764"/>
      <c r="AP1354" s="1759"/>
      <c r="AQ1354" s="1759"/>
      <c r="AR1354" s="1759" t="s">
        <v>1930</v>
      </c>
      <c r="AS1354" s="1759" t="s">
        <v>1929</v>
      </c>
      <c r="AT1354" s="1759" t="s">
        <v>327</v>
      </c>
      <c r="AU1354" s="1763"/>
      <c r="AV1354" s="1763"/>
    </row>
    <row r="1355" spans="1:48" ht="25" hidden="1">
      <c r="A1355" s="1785" t="str">
        <f t="shared" si="220"/>
        <v>גמל</v>
      </c>
      <c r="B1355" s="1786">
        <f t="shared" si="221"/>
        <v>619</v>
      </c>
      <c r="C1355" s="1787">
        <v>28946</v>
      </c>
      <c r="D1355" s="1786" t="str">
        <f t="shared" si="222"/>
        <v>לבונה - מסלול מעורב מוטה מדד</v>
      </c>
      <c r="E1355" s="1786" t="s">
        <v>3929</v>
      </c>
      <c r="F1355" s="1786" t="s">
        <v>2958</v>
      </c>
      <c r="G1355" s="1786" t="s">
        <v>2959</v>
      </c>
      <c r="H1355" s="1786" t="str">
        <f t="shared" si="223"/>
        <v>לא פעיל</v>
      </c>
      <c r="I1355" s="1788">
        <f t="shared" si="224"/>
        <v>36017</v>
      </c>
      <c r="J1355" s="1788">
        <f t="shared" si="225"/>
        <v>36745.520428240699</v>
      </c>
      <c r="K1355" s="1786">
        <v>0</v>
      </c>
      <c r="L1355" s="1786" t="s">
        <v>1594</v>
      </c>
      <c r="M1355" s="1786" t="s">
        <v>1653</v>
      </c>
      <c r="N1355" s="1786" t="s">
        <v>1653</v>
      </c>
      <c r="O1355" s="1786">
        <v>0</v>
      </c>
      <c r="P1355" s="1786"/>
      <c r="Q1355" s="1786">
        <v>0</v>
      </c>
      <c r="R1355" s="1788"/>
      <c r="S1355" s="1786">
        <f t="shared" si="226"/>
        <v>618</v>
      </c>
      <c r="T1355" s="1786">
        <f t="shared" si="227"/>
        <v>0</v>
      </c>
      <c r="U1355" s="1786" t="str">
        <f t="shared" si="228"/>
        <v>לבונה - מסלול מדדי</v>
      </c>
      <c r="V1355" s="1786">
        <f t="shared" si="229"/>
        <v>0</v>
      </c>
      <c r="W1355" s="1789" t="str">
        <f t="shared" si="230"/>
        <v>דיסקונט ניהול קופות גמל בע"מ</v>
      </c>
      <c r="AC1355" s="1761" t="s">
        <v>1586</v>
      </c>
      <c r="AD1355" s="1762">
        <v>36745.520428240699</v>
      </c>
      <c r="AE1355" s="1762">
        <v>36017</v>
      </c>
      <c r="AF1355" s="1761" t="s">
        <v>1583</v>
      </c>
      <c r="AG1355" s="1761" t="s">
        <v>1583</v>
      </c>
      <c r="AH1355" s="1761" t="s">
        <v>1583</v>
      </c>
      <c r="AI1355" s="1761" t="s">
        <v>3218</v>
      </c>
      <c r="AJ1355" s="1761" t="s">
        <v>1931</v>
      </c>
      <c r="AK1355" s="1761">
        <v>619</v>
      </c>
      <c r="AL1355" s="1761" t="s">
        <v>1928</v>
      </c>
      <c r="AM1355" s="1761">
        <v>618</v>
      </c>
      <c r="AN1355" s="1761"/>
      <c r="AO1355" s="1764"/>
      <c r="AP1355" s="1761"/>
      <c r="AQ1355" s="1761"/>
      <c r="AR1355" s="1761" t="s">
        <v>1930</v>
      </c>
      <c r="AS1355" s="1761" t="s">
        <v>1929</v>
      </c>
      <c r="AT1355" s="1761" t="s">
        <v>327</v>
      </c>
      <c r="AU1355" s="1763"/>
      <c r="AV1355" s="1763"/>
    </row>
    <row r="1356" spans="1:48" ht="25" hidden="1">
      <c r="A1356" s="1785" t="str">
        <f t="shared" si="220"/>
        <v>גמל</v>
      </c>
      <c r="B1356" s="1786">
        <f t="shared" si="221"/>
        <v>630</v>
      </c>
      <c r="C1356" s="1787">
        <v>28946</v>
      </c>
      <c r="D1356" s="1786" t="str">
        <f t="shared" si="222"/>
        <v>לבונה - מסלול גמיש</v>
      </c>
      <c r="E1356" s="1786" t="s">
        <v>3929</v>
      </c>
      <c r="F1356" s="1786" t="s">
        <v>2958</v>
      </c>
      <c r="G1356" s="1786" t="s">
        <v>2959</v>
      </c>
      <c r="H1356" s="1786" t="str">
        <f t="shared" si="223"/>
        <v>לא פעיל</v>
      </c>
      <c r="I1356" s="1788">
        <f t="shared" si="224"/>
        <v>36017</v>
      </c>
      <c r="J1356" s="1788">
        <f t="shared" si="225"/>
        <v>36745.520428240699</v>
      </c>
      <c r="K1356" s="1786">
        <v>0</v>
      </c>
      <c r="L1356" s="1786" t="s">
        <v>1594</v>
      </c>
      <c r="M1356" s="1786" t="s">
        <v>1653</v>
      </c>
      <c r="N1356" s="1786" t="s">
        <v>1653</v>
      </c>
      <c r="O1356" s="1786">
        <v>0</v>
      </c>
      <c r="P1356" s="1786"/>
      <c r="Q1356" s="1786">
        <v>0</v>
      </c>
      <c r="R1356" s="1788"/>
      <c r="S1356" s="1786">
        <f t="shared" si="226"/>
        <v>618</v>
      </c>
      <c r="T1356" s="1786">
        <f t="shared" si="227"/>
        <v>0</v>
      </c>
      <c r="U1356" s="1786" t="str">
        <f t="shared" si="228"/>
        <v>לבונה - מסלול מדדי</v>
      </c>
      <c r="V1356" s="1786">
        <f t="shared" si="229"/>
        <v>0</v>
      </c>
      <c r="W1356" s="1789" t="str">
        <f t="shared" si="230"/>
        <v>דיסקונט ניהול קופות גמל בע"מ</v>
      </c>
      <c r="AC1356" s="1759" t="s">
        <v>1586</v>
      </c>
      <c r="AD1356" s="1760">
        <v>36745.520428240699</v>
      </c>
      <c r="AE1356" s="1760">
        <v>36017</v>
      </c>
      <c r="AF1356" s="1759" t="s">
        <v>1583</v>
      </c>
      <c r="AG1356" s="1759" t="s">
        <v>1583</v>
      </c>
      <c r="AH1356" s="1759" t="s">
        <v>1583</v>
      </c>
      <c r="AI1356" s="1759" t="s">
        <v>3218</v>
      </c>
      <c r="AJ1356" s="1759" t="s">
        <v>1934</v>
      </c>
      <c r="AK1356" s="1759">
        <v>630</v>
      </c>
      <c r="AL1356" s="1759" t="s">
        <v>1928</v>
      </c>
      <c r="AM1356" s="1759">
        <v>618</v>
      </c>
      <c r="AN1356" s="1759"/>
      <c r="AO1356" s="1764"/>
      <c r="AP1356" s="1759"/>
      <c r="AQ1356" s="1759"/>
      <c r="AR1356" s="1759" t="s">
        <v>1930</v>
      </c>
      <c r="AS1356" s="1759" t="s">
        <v>1929</v>
      </c>
      <c r="AT1356" s="1759" t="s">
        <v>327</v>
      </c>
      <c r="AU1356" s="1763"/>
      <c r="AV1356" s="1763"/>
    </row>
    <row r="1357" spans="1:48" ht="25" hidden="1">
      <c r="A1357" s="1785" t="str">
        <f t="shared" si="220"/>
        <v>גמל</v>
      </c>
      <c r="B1357" s="1786">
        <f t="shared" si="221"/>
        <v>617</v>
      </c>
      <c r="C1357" s="1787">
        <v>28946</v>
      </c>
      <c r="D1357" s="1786" t="str">
        <f t="shared" si="222"/>
        <v>גליל - קופת מסלולים מרכזית לפיצויים</v>
      </c>
      <c r="E1357" s="1786" t="s">
        <v>3929</v>
      </c>
      <c r="F1357" s="1786" t="s">
        <v>2958</v>
      </c>
      <c r="G1357" s="1786" t="s">
        <v>2959</v>
      </c>
      <c r="H1357" s="1786" t="str">
        <f t="shared" si="223"/>
        <v>לא פעיל</v>
      </c>
      <c r="I1357" s="1788">
        <f t="shared" si="224"/>
        <v>35942</v>
      </c>
      <c r="J1357" s="1788">
        <f t="shared" si="225"/>
        <v>40360</v>
      </c>
      <c r="K1357" s="1786">
        <v>0</v>
      </c>
      <c r="L1357" s="1786" t="s">
        <v>1594</v>
      </c>
      <c r="M1357" s="1786" t="s">
        <v>1653</v>
      </c>
      <c r="N1357" s="1786" t="s">
        <v>1653</v>
      </c>
      <c r="O1357" s="1786">
        <v>0</v>
      </c>
      <c r="P1357" s="1786"/>
      <c r="Q1357" s="1786">
        <v>0</v>
      </c>
      <c r="R1357" s="1788"/>
      <c r="S1357" s="1786">
        <f t="shared" si="226"/>
        <v>617</v>
      </c>
      <c r="T1357" s="1786" t="str">
        <f t="shared" si="227"/>
        <v>ד.ס.ש ייעוץ ושירותים בע"מ</v>
      </c>
      <c r="U1357" s="1786" t="str">
        <f t="shared" si="228"/>
        <v>גליל - קופת מסלולים מרכזית לפיצויים</v>
      </c>
      <c r="V1357" s="1786">
        <f t="shared" si="229"/>
        <v>0</v>
      </c>
      <c r="W1357" s="1789" t="str">
        <f t="shared" si="230"/>
        <v>מיטב גמל ופנסיה בע"מ</v>
      </c>
      <c r="AC1357" s="1761" t="s">
        <v>1586</v>
      </c>
      <c r="AD1357" s="1762">
        <v>40360</v>
      </c>
      <c r="AE1357" s="1762">
        <v>35942</v>
      </c>
      <c r="AF1357" s="1761"/>
      <c r="AG1357" s="1761"/>
      <c r="AH1357" s="1761" t="s">
        <v>1812</v>
      </c>
      <c r="AI1357" s="1761" t="s">
        <v>3217</v>
      </c>
      <c r="AJ1357" s="1761" t="s">
        <v>1927</v>
      </c>
      <c r="AK1357" s="1761">
        <v>617</v>
      </c>
      <c r="AL1357" s="1761" t="s">
        <v>1927</v>
      </c>
      <c r="AM1357" s="1761">
        <v>617</v>
      </c>
      <c r="AN1357" s="1761" t="s">
        <v>5393</v>
      </c>
      <c r="AO1357" s="1764"/>
      <c r="AP1357" s="1761"/>
      <c r="AQ1357" s="1761"/>
      <c r="AR1357" s="1761" t="s">
        <v>365</v>
      </c>
      <c r="AS1357" s="1761" t="s">
        <v>366</v>
      </c>
      <c r="AT1357" s="1761" t="s">
        <v>327</v>
      </c>
      <c r="AU1357" s="1763"/>
      <c r="AV1357" s="1763"/>
    </row>
    <row r="1358" spans="1:48" ht="25" hidden="1">
      <c r="A1358" s="1785" t="str">
        <f t="shared" si="220"/>
        <v>גמל</v>
      </c>
      <c r="B1358" s="1786">
        <f t="shared" si="221"/>
        <v>616</v>
      </c>
      <c r="C1358" s="1787">
        <v>28946</v>
      </c>
      <c r="D1358" s="1786" t="str">
        <f t="shared" si="222"/>
        <v>פסגות מסלולית לפיצויים</v>
      </c>
      <c r="E1358" s="1786" t="s">
        <v>3929</v>
      </c>
      <c r="F1358" s="1786" t="s">
        <v>2958</v>
      </c>
      <c r="G1358" s="1786" t="s">
        <v>2959</v>
      </c>
      <c r="H1358" s="1786" t="str">
        <f t="shared" si="223"/>
        <v>פעיל</v>
      </c>
      <c r="I1358" s="1788">
        <f t="shared" si="224"/>
        <v>35914</v>
      </c>
      <c r="J1358" s="1788" t="str">
        <f t="shared" si="225"/>
        <v/>
      </c>
      <c r="K1358" s="1786">
        <v>0</v>
      </c>
      <c r="L1358" s="1786" t="s">
        <v>1594</v>
      </c>
      <c r="M1358" s="1786" t="s">
        <v>1653</v>
      </c>
      <c r="N1358" s="1786" t="s">
        <v>1653</v>
      </c>
      <c r="O1358" s="1786">
        <v>0</v>
      </c>
      <c r="P1358" s="1786"/>
      <c r="Q1358" s="1786">
        <v>0</v>
      </c>
      <c r="R1358" s="1788"/>
      <c r="S1358" s="1786">
        <f t="shared" si="226"/>
        <v>616</v>
      </c>
      <c r="T1358" s="1786" t="str">
        <f t="shared" si="227"/>
        <v>בנק הפועלים בע"מ</v>
      </c>
      <c r="U1358" s="1786" t="str">
        <f t="shared" si="228"/>
        <v>פסגות מסלולית לפיצויים</v>
      </c>
      <c r="V1358" s="1786" t="str">
        <f t="shared" si="229"/>
        <v>513767079</v>
      </c>
      <c r="W1358" s="1789" t="str">
        <f t="shared" si="230"/>
        <v>פסגות קופות גמל ופנסיה בע"מ</v>
      </c>
      <c r="AC1358" s="1759" t="s">
        <v>346</v>
      </c>
      <c r="AD1358" s="1759"/>
      <c r="AE1358" s="1760">
        <v>35914</v>
      </c>
      <c r="AF1358" s="1759"/>
      <c r="AG1358" s="1759"/>
      <c r="AH1358" s="1759" t="s">
        <v>1812</v>
      </c>
      <c r="AI1358" s="1759" t="s">
        <v>587</v>
      </c>
      <c r="AJ1358" s="1759" t="s">
        <v>587</v>
      </c>
      <c r="AK1358" s="1759">
        <v>616</v>
      </c>
      <c r="AL1358" s="1759" t="s">
        <v>587</v>
      </c>
      <c r="AM1358" s="1759">
        <v>616</v>
      </c>
      <c r="AN1358" s="1759" t="s">
        <v>1695</v>
      </c>
      <c r="AO1358" s="1764"/>
      <c r="AP1358" s="1759" t="s">
        <v>5365</v>
      </c>
      <c r="AQ1358" s="1759" t="s">
        <v>5366</v>
      </c>
      <c r="AR1358" s="1759" t="s">
        <v>351</v>
      </c>
      <c r="AS1358" s="1759" t="s">
        <v>352</v>
      </c>
      <c r="AT1358" s="1759" t="s">
        <v>327</v>
      </c>
      <c r="AU1358" s="1763"/>
      <c r="AV1358" s="1763"/>
    </row>
    <row r="1359" spans="1:48" ht="25" hidden="1">
      <c r="A1359" s="1785" t="str">
        <f t="shared" si="220"/>
        <v>גמל</v>
      </c>
      <c r="B1359" s="1786">
        <f t="shared" si="221"/>
        <v>615</v>
      </c>
      <c r="C1359" s="1787">
        <v>28946</v>
      </c>
      <c r="D1359" s="1786" t="str">
        <f t="shared" si="222"/>
        <v>תצפית - ק. מסלולים מרכזית לפיצויים</v>
      </c>
      <c r="E1359" s="1786" t="s">
        <v>3929</v>
      </c>
      <c r="F1359" s="1786" t="s">
        <v>2958</v>
      </c>
      <c r="G1359" s="1786" t="s">
        <v>2959</v>
      </c>
      <c r="H1359" s="1786" t="str">
        <f t="shared" si="223"/>
        <v>לא פעיל</v>
      </c>
      <c r="I1359" s="1788">
        <f t="shared" si="224"/>
        <v>35879</v>
      </c>
      <c r="J1359" s="1788">
        <f t="shared" si="225"/>
        <v>42744.379293981503</v>
      </c>
      <c r="K1359" s="1786">
        <v>0</v>
      </c>
      <c r="L1359" s="1786" t="s">
        <v>1594</v>
      </c>
      <c r="M1359" s="1786" t="s">
        <v>1653</v>
      </c>
      <c r="N1359" s="1786" t="s">
        <v>1653</v>
      </c>
      <c r="O1359" s="1786">
        <v>0</v>
      </c>
      <c r="P1359" s="1786"/>
      <c r="Q1359" s="1786">
        <v>0</v>
      </c>
      <c r="R1359" s="1788"/>
      <c r="S1359" s="1786">
        <f t="shared" si="226"/>
        <v>615</v>
      </c>
      <c r="T1359" s="1786" t="str">
        <f t="shared" si="227"/>
        <v>ד.ס.ש ייעוץ ושירותים בע"מ</v>
      </c>
      <c r="U1359" s="1786" t="str">
        <f t="shared" si="228"/>
        <v>תצפית - ק. מסלולים מרכזית לפיצויים</v>
      </c>
      <c r="V1359" s="1786" t="str">
        <f t="shared" si="229"/>
        <v>520030677</v>
      </c>
      <c r="W1359" s="1789" t="str">
        <f t="shared" si="230"/>
        <v>איילון פנסיה וגמל בע"מ</v>
      </c>
      <c r="AC1359" s="1761" t="s">
        <v>1586</v>
      </c>
      <c r="AD1359" s="1762">
        <v>42744.379293981503</v>
      </c>
      <c r="AE1359" s="1762">
        <v>35879</v>
      </c>
      <c r="AF1359" s="1761"/>
      <c r="AG1359" s="1761"/>
      <c r="AH1359" s="1761" t="s">
        <v>1812</v>
      </c>
      <c r="AI1359" s="1761" t="s">
        <v>3216</v>
      </c>
      <c r="AJ1359" s="1761" t="s">
        <v>586</v>
      </c>
      <c r="AK1359" s="1761">
        <v>615</v>
      </c>
      <c r="AL1359" s="1761" t="s">
        <v>586</v>
      </c>
      <c r="AM1359" s="1761">
        <v>615</v>
      </c>
      <c r="AN1359" s="1761" t="s">
        <v>5393</v>
      </c>
      <c r="AO1359" s="1764"/>
      <c r="AP1359" s="1761" t="s">
        <v>5385</v>
      </c>
      <c r="AQ1359" s="1761" t="s">
        <v>5386</v>
      </c>
      <c r="AR1359" s="1761" t="s">
        <v>2780</v>
      </c>
      <c r="AS1359" s="1761" t="s">
        <v>426</v>
      </c>
      <c r="AT1359" s="1761" t="s">
        <v>327</v>
      </c>
      <c r="AU1359" s="1763"/>
      <c r="AV1359" s="1763"/>
    </row>
    <row r="1360" spans="1:48" ht="25" hidden="1">
      <c r="A1360" s="1785" t="str">
        <f t="shared" si="220"/>
        <v>גמל</v>
      </c>
      <c r="B1360" s="1786">
        <f t="shared" si="221"/>
        <v>614</v>
      </c>
      <c r="C1360" s="1787">
        <v>28946</v>
      </c>
      <c r="D1360" s="1786" t="str">
        <f t="shared" si="222"/>
        <v>כלל גמל מרכזית-מסלולית</v>
      </c>
      <c r="E1360" s="1786" t="s">
        <v>3929</v>
      </c>
      <c r="F1360" s="1786" t="s">
        <v>2958</v>
      </c>
      <c r="G1360" s="1786" t="s">
        <v>2959</v>
      </c>
      <c r="H1360" s="1786" t="str">
        <f t="shared" si="223"/>
        <v>פעיל</v>
      </c>
      <c r="I1360" s="1788">
        <f t="shared" si="224"/>
        <v>35822</v>
      </c>
      <c r="J1360" s="1788" t="str">
        <f t="shared" si="225"/>
        <v/>
      </c>
      <c r="K1360" s="1786">
        <v>0</v>
      </c>
      <c r="L1360" s="1786" t="s">
        <v>1594</v>
      </c>
      <c r="M1360" s="1786" t="s">
        <v>1653</v>
      </c>
      <c r="N1360" s="1786" t="s">
        <v>1653</v>
      </c>
      <c r="O1360" s="1786">
        <v>0</v>
      </c>
      <c r="P1360" s="1786"/>
      <c r="Q1360" s="1786">
        <v>0</v>
      </c>
      <c r="R1360" s="1788"/>
      <c r="S1360" s="1786">
        <f t="shared" si="226"/>
        <v>614</v>
      </c>
      <c r="T1360" s="1786" t="str">
        <f t="shared" si="227"/>
        <v>ד.ס.ש ייעוץ ושירותים בע"מ</v>
      </c>
      <c r="U1360" s="1786" t="str">
        <f t="shared" si="228"/>
        <v>כלל גמל מרכזית-מסלולית</v>
      </c>
      <c r="V1360" s="1786">
        <f t="shared" si="229"/>
        <v>0</v>
      </c>
      <c r="W1360" s="1789" t="str">
        <f t="shared" si="230"/>
        <v>כלל פנסיה וגמל בע"מ</v>
      </c>
      <c r="AC1360" s="1759" t="s">
        <v>346</v>
      </c>
      <c r="AD1360" s="1759"/>
      <c r="AE1360" s="1760">
        <v>35822</v>
      </c>
      <c r="AF1360" s="1759"/>
      <c r="AG1360" s="1759"/>
      <c r="AH1360" s="1759" t="s">
        <v>1812</v>
      </c>
      <c r="AI1360" s="1759" t="s">
        <v>3215</v>
      </c>
      <c r="AJ1360" s="1759" t="s">
        <v>585</v>
      </c>
      <c r="AK1360" s="1759">
        <v>614</v>
      </c>
      <c r="AL1360" s="1759" t="s">
        <v>585</v>
      </c>
      <c r="AM1360" s="1759">
        <v>614</v>
      </c>
      <c r="AN1360" s="1759" t="s">
        <v>5393</v>
      </c>
      <c r="AO1360" s="1764"/>
      <c r="AP1360" s="1759"/>
      <c r="AQ1360" s="1759"/>
      <c r="AR1360" s="1759" t="s">
        <v>378</v>
      </c>
      <c r="AS1360" s="1759" t="s">
        <v>379</v>
      </c>
      <c r="AT1360" s="1759" t="s">
        <v>327</v>
      </c>
      <c r="AU1360" s="1763"/>
      <c r="AV1360" s="1763"/>
    </row>
    <row r="1361" spans="1:48" ht="25" hidden="1">
      <c r="A1361" s="1785" t="str">
        <f t="shared" si="220"/>
        <v>גמל</v>
      </c>
      <c r="B1361" s="1786">
        <f t="shared" si="221"/>
        <v>1393</v>
      </c>
      <c r="C1361" s="1787">
        <v>28946</v>
      </c>
      <c r="D1361" s="1786" t="str">
        <f t="shared" si="222"/>
        <v>אלטשולר שחם השתלמות ספיר מסלול אג"ח ממשלתי</v>
      </c>
      <c r="E1361" s="1786" t="s">
        <v>3929</v>
      </c>
      <c r="F1361" s="1786" t="s">
        <v>2958</v>
      </c>
      <c r="G1361" s="1786" t="s">
        <v>2959</v>
      </c>
      <c r="H1361" s="1786" t="str">
        <f t="shared" si="223"/>
        <v>לא פעיל</v>
      </c>
      <c r="I1361" s="1788">
        <f t="shared" si="224"/>
        <v>36083</v>
      </c>
      <c r="J1361" s="1788">
        <f t="shared" si="225"/>
        <v>40178</v>
      </c>
      <c r="K1361" s="1786">
        <v>0</v>
      </c>
      <c r="L1361" s="1786" t="s">
        <v>1594</v>
      </c>
      <c r="M1361" s="1786" t="s">
        <v>1653</v>
      </c>
      <c r="N1361" s="1786" t="s">
        <v>1653</v>
      </c>
      <c r="O1361" s="1786">
        <v>0</v>
      </c>
      <c r="P1361" s="1786"/>
      <c r="Q1361" s="1786">
        <v>0</v>
      </c>
      <c r="R1361" s="1788"/>
      <c r="S1361" s="1786">
        <f t="shared" si="226"/>
        <v>613</v>
      </c>
      <c r="T1361" s="1786" t="str">
        <f t="shared" si="227"/>
        <v>בנק הפועלים בע"מ</v>
      </c>
      <c r="U1361" s="1786" t="str">
        <f t="shared" si="228"/>
        <v>אלטשולר שחם השתלמות ספיר מסלול כללי</v>
      </c>
      <c r="V1361" s="1786" t="str">
        <f t="shared" si="229"/>
        <v>511446551</v>
      </c>
      <c r="W1361" s="1789" t="str">
        <f t="shared" si="230"/>
        <v>אלטשולר שחם גמל ופנסיה בע"מ</v>
      </c>
      <c r="AC1361" s="1761" t="s">
        <v>1586</v>
      </c>
      <c r="AD1361" s="1762">
        <v>40178</v>
      </c>
      <c r="AE1361" s="1762">
        <v>36083</v>
      </c>
      <c r="AF1361" s="1761" t="s">
        <v>2009</v>
      </c>
      <c r="AG1361" s="1761" t="s">
        <v>1653</v>
      </c>
      <c r="AH1361" s="1761" t="s">
        <v>1594</v>
      </c>
      <c r="AI1361" s="1761" t="s">
        <v>2440</v>
      </c>
      <c r="AJ1361" s="1761" t="s">
        <v>2440</v>
      </c>
      <c r="AK1361" s="1761">
        <v>1393</v>
      </c>
      <c r="AL1361" s="1761" t="s">
        <v>1926</v>
      </c>
      <c r="AM1361" s="1761">
        <v>613</v>
      </c>
      <c r="AN1361" s="1761" t="s">
        <v>1695</v>
      </c>
      <c r="AO1361" s="1764"/>
      <c r="AP1361" s="1761" t="s">
        <v>5375</v>
      </c>
      <c r="AQ1361" s="1761" t="s">
        <v>5376</v>
      </c>
      <c r="AR1361" s="1761" t="s">
        <v>2963</v>
      </c>
      <c r="AS1361" s="1761" t="s">
        <v>523</v>
      </c>
      <c r="AT1361" s="1761" t="s">
        <v>327</v>
      </c>
      <c r="AU1361" s="1763"/>
      <c r="AV1361" s="1763"/>
    </row>
    <row r="1362" spans="1:48" ht="25" hidden="1">
      <c r="A1362" s="1785" t="str">
        <f t="shared" si="220"/>
        <v>גמל</v>
      </c>
      <c r="B1362" s="1786">
        <f t="shared" si="221"/>
        <v>1392</v>
      </c>
      <c r="C1362" s="1787">
        <v>28946</v>
      </c>
      <c r="D1362" s="1786" t="str">
        <f t="shared" si="222"/>
        <v>אלטשולר שחם השתלמות ספיר מסלול שקלי</v>
      </c>
      <c r="E1362" s="1786" t="s">
        <v>3929</v>
      </c>
      <c r="F1362" s="1786" t="s">
        <v>2958</v>
      </c>
      <c r="G1362" s="1786" t="s">
        <v>2959</v>
      </c>
      <c r="H1362" s="1786" t="str">
        <f t="shared" si="223"/>
        <v>לא פעיל</v>
      </c>
      <c r="I1362" s="1788">
        <f t="shared" si="224"/>
        <v>36083</v>
      </c>
      <c r="J1362" s="1788">
        <f t="shared" si="225"/>
        <v>40178</v>
      </c>
      <c r="K1362" s="1786">
        <v>0</v>
      </c>
      <c r="L1362" s="1786" t="s">
        <v>1594</v>
      </c>
      <c r="M1362" s="1786" t="s">
        <v>1653</v>
      </c>
      <c r="N1362" s="1786" t="s">
        <v>1653</v>
      </c>
      <c r="O1362" s="1786">
        <v>0</v>
      </c>
      <c r="P1362" s="1786"/>
      <c r="Q1362" s="1786">
        <v>0</v>
      </c>
      <c r="R1362" s="1788"/>
      <c r="S1362" s="1786">
        <f t="shared" si="226"/>
        <v>613</v>
      </c>
      <c r="T1362" s="1786" t="str">
        <f t="shared" si="227"/>
        <v>בנק הפועלים בע"מ</v>
      </c>
      <c r="U1362" s="1786" t="str">
        <f t="shared" si="228"/>
        <v>אלטשולר שחם השתלמות ספיר מסלול כללי</v>
      </c>
      <c r="V1362" s="1786" t="str">
        <f t="shared" si="229"/>
        <v>511446551</v>
      </c>
      <c r="W1362" s="1789" t="str">
        <f t="shared" si="230"/>
        <v>אלטשולר שחם גמל ופנסיה בע"מ</v>
      </c>
      <c r="AC1362" s="1759" t="s">
        <v>1586</v>
      </c>
      <c r="AD1362" s="1760">
        <v>40178</v>
      </c>
      <c r="AE1362" s="1760">
        <v>36083</v>
      </c>
      <c r="AF1362" s="1759" t="s">
        <v>1076</v>
      </c>
      <c r="AG1362" s="1759" t="s">
        <v>1614</v>
      </c>
      <c r="AH1362" s="1759" t="s">
        <v>1594</v>
      </c>
      <c r="AI1362" s="1759" t="s">
        <v>2439</v>
      </c>
      <c r="AJ1362" s="1759" t="s">
        <v>2439</v>
      </c>
      <c r="AK1362" s="1759">
        <v>1392</v>
      </c>
      <c r="AL1362" s="1759" t="s">
        <v>1926</v>
      </c>
      <c r="AM1362" s="1759">
        <v>613</v>
      </c>
      <c r="AN1362" s="1759" t="s">
        <v>1695</v>
      </c>
      <c r="AO1362" s="1764"/>
      <c r="AP1362" s="1759" t="s">
        <v>5375</v>
      </c>
      <c r="AQ1362" s="1759" t="s">
        <v>5376</v>
      </c>
      <c r="AR1362" s="1759" t="s">
        <v>2963</v>
      </c>
      <c r="AS1362" s="1759" t="s">
        <v>523</v>
      </c>
      <c r="AT1362" s="1759" t="s">
        <v>327</v>
      </c>
      <c r="AU1362" s="1763"/>
      <c r="AV1362" s="1763"/>
    </row>
    <row r="1363" spans="1:48" ht="25" hidden="1">
      <c r="A1363" s="1785" t="str">
        <f t="shared" si="220"/>
        <v>גמל</v>
      </c>
      <c r="B1363" s="1786">
        <f t="shared" si="221"/>
        <v>613</v>
      </c>
      <c r="C1363" s="1787">
        <v>28946</v>
      </c>
      <c r="D1363" s="1786" t="str">
        <f t="shared" si="222"/>
        <v>אלטשולר שחם השתלמות ספיר מסלול כללי</v>
      </c>
      <c r="E1363" s="1786" t="s">
        <v>3929</v>
      </c>
      <c r="F1363" s="1786" t="s">
        <v>2958</v>
      </c>
      <c r="G1363" s="1786" t="s">
        <v>2959</v>
      </c>
      <c r="H1363" s="1786" t="str">
        <f t="shared" si="223"/>
        <v>לא פעיל</v>
      </c>
      <c r="I1363" s="1788">
        <f t="shared" si="224"/>
        <v>36083</v>
      </c>
      <c r="J1363" s="1788">
        <f t="shared" si="225"/>
        <v>40178</v>
      </c>
      <c r="K1363" s="1786">
        <v>0</v>
      </c>
      <c r="L1363" s="1786" t="s">
        <v>1594</v>
      </c>
      <c r="M1363" s="1786" t="s">
        <v>1653</v>
      </c>
      <c r="N1363" s="1786" t="s">
        <v>1653</v>
      </c>
      <c r="O1363" s="1786">
        <v>0</v>
      </c>
      <c r="P1363" s="1786"/>
      <c r="Q1363" s="1786">
        <v>0</v>
      </c>
      <c r="R1363" s="1788"/>
      <c r="S1363" s="1786">
        <f t="shared" si="226"/>
        <v>613</v>
      </c>
      <c r="T1363" s="1786" t="str">
        <f t="shared" si="227"/>
        <v>בנק הפועלים בע"מ</v>
      </c>
      <c r="U1363" s="1786" t="str">
        <f t="shared" si="228"/>
        <v>אלטשולר שחם השתלמות ספיר מסלול כללי</v>
      </c>
      <c r="V1363" s="1786" t="str">
        <f t="shared" si="229"/>
        <v>511446551</v>
      </c>
      <c r="W1363" s="1789" t="str">
        <f t="shared" si="230"/>
        <v>אלטשולר שחם גמל ופנסיה בע"מ</v>
      </c>
      <c r="AC1363" s="1761" t="s">
        <v>1586</v>
      </c>
      <c r="AD1363" s="1762">
        <v>40178</v>
      </c>
      <c r="AE1363" s="1762">
        <v>36083</v>
      </c>
      <c r="AF1363" s="1761" t="s">
        <v>1583</v>
      </c>
      <c r="AG1363" s="1761" t="s">
        <v>1583</v>
      </c>
      <c r="AH1363" s="1761" t="s">
        <v>1583</v>
      </c>
      <c r="AI1363" s="1761" t="s">
        <v>1926</v>
      </c>
      <c r="AJ1363" s="1761" t="s">
        <v>1926</v>
      </c>
      <c r="AK1363" s="1761">
        <v>613</v>
      </c>
      <c r="AL1363" s="1761" t="s">
        <v>1926</v>
      </c>
      <c r="AM1363" s="1761">
        <v>613</v>
      </c>
      <c r="AN1363" s="1761" t="s">
        <v>1695</v>
      </c>
      <c r="AO1363" s="1764"/>
      <c r="AP1363" s="1761" t="s">
        <v>5375</v>
      </c>
      <c r="AQ1363" s="1761" t="s">
        <v>5376</v>
      </c>
      <c r="AR1363" s="1761" t="s">
        <v>2963</v>
      </c>
      <c r="AS1363" s="1761" t="s">
        <v>523</v>
      </c>
      <c r="AT1363" s="1761" t="s">
        <v>327</v>
      </c>
      <c r="AU1363" s="1763"/>
      <c r="AV1363" s="1763"/>
    </row>
    <row r="1364" spans="1:48" ht="25" hidden="1">
      <c r="A1364" s="1785" t="str">
        <f t="shared" si="220"/>
        <v>גמל</v>
      </c>
      <c r="B1364" s="1786">
        <f t="shared" si="221"/>
        <v>633</v>
      </c>
      <c r="C1364" s="1787">
        <v>28946</v>
      </c>
      <c r="D1364" s="1786" t="str">
        <f t="shared" si="222"/>
        <v>קרן סגל הטכניון - מסלול טווח קצר</v>
      </c>
      <c r="E1364" s="1786" t="s">
        <v>3929</v>
      </c>
      <c r="F1364" s="1786" t="s">
        <v>2958</v>
      </c>
      <c r="G1364" s="1786" t="s">
        <v>2959</v>
      </c>
      <c r="H1364" s="1786" t="str">
        <f t="shared" si="223"/>
        <v>לא פעיל</v>
      </c>
      <c r="I1364" s="1788">
        <f t="shared" si="224"/>
        <v>36083</v>
      </c>
      <c r="J1364" s="1788">
        <f t="shared" si="225"/>
        <v>39538</v>
      </c>
      <c r="K1364" s="1786">
        <v>0</v>
      </c>
      <c r="L1364" s="1786" t="s">
        <v>1594</v>
      </c>
      <c r="M1364" s="1786" t="s">
        <v>1653</v>
      </c>
      <c r="N1364" s="1786" t="s">
        <v>1653</v>
      </c>
      <c r="O1364" s="1786">
        <v>0</v>
      </c>
      <c r="P1364" s="1786"/>
      <c r="Q1364" s="1786">
        <v>0</v>
      </c>
      <c r="R1364" s="1788"/>
      <c r="S1364" s="1786">
        <f t="shared" si="226"/>
        <v>613</v>
      </c>
      <c r="T1364" s="1786" t="str">
        <f t="shared" si="227"/>
        <v>בנק הפועלים בע"מ</v>
      </c>
      <c r="U1364" s="1786" t="str">
        <f t="shared" si="228"/>
        <v>אלטשולר שחם השתלמות ספיר מסלול כללי</v>
      </c>
      <c r="V1364" s="1786" t="str">
        <f t="shared" si="229"/>
        <v>511446551</v>
      </c>
      <c r="W1364" s="1789" t="str">
        <f t="shared" si="230"/>
        <v>אלטשולר שחם גמל ופנסיה בע"מ</v>
      </c>
      <c r="AC1364" s="1759" t="s">
        <v>1586</v>
      </c>
      <c r="AD1364" s="1760">
        <v>39538</v>
      </c>
      <c r="AE1364" s="1760">
        <v>36083</v>
      </c>
      <c r="AF1364" s="1759" t="s">
        <v>1673</v>
      </c>
      <c r="AG1364" s="1759" t="s">
        <v>1614</v>
      </c>
      <c r="AH1364" s="1759" t="s">
        <v>1594</v>
      </c>
      <c r="AI1364" s="1759" t="s">
        <v>3221</v>
      </c>
      <c r="AJ1364" s="1759" t="s">
        <v>1936</v>
      </c>
      <c r="AK1364" s="1759">
        <v>633</v>
      </c>
      <c r="AL1364" s="1759" t="s">
        <v>1926</v>
      </c>
      <c r="AM1364" s="1759">
        <v>613</v>
      </c>
      <c r="AN1364" s="1759" t="s">
        <v>1695</v>
      </c>
      <c r="AO1364" s="1764"/>
      <c r="AP1364" s="1759" t="s">
        <v>5375</v>
      </c>
      <c r="AQ1364" s="1759" t="s">
        <v>5376</v>
      </c>
      <c r="AR1364" s="1759" t="s">
        <v>2963</v>
      </c>
      <c r="AS1364" s="1759" t="s">
        <v>523</v>
      </c>
      <c r="AT1364" s="1759" t="s">
        <v>327</v>
      </c>
      <c r="AU1364" s="1763"/>
      <c r="AV1364" s="1763"/>
    </row>
    <row r="1365" spans="1:48" ht="25" hidden="1">
      <c r="A1365" s="1785" t="str">
        <f t="shared" si="220"/>
        <v>גמל</v>
      </c>
      <c r="B1365" s="1786">
        <f t="shared" si="221"/>
        <v>634</v>
      </c>
      <c r="C1365" s="1787">
        <v>28946</v>
      </c>
      <c r="D1365" s="1786" t="str">
        <f t="shared" si="222"/>
        <v>קרן סגל הטכניון - מסלול שקלי קצר</v>
      </c>
      <c r="E1365" s="1786" t="s">
        <v>3929</v>
      </c>
      <c r="F1365" s="1786" t="s">
        <v>2958</v>
      </c>
      <c r="G1365" s="1786" t="s">
        <v>2959</v>
      </c>
      <c r="H1365" s="1786" t="str">
        <f t="shared" si="223"/>
        <v>לא פעיל</v>
      </c>
      <c r="I1365" s="1788">
        <f t="shared" si="224"/>
        <v>36083</v>
      </c>
      <c r="J1365" s="1788">
        <f t="shared" si="225"/>
        <v>39538</v>
      </c>
      <c r="K1365" s="1786">
        <v>0</v>
      </c>
      <c r="L1365" s="1786" t="s">
        <v>1594</v>
      </c>
      <c r="M1365" s="1786" t="s">
        <v>1653</v>
      </c>
      <c r="N1365" s="1786" t="s">
        <v>1653</v>
      </c>
      <c r="O1365" s="1786">
        <v>0</v>
      </c>
      <c r="P1365" s="1786"/>
      <c r="Q1365" s="1786">
        <v>0</v>
      </c>
      <c r="R1365" s="1788"/>
      <c r="S1365" s="1786">
        <f t="shared" si="226"/>
        <v>613</v>
      </c>
      <c r="T1365" s="1786" t="str">
        <f t="shared" si="227"/>
        <v>בנק הפועלים בע"מ</v>
      </c>
      <c r="U1365" s="1786" t="str">
        <f t="shared" si="228"/>
        <v>אלטשולר שחם השתלמות ספיר מסלול כללי</v>
      </c>
      <c r="V1365" s="1786" t="str">
        <f t="shared" si="229"/>
        <v>511446551</v>
      </c>
      <c r="W1365" s="1789" t="str">
        <f t="shared" si="230"/>
        <v>אלטשולר שחם גמל ופנסיה בע"מ</v>
      </c>
      <c r="AC1365" s="1761" t="s">
        <v>1586</v>
      </c>
      <c r="AD1365" s="1762">
        <v>39538</v>
      </c>
      <c r="AE1365" s="1762">
        <v>36083</v>
      </c>
      <c r="AF1365" s="1761" t="s">
        <v>1673</v>
      </c>
      <c r="AG1365" s="1761" t="s">
        <v>1614</v>
      </c>
      <c r="AH1365" s="1761" t="s">
        <v>1594</v>
      </c>
      <c r="AI1365" s="1761" t="s">
        <v>3222</v>
      </c>
      <c r="AJ1365" s="1761" t="s">
        <v>1937</v>
      </c>
      <c r="AK1365" s="1761">
        <v>634</v>
      </c>
      <c r="AL1365" s="1761" t="s">
        <v>1926</v>
      </c>
      <c r="AM1365" s="1761">
        <v>613</v>
      </c>
      <c r="AN1365" s="1761" t="s">
        <v>1695</v>
      </c>
      <c r="AO1365" s="1764"/>
      <c r="AP1365" s="1761" t="s">
        <v>5375</v>
      </c>
      <c r="AQ1365" s="1761" t="s">
        <v>5376</v>
      </c>
      <c r="AR1365" s="1761" t="s">
        <v>2963</v>
      </c>
      <c r="AS1365" s="1761" t="s">
        <v>523</v>
      </c>
      <c r="AT1365" s="1761" t="s">
        <v>327</v>
      </c>
      <c r="AU1365" s="1763"/>
      <c r="AV1365" s="1763"/>
    </row>
    <row r="1366" spans="1:48" ht="25" hidden="1">
      <c r="A1366" s="1785" t="str">
        <f t="shared" si="220"/>
        <v>גמל</v>
      </c>
      <c r="B1366" s="1786">
        <f t="shared" si="221"/>
        <v>638</v>
      </c>
      <c r="C1366" s="1787">
        <v>28946</v>
      </c>
      <c r="D1366" s="1786" t="str">
        <f t="shared" si="222"/>
        <v>קרן סגל הטכניון - מסלול מניות</v>
      </c>
      <c r="E1366" s="1786" t="s">
        <v>3929</v>
      </c>
      <c r="F1366" s="1786" t="s">
        <v>2958</v>
      </c>
      <c r="G1366" s="1786" t="s">
        <v>2959</v>
      </c>
      <c r="H1366" s="1786" t="str">
        <f t="shared" si="223"/>
        <v>לא פעיל</v>
      </c>
      <c r="I1366" s="1788">
        <f t="shared" si="224"/>
        <v>36083</v>
      </c>
      <c r="J1366" s="1788">
        <f t="shared" si="225"/>
        <v>39538</v>
      </c>
      <c r="K1366" s="1786">
        <v>0</v>
      </c>
      <c r="L1366" s="1786" t="s">
        <v>1594</v>
      </c>
      <c r="M1366" s="1786" t="s">
        <v>1653</v>
      </c>
      <c r="N1366" s="1786" t="s">
        <v>1653</v>
      </c>
      <c r="O1366" s="1786">
        <v>0</v>
      </c>
      <c r="P1366" s="1786"/>
      <c r="Q1366" s="1786">
        <v>0</v>
      </c>
      <c r="R1366" s="1788"/>
      <c r="S1366" s="1786">
        <f t="shared" si="226"/>
        <v>613</v>
      </c>
      <c r="T1366" s="1786" t="str">
        <f t="shared" si="227"/>
        <v>בנק הפועלים בע"מ</v>
      </c>
      <c r="U1366" s="1786" t="str">
        <f t="shared" si="228"/>
        <v>אלטשולר שחם השתלמות ספיר מסלול כללי</v>
      </c>
      <c r="V1366" s="1786" t="str">
        <f t="shared" si="229"/>
        <v>511446551</v>
      </c>
      <c r="W1366" s="1789" t="str">
        <f t="shared" si="230"/>
        <v>אלטשולר שחם גמל ופנסיה בע"מ</v>
      </c>
      <c r="AC1366" s="1759" t="s">
        <v>1586</v>
      </c>
      <c r="AD1366" s="1760">
        <v>39538</v>
      </c>
      <c r="AE1366" s="1760">
        <v>36083</v>
      </c>
      <c r="AF1366" s="1759" t="s">
        <v>1595</v>
      </c>
      <c r="AG1366" s="1759" t="s">
        <v>75</v>
      </c>
      <c r="AH1366" s="1759" t="s">
        <v>1594</v>
      </c>
      <c r="AI1366" s="1759" t="s">
        <v>3226</v>
      </c>
      <c r="AJ1366" s="1759" t="s">
        <v>1940</v>
      </c>
      <c r="AK1366" s="1759">
        <v>638</v>
      </c>
      <c r="AL1366" s="1759" t="s">
        <v>1926</v>
      </c>
      <c r="AM1366" s="1759">
        <v>613</v>
      </c>
      <c r="AN1366" s="1759" t="s">
        <v>1695</v>
      </c>
      <c r="AO1366" s="1764"/>
      <c r="AP1366" s="1759" t="s">
        <v>5375</v>
      </c>
      <c r="AQ1366" s="1759" t="s">
        <v>5376</v>
      </c>
      <c r="AR1366" s="1759" t="s">
        <v>2963</v>
      </c>
      <c r="AS1366" s="1759" t="s">
        <v>523</v>
      </c>
      <c r="AT1366" s="1759" t="s">
        <v>327</v>
      </c>
      <c r="AU1366" s="1763"/>
      <c r="AV1366" s="1763"/>
    </row>
    <row r="1367" spans="1:48" ht="25" hidden="1">
      <c r="A1367" s="1785" t="str">
        <f t="shared" ref="A1367:A1430" si="231">AT1367</f>
        <v>גמל</v>
      </c>
      <c r="B1367" s="1786">
        <f t="shared" ref="B1367:B1430" si="232">AK1367</f>
        <v>632</v>
      </c>
      <c r="C1367" s="1787">
        <v>28946</v>
      </c>
      <c r="D1367" s="1786" t="str">
        <f t="shared" ref="D1367:D1430" si="233">AJ1367</f>
        <v>קרן סגל הטכניון מסלול אגרות חוב</v>
      </c>
      <c r="E1367" s="1786" t="s">
        <v>3929</v>
      </c>
      <c r="F1367" s="1786" t="s">
        <v>2958</v>
      </c>
      <c r="G1367" s="1786" t="s">
        <v>2959</v>
      </c>
      <c r="H1367" s="1786" t="str">
        <f t="shared" ref="H1367:H1430" si="234">AC1367</f>
        <v>לא פעיל</v>
      </c>
      <c r="I1367" s="1788">
        <f t="shared" ref="I1367:I1430" si="235">IF(AE1367="","",AE1367)</f>
        <v>36083</v>
      </c>
      <c r="J1367" s="1788">
        <f t="shared" ref="J1367:J1430" si="236">IF(AD1367="","",AD1367)</f>
        <v>39538</v>
      </c>
      <c r="K1367" s="1786">
        <v>0</v>
      </c>
      <c r="L1367" s="1786" t="s">
        <v>1594</v>
      </c>
      <c r="M1367" s="1786" t="s">
        <v>1653</v>
      </c>
      <c r="N1367" s="1786" t="s">
        <v>1653</v>
      </c>
      <c r="O1367" s="1786">
        <v>0</v>
      </c>
      <c r="P1367" s="1786"/>
      <c r="Q1367" s="1786">
        <v>0</v>
      </c>
      <c r="R1367" s="1788"/>
      <c r="S1367" s="1786">
        <f t="shared" ref="S1367:S1430" si="237">AM1367</f>
        <v>613</v>
      </c>
      <c r="T1367" s="1786" t="str">
        <f t="shared" ref="T1367:T1430" si="238">AN1367</f>
        <v>בנק הפועלים בע"מ</v>
      </c>
      <c r="U1367" s="1786" t="str">
        <f t="shared" ref="U1367:U1430" si="239">AL1367</f>
        <v>אלטשולר שחם השתלמות ספיר מסלול כללי</v>
      </c>
      <c r="V1367" s="1786" t="str">
        <f t="shared" ref="V1367:V1430" si="240">AQ1367</f>
        <v>511446551</v>
      </c>
      <c r="W1367" s="1789" t="str">
        <f t="shared" ref="W1367:W1430" si="241">AR1367</f>
        <v>אלטשולר שחם גמל ופנסיה בע"מ</v>
      </c>
      <c r="AC1367" s="1761" t="s">
        <v>1586</v>
      </c>
      <c r="AD1367" s="1762">
        <v>39538</v>
      </c>
      <c r="AE1367" s="1762">
        <v>36083</v>
      </c>
      <c r="AF1367" s="1761" t="s">
        <v>1653</v>
      </c>
      <c r="AG1367" s="1761" t="s">
        <v>1653</v>
      </c>
      <c r="AH1367" s="1761" t="s">
        <v>1594</v>
      </c>
      <c r="AI1367" s="1761" t="s">
        <v>3220</v>
      </c>
      <c r="AJ1367" s="1761" t="s">
        <v>1935</v>
      </c>
      <c r="AK1367" s="1761">
        <v>632</v>
      </c>
      <c r="AL1367" s="1761" t="s">
        <v>1926</v>
      </c>
      <c r="AM1367" s="1761">
        <v>613</v>
      </c>
      <c r="AN1367" s="1761" t="s">
        <v>1695</v>
      </c>
      <c r="AO1367" s="1764"/>
      <c r="AP1367" s="1761" t="s">
        <v>5375</v>
      </c>
      <c r="AQ1367" s="1761" t="s">
        <v>5376</v>
      </c>
      <c r="AR1367" s="1761" t="s">
        <v>2963</v>
      </c>
      <c r="AS1367" s="1761" t="s">
        <v>523</v>
      </c>
      <c r="AT1367" s="1761" t="s">
        <v>327</v>
      </c>
      <c r="AU1367" s="1763"/>
      <c r="AV1367" s="1763"/>
    </row>
    <row r="1368" spans="1:48" ht="25" hidden="1">
      <c r="A1368" s="1785" t="str">
        <f t="shared" si="231"/>
        <v>גמל</v>
      </c>
      <c r="B1368" s="1786">
        <f t="shared" si="232"/>
        <v>609</v>
      </c>
      <c r="C1368" s="1787">
        <v>28946</v>
      </c>
      <c r="D1368" s="1786" t="str">
        <f t="shared" si="233"/>
        <v>פסגות השתלמות פלטינום</v>
      </c>
      <c r="E1368" s="1786" t="s">
        <v>3929</v>
      </c>
      <c r="F1368" s="1786" t="s">
        <v>2958</v>
      </c>
      <c r="G1368" s="1786" t="s">
        <v>2959</v>
      </c>
      <c r="H1368" s="1786" t="str">
        <f t="shared" si="234"/>
        <v>לא פעיל</v>
      </c>
      <c r="I1368" s="1788">
        <f t="shared" si="235"/>
        <v>35779</v>
      </c>
      <c r="J1368" s="1788">
        <f t="shared" si="236"/>
        <v>40918.386342592603</v>
      </c>
      <c r="K1368" s="1786">
        <v>0</v>
      </c>
      <c r="L1368" s="1786" t="s">
        <v>1594</v>
      </c>
      <c r="M1368" s="1786" t="s">
        <v>1653</v>
      </c>
      <c r="N1368" s="1786" t="s">
        <v>1653</v>
      </c>
      <c r="O1368" s="1786">
        <v>0</v>
      </c>
      <c r="P1368" s="1786"/>
      <c r="Q1368" s="1786">
        <v>0</v>
      </c>
      <c r="R1368" s="1788"/>
      <c r="S1368" s="1786">
        <f t="shared" si="237"/>
        <v>609</v>
      </c>
      <c r="T1368" s="1786" t="str">
        <f t="shared" si="238"/>
        <v>בנק הפועלים בע"מ</v>
      </c>
      <c r="U1368" s="1786" t="str">
        <f t="shared" si="239"/>
        <v>פסגות השתלמות פלטינום</v>
      </c>
      <c r="V1368" s="1786" t="str">
        <f t="shared" si="240"/>
        <v>513767079</v>
      </c>
      <c r="W1368" s="1789" t="str">
        <f t="shared" si="241"/>
        <v>פסגות קופות גמל ופנסיה בע"מ</v>
      </c>
      <c r="AC1368" s="1759" t="s">
        <v>1586</v>
      </c>
      <c r="AD1368" s="1760">
        <v>40918.386342592603</v>
      </c>
      <c r="AE1368" s="1760">
        <v>35779</v>
      </c>
      <c r="AF1368" s="1759" t="s">
        <v>1583</v>
      </c>
      <c r="AG1368" s="1759" t="s">
        <v>1583</v>
      </c>
      <c r="AH1368" s="1759" t="s">
        <v>1583</v>
      </c>
      <c r="AI1368" s="1759" t="s">
        <v>1923</v>
      </c>
      <c r="AJ1368" s="1759" t="s">
        <v>1923</v>
      </c>
      <c r="AK1368" s="1759">
        <v>609</v>
      </c>
      <c r="AL1368" s="1759" t="s">
        <v>1923</v>
      </c>
      <c r="AM1368" s="1759">
        <v>609</v>
      </c>
      <c r="AN1368" s="1759" t="s">
        <v>1695</v>
      </c>
      <c r="AO1368" s="1764"/>
      <c r="AP1368" s="1759" t="s">
        <v>5365</v>
      </c>
      <c r="AQ1368" s="1759" t="s">
        <v>5366</v>
      </c>
      <c r="AR1368" s="1759" t="s">
        <v>351</v>
      </c>
      <c r="AS1368" s="1759" t="s">
        <v>352</v>
      </c>
      <c r="AT1368" s="1759" t="s">
        <v>327</v>
      </c>
      <c r="AU1368" s="1763"/>
      <c r="AV1368" s="1763"/>
    </row>
    <row r="1369" spans="1:48" ht="25" hidden="1">
      <c r="A1369" s="1785" t="str">
        <f t="shared" si="231"/>
        <v>גמל</v>
      </c>
      <c r="B1369" s="1786">
        <f t="shared" si="232"/>
        <v>608</v>
      </c>
      <c r="C1369" s="1787">
        <v>28946</v>
      </c>
      <c r="D1369" s="1786" t="str">
        <f t="shared" si="233"/>
        <v>דורות - קרן השתלמות לשכירים ועצמאים</v>
      </c>
      <c r="E1369" s="1786" t="s">
        <v>3929</v>
      </c>
      <c r="F1369" s="1786" t="s">
        <v>2958</v>
      </c>
      <c r="G1369" s="1786" t="s">
        <v>2959</v>
      </c>
      <c r="H1369" s="1786" t="str">
        <f t="shared" si="234"/>
        <v>לא פעיל</v>
      </c>
      <c r="I1369" s="1788">
        <f t="shared" si="235"/>
        <v>35771</v>
      </c>
      <c r="J1369" s="1788">
        <f t="shared" si="236"/>
        <v>36170.442268518498</v>
      </c>
      <c r="K1369" s="1786">
        <v>0</v>
      </c>
      <c r="L1369" s="1786" t="s">
        <v>1594</v>
      </c>
      <c r="M1369" s="1786" t="s">
        <v>1653</v>
      </c>
      <c r="N1369" s="1786" t="s">
        <v>1653</v>
      </c>
      <c r="O1369" s="1786">
        <v>0</v>
      </c>
      <c r="P1369" s="1786"/>
      <c r="Q1369" s="1786">
        <v>0</v>
      </c>
      <c r="R1369" s="1788"/>
      <c r="S1369" s="1786">
        <f t="shared" si="237"/>
        <v>608</v>
      </c>
      <c r="T1369" s="1786">
        <f t="shared" si="238"/>
        <v>0</v>
      </c>
      <c r="U1369" s="1786" t="str">
        <f t="shared" si="239"/>
        <v>דורות - קרן השתלמות לשכירים ועצמאים</v>
      </c>
      <c r="V1369" s="1786">
        <f t="shared" si="240"/>
        <v>0</v>
      </c>
      <c r="W1369" s="1789" t="str">
        <f t="shared" si="241"/>
        <v>אומגה קופות גמל בע"מ</v>
      </c>
      <c r="AC1369" s="1761" t="s">
        <v>1586</v>
      </c>
      <c r="AD1369" s="1762">
        <v>36170.442268518498</v>
      </c>
      <c r="AE1369" s="1762">
        <v>35771</v>
      </c>
      <c r="AF1369" s="1761" t="s">
        <v>1583</v>
      </c>
      <c r="AG1369" s="1761" t="s">
        <v>1583</v>
      </c>
      <c r="AH1369" s="1761" t="s">
        <v>1583</v>
      </c>
      <c r="AI1369" s="1761" t="s">
        <v>1922</v>
      </c>
      <c r="AJ1369" s="1761" t="s">
        <v>1922</v>
      </c>
      <c r="AK1369" s="1761">
        <v>608</v>
      </c>
      <c r="AL1369" s="1761" t="s">
        <v>1922</v>
      </c>
      <c r="AM1369" s="1761">
        <v>608</v>
      </c>
      <c r="AN1369" s="1761"/>
      <c r="AO1369" s="1764"/>
      <c r="AP1369" s="1761"/>
      <c r="AQ1369" s="1761"/>
      <c r="AR1369" s="1761" t="s">
        <v>2018</v>
      </c>
      <c r="AS1369" s="1761" t="s">
        <v>1920</v>
      </c>
      <c r="AT1369" s="1761" t="s">
        <v>327</v>
      </c>
      <c r="AU1369" s="1763"/>
      <c r="AV1369" s="1763"/>
    </row>
    <row r="1370" spans="1:48" ht="25" hidden="1">
      <c r="A1370" s="1785" t="str">
        <f t="shared" si="231"/>
        <v>גמל</v>
      </c>
      <c r="B1370" s="1786">
        <f t="shared" si="232"/>
        <v>607</v>
      </c>
      <c r="C1370" s="1787">
        <v>28946</v>
      </c>
      <c r="D1370" s="1786" t="str">
        <f t="shared" si="233"/>
        <v>דורות - קופת פיצויים מרכזית</v>
      </c>
      <c r="E1370" s="1786" t="s">
        <v>3929</v>
      </c>
      <c r="F1370" s="1786" t="s">
        <v>2958</v>
      </c>
      <c r="G1370" s="1786" t="s">
        <v>2959</v>
      </c>
      <c r="H1370" s="1786" t="str">
        <f t="shared" si="234"/>
        <v>לא פעיל</v>
      </c>
      <c r="I1370" s="1788">
        <f t="shared" si="235"/>
        <v>35771</v>
      </c>
      <c r="J1370" s="1788">
        <f t="shared" si="236"/>
        <v>36170.442372685196</v>
      </c>
      <c r="K1370" s="1786">
        <v>0</v>
      </c>
      <c r="L1370" s="1786" t="s">
        <v>1594</v>
      </c>
      <c r="M1370" s="1786" t="s">
        <v>1653</v>
      </c>
      <c r="N1370" s="1786" t="s">
        <v>1653</v>
      </c>
      <c r="O1370" s="1786">
        <v>0</v>
      </c>
      <c r="P1370" s="1786"/>
      <c r="Q1370" s="1786">
        <v>0</v>
      </c>
      <c r="R1370" s="1788"/>
      <c r="S1370" s="1786">
        <f t="shared" si="237"/>
        <v>607</v>
      </c>
      <c r="T1370" s="1786">
        <f t="shared" si="238"/>
        <v>0</v>
      </c>
      <c r="U1370" s="1786" t="str">
        <f t="shared" si="239"/>
        <v>דורות - קופת פיצויים מרכזית</v>
      </c>
      <c r="V1370" s="1786">
        <f t="shared" si="240"/>
        <v>0</v>
      </c>
      <c r="W1370" s="1789" t="str">
        <f t="shared" si="241"/>
        <v>אומגה קופות גמל בע"מ</v>
      </c>
      <c r="AC1370" s="1759" t="s">
        <v>1586</v>
      </c>
      <c r="AD1370" s="1760">
        <v>36170.442372685196</v>
      </c>
      <c r="AE1370" s="1760">
        <v>35771</v>
      </c>
      <c r="AF1370" s="1759" t="s">
        <v>1583</v>
      </c>
      <c r="AG1370" s="1759" t="s">
        <v>1583</v>
      </c>
      <c r="AH1370" s="1759" t="s">
        <v>1583</v>
      </c>
      <c r="AI1370" s="1759" t="s">
        <v>1921</v>
      </c>
      <c r="AJ1370" s="1759" t="s">
        <v>1921</v>
      </c>
      <c r="AK1370" s="1759">
        <v>607</v>
      </c>
      <c r="AL1370" s="1759" t="s">
        <v>1921</v>
      </c>
      <c r="AM1370" s="1759">
        <v>607</v>
      </c>
      <c r="AN1370" s="1759"/>
      <c r="AO1370" s="1764"/>
      <c r="AP1370" s="1759"/>
      <c r="AQ1370" s="1759"/>
      <c r="AR1370" s="1759" t="s">
        <v>2018</v>
      </c>
      <c r="AS1370" s="1759" t="s">
        <v>1920</v>
      </c>
      <c r="AT1370" s="1759" t="s">
        <v>327</v>
      </c>
      <c r="AU1370" s="1763"/>
      <c r="AV1370" s="1763"/>
    </row>
    <row r="1371" spans="1:48" ht="25" hidden="1">
      <c r="A1371" s="1785" t="str">
        <f t="shared" si="231"/>
        <v>גמל</v>
      </c>
      <c r="B1371" s="1786">
        <f t="shared" si="232"/>
        <v>606</v>
      </c>
      <c r="C1371" s="1787">
        <v>28946</v>
      </c>
      <c r="D1371" s="1786" t="str">
        <f t="shared" si="233"/>
        <v>דורות - קופת תגמולים ופיצויים</v>
      </c>
      <c r="E1371" s="1786" t="s">
        <v>3929</v>
      </c>
      <c r="F1371" s="1786" t="s">
        <v>2958</v>
      </c>
      <c r="G1371" s="1786" t="s">
        <v>2959</v>
      </c>
      <c r="H1371" s="1786" t="str">
        <f t="shared" si="234"/>
        <v>לא פעיל</v>
      </c>
      <c r="I1371" s="1788">
        <f t="shared" si="235"/>
        <v>35771</v>
      </c>
      <c r="J1371" s="1788">
        <f t="shared" si="236"/>
        <v>36170.4426157407</v>
      </c>
      <c r="K1371" s="1786">
        <v>0</v>
      </c>
      <c r="L1371" s="1786" t="s">
        <v>1594</v>
      </c>
      <c r="M1371" s="1786" t="s">
        <v>1653</v>
      </c>
      <c r="N1371" s="1786" t="s">
        <v>1653</v>
      </c>
      <c r="O1371" s="1786">
        <v>0</v>
      </c>
      <c r="P1371" s="1786"/>
      <c r="Q1371" s="1786">
        <v>0</v>
      </c>
      <c r="R1371" s="1788"/>
      <c r="S1371" s="1786">
        <f t="shared" si="237"/>
        <v>606</v>
      </c>
      <c r="T1371" s="1786">
        <f t="shared" si="238"/>
        <v>0</v>
      </c>
      <c r="U1371" s="1786" t="str">
        <f t="shared" si="239"/>
        <v>דורות - קופת תגמולים ופיצויים</v>
      </c>
      <c r="V1371" s="1786">
        <f t="shared" si="240"/>
        <v>0</v>
      </c>
      <c r="W1371" s="1789" t="str">
        <f t="shared" si="241"/>
        <v>אומגה קופות גמל בע"מ</v>
      </c>
      <c r="AC1371" s="1761" t="s">
        <v>1586</v>
      </c>
      <c r="AD1371" s="1762">
        <v>36170.4426157407</v>
      </c>
      <c r="AE1371" s="1762">
        <v>35771</v>
      </c>
      <c r="AF1371" s="1761" t="s">
        <v>1583</v>
      </c>
      <c r="AG1371" s="1761" t="s">
        <v>1583</v>
      </c>
      <c r="AH1371" s="1761" t="s">
        <v>1583</v>
      </c>
      <c r="AI1371" s="1761" t="s">
        <v>1919</v>
      </c>
      <c r="AJ1371" s="1761" t="s">
        <v>1919</v>
      </c>
      <c r="AK1371" s="1761">
        <v>606</v>
      </c>
      <c r="AL1371" s="1761" t="s">
        <v>1919</v>
      </c>
      <c r="AM1371" s="1761">
        <v>606</v>
      </c>
      <c r="AN1371" s="1761"/>
      <c r="AO1371" s="1764"/>
      <c r="AP1371" s="1761"/>
      <c r="AQ1371" s="1761"/>
      <c r="AR1371" s="1761" t="s">
        <v>2018</v>
      </c>
      <c r="AS1371" s="1761" t="s">
        <v>1920</v>
      </c>
      <c r="AT1371" s="1761" t="s">
        <v>327</v>
      </c>
      <c r="AU1371" s="1763"/>
      <c r="AV1371" s="1763"/>
    </row>
    <row r="1372" spans="1:48" ht="14" hidden="1">
      <c r="A1372" s="1785" t="str">
        <f t="shared" si="231"/>
        <v>גמל</v>
      </c>
      <c r="B1372" s="1786">
        <f t="shared" si="232"/>
        <v>605</v>
      </c>
      <c r="C1372" s="1787">
        <v>28946</v>
      </c>
      <c r="D1372" s="1786" t="str">
        <f t="shared" si="233"/>
        <v>מודלים השתלמות</v>
      </c>
      <c r="E1372" s="1786" t="s">
        <v>3929</v>
      </c>
      <c r="F1372" s="1786" t="s">
        <v>2958</v>
      </c>
      <c r="G1372" s="1786" t="s">
        <v>2959</v>
      </c>
      <c r="H1372" s="1786" t="str">
        <f t="shared" si="234"/>
        <v>לא פעיל</v>
      </c>
      <c r="I1372" s="1788">
        <f t="shared" si="235"/>
        <v>35771</v>
      </c>
      <c r="J1372" s="1788">
        <f t="shared" si="236"/>
        <v>36170.442048611098</v>
      </c>
      <c r="K1372" s="1786">
        <v>0</v>
      </c>
      <c r="L1372" s="1786" t="s">
        <v>1594</v>
      </c>
      <c r="M1372" s="1786" t="s">
        <v>1653</v>
      </c>
      <c r="N1372" s="1786" t="s">
        <v>1653</v>
      </c>
      <c r="O1372" s="1786">
        <v>0</v>
      </c>
      <c r="P1372" s="1786"/>
      <c r="Q1372" s="1786">
        <v>0</v>
      </c>
      <c r="R1372" s="1788"/>
      <c r="S1372" s="1786">
        <f t="shared" si="237"/>
        <v>605</v>
      </c>
      <c r="T1372" s="1786">
        <f t="shared" si="238"/>
        <v>0</v>
      </c>
      <c r="U1372" s="1786" t="str">
        <f t="shared" si="239"/>
        <v>מודלים השתלמות</v>
      </c>
      <c r="V1372" s="1786">
        <f t="shared" si="240"/>
        <v>0</v>
      </c>
      <c r="W1372" s="1789" t="str">
        <f t="shared" si="241"/>
        <v>מודלים גמל בע"מ</v>
      </c>
      <c r="AC1372" s="1759" t="s">
        <v>1586</v>
      </c>
      <c r="AD1372" s="1760">
        <v>36170.442048611098</v>
      </c>
      <c r="AE1372" s="1760">
        <v>35771</v>
      </c>
      <c r="AF1372" s="1759" t="s">
        <v>1583</v>
      </c>
      <c r="AG1372" s="1759" t="s">
        <v>1583</v>
      </c>
      <c r="AH1372" s="1759" t="s">
        <v>1583</v>
      </c>
      <c r="AI1372" s="1759" t="s">
        <v>1918</v>
      </c>
      <c r="AJ1372" s="1759" t="s">
        <v>1918</v>
      </c>
      <c r="AK1372" s="1759">
        <v>605</v>
      </c>
      <c r="AL1372" s="1759" t="s">
        <v>1918</v>
      </c>
      <c r="AM1372" s="1759">
        <v>605</v>
      </c>
      <c r="AN1372" s="1759"/>
      <c r="AO1372" s="1764"/>
      <c r="AP1372" s="1759"/>
      <c r="AQ1372" s="1759"/>
      <c r="AR1372" s="1759" t="s">
        <v>1915</v>
      </c>
      <c r="AS1372" s="1759" t="s">
        <v>1914</v>
      </c>
      <c r="AT1372" s="1759" t="s">
        <v>327</v>
      </c>
      <c r="AU1372" s="1763"/>
      <c r="AV1372" s="1763"/>
    </row>
    <row r="1373" spans="1:48" ht="14" hidden="1">
      <c r="A1373" s="1785" t="str">
        <f t="shared" si="231"/>
        <v>גמל</v>
      </c>
      <c r="B1373" s="1786">
        <f t="shared" si="232"/>
        <v>604</v>
      </c>
      <c r="C1373" s="1787">
        <v>28946</v>
      </c>
      <c r="D1373" s="1786" t="str">
        <f t="shared" si="233"/>
        <v>מודלים פרישה</v>
      </c>
      <c r="E1373" s="1786" t="s">
        <v>3929</v>
      </c>
      <c r="F1373" s="1786" t="s">
        <v>2958</v>
      </c>
      <c r="G1373" s="1786" t="s">
        <v>2959</v>
      </c>
      <c r="H1373" s="1786" t="str">
        <f t="shared" si="234"/>
        <v>לא פעיל</v>
      </c>
      <c r="I1373" s="1788">
        <f t="shared" si="235"/>
        <v>35771</v>
      </c>
      <c r="J1373" s="1788">
        <f t="shared" si="236"/>
        <v>36170.441932870403</v>
      </c>
      <c r="K1373" s="1786">
        <v>0</v>
      </c>
      <c r="L1373" s="1786" t="s">
        <v>1594</v>
      </c>
      <c r="M1373" s="1786" t="s">
        <v>1653</v>
      </c>
      <c r="N1373" s="1786" t="s">
        <v>1653</v>
      </c>
      <c r="O1373" s="1786">
        <v>0</v>
      </c>
      <c r="P1373" s="1786"/>
      <c r="Q1373" s="1786">
        <v>0</v>
      </c>
      <c r="R1373" s="1788"/>
      <c r="S1373" s="1786">
        <f t="shared" si="237"/>
        <v>604</v>
      </c>
      <c r="T1373" s="1786">
        <f t="shared" si="238"/>
        <v>0</v>
      </c>
      <c r="U1373" s="1786" t="str">
        <f t="shared" si="239"/>
        <v>מודלים פרישה</v>
      </c>
      <c r="V1373" s="1786">
        <f t="shared" si="240"/>
        <v>0</v>
      </c>
      <c r="W1373" s="1789" t="str">
        <f t="shared" si="241"/>
        <v>מודלים גמל בע"מ</v>
      </c>
      <c r="AC1373" s="1761" t="s">
        <v>1586</v>
      </c>
      <c r="AD1373" s="1762">
        <v>36170.441932870403</v>
      </c>
      <c r="AE1373" s="1762">
        <v>35771</v>
      </c>
      <c r="AF1373" s="1761" t="s">
        <v>1583</v>
      </c>
      <c r="AG1373" s="1761" t="s">
        <v>1583</v>
      </c>
      <c r="AH1373" s="1761" t="s">
        <v>1583</v>
      </c>
      <c r="AI1373" s="1761" t="s">
        <v>1917</v>
      </c>
      <c r="AJ1373" s="1761" t="s">
        <v>1917</v>
      </c>
      <c r="AK1373" s="1761">
        <v>604</v>
      </c>
      <c r="AL1373" s="1761" t="s">
        <v>1917</v>
      </c>
      <c r="AM1373" s="1761">
        <v>604</v>
      </c>
      <c r="AN1373" s="1761"/>
      <c r="AO1373" s="1764"/>
      <c r="AP1373" s="1761"/>
      <c r="AQ1373" s="1761"/>
      <c r="AR1373" s="1761" t="s">
        <v>1915</v>
      </c>
      <c r="AS1373" s="1761" t="s">
        <v>1914</v>
      </c>
      <c r="AT1373" s="1761" t="s">
        <v>327</v>
      </c>
      <c r="AU1373" s="1763"/>
      <c r="AV1373" s="1763"/>
    </row>
    <row r="1374" spans="1:48" ht="14" hidden="1">
      <c r="A1374" s="1785" t="str">
        <f t="shared" si="231"/>
        <v>גמל</v>
      </c>
      <c r="B1374" s="1786">
        <f t="shared" si="232"/>
        <v>603</v>
      </c>
      <c r="C1374" s="1787">
        <v>28946</v>
      </c>
      <c r="D1374" s="1786" t="str">
        <f t="shared" si="233"/>
        <v>מודלים גמל +</v>
      </c>
      <c r="E1374" s="1786" t="s">
        <v>3929</v>
      </c>
      <c r="F1374" s="1786" t="s">
        <v>2958</v>
      </c>
      <c r="G1374" s="1786" t="s">
        <v>2959</v>
      </c>
      <c r="H1374" s="1786" t="str">
        <f t="shared" si="234"/>
        <v>לא פעיל</v>
      </c>
      <c r="I1374" s="1788">
        <f t="shared" si="235"/>
        <v>35771</v>
      </c>
      <c r="J1374" s="1788">
        <f t="shared" si="236"/>
        <v>36170.441828703697</v>
      </c>
      <c r="K1374" s="1786">
        <v>0</v>
      </c>
      <c r="L1374" s="1786" t="s">
        <v>1594</v>
      </c>
      <c r="M1374" s="1786" t="s">
        <v>1653</v>
      </c>
      <c r="N1374" s="1786" t="s">
        <v>1653</v>
      </c>
      <c r="O1374" s="1786">
        <v>0</v>
      </c>
      <c r="P1374" s="1786"/>
      <c r="Q1374" s="1786">
        <v>0</v>
      </c>
      <c r="R1374" s="1788"/>
      <c r="S1374" s="1786">
        <f t="shared" si="237"/>
        <v>603</v>
      </c>
      <c r="T1374" s="1786">
        <f t="shared" si="238"/>
        <v>0</v>
      </c>
      <c r="U1374" s="1786" t="str">
        <f t="shared" si="239"/>
        <v>מודלים גמל +</v>
      </c>
      <c r="V1374" s="1786">
        <f t="shared" si="240"/>
        <v>0</v>
      </c>
      <c r="W1374" s="1789" t="str">
        <f t="shared" si="241"/>
        <v>מודלים גמל בע"מ</v>
      </c>
      <c r="AC1374" s="1759" t="s">
        <v>1586</v>
      </c>
      <c r="AD1374" s="1760">
        <v>36170.441828703697</v>
      </c>
      <c r="AE1374" s="1760">
        <v>35771</v>
      </c>
      <c r="AF1374" s="1759" t="s">
        <v>1583</v>
      </c>
      <c r="AG1374" s="1759" t="s">
        <v>1583</v>
      </c>
      <c r="AH1374" s="1759" t="s">
        <v>1583</v>
      </c>
      <c r="AI1374" s="1759" t="s">
        <v>1916</v>
      </c>
      <c r="AJ1374" s="1759" t="s">
        <v>1916</v>
      </c>
      <c r="AK1374" s="1759">
        <v>603</v>
      </c>
      <c r="AL1374" s="1759" t="s">
        <v>1916</v>
      </c>
      <c r="AM1374" s="1759">
        <v>603</v>
      </c>
      <c r="AN1374" s="1759"/>
      <c r="AO1374" s="1764"/>
      <c r="AP1374" s="1759"/>
      <c r="AQ1374" s="1759"/>
      <c r="AR1374" s="1759" t="s">
        <v>1915</v>
      </c>
      <c r="AS1374" s="1759" t="s">
        <v>1914</v>
      </c>
      <c r="AT1374" s="1759" t="s">
        <v>327</v>
      </c>
      <c r="AU1374" s="1763"/>
      <c r="AV1374" s="1763"/>
    </row>
    <row r="1375" spans="1:48" ht="14" hidden="1">
      <c r="A1375" s="1785" t="str">
        <f t="shared" si="231"/>
        <v>גמל</v>
      </c>
      <c r="B1375" s="1786">
        <f t="shared" si="232"/>
        <v>602</v>
      </c>
      <c r="C1375" s="1787">
        <v>28946</v>
      </c>
      <c r="D1375" s="1786" t="str">
        <f t="shared" si="233"/>
        <v>מודלים גמל</v>
      </c>
      <c r="E1375" s="1786" t="s">
        <v>3929</v>
      </c>
      <c r="F1375" s="1786" t="s">
        <v>2958</v>
      </c>
      <c r="G1375" s="1786" t="s">
        <v>2959</v>
      </c>
      <c r="H1375" s="1786" t="str">
        <f t="shared" si="234"/>
        <v>לא פעיל</v>
      </c>
      <c r="I1375" s="1788">
        <f t="shared" si="235"/>
        <v>35771</v>
      </c>
      <c r="J1375" s="1788">
        <f t="shared" si="236"/>
        <v>36170.440937500003</v>
      </c>
      <c r="K1375" s="1786">
        <v>0</v>
      </c>
      <c r="L1375" s="1786" t="s">
        <v>1594</v>
      </c>
      <c r="M1375" s="1786" t="s">
        <v>1653</v>
      </c>
      <c r="N1375" s="1786" t="s">
        <v>1653</v>
      </c>
      <c r="O1375" s="1786">
        <v>0</v>
      </c>
      <c r="P1375" s="1786"/>
      <c r="Q1375" s="1786">
        <v>0</v>
      </c>
      <c r="R1375" s="1788"/>
      <c r="S1375" s="1786">
        <f t="shared" si="237"/>
        <v>602</v>
      </c>
      <c r="T1375" s="1786">
        <f t="shared" si="238"/>
        <v>0</v>
      </c>
      <c r="U1375" s="1786" t="str">
        <f t="shared" si="239"/>
        <v>מודלים גמל</v>
      </c>
      <c r="V1375" s="1786">
        <f t="shared" si="240"/>
        <v>0</v>
      </c>
      <c r="W1375" s="1789" t="str">
        <f t="shared" si="241"/>
        <v>מודלים גמל בע"מ</v>
      </c>
      <c r="AC1375" s="1761" t="s">
        <v>1586</v>
      </c>
      <c r="AD1375" s="1762">
        <v>36170.440937500003</v>
      </c>
      <c r="AE1375" s="1762">
        <v>35771</v>
      </c>
      <c r="AF1375" s="1761" t="s">
        <v>1583</v>
      </c>
      <c r="AG1375" s="1761" t="s">
        <v>1583</v>
      </c>
      <c r="AH1375" s="1761" t="s">
        <v>1583</v>
      </c>
      <c r="AI1375" s="1761" t="s">
        <v>1913</v>
      </c>
      <c r="AJ1375" s="1761" t="s">
        <v>1913</v>
      </c>
      <c r="AK1375" s="1761">
        <v>602</v>
      </c>
      <c r="AL1375" s="1761" t="s">
        <v>1913</v>
      </c>
      <c r="AM1375" s="1761">
        <v>602</v>
      </c>
      <c r="AN1375" s="1761"/>
      <c r="AO1375" s="1764"/>
      <c r="AP1375" s="1761"/>
      <c r="AQ1375" s="1761"/>
      <c r="AR1375" s="1761" t="s">
        <v>1915</v>
      </c>
      <c r="AS1375" s="1761" t="s">
        <v>1914</v>
      </c>
      <c r="AT1375" s="1761" t="s">
        <v>327</v>
      </c>
      <c r="AU1375" s="1763"/>
      <c r="AV1375" s="1763"/>
    </row>
    <row r="1376" spans="1:48" ht="37.5" hidden="1">
      <c r="A1376" s="1785" t="str">
        <f t="shared" si="231"/>
        <v>גמל</v>
      </c>
      <c r="B1376" s="1786">
        <f t="shared" si="232"/>
        <v>601</v>
      </c>
      <c r="C1376" s="1787">
        <v>28946</v>
      </c>
      <c r="D1376" s="1786" t="str">
        <f t="shared" si="233"/>
        <v>יובלים - קרן דמי מחלה והשלמה לדמי פגיעה בעבודה של ה.ע.ל</v>
      </c>
      <c r="E1376" s="1786" t="s">
        <v>3929</v>
      </c>
      <c r="F1376" s="1786" t="s">
        <v>2958</v>
      </c>
      <c r="G1376" s="1786" t="s">
        <v>2959</v>
      </c>
      <c r="H1376" s="1786" t="str">
        <f t="shared" si="234"/>
        <v>לא פעיל</v>
      </c>
      <c r="I1376" s="1788">
        <f t="shared" si="235"/>
        <v>35778</v>
      </c>
      <c r="J1376" s="1788">
        <f t="shared" si="236"/>
        <v>43207.509826388901</v>
      </c>
      <c r="K1376" s="1786">
        <v>0</v>
      </c>
      <c r="L1376" s="1786" t="s">
        <v>1594</v>
      </c>
      <c r="M1376" s="1786" t="s">
        <v>1653</v>
      </c>
      <c r="N1376" s="1786" t="s">
        <v>1653</v>
      </c>
      <c r="O1376" s="1786">
        <v>0</v>
      </c>
      <c r="P1376" s="1786"/>
      <c r="Q1376" s="1786">
        <v>0</v>
      </c>
      <c r="R1376" s="1788"/>
      <c r="S1376" s="1786">
        <f t="shared" si="237"/>
        <v>601</v>
      </c>
      <c r="T1376" s="1786" t="str">
        <f t="shared" si="238"/>
        <v>ד.ס.ש ייעוץ ושירותים בע"מ</v>
      </c>
      <c r="U1376" s="1786" t="str">
        <f t="shared" si="239"/>
        <v>יובלים - קרן דמי מחלה והשלמה לדמי פגיעה בעבודה של ה.ע.ל</v>
      </c>
      <c r="V1376" s="1786" t="str">
        <f t="shared" si="240"/>
        <v>520043795</v>
      </c>
      <c r="W1376" s="1789" t="str">
        <f t="shared" si="241"/>
        <v>מיטב דש גמל ופנסיה בע"מ</v>
      </c>
      <c r="AC1376" s="1759" t="s">
        <v>1586</v>
      </c>
      <c r="AD1376" s="1760">
        <v>43207.509826388901</v>
      </c>
      <c r="AE1376" s="1760">
        <v>35778</v>
      </c>
      <c r="AF1376" s="1759" t="s">
        <v>1583</v>
      </c>
      <c r="AG1376" s="1759" t="s">
        <v>1583</v>
      </c>
      <c r="AH1376" s="1759" t="s">
        <v>1583</v>
      </c>
      <c r="AI1376" s="1759" t="s">
        <v>3214</v>
      </c>
      <c r="AJ1376" s="1759" t="s">
        <v>584</v>
      </c>
      <c r="AK1376" s="1759">
        <v>601</v>
      </c>
      <c r="AL1376" s="1759" t="s">
        <v>584</v>
      </c>
      <c r="AM1376" s="1759">
        <v>601</v>
      </c>
      <c r="AN1376" s="1759" t="s">
        <v>5393</v>
      </c>
      <c r="AO1376" s="1764"/>
      <c r="AP1376" s="1759" t="s">
        <v>5373</v>
      </c>
      <c r="AQ1376" s="1759" t="s">
        <v>5374</v>
      </c>
      <c r="AR1376" s="1759" t="s">
        <v>2899</v>
      </c>
      <c r="AS1376" s="1759" t="s">
        <v>349</v>
      </c>
      <c r="AT1376" s="1759" t="s">
        <v>327</v>
      </c>
      <c r="AU1376" s="1763"/>
      <c r="AV1376" s="1763"/>
    </row>
    <row r="1377" spans="1:48" ht="37.5" hidden="1">
      <c r="A1377" s="1785" t="str">
        <f t="shared" si="231"/>
        <v>גמל</v>
      </c>
      <c r="B1377" s="1786">
        <f t="shared" si="232"/>
        <v>601</v>
      </c>
      <c r="C1377" s="1787">
        <v>28946</v>
      </c>
      <c r="D1377" s="1786" t="str">
        <f t="shared" si="233"/>
        <v>יובלים - קרן דמי מחלה והשלמה לדמי פגיעה בעבודה של ה.ע.ל</v>
      </c>
      <c r="E1377" s="1786" t="s">
        <v>3929</v>
      </c>
      <c r="F1377" s="1786" t="s">
        <v>2958</v>
      </c>
      <c r="G1377" s="1786" t="s">
        <v>2959</v>
      </c>
      <c r="H1377" s="1786" t="str">
        <f t="shared" si="234"/>
        <v>לא פעיל</v>
      </c>
      <c r="I1377" s="1788">
        <f t="shared" si="235"/>
        <v>35778</v>
      </c>
      <c r="J1377" s="1788">
        <f t="shared" si="236"/>
        <v>43207.509826388901</v>
      </c>
      <c r="K1377" s="1786">
        <v>0</v>
      </c>
      <c r="L1377" s="1786" t="s">
        <v>1594</v>
      </c>
      <c r="M1377" s="1786" t="s">
        <v>1653</v>
      </c>
      <c r="N1377" s="1786" t="s">
        <v>1653</v>
      </c>
      <c r="O1377" s="1786">
        <v>0</v>
      </c>
      <c r="P1377" s="1786"/>
      <c r="Q1377" s="1786">
        <v>0</v>
      </c>
      <c r="R1377" s="1788"/>
      <c r="S1377" s="1786">
        <f t="shared" si="237"/>
        <v>601</v>
      </c>
      <c r="T1377" s="1786" t="str">
        <f t="shared" si="238"/>
        <v>ד.ס.ש ייעוץ ושירותים בע"מ</v>
      </c>
      <c r="U1377" s="1786" t="str">
        <f t="shared" si="239"/>
        <v>יובלים - קרן דמי מחלה והשלמה לדמי פגיעה בעבודה של ה.ע.ל</v>
      </c>
      <c r="V1377" s="1786" t="str">
        <f t="shared" si="240"/>
        <v>520043795</v>
      </c>
      <c r="W1377" s="1789" t="str">
        <f t="shared" si="241"/>
        <v>מיטב דש גמל ופנסיה בע"מ</v>
      </c>
      <c r="AC1377" s="1761" t="s">
        <v>1586</v>
      </c>
      <c r="AD1377" s="1762">
        <v>43207.509826388901</v>
      </c>
      <c r="AE1377" s="1762">
        <v>35778</v>
      </c>
      <c r="AF1377" s="1761" t="s">
        <v>1583</v>
      </c>
      <c r="AG1377" s="1761" t="s">
        <v>1583</v>
      </c>
      <c r="AH1377" s="1761" t="s">
        <v>1583</v>
      </c>
      <c r="AI1377" s="1761" t="s">
        <v>3214</v>
      </c>
      <c r="AJ1377" s="1761" t="s">
        <v>584</v>
      </c>
      <c r="AK1377" s="1761">
        <v>601</v>
      </c>
      <c r="AL1377" s="1761" t="s">
        <v>584</v>
      </c>
      <c r="AM1377" s="1761">
        <v>601</v>
      </c>
      <c r="AN1377" s="1761" t="s">
        <v>5393</v>
      </c>
      <c r="AO1377" s="1764"/>
      <c r="AP1377" s="1761" t="s">
        <v>5373</v>
      </c>
      <c r="AQ1377" s="1761" t="s">
        <v>5374</v>
      </c>
      <c r="AR1377" s="1761" t="s">
        <v>2899</v>
      </c>
      <c r="AS1377" s="1761" t="s">
        <v>349</v>
      </c>
      <c r="AT1377" s="1761" t="s">
        <v>327</v>
      </c>
      <c r="AU1377" s="1763"/>
      <c r="AV1377" s="1763"/>
    </row>
    <row r="1378" spans="1:48" ht="37.5" hidden="1">
      <c r="A1378" s="1785" t="str">
        <f t="shared" si="231"/>
        <v>גמל</v>
      </c>
      <c r="B1378" s="1786">
        <f t="shared" si="232"/>
        <v>593</v>
      </c>
      <c r="C1378" s="1787">
        <v>28946</v>
      </c>
      <c r="D1378" s="1786" t="str">
        <f t="shared" si="233"/>
        <v>הלמן-אלדובי תגמולים במושבים לשעבר-קופה מרכזית לפיצויים</v>
      </c>
      <c r="E1378" s="1786" t="s">
        <v>3929</v>
      </c>
      <c r="F1378" s="1786" t="s">
        <v>2958</v>
      </c>
      <c r="G1378" s="1786" t="s">
        <v>2959</v>
      </c>
      <c r="H1378" s="1786" t="str">
        <f t="shared" si="234"/>
        <v>לא פעיל</v>
      </c>
      <c r="I1378" s="1788">
        <f t="shared" si="235"/>
        <v>35612</v>
      </c>
      <c r="J1378" s="1788">
        <f t="shared" si="236"/>
        <v>39813</v>
      </c>
      <c r="K1378" s="1786">
        <v>0</v>
      </c>
      <c r="L1378" s="1786" t="s">
        <v>1594</v>
      </c>
      <c r="M1378" s="1786" t="s">
        <v>1653</v>
      </c>
      <c r="N1378" s="1786" t="s">
        <v>1653</v>
      </c>
      <c r="O1378" s="1786">
        <v>0</v>
      </c>
      <c r="P1378" s="1786"/>
      <c r="Q1378" s="1786">
        <v>0</v>
      </c>
      <c r="R1378" s="1788"/>
      <c r="S1378" s="1786">
        <f t="shared" si="237"/>
        <v>593</v>
      </c>
      <c r="T1378" s="1786" t="str">
        <f t="shared" si="238"/>
        <v>ד.ס.ש ייעוץ ושירותים בע"מ</v>
      </c>
      <c r="U1378" s="1786" t="str">
        <f t="shared" si="239"/>
        <v>הלמן-אלדובי תגמולים במושבים לשעבר-קופה מרכזית לפיצויים</v>
      </c>
      <c r="V1378" s="1786" t="str">
        <f t="shared" si="240"/>
        <v>513163105</v>
      </c>
      <c r="W1378" s="1789" t="str">
        <f t="shared" si="241"/>
        <v>הלמן - אלדובי קופות גמל ופנסיה בע"מ</v>
      </c>
      <c r="AC1378" s="1759" t="s">
        <v>1586</v>
      </c>
      <c r="AD1378" s="1760">
        <v>39813</v>
      </c>
      <c r="AE1378" s="1760">
        <v>35612</v>
      </c>
      <c r="AF1378" s="1759" t="s">
        <v>1583</v>
      </c>
      <c r="AG1378" s="1759" t="s">
        <v>1583</v>
      </c>
      <c r="AH1378" s="1759" t="s">
        <v>1583</v>
      </c>
      <c r="AI1378" s="1759" t="s">
        <v>3207</v>
      </c>
      <c r="AJ1378" s="1759" t="s">
        <v>1907</v>
      </c>
      <c r="AK1378" s="1759">
        <v>593</v>
      </c>
      <c r="AL1378" s="1759" t="s">
        <v>1907</v>
      </c>
      <c r="AM1378" s="1759">
        <v>593</v>
      </c>
      <c r="AN1378" s="1759" t="s">
        <v>5393</v>
      </c>
      <c r="AO1378" s="1764"/>
      <c r="AP1378" s="1759" t="s">
        <v>5371</v>
      </c>
      <c r="AQ1378" s="1759" t="s">
        <v>5372</v>
      </c>
      <c r="AR1378" s="1759" t="s">
        <v>354</v>
      </c>
      <c r="AS1378" s="1759" t="s">
        <v>355</v>
      </c>
      <c r="AT1378" s="1759" t="s">
        <v>327</v>
      </c>
      <c r="AU1378" s="1763"/>
      <c r="AV1378" s="1763"/>
    </row>
    <row r="1379" spans="1:48" ht="37.5" hidden="1">
      <c r="A1379" s="1785" t="str">
        <f t="shared" si="231"/>
        <v>גמל</v>
      </c>
      <c r="B1379" s="1786">
        <f t="shared" si="232"/>
        <v>591</v>
      </c>
      <c r="C1379" s="1787">
        <v>28946</v>
      </c>
      <c r="D1379" s="1786" t="str">
        <f t="shared" si="233"/>
        <v>אי.בי.אי - נגב קופה מרכזית לפיצויים מסלול אג"ח</v>
      </c>
      <c r="E1379" s="1786" t="s">
        <v>3929</v>
      </c>
      <c r="F1379" s="1786" t="s">
        <v>2958</v>
      </c>
      <c r="G1379" s="1786" t="s">
        <v>2959</v>
      </c>
      <c r="H1379" s="1786" t="str">
        <f t="shared" si="234"/>
        <v>לא פעיל</v>
      </c>
      <c r="I1379" s="1788">
        <f t="shared" si="235"/>
        <v>35431</v>
      </c>
      <c r="J1379" s="1788">
        <f t="shared" si="236"/>
        <v>40399.537048611099</v>
      </c>
      <c r="K1379" s="1786">
        <v>0</v>
      </c>
      <c r="L1379" s="1786" t="s">
        <v>1594</v>
      </c>
      <c r="M1379" s="1786" t="s">
        <v>1653</v>
      </c>
      <c r="N1379" s="1786" t="s">
        <v>1653</v>
      </c>
      <c r="O1379" s="1786">
        <v>0</v>
      </c>
      <c r="P1379" s="1786"/>
      <c r="Q1379" s="1786">
        <v>0</v>
      </c>
      <c r="R1379" s="1788"/>
      <c r="S1379" s="1786">
        <f t="shared" si="237"/>
        <v>591</v>
      </c>
      <c r="T1379" s="1786" t="str">
        <f t="shared" si="238"/>
        <v>ניהול  עצמי</v>
      </c>
      <c r="U1379" s="1786" t="str">
        <f t="shared" si="239"/>
        <v>אי.בי.אי - נגב קופה מרכזית לפיצויים מסלול אג"ח</v>
      </c>
      <c r="V1379" s="1786">
        <f t="shared" si="240"/>
        <v>0</v>
      </c>
      <c r="W1379" s="1789" t="str">
        <f t="shared" si="241"/>
        <v xml:space="preserve">אי.בי.אי. חברת ניהול קופות גמל וקרנות השתלמות בע"מ </v>
      </c>
      <c r="AC1379" s="1761" t="s">
        <v>1586</v>
      </c>
      <c r="AD1379" s="1762">
        <v>40399.537048611099</v>
      </c>
      <c r="AE1379" s="1762">
        <v>35431</v>
      </c>
      <c r="AF1379" s="1761" t="s">
        <v>1653</v>
      </c>
      <c r="AG1379" s="1761" t="s">
        <v>1653</v>
      </c>
      <c r="AH1379" s="1761" t="s">
        <v>1594</v>
      </c>
      <c r="AI1379" s="1761" t="s">
        <v>1905</v>
      </c>
      <c r="AJ1379" s="1761" t="s">
        <v>1905</v>
      </c>
      <c r="AK1379" s="1761">
        <v>591</v>
      </c>
      <c r="AL1379" s="1761" t="s">
        <v>1905</v>
      </c>
      <c r="AM1379" s="1761">
        <v>591</v>
      </c>
      <c r="AN1379" s="1761" t="s">
        <v>5524</v>
      </c>
      <c r="AO1379" s="1764"/>
      <c r="AP1379" s="1761"/>
      <c r="AQ1379" s="1761"/>
      <c r="AR1379" s="1761" t="s">
        <v>5395</v>
      </c>
      <c r="AS1379" s="1761" t="s">
        <v>677</v>
      </c>
      <c r="AT1379" s="1761" t="s">
        <v>327</v>
      </c>
      <c r="AU1379" s="1763"/>
      <c r="AV1379" s="1763"/>
    </row>
    <row r="1380" spans="1:48" ht="50" hidden="1">
      <c r="A1380" s="1785" t="str">
        <f t="shared" si="231"/>
        <v>גמל</v>
      </c>
      <c r="B1380" s="1786">
        <f t="shared" si="232"/>
        <v>590</v>
      </c>
      <c r="C1380" s="1787">
        <v>28946</v>
      </c>
      <c r="D1380" s="1786" t="str">
        <f t="shared" si="233"/>
        <v>לאומי גמל לפיצויים</v>
      </c>
      <c r="E1380" s="1786" t="s">
        <v>3929</v>
      </c>
      <c r="F1380" s="1786" t="s">
        <v>2958</v>
      </c>
      <c r="G1380" s="1786" t="s">
        <v>2959</v>
      </c>
      <c r="H1380" s="1786" t="str">
        <f t="shared" si="234"/>
        <v>לא פעיל</v>
      </c>
      <c r="I1380" s="1788">
        <f t="shared" si="235"/>
        <v>35431</v>
      </c>
      <c r="J1380" s="1788">
        <f t="shared" si="236"/>
        <v>35778.3843865741</v>
      </c>
      <c r="K1380" s="1786">
        <v>0</v>
      </c>
      <c r="L1380" s="1786" t="s">
        <v>1594</v>
      </c>
      <c r="M1380" s="1786" t="s">
        <v>1653</v>
      </c>
      <c r="N1380" s="1786" t="s">
        <v>1653</v>
      </c>
      <c r="O1380" s="1786">
        <v>0</v>
      </c>
      <c r="P1380" s="1786"/>
      <c r="Q1380" s="1786">
        <v>0</v>
      </c>
      <c r="R1380" s="1788"/>
      <c r="S1380" s="1786">
        <f t="shared" si="237"/>
        <v>590</v>
      </c>
      <c r="T1380" s="1786" t="str">
        <f t="shared" si="238"/>
        <v>בנק לאומי בע"מ</v>
      </c>
      <c r="U1380" s="1786" t="str">
        <f t="shared" si="239"/>
        <v>לאומי גמל לפיצויים</v>
      </c>
      <c r="V1380" s="1786">
        <f t="shared" si="240"/>
        <v>0</v>
      </c>
      <c r="W1380" s="1789" t="str">
        <f t="shared" si="241"/>
        <v>רקיע קופת גמל לעצמאים ושכירים ליד בנק לאומי לישראל בע"מ</v>
      </c>
      <c r="AC1380" s="1759" t="s">
        <v>1586</v>
      </c>
      <c r="AD1380" s="1760">
        <v>35778.3843865741</v>
      </c>
      <c r="AE1380" s="1760">
        <v>35431</v>
      </c>
      <c r="AF1380" s="1759" t="s">
        <v>1583</v>
      </c>
      <c r="AG1380" s="1759" t="s">
        <v>1583</v>
      </c>
      <c r="AH1380" s="1759" t="s">
        <v>1583</v>
      </c>
      <c r="AI1380" s="1759" t="s">
        <v>1902</v>
      </c>
      <c r="AJ1380" s="1759" t="s">
        <v>1902</v>
      </c>
      <c r="AK1380" s="1759">
        <v>590</v>
      </c>
      <c r="AL1380" s="1759" t="s">
        <v>1902</v>
      </c>
      <c r="AM1380" s="1759">
        <v>590</v>
      </c>
      <c r="AN1380" s="1759" t="s">
        <v>5470</v>
      </c>
      <c r="AO1380" s="1764"/>
      <c r="AP1380" s="1759"/>
      <c r="AQ1380" s="1759"/>
      <c r="AR1380" s="1759" t="s">
        <v>1904</v>
      </c>
      <c r="AS1380" s="1759" t="s">
        <v>1903</v>
      </c>
      <c r="AT1380" s="1759" t="s">
        <v>327</v>
      </c>
      <c r="AU1380" s="1763"/>
      <c r="AV1380" s="1763"/>
    </row>
    <row r="1381" spans="1:48" ht="25" hidden="1">
      <c r="A1381" s="1785" t="str">
        <f t="shared" si="231"/>
        <v>גמל</v>
      </c>
      <c r="B1381" s="1786">
        <f t="shared" si="232"/>
        <v>589</v>
      </c>
      <c r="C1381" s="1787">
        <v>28946</v>
      </c>
      <c r="D1381" s="1786" t="str">
        <f t="shared" si="233"/>
        <v>יובלים - קופה מרכזית לפיצויים</v>
      </c>
      <c r="E1381" s="1786" t="s">
        <v>3929</v>
      </c>
      <c r="F1381" s="1786" t="s">
        <v>2958</v>
      </c>
      <c r="G1381" s="1786" t="s">
        <v>2959</v>
      </c>
      <c r="H1381" s="1786" t="str">
        <f t="shared" si="234"/>
        <v>לא פעיל</v>
      </c>
      <c r="I1381" s="1788">
        <f t="shared" si="235"/>
        <v>35431</v>
      </c>
      <c r="J1381" s="1788">
        <f t="shared" si="236"/>
        <v>41863.426030092603</v>
      </c>
      <c r="K1381" s="1786">
        <v>0</v>
      </c>
      <c r="L1381" s="1786" t="s">
        <v>1594</v>
      </c>
      <c r="M1381" s="1786" t="s">
        <v>1653</v>
      </c>
      <c r="N1381" s="1786" t="s">
        <v>1653</v>
      </c>
      <c r="O1381" s="1786">
        <v>0</v>
      </c>
      <c r="P1381" s="1786"/>
      <c r="Q1381" s="1786">
        <v>0</v>
      </c>
      <c r="R1381" s="1788"/>
      <c r="S1381" s="1786">
        <f t="shared" si="237"/>
        <v>589</v>
      </c>
      <c r="T1381" s="1786" t="str">
        <f t="shared" si="238"/>
        <v>בנק הפועלים בע"מ</v>
      </c>
      <c r="U1381" s="1786" t="str">
        <f t="shared" si="239"/>
        <v>יובלים - קופה מרכזית לפיצויים</v>
      </c>
      <c r="V1381" s="1786" t="str">
        <f t="shared" si="240"/>
        <v>520043795</v>
      </c>
      <c r="W1381" s="1789" t="str">
        <f t="shared" si="241"/>
        <v>מיטב דש גמל ופנסיה בע"מ</v>
      </c>
      <c r="AC1381" s="1761" t="s">
        <v>1586</v>
      </c>
      <c r="AD1381" s="1762">
        <v>41863.426030092603</v>
      </c>
      <c r="AE1381" s="1762">
        <v>35431</v>
      </c>
      <c r="AF1381" s="1761" t="s">
        <v>1583</v>
      </c>
      <c r="AG1381" s="1761" t="s">
        <v>1583</v>
      </c>
      <c r="AH1381" s="1761" t="s">
        <v>1583</v>
      </c>
      <c r="AI1381" s="1761" t="s">
        <v>3206</v>
      </c>
      <c r="AJ1381" s="1761" t="s">
        <v>583</v>
      </c>
      <c r="AK1381" s="1761">
        <v>589</v>
      </c>
      <c r="AL1381" s="1761" t="s">
        <v>583</v>
      </c>
      <c r="AM1381" s="1761">
        <v>589</v>
      </c>
      <c r="AN1381" s="1761" t="s">
        <v>1695</v>
      </c>
      <c r="AO1381" s="1764"/>
      <c r="AP1381" s="1761" t="s">
        <v>5373</v>
      </c>
      <c r="AQ1381" s="1761" t="s">
        <v>5374</v>
      </c>
      <c r="AR1381" s="1761" t="s">
        <v>2899</v>
      </c>
      <c r="AS1381" s="1761" t="s">
        <v>349</v>
      </c>
      <c r="AT1381" s="1761" t="s">
        <v>327</v>
      </c>
      <c r="AU1381" s="1763"/>
      <c r="AV1381" s="1763"/>
    </row>
    <row r="1382" spans="1:48" ht="25" hidden="1">
      <c r="A1382" s="1785" t="str">
        <f t="shared" si="231"/>
        <v>גמל</v>
      </c>
      <c r="B1382" s="1786">
        <f t="shared" si="232"/>
        <v>589</v>
      </c>
      <c r="C1382" s="1787">
        <v>28946</v>
      </c>
      <c r="D1382" s="1786" t="str">
        <f t="shared" si="233"/>
        <v>יובלים - קופה מרכזית לפיצויים</v>
      </c>
      <c r="E1382" s="1786" t="s">
        <v>3929</v>
      </c>
      <c r="F1382" s="1786" t="s">
        <v>2958</v>
      </c>
      <c r="G1382" s="1786" t="s">
        <v>2959</v>
      </c>
      <c r="H1382" s="1786" t="str">
        <f t="shared" si="234"/>
        <v>לא פעיל</v>
      </c>
      <c r="I1382" s="1788">
        <f t="shared" si="235"/>
        <v>35431</v>
      </c>
      <c r="J1382" s="1788">
        <f t="shared" si="236"/>
        <v>41863.426030092603</v>
      </c>
      <c r="K1382" s="1786">
        <v>0</v>
      </c>
      <c r="L1382" s="1786" t="s">
        <v>1594</v>
      </c>
      <c r="M1382" s="1786" t="s">
        <v>1653</v>
      </c>
      <c r="N1382" s="1786" t="s">
        <v>1653</v>
      </c>
      <c r="O1382" s="1786">
        <v>0</v>
      </c>
      <c r="P1382" s="1786"/>
      <c r="Q1382" s="1786">
        <v>0</v>
      </c>
      <c r="R1382" s="1788"/>
      <c r="S1382" s="1786">
        <f t="shared" si="237"/>
        <v>589</v>
      </c>
      <c r="T1382" s="1786" t="str">
        <f t="shared" si="238"/>
        <v>בנק הפועלים בע"מ</v>
      </c>
      <c r="U1382" s="1786" t="str">
        <f t="shared" si="239"/>
        <v>יובלים - קופה מרכזית לפיצויים</v>
      </c>
      <c r="V1382" s="1786" t="str">
        <f t="shared" si="240"/>
        <v>520043795</v>
      </c>
      <c r="W1382" s="1789" t="str">
        <f t="shared" si="241"/>
        <v>מיטב דש גמל ופנסיה בע"מ</v>
      </c>
      <c r="AC1382" s="1759" t="s">
        <v>1586</v>
      </c>
      <c r="AD1382" s="1760">
        <v>41863.426030092603</v>
      </c>
      <c r="AE1382" s="1760">
        <v>35431</v>
      </c>
      <c r="AF1382" s="1759" t="s">
        <v>1583</v>
      </c>
      <c r="AG1382" s="1759" t="s">
        <v>1583</v>
      </c>
      <c r="AH1382" s="1759" t="s">
        <v>1583</v>
      </c>
      <c r="AI1382" s="1759" t="s">
        <v>3206</v>
      </c>
      <c r="AJ1382" s="1759" t="s">
        <v>583</v>
      </c>
      <c r="AK1382" s="1759">
        <v>589</v>
      </c>
      <c r="AL1382" s="1759" t="s">
        <v>583</v>
      </c>
      <c r="AM1382" s="1759">
        <v>589</v>
      </c>
      <c r="AN1382" s="1759" t="s">
        <v>1695</v>
      </c>
      <c r="AO1382" s="1764"/>
      <c r="AP1382" s="1759" t="s">
        <v>5373</v>
      </c>
      <c r="AQ1382" s="1759" t="s">
        <v>5374</v>
      </c>
      <c r="AR1382" s="1759" t="s">
        <v>2899</v>
      </c>
      <c r="AS1382" s="1759" t="s">
        <v>349</v>
      </c>
      <c r="AT1382" s="1759" t="s">
        <v>327</v>
      </c>
      <c r="AU1382" s="1763"/>
      <c r="AV1382" s="1763"/>
    </row>
    <row r="1383" spans="1:48" ht="25" hidden="1">
      <c r="A1383" s="1785" t="str">
        <f t="shared" si="231"/>
        <v>גמל</v>
      </c>
      <c r="B1383" s="1786">
        <f t="shared" si="232"/>
        <v>587</v>
      </c>
      <c r="C1383" s="1787">
        <v>28946</v>
      </c>
      <c r="D1383" s="1786" t="str">
        <f t="shared" si="233"/>
        <v>משתלמת-ריווחית, קרן השתלמות</v>
      </c>
      <c r="E1383" s="1786" t="s">
        <v>3929</v>
      </c>
      <c r="F1383" s="1786" t="s">
        <v>2958</v>
      </c>
      <c r="G1383" s="1786" t="s">
        <v>2959</v>
      </c>
      <c r="H1383" s="1786" t="str">
        <f t="shared" si="234"/>
        <v>לא פעיל</v>
      </c>
      <c r="I1383" s="1788">
        <f t="shared" si="235"/>
        <v>35431</v>
      </c>
      <c r="J1383" s="1788">
        <f t="shared" si="236"/>
        <v>36937.6741203704</v>
      </c>
      <c r="K1383" s="1786">
        <v>0</v>
      </c>
      <c r="L1383" s="1786" t="s">
        <v>1594</v>
      </c>
      <c r="M1383" s="1786" t="s">
        <v>1653</v>
      </c>
      <c r="N1383" s="1786" t="s">
        <v>1653</v>
      </c>
      <c r="O1383" s="1786">
        <v>0</v>
      </c>
      <c r="P1383" s="1786"/>
      <c r="Q1383" s="1786">
        <v>0</v>
      </c>
      <c r="R1383" s="1788"/>
      <c r="S1383" s="1786">
        <f t="shared" si="237"/>
        <v>587</v>
      </c>
      <c r="T1383" s="1786">
        <f t="shared" si="238"/>
        <v>0</v>
      </c>
      <c r="U1383" s="1786" t="str">
        <f t="shared" si="239"/>
        <v>משתלמת-ריווחית, קרן השתלמות</v>
      </c>
      <c r="V1383" s="1786">
        <f t="shared" si="240"/>
        <v>0</v>
      </c>
      <c r="W1383" s="1789" t="str">
        <f t="shared" si="241"/>
        <v>קבו' הפניקס-ניהול קופו"ג בע"מ</v>
      </c>
      <c r="AC1383" s="1761" t="s">
        <v>1586</v>
      </c>
      <c r="AD1383" s="1762">
        <v>36937.6741203704</v>
      </c>
      <c r="AE1383" s="1762">
        <v>35431</v>
      </c>
      <c r="AF1383" s="1761" t="s">
        <v>1583</v>
      </c>
      <c r="AG1383" s="1761" t="s">
        <v>1583</v>
      </c>
      <c r="AH1383" s="1761" t="s">
        <v>1583</v>
      </c>
      <c r="AI1383" s="1761" t="s">
        <v>3205</v>
      </c>
      <c r="AJ1383" s="1761" t="s">
        <v>1900</v>
      </c>
      <c r="AK1383" s="1761">
        <v>587</v>
      </c>
      <c r="AL1383" s="1761" t="s">
        <v>1900</v>
      </c>
      <c r="AM1383" s="1761">
        <v>587</v>
      </c>
      <c r="AN1383" s="1761"/>
      <c r="AO1383" s="1764"/>
      <c r="AP1383" s="1761"/>
      <c r="AQ1383" s="1761"/>
      <c r="AR1383" s="1761" t="s">
        <v>1901</v>
      </c>
      <c r="AS1383" s="1761"/>
      <c r="AT1383" s="1761" t="s">
        <v>327</v>
      </c>
      <c r="AU1383" s="1763"/>
      <c r="AV1383" s="1763"/>
    </row>
    <row r="1384" spans="1:48" ht="25" hidden="1">
      <c r="A1384" s="1785" t="str">
        <f t="shared" si="231"/>
        <v>גמל</v>
      </c>
      <c r="B1384" s="1786">
        <f t="shared" si="232"/>
        <v>586</v>
      </c>
      <c r="C1384" s="1787">
        <v>28946</v>
      </c>
      <c r="D1384" s="1786" t="str">
        <f t="shared" si="233"/>
        <v>יובלים - קופת גמל לחופשה</v>
      </c>
      <c r="E1384" s="1786" t="s">
        <v>3929</v>
      </c>
      <c r="F1384" s="1786" t="s">
        <v>2958</v>
      </c>
      <c r="G1384" s="1786" t="s">
        <v>2959</v>
      </c>
      <c r="H1384" s="1786" t="str">
        <f t="shared" si="234"/>
        <v>לא פעיל</v>
      </c>
      <c r="I1384" s="1788">
        <f t="shared" si="235"/>
        <v>35431</v>
      </c>
      <c r="J1384" s="1788">
        <f t="shared" si="236"/>
        <v>43207.538900462998</v>
      </c>
      <c r="K1384" s="1786">
        <v>0</v>
      </c>
      <c r="L1384" s="1786" t="s">
        <v>1594</v>
      </c>
      <c r="M1384" s="1786" t="s">
        <v>1653</v>
      </c>
      <c r="N1384" s="1786" t="s">
        <v>1653</v>
      </c>
      <c r="O1384" s="1786">
        <v>0</v>
      </c>
      <c r="P1384" s="1786"/>
      <c r="Q1384" s="1786">
        <v>0</v>
      </c>
      <c r="R1384" s="1788"/>
      <c r="S1384" s="1786">
        <f t="shared" si="237"/>
        <v>586</v>
      </c>
      <c r="T1384" s="1786" t="str">
        <f t="shared" si="238"/>
        <v>בנק הפועלים בע"מ</v>
      </c>
      <c r="U1384" s="1786" t="str">
        <f t="shared" si="239"/>
        <v>יובלים - קופת גמל לחופשה</v>
      </c>
      <c r="V1384" s="1786" t="str">
        <f t="shared" si="240"/>
        <v>520043795</v>
      </c>
      <c r="W1384" s="1789" t="str">
        <f t="shared" si="241"/>
        <v>מיטב דש גמל ופנסיה בע"מ</v>
      </c>
      <c r="AC1384" s="1759" t="s">
        <v>1586</v>
      </c>
      <c r="AD1384" s="1760">
        <v>43207.538900462998</v>
      </c>
      <c r="AE1384" s="1760">
        <v>35431</v>
      </c>
      <c r="AF1384" s="1759" t="s">
        <v>1583</v>
      </c>
      <c r="AG1384" s="1759" t="s">
        <v>1583</v>
      </c>
      <c r="AH1384" s="1759" t="s">
        <v>1583</v>
      </c>
      <c r="AI1384" s="1759" t="s">
        <v>3204</v>
      </c>
      <c r="AJ1384" s="1759" t="s">
        <v>582</v>
      </c>
      <c r="AK1384" s="1759">
        <v>586</v>
      </c>
      <c r="AL1384" s="1759" t="s">
        <v>582</v>
      </c>
      <c r="AM1384" s="1759">
        <v>586</v>
      </c>
      <c r="AN1384" s="1759" t="s">
        <v>1695</v>
      </c>
      <c r="AO1384" s="1764"/>
      <c r="AP1384" s="1759" t="s">
        <v>5373</v>
      </c>
      <c r="AQ1384" s="1759" t="s">
        <v>5374</v>
      </c>
      <c r="AR1384" s="1759" t="s">
        <v>2899</v>
      </c>
      <c r="AS1384" s="1759" t="s">
        <v>349</v>
      </c>
      <c r="AT1384" s="1759" t="s">
        <v>327</v>
      </c>
      <c r="AU1384" s="1763"/>
      <c r="AV1384" s="1763"/>
    </row>
    <row r="1385" spans="1:48" ht="25" hidden="1">
      <c r="A1385" s="1785" t="str">
        <f t="shared" si="231"/>
        <v>גמל</v>
      </c>
      <c r="B1385" s="1786">
        <f t="shared" si="232"/>
        <v>586</v>
      </c>
      <c r="C1385" s="1787">
        <v>28946</v>
      </c>
      <c r="D1385" s="1786" t="str">
        <f t="shared" si="233"/>
        <v>יובלים - קופת גמל לחופשה</v>
      </c>
      <c r="E1385" s="1786" t="s">
        <v>3929</v>
      </c>
      <c r="F1385" s="1786" t="s">
        <v>2958</v>
      </c>
      <c r="G1385" s="1786" t="s">
        <v>2959</v>
      </c>
      <c r="H1385" s="1786" t="str">
        <f t="shared" si="234"/>
        <v>לא פעיל</v>
      </c>
      <c r="I1385" s="1788">
        <f t="shared" si="235"/>
        <v>35431</v>
      </c>
      <c r="J1385" s="1788">
        <f t="shared" si="236"/>
        <v>43207.538900462998</v>
      </c>
      <c r="K1385" s="1786">
        <v>0</v>
      </c>
      <c r="L1385" s="1786" t="s">
        <v>1594</v>
      </c>
      <c r="M1385" s="1786" t="s">
        <v>1653</v>
      </c>
      <c r="N1385" s="1786" t="s">
        <v>1653</v>
      </c>
      <c r="O1385" s="1786">
        <v>0</v>
      </c>
      <c r="P1385" s="1786"/>
      <c r="Q1385" s="1786">
        <v>0</v>
      </c>
      <c r="R1385" s="1788"/>
      <c r="S1385" s="1786">
        <f t="shared" si="237"/>
        <v>586</v>
      </c>
      <c r="T1385" s="1786" t="str">
        <f t="shared" si="238"/>
        <v>בנק הפועלים בע"מ</v>
      </c>
      <c r="U1385" s="1786" t="str">
        <f t="shared" si="239"/>
        <v>יובלים - קופת גמל לחופשה</v>
      </c>
      <c r="V1385" s="1786" t="str">
        <f t="shared" si="240"/>
        <v>520043795</v>
      </c>
      <c r="W1385" s="1789" t="str">
        <f t="shared" si="241"/>
        <v>מיטב דש גמל ופנסיה בע"מ</v>
      </c>
      <c r="AC1385" s="1761" t="s">
        <v>1586</v>
      </c>
      <c r="AD1385" s="1762">
        <v>43207.538900462998</v>
      </c>
      <c r="AE1385" s="1762">
        <v>35431</v>
      </c>
      <c r="AF1385" s="1761" t="s">
        <v>1583</v>
      </c>
      <c r="AG1385" s="1761" t="s">
        <v>1583</v>
      </c>
      <c r="AH1385" s="1761" t="s">
        <v>1583</v>
      </c>
      <c r="AI1385" s="1761" t="s">
        <v>3204</v>
      </c>
      <c r="AJ1385" s="1761" t="s">
        <v>582</v>
      </c>
      <c r="AK1385" s="1761">
        <v>586</v>
      </c>
      <c r="AL1385" s="1761" t="s">
        <v>582</v>
      </c>
      <c r="AM1385" s="1761">
        <v>586</v>
      </c>
      <c r="AN1385" s="1761" t="s">
        <v>1695</v>
      </c>
      <c r="AO1385" s="1764"/>
      <c r="AP1385" s="1761" t="s">
        <v>5373</v>
      </c>
      <c r="AQ1385" s="1761" t="s">
        <v>5374</v>
      </c>
      <c r="AR1385" s="1761" t="s">
        <v>2899</v>
      </c>
      <c r="AS1385" s="1761" t="s">
        <v>349</v>
      </c>
      <c r="AT1385" s="1761" t="s">
        <v>327</v>
      </c>
      <c r="AU1385" s="1763"/>
      <c r="AV1385" s="1763"/>
    </row>
    <row r="1386" spans="1:48" ht="25" hidden="1">
      <c r="A1386" s="1785" t="str">
        <f t="shared" si="231"/>
        <v>גמל</v>
      </c>
      <c r="B1386" s="1786">
        <f t="shared" si="232"/>
        <v>585</v>
      </c>
      <c r="C1386" s="1787">
        <v>28946</v>
      </c>
      <c r="D1386" s="1786" t="str">
        <f t="shared" si="233"/>
        <v>יובלים -קרן השתלמות</v>
      </c>
      <c r="E1386" s="1786" t="s">
        <v>3929</v>
      </c>
      <c r="F1386" s="1786" t="s">
        <v>2958</v>
      </c>
      <c r="G1386" s="1786" t="s">
        <v>2959</v>
      </c>
      <c r="H1386" s="1786" t="str">
        <f t="shared" si="234"/>
        <v>לא פעיל</v>
      </c>
      <c r="I1386" s="1788">
        <f t="shared" si="235"/>
        <v>35431</v>
      </c>
      <c r="J1386" s="1788">
        <f t="shared" si="236"/>
        <v>40148</v>
      </c>
      <c r="K1386" s="1786">
        <v>0</v>
      </c>
      <c r="L1386" s="1786" t="s">
        <v>1594</v>
      </c>
      <c r="M1386" s="1786" t="s">
        <v>1653</v>
      </c>
      <c r="N1386" s="1786" t="s">
        <v>1653</v>
      </c>
      <c r="O1386" s="1786">
        <v>0</v>
      </c>
      <c r="P1386" s="1786"/>
      <c r="Q1386" s="1786">
        <v>0</v>
      </c>
      <c r="R1386" s="1788"/>
      <c r="S1386" s="1786">
        <f t="shared" si="237"/>
        <v>585</v>
      </c>
      <c r="T1386" s="1786" t="str">
        <f t="shared" si="238"/>
        <v>בנק הפועלים בע"מ</v>
      </c>
      <c r="U1386" s="1786" t="str">
        <f t="shared" si="239"/>
        <v>יובלים -קרן השתלמות</v>
      </c>
      <c r="V1386" s="1786">
        <f t="shared" si="240"/>
        <v>0</v>
      </c>
      <c r="W1386" s="1789" t="str">
        <f t="shared" si="241"/>
        <v>איפקס ניהול קופות גמל בע"מ</v>
      </c>
      <c r="AC1386" s="1759" t="s">
        <v>1586</v>
      </c>
      <c r="AD1386" s="1760">
        <v>40148</v>
      </c>
      <c r="AE1386" s="1760">
        <v>35431</v>
      </c>
      <c r="AF1386" s="1759" t="s">
        <v>1583</v>
      </c>
      <c r="AG1386" s="1759" t="s">
        <v>1583</v>
      </c>
      <c r="AH1386" s="1759" t="s">
        <v>1583</v>
      </c>
      <c r="AI1386" s="1759" t="s">
        <v>3203</v>
      </c>
      <c r="AJ1386" s="1759" t="s">
        <v>1899</v>
      </c>
      <c r="AK1386" s="1759">
        <v>585</v>
      </c>
      <c r="AL1386" s="1759" t="s">
        <v>1899</v>
      </c>
      <c r="AM1386" s="1759">
        <v>585</v>
      </c>
      <c r="AN1386" s="1759" t="s">
        <v>1695</v>
      </c>
      <c r="AO1386" s="1764"/>
      <c r="AP1386" s="1759"/>
      <c r="AQ1386" s="1759"/>
      <c r="AR1386" s="1759" t="s">
        <v>560</v>
      </c>
      <c r="AS1386" s="1759" t="s">
        <v>561</v>
      </c>
      <c r="AT1386" s="1759" t="s">
        <v>327</v>
      </c>
      <c r="AU1386" s="1763"/>
      <c r="AV1386" s="1763"/>
    </row>
    <row r="1387" spans="1:48" ht="25" hidden="1">
      <c r="A1387" s="1785" t="str">
        <f t="shared" si="231"/>
        <v>גמל</v>
      </c>
      <c r="B1387" s="1786">
        <f t="shared" si="232"/>
        <v>584</v>
      </c>
      <c r="C1387" s="1787">
        <v>28946</v>
      </c>
      <c r="D1387" s="1786" t="str">
        <f t="shared" si="233"/>
        <v>כור-תדיראן קרן השתלמות</v>
      </c>
      <c r="E1387" s="1786" t="s">
        <v>3929</v>
      </c>
      <c r="F1387" s="1786" t="s">
        <v>2958</v>
      </c>
      <c r="G1387" s="1786" t="s">
        <v>2959</v>
      </c>
      <c r="H1387" s="1786" t="str">
        <f t="shared" si="234"/>
        <v>לא פעיל</v>
      </c>
      <c r="I1387" s="1788">
        <f t="shared" si="235"/>
        <v>35431</v>
      </c>
      <c r="J1387" s="1788">
        <f t="shared" si="236"/>
        <v>36790.474699074097</v>
      </c>
      <c r="K1387" s="1786">
        <v>0</v>
      </c>
      <c r="L1387" s="1786" t="s">
        <v>1594</v>
      </c>
      <c r="M1387" s="1786" t="s">
        <v>1653</v>
      </c>
      <c r="N1387" s="1786" t="s">
        <v>1653</v>
      </c>
      <c r="O1387" s="1786">
        <v>0</v>
      </c>
      <c r="P1387" s="1786"/>
      <c r="Q1387" s="1786">
        <v>0</v>
      </c>
      <c r="R1387" s="1788"/>
      <c r="S1387" s="1786">
        <f t="shared" si="237"/>
        <v>584</v>
      </c>
      <c r="T1387" s="1786" t="str">
        <f t="shared" si="238"/>
        <v>ד.ס.ש ייעוץ ושירותים בע"מ</v>
      </c>
      <c r="U1387" s="1786" t="str">
        <f t="shared" si="239"/>
        <v>כור-תדיראן קרן השתלמות</v>
      </c>
      <c r="V1387" s="1786">
        <f t="shared" si="240"/>
        <v>0</v>
      </c>
      <c r="W1387" s="1789" t="str">
        <f t="shared" si="241"/>
        <v>כור-תדיראן גמל בע"מ</v>
      </c>
      <c r="AC1387" s="1761" t="s">
        <v>1586</v>
      </c>
      <c r="AD1387" s="1762">
        <v>36790.474699074097</v>
      </c>
      <c r="AE1387" s="1762">
        <v>35431</v>
      </c>
      <c r="AF1387" s="1761" t="s">
        <v>1583</v>
      </c>
      <c r="AG1387" s="1761" t="s">
        <v>1583</v>
      </c>
      <c r="AH1387" s="1761" t="s">
        <v>1583</v>
      </c>
      <c r="AI1387" s="1761" t="s">
        <v>3202</v>
      </c>
      <c r="AJ1387" s="1761" t="s">
        <v>1898</v>
      </c>
      <c r="AK1387" s="1761">
        <v>584</v>
      </c>
      <c r="AL1387" s="1761" t="s">
        <v>1898</v>
      </c>
      <c r="AM1387" s="1761">
        <v>584</v>
      </c>
      <c r="AN1387" s="1761" t="s">
        <v>5393</v>
      </c>
      <c r="AO1387" s="1764"/>
      <c r="AP1387" s="1761"/>
      <c r="AQ1387" s="1761"/>
      <c r="AR1387" s="1761" t="s">
        <v>578</v>
      </c>
      <c r="AS1387" s="1761" t="s">
        <v>579</v>
      </c>
      <c r="AT1387" s="1761" t="s">
        <v>327</v>
      </c>
      <c r="AU1387" s="1763"/>
      <c r="AV1387" s="1763"/>
    </row>
    <row r="1388" spans="1:48" ht="25" hidden="1">
      <c r="A1388" s="1785" t="str">
        <f t="shared" si="231"/>
        <v>גמל</v>
      </c>
      <c r="B1388" s="1786">
        <f t="shared" si="232"/>
        <v>583</v>
      </c>
      <c r="C1388" s="1787">
        <v>28946</v>
      </c>
      <c r="D1388" s="1786" t="str">
        <f t="shared" si="233"/>
        <v>כור-תדיראן קופ"ג לתגמולים</v>
      </c>
      <c r="E1388" s="1786" t="s">
        <v>3929</v>
      </c>
      <c r="F1388" s="1786" t="s">
        <v>2958</v>
      </c>
      <c r="G1388" s="1786" t="s">
        <v>2959</v>
      </c>
      <c r="H1388" s="1786" t="str">
        <f t="shared" si="234"/>
        <v>לא פעיל</v>
      </c>
      <c r="I1388" s="1788">
        <f t="shared" si="235"/>
        <v>35431</v>
      </c>
      <c r="J1388" s="1788">
        <f t="shared" si="236"/>
        <v>37315.495752314797</v>
      </c>
      <c r="K1388" s="1786">
        <v>0</v>
      </c>
      <c r="L1388" s="1786" t="s">
        <v>1594</v>
      </c>
      <c r="M1388" s="1786" t="s">
        <v>1653</v>
      </c>
      <c r="N1388" s="1786" t="s">
        <v>1653</v>
      </c>
      <c r="O1388" s="1786">
        <v>0</v>
      </c>
      <c r="P1388" s="1786"/>
      <c r="Q1388" s="1786">
        <v>0</v>
      </c>
      <c r="R1388" s="1788"/>
      <c r="S1388" s="1786">
        <f t="shared" si="237"/>
        <v>583</v>
      </c>
      <c r="T1388" s="1786" t="str">
        <f t="shared" si="238"/>
        <v>ד.ס.ש ייעוץ ושירותים בע"מ</v>
      </c>
      <c r="U1388" s="1786" t="str">
        <f t="shared" si="239"/>
        <v>כור-תדיראן קופ"ג לתגמולים</v>
      </c>
      <c r="V1388" s="1786">
        <f t="shared" si="240"/>
        <v>0</v>
      </c>
      <c r="W1388" s="1789" t="str">
        <f t="shared" si="241"/>
        <v>כור-תדיראן גמל בע"מ</v>
      </c>
      <c r="AC1388" s="1759" t="s">
        <v>1586</v>
      </c>
      <c r="AD1388" s="1760">
        <v>37315.495752314797</v>
      </c>
      <c r="AE1388" s="1760">
        <v>35431</v>
      </c>
      <c r="AF1388" s="1759" t="s">
        <v>1583</v>
      </c>
      <c r="AG1388" s="1759" t="s">
        <v>1583</v>
      </c>
      <c r="AH1388" s="1759" t="s">
        <v>1583</v>
      </c>
      <c r="AI1388" s="1759" t="s">
        <v>3201</v>
      </c>
      <c r="AJ1388" s="1759" t="s">
        <v>1897</v>
      </c>
      <c r="AK1388" s="1759">
        <v>583</v>
      </c>
      <c r="AL1388" s="1759" t="s">
        <v>1897</v>
      </c>
      <c r="AM1388" s="1759">
        <v>583</v>
      </c>
      <c r="AN1388" s="1759" t="s">
        <v>5393</v>
      </c>
      <c r="AO1388" s="1764"/>
      <c r="AP1388" s="1759"/>
      <c r="AQ1388" s="1759"/>
      <c r="AR1388" s="1759" t="s">
        <v>578</v>
      </c>
      <c r="AS1388" s="1759" t="s">
        <v>579</v>
      </c>
      <c r="AT1388" s="1759" t="s">
        <v>327</v>
      </c>
      <c r="AU1388" s="1763"/>
      <c r="AV1388" s="1763"/>
    </row>
    <row r="1389" spans="1:48" ht="25" hidden="1">
      <c r="A1389" s="1785" t="str">
        <f t="shared" si="231"/>
        <v>גמל</v>
      </c>
      <c r="B1389" s="1786">
        <f t="shared" si="232"/>
        <v>582</v>
      </c>
      <c r="C1389" s="1787">
        <v>28946</v>
      </c>
      <c r="D1389" s="1786" t="str">
        <f t="shared" si="233"/>
        <v>כור-תדיראן קופת גמל אישית לתגמולים ולפיצויים-מסלול כללי</v>
      </c>
      <c r="E1389" s="1786" t="s">
        <v>3929</v>
      </c>
      <c r="F1389" s="1786" t="s">
        <v>2958</v>
      </c>
      <c r="G1389" s="1786" t="s">
        <v>2959</v>
      </c>
      <c r="H1389" s="1786" t="str">
        <f t="shared" si="234"/>
        <v>לא פעיל</v>
      </c>
      <c r="I1389" s="1788">
        <f t="shared" si="235"/>
        <v>35431</v>
      </c>
      <c r="J1389" s="1788">
        <f t="shared" si="236"/>
        <v>43604.468460648102</v>
      </c>
      <c r="K1389" s="1786">
        <v>0</v>
      </c>
      <c r="L1389" s="1786" t="s">
        <v>1594</v>
      </c>
      <c r="M1389" s="1786" t="s">
        <v>1653</v>
      </c>
      <c r="N1389" s="1786" t="s">
        <v>1653</v>
      </c>
      <c r="O1389" s="1786">
        <v>0</v>
      </c>
      <c r="P1389" s="1786"/>
      <c r="Q1389" s="1786">
        <v>0</v>
      </c>
      <c r="R1389" s="1788"/>
      <c r="S1389" s="1786">
        <f t="shared" si="237"/>
        <v>582</v>
      </c>
      <c r="T1389" s="1786" t="str">
        <f t="shared" si="238"/>
        <v>בנק הפועלים בע"מ</v>
      </c>
      <c r="U1389" s="1786" t="str">
        <f t="shared" si="239"/>
        <v>כור-תדיראן קופת גמל אישית לתגמולים ולפיצויים</v>
      </c>
      <c r="V1389" s="1786">
        <f t="shared" si="240"/>
        <v>0</v>
      </c>
      <c r="W1389" s="1789" t="str">
        <f t="shared" si="241"/>
        <v>כור-תדיראן גמל בע"מ</v>
      </c>
      <c r="AC1389" s="1761" t="s">
        <v>1586</v>
      </c>
      <c r="AD1389" s="1762">
        <v>43604.468460648102</v>
      </c>
      <c r="AE1389" s="1762">
        <v>35431</v>
      </c>
      <c r="AF1389" s="1761" t="s">
        <v>1583</v>
      </c>
      <c r="AG1389" s="1761" t="s">
        <v>1583</v>
      </c>
      <c r="AH1389" s="1761" t="s">
        <v>1583</v>
      </c>
      <c r="AI1389" s="1761" t="s">
        <v>3968</v>
      </c>
      <c r="AJ1389" s="1761" t="s">
        <v>3967</v>
      </c>
      <c r="AK1389" s="1761">
        <v>582</v>
      </c>
      <c r="AL1389" s="1761" t="s">
        <v>581</v>
      </c>
      <c r="AM1389" s="1761">
        <v>582</v>
      </c>
      <c r="AN1389" s="1761" t="s">
        <v>1695</v>
      </c>
      <c r="AO1389" s="1764"/>
      <c r="AP1389" s="1761"/>
      <c r="AQ1389" s="1761"/>
      <c r="AR1389" s="1761" t="s">
        <v>578</v>
      </c>
      <c r="AS1389" s="1761" t="s">
        <v>579</v>
      </c>
      <c r="AT1389" s="1761" t="s">
        <v>327</v>
      </c>
      <c r="AU1389" s="1763"/>
      <c r="AV1389" s="1763"/>
    </row>
    <row r="1390" spans="1:48" ht="25" hidden="1">
      <c r="A1390" s="1785" t="str">
        <f t="shared" si="231"/>
        <v>גמל</v>
      </c>
      <c r="B1390" s="1786">
        <f t="shared" si="232"/>
        <v>9901</v>
      </c>
      <c r="C1390" s="1787">
        <v>28946</v>
      </c>
      <c r="D1390" s="1786" t="str">
        <f t="shared" si="233"/>
        <v>כור-תדיראן קופת גמל אישית לתגמולים ולפיצויים 60 ומעלה</v>
      </c>
      <c r="E1390" s="1786" t="s">
        <v>3929</v>
      </c>
      <c r="F1390" s="1786" t="s">
        <v>2958</v>
      </c>
      <c r="G1390" s="1786" t="s">
        <v>2959</v>
      </c>
      <c r="H1390" s="1786" t="str">
        <f t="shared" si="234"/>
        <v>לא פעיל</v>
      </c>
      <c r="I1390" s="1788">
        <f t="shared" si="235"/>
        <v>35431</v>
      </c>
      <c r="J1390" s="1788">
        <f t="shared" si="236"/>
        <v>43604.468460648102</v>
      </c>
      <c r="K1390" s="1786">
        <v>0</v>
      </c>
      <c r="L1390" s="1786" t="s">
        <v>1594</v>
      </c>
      <c r="M1390" s="1786" t="s">
        <v>1653</v>
      </c>
      <c r="N1390" s="1786" t="s">
        <v>1653</v>
      </c>
      <c r="O1390" s="1786">
        <v>0</v>
      </c>
      <c r="P1390" s="1786"/>
      <c r="Q1390" s="1786">
        <v>0</v>
      </c>
      <c r="R1390" s="1788"/>
      <c r="S1390" s="1786">
        <f t="shared" si="237"/>
        <v>582</v>
      </c>
      <c r="T1390" s="1786" t="str">
        <f t="shared" si="238"/>
        <v>בנק הפועלים בע"מ</v>
      </c>
      <c r="U1390" s="1786" t="str">
        <f t="shared" si="239"/>
        <v>כור-תדיראן קופת גמל אישית לתגמולים ולפיצויים</v>
      </c>
      <c r="V1390" s="1786">
        <f t="shared" si="240"/>
        <v>0</v>
      </c>
      <c r="W1390" s="1789" t="str">
        <f t="shared" si="241"/>
        <v>כור-תדיראן גמל בע"מ</v>
      </c>
      <c r="AC1390" s="1759" t="s">
        <v>1586</v>
      </c>
      <c r="AD1390" s="1760">
        <v>43604.468460648102</v>
      </c>
      <c r="AE1390" s="1760">
        <v>35431</v>
      </c>
      <c r="AF1390" s="1759" t="s">
        <v>3963</v>
      </c>
      <c r="AG1390" s="1759" t="s">
        <v>3931</v>
      </c>
      <c r="AH1390" s="1759" t="s">
        <v>3658</v>
      </c>
      <c r="AI1390" s="1759" t="s">
        <v>4439</v>
      </c>
      <c r="AJ1390" s="1759" t="s">
        <v>4438</v>
      </c>
      <c r="AK1390" s="1759">
        <v>9901</v>
      </c>
      <c r="AL1390" s="1759" t="s">
        <v>581</v>
      </c>
      <c r="AM1390" s="1759">
        <v>582</v>
      </c>
      <c r="AN1390" s="1759" t="s">
        <v>1695</v>
      </c>
      <c r="AO1390" s="1764"/>
      <c r="AP1390" s="1759"/>
      <c r="AQ1390" s="1759"/>
      <c r="AR1390" s="1759" t="s">
        <v>578</v>
      </c>
      <c r="AS1390" s="1759" t="s">
        <v>579</v>
      </c>
      <c r="AT1390" s="1759" t="s">
        <v>327</v>
      </c>
      <c r="AU1390" s="1763"/>
      <c r="AV1390" s="1763"/>
    </row>
    <row r="1391" spans="1:48" ht="25" hidden="1">
      <c r="A1391" s="1785" t="str">
        <f t="shared" si="231"/>
        <v>גמל</v>
      </c>
      <c r="B1391" s="1786">
        <f t="shared" si="232"/>
        <v>9900</v>
      </c>
      <c r="C1391" s="1787">
        <v>28946</v>
      </c>
      <c r="D1391" s="1786" t="str">
        <f t="shared" si="233"/>
        <v>כור-תדיראן קופת גמל אישית לתגמולים ולפיצויים 50-60</v>
      </c>
      <c r="E1391" s="1786" t="s">
        <v>3929</v>
      </c>
      <c r="F1391" s="1786" t="s">
        <v>2958</v>
      </c>
      <c r="G1391" s="1786" t="s">
        <v>2959</v>
      </c>
      <c r="H1391" s="1786" t="str">
        <f t="shared" si="234"/>
        <v>לא פעיל</v>
      </c>
      <c r="I1391" s="1788">
        <f t="shared" si="235"/>
        <v>35431</v>
      </c>
      <c r="J1391" s="1788">
        <f t="shared" si="236"/>
        <v>43604.468460648102</v>
      </c>
      <c r="K1391" s="1786">
        <v>0</v>
      </c>
      <c r="L1391" s="1786" t="s">
        <v>1594</v>
      </c>
      <c r="M1391" s="1786" t="s">
        <v>1653</v>
      </c>
      <c r="N1391" s="1786" t="s">
        <v>1653</v>
      </c>
      <c r="O1391" s="1786">
        <v>0</v>
      </c>
      <c r="P1391" s="1786"/>
      <c r="Q1391" s="1786">
        <v>0</v>
      </c>
      <c r="R1391" s="1788"/>
      <c r="S1391" s="1786">
        <f t="shared" si="237"/>
        <v>582</v>
      </c>
      <c r="T1391" s="1786" t="str">
        <f t="shared" si="238"/>
        <v>בנק הפועלים בע"מ</v>
      </c>
      <c r="U1391" s="1786" t="str">
        <f t="shared" si="239"/>
        <v>כור-תדיראן קופת גמל אישית לתגמולים ולפיצויים</v>
      </c>
      <c r="V1391" s="1786">
        <f t="shared" si="240"/>
        <v>0</v>
      </c>
      <c r="W1391" s="1789" t="str">
        <f t="shared" si="241"/>
        <v>כור-תדיראן גמל בע"מ</v>
      </c>
      <c r="AC1391" s="1761" t="s">
        <v>1586</v>
      </c>
      <c r="AD1391" s="1762">
        <v>43604.468460648102</v>
      </c>
      <c r="AE1391" s="1762">
        <v>35431</v>
      </c>
      <c r="AF1391" s="1761" t="s">
        <v>3932</v>
      </c>
      <c r="AG1391" s="1761" t="s">
        <v>3931</v>
      </c>
      <c r="AH1391" s="1761" t="s">
        <v>3658</v>
      </c>
      <c r="AI1391" s="1761" t="s">
        <v>4437</v>
      </c>
      <c r="AJ1391" s="1761" t="s">
        <v>4436</v>
      </c>
      <c r="AK1391" s="1761">
        <v>9900</v>
      </c>
      <c r="AL1391" s="1761" t="s">
        <v>581</v>
      </c>
      <c r="AM1391" s="1761">
        <v>582</v>
      </c>
      <c r="AN1391" s="1761" t="s">
        <v>1695</v>
      </c>
      <c r="AO1391" s="1764"/>
      <c r="AP1391" s="1761"/>
      <c r="AQ1391" s="1761"/>
      <c r="AR1391" s="1761" t="s">
        <v>578</v>
      </c>
      <c r="AS1391" s="1761" t="s">
        <v>579</v>
      </c>
      <c r="AT1391" s="1761" t="s">
        <v>327</v>
      </c>
      <c r="AU1391" s="1763"/>
      <c r="AV1391" s="1763"/>
    </row>
    <row r="1392" spans="1:48" ht="25" hidden="1">
      <c r="A1392" s="1785" t="str">
        <f t="shared" si="231"/>
        <v>גמל</v>
      </c>
      <c r="B1392" s="1786">
        <f t="shared" si="232"/>
        <v>9899</v>
      </c>
      <c r="C1392" s="1787">
        <v>28946</v>
      </c>
      <c r="D1392" s="1786" t="str">
        <f t="shared" si="233"/>
        <v>כור-תדיראן קופת גמל אישית לתגמולים ולפיצויים עד 50</v>
      </c>
      <c r="E1392" s="1786" t="s">
        <v>3929</v>
      </c>
      <c r="F1392" s="1786" t="s">
        <v>2958</v>
      </c>
      <c r="G1392" s="1786" t="s">
        <v>2959</v>
      </c>
      <c r="H1392" s="1786" t="str">
        <f t="shared" si="234"/>
        <v>לא פעיל</v>
      </c>
      <c r="I1392" s="1788">
        <f t="shared" si="235"/>
        <v>35431</v>
      </c>
      <c r="J1392" s="1788">
        <f t="shared" si="236"/>
        <v>43604.468460648102</v>
      </c>
      <c r="K1392" s="1786">
        <v>0</v>
      </c>
      <c r="L1392" s="1786" t="s">
        <v>1594</v>
      </c>
      <c r="M1392" s="1786" t="s">
        <v>1653</v>
      </c>
      <c r="N1392" s="1786" t="s">
        <v>1653</v>
      </c>
      <c r="O1392" s="1786">
        <v>0</v>
      </c>
      <c r="P1392" s="1786"/>
      <c r="Q1392" s="1786">
        <v>0</v>
      </c>
      <c r="R1392" s="1788"/>
      <c r="S1392" s="1786">
        <f t="shared" si="237"/>
        <v>582</v>
      </c>
      <c r="T1392" s="1786" t="str">
        <f t="shared" si="238"/>
        <v>בנק הפועלים בע"מ</v>
      </c>
      <c r="U1392" s="1786" t="str">
        <f t="shared" si="239"/>
        <v>כור-תדיראן קופת גמל אישית לתגמולים ולפיצויים</v>
      </c>
      <c r="V1392" s="1786">
        <f t="shared" si="240"/>
        <v>0</v>
      </c>
      <c r="W1392" s="1789" t="str">
        <f t="shared" si="241"/>
        <v>כור-תדיראן גמל בע"מ</v>
      </c>
      <c r="AC1392" s="1759" t="s">
        <v>1586</v>
      </c>
      <c r="AD1392" s="1760">
        <v>43604.468460648102</v>
      </c>
      <c r="AE1392" s="1760">
        <v>35431</v>
      </c>
      <c r="AF1392" s="1759" t="s">
        <v>4151</v>
      </c>
      <c r="AG1392" s="1759" t="s">
        <v>3931</v>
      </c>
      <c r="AH1392" s="1759" t="s">
        <v>3658</v>
      </c>
      <c r="AI1392" s="1759" t="s">
        <v>4435</v>
      </c>
      <c r="AJ1392" s="1759" t="s">
        <v>4434</v>
      </c>
      <c r="AK1392" s="1759">
        <v>9899</v>
      </c>
      <c r="AL1392" s="1759" t="s">
        <v>581</v>
      </c>
      <c r="AM1392" s="1759">
        <v>582</v>
      </c>
      <c r="AN1392" s="1759" t="s">
        <v>1695</v>
      </c>
      <c r="AO1392" s="1764"/>
      <c r="AP1392" s="1759"/>
      <c r="AQ1392" s="1759"/>
      <c r="AR1392" s="1759" t="s">
        <v>578</v>
      </c>
      <c r="AS1392" s="1759" t="s">
        <v>579</v>
      </c>
      <c r="AT1392" s="1759" t="s">
        <v>327</v>
      </c>
      <c r="AU1392" s="1763"/>
      <c r="AV1392" s="1763"/>
    </row>
    <row r="1393" spans="1:48" ht="25" hidden="1">
      <c r="A1393" s="1785" t="str">
        <f t="shared" si="231"/>
        <v>גמל</v>
      </c>
      <c r="B1393" s="1786">
        <f t="shared" si="232"/>
        <v>581</v>
      </c>
      <c r="C1393" s="1787">
        <v>28946</v>
      </c>
      <c r="D1393" s="1786" t="str">
        <f t="shared" si="233"/>
        <v>כור-תדיראן קופת גמל מרכזית לפיצויים</v>
      </c>
      <c r="E1393" s="1786" t="s">
        <v>3929</v>
      </c>
      <c r="F1393" s="1786" t="s">
        <v>2958</v>
      </c>
      <c r="G1393" s="1786" t="s">
        <v>2959</v>
      </c>
      <c r="H1393" s="1786" t="str">
        <f t="shared" si="234"/>
        <v>לא פעיל</v>
      </c>
      <c r="I1393" s="1788">
        <f t="shared" si="235"/>
        <v>35431</v>
      </c>
      <c r="J1393" s="1788">
        <f t="shared" si="236"/>
        <v>43604.471030092602</v>
      </c>
      <c r="K1393" s="1786">
        <v>0</v>
      </c>
      <c r="L1393" s="1786" t="s">
        <v>1594</v>
      </c>
      <c r="M1393" s="1786" t="s">
        <v>1653</v>
      </c>
      <c r="N1393" s="1786" t="s">
        <v>1653</v>
      </c>
      <c r="O1393" s="1786">
        <v>0</v>
      </c>
      <c r="P1393" s="1786"/>
      <c r="Q1393" s="1786">
        <v>0</v>
      </c>
      <c r="R1393" s="1788"/>
      <c r="S1393" s="1786">
        <f t="shared" si="237"/>
        <v>581</v>
      </c>
      <c r="T1393" s="1786" t="str">
        <f t="shared" si="238"/>
        <v>בנק הפועלים בע"מ</v>
      </c>
      <c r="U1393" s="1786" t="str">
        <f t="shared" si="239"/>
        <v>כור-תדיראן קופת גמל מרכזית לפיצויים</v>
      </c>
      <c r="V1393" s="1786">
        <f t="shared" si="240"/>
        <v>0</v>
      </c>
      <c r="W1393" s="1789" t="str">
        <f t="shared" si="241"/>
        <v>כור-תדיראן גמל בע"מ</v>
      </c>
      <c r="AC1393" s="1761" t="s">
        <v>1586</v>
      </c>
      <c r="AD1393" s="1762">
        <v>43604.471030092602</v>
      </c>
      <c r="AE1393" s="1762">
        <v>35431</v>
      </c>
      <c r="AF1393" s="1761" t="s">
        <v>1583</v>
      </c>
      <c r="AG1393" s="1761" t="s">
        <v>1583</v>
      </c>
      <c r="AH1393" s="1761" t="s">
        <v>1583</v>
      </c>
      <c r="AI1393" s="1761" t="s">
        <v>3200</v>
      </c>
      <c r="AJ1393" s="1761" t="s">
        <v>580</v>
      </c>
      <c r="AK1393" s="1761">
        <v>581</v>
      </c>
      <c r="AL1393" s="1761" t="s">
        <v>580</v>
      </c>
      <c r="AM1393" s="1761">
        <v>581</v>
      </c>
      <c r="AN1393" s="1761" t="s">
        <v>1695</v>
      </c>
      <c r="AO1393" s="1764"/>
      <c r="AP1393" s="1761"/>
      <c r="AQ1393" s="1761"/>
      <c r="AR1393" s="1761" t="s">
        <v>578</v>
      </c>
      <c r="AS1393" s="1761" t="s">
        <v>579</v>
      </c>
      <c r="AT1393" s="1761" t="s">
        <v>327</v>
      </c>
      <c r="AU1393" s="1763"/>
      <c r="AV1393" s="1763"/>
    </row>
    <row r="1394" spans="1:48" ht="37.5" hidden="1">
      <c r="A1394" s="1785" t="str">
        <f t="shared" si="231"/>
        <v>גמל</v>
      </c>
      <c r="B1394" s="1786">
        <f t="shared" si="232"/>
        <v>580</v>
      </c>
      <c r="C1394" s="1787">
        <v>28946</v>
      </c>
      <c r="D1394" s="1786" t="str">
        <f t="shared" si="233"/>
        <v>שיבולת -  קרן השתלמות</v>
      </c>
      <c r="E1394" s="1786" t="s">
        <v>3929</v>
      </c>
      <c r="F1394" s="1786" t="s">
        <v>2958</v>
      </c>
      <c r="G1394" s="1786" t="s">
        <v>2959</v>
      </c>
      <c r="H1394" s="1786" t="str">
        <f t="shared" si="234"/>
        <v>פעיל</v>
      </c>
      <c r="I1394" s="1788">
        <f t="shared" si="235"/>
        <v>35065</v>
      </c>
      <c r="J1394" s="1788" t="str">
        <f t="shared" si="236"/>
        <v/>
      </c>
      <c r="K1394" s="1786">
        <v>0</v>
      </c>
      <c r="L1394" s="1786" t="s">
        <v>1594</v>
      </c>
      <c r="M1394" s="1786" t="s">
        <v>1653</v>
      </c>
      <c r="N1394" s="1786" t="s">
        <v>1653</v>
      </c>
      <c r="O1394" s="1786">
        <v>0</v>
      </c>
      <c r="P1394" s="1786"/>
      <c r="Q1394" s="1786">
        <v>0</v>
      </c>
      <c r="R1394" s="1788"/>
      <c r="S1394" s="1786">
        <f t="shared" si="237"/>
        <v>580</v>
      </c>
      <c r="T1394" s="1786" t="str">
        <f t="shared" si="238"/>
        <v>בנק מזרחי טפחות בע"מ</v>
      </c>
      <c r="U1394" s="1786" t="str">
        <f t="shared" si="239"/>
        <v>שיבולת -  קרן השתלמות</v>
      </c>
      <c r="V1394" s="1786" t="str">
        <f t="shared" si="240"/>
        <v>570018044</v>
      </c>
      <c r="W1394" s="1789" t="str">
        <f t="shared" si="241"/>
        <v>שיבולת - חברה לניהול קופות גמל בע"מ</v>
      </c>
      <c r="AC1394" s="1759" t="s">
        <v>346</v>
      </c>
      <c r="AD1394" s="1759"/>
      <c r="AE1394" s="1760">
        <v>35065</v>
      </c>
      <c r="AF1394" s="1759" t="s">
        <v>1583</v>
      </c>
      <c r="AG1394" s="1759" t="s">
        <v>1583</v>
      </c>
      <c r="AH1394" s="1759" t="s">
        <v>1583</v>
      </c>
      <c r="AI1394" s="1759" t="s">
        <v>3199</v>
      </c>
      <c r="AJ1394" s="1759" t="s">
        <v>577</v>
      </c>
      <c r="AK1394" s="1759">
        <v>580</v>
      </c>
      <c r="AL1394" s="1759" t="s">
        <v>577</v>
      </c>
      <c r="AM1394" s="1759">
        <v>580</v>
      </c>
      <c r="AN1394" s="1759" t="s">
        <v>5370</v>
      </c>
      <c r="AO1394" s="1764"/>
      <c r="AP1394" s="1759" t="s">
        <v>5621</v>
      </c>
      <c r="AQ1394" s="1759" t="s">
        <v>5622</v>
      </c>
      <c r="AR1394" s="1759" t="s">
        <v>501</v>
      </c>
      <c r="AS1394" s="1759" t="s">
        <v>502</v>
      </c>
      <c r="AT1394" s="1759" t="s">
        <v>327</v>
      </c>
      <c r="AU1394" s="1763"/>
      <c r="AV1394" s="1763"/>
    </row>
    <row r="1395" spans="1:48" ht="37.5" hidden="1">
      <c r="A1395" s="1785" t="str">
        <f t="shared" si="231"/>
        <v>גמל</v>
      </c>
      <c r="B1395" s="1786">
        <f t="shared" si="232"/>
        <v>199</v>
      </c>
      <c r="C1395" s="1787">
        <v>28946</v>
      </c>
      <c r="D1395" s="1786" t="str">
        <f t="shared" si="233"/>
        <v>מגדל השתלמות מסלול אג"ח</v>
      </c>
      <c r="E1395" s="1786" t="s">
        <v>3929</v>
      </c>
      <c r="F1395" s="1786" t="s">
        <v>2958</v>
      </c>
      <c r="G1395" s="1786" t="s">
        <v>2959</v>
      </c>
      <c r="H1395" s="1786" t="str">
        <f t="shared" si="234"/>
        <v>פעיל</v>
      </c>
      <c r="I1395" s="1788">
        <f t="shared" si="235"/>
        <v>35431</v>
      </c>
      <c r="J1395" s="1788" t="str">
        <f t="shared" si="236"/>
        <v/>
      </c>
      <c r="K1395" s="1786">
        <v>0</v>
      </c>
      <c r="L1395" s="1786" t="s">
        <v>1594</v>
      </c>
      <c r="M1395" s="1786" t="s">
        <v>1653</v>
      </c>
      <c r="N1395" s="1786" t="s">
        <v>1653</v>
      </c>
      <c r="O1395" s="1786">
        <v>0</v>
      </c>
      <c r="P1395" s="1786"/>
      <c r="Q1395" s="1786">
        <v>0</v>
      </c>
      <c r="R1395" s="1788"/>
      <c r="S1395" s="1786">
        <f t="shared" si="237"/>
        <v>579</v>
      </c>
      <c r="T1395" s="1786" t="str">
        <f t="shared" si="238"/>
        <v>לאומי</v>
      </c>
      <c r="U1395" s="1786" t="str">
        <f t="shared" si="239"/>
        <v>מגדל השתלמות</v>
      </c>
      <c r="V1395" s="1786" t="str">
        <f t="shared" si="240"/>
        <v>510464803</v>
      </c>
      <c r="W1395" s="1789" t="str">
        <f t="shared" si="241"/>
        <v>מגדל מקפת קרנות פנסיה וקופות גמל בע"מ</v>
      </c>
      <c r="AC1395" s="1761" t="s">
        <v>346</v>
      </c>
      <c r="AD1395" s="1759"/>
      <c r="AE1395" s="1762">
        <v>35431</v>
      </c>
      <c r="AF1395" s="1761" t="s">
        <v>1653</v>
      </c>
      <c r="AG1395" s="1761" t="s">
        <v>1653</v>
      </c>
      <c r="AH1395" s="1761" t="s">
        <v>1594</v>
      </c>
      <c r="AI1395" s="1761" t="s">
        <v>3001</v>
      </c>
      <c r="AJ1395" s="1761" t="s">
        <v>3000</v>
      </c>
      <c r="AK1395" s="1761">
        <v>199</v>
      </c>
      <c r="AL1395" s="1761" t="s">
        <v>3002</v>
      </c>
      <c r="AM1395" s="1761">
        <v>579</v>
      </c>
      <c r="AN1395" s="1761" t="s">
        <v>5305</v>
      </c>
      <c r="AO1395" s="1764"/>
      <c r="AP1395" s="1761" t="s">
        <v>5382</v>
      </c>
      <c r="AQ1395" s="1761" t="s">
        <v>5383</v>
      </c>
      <c r="AR1395" s="1761" t="s">
        <v>394</v>
      </c>
      <c r="AS1395" s="1761" t="s">
        <v>395</v>
      </c>
      <c r="AT1395" s="1761" t="s">
        <v>327</v>
      </c>
      <c r="AU1395" s="1763"/>
      <c r="AV1395" s="1763"/>
    </row>
    <row r="1396" spans="1:48" ht="37.5" hidden="1">
      <c r="A1396" s="1785" t="str">
        <f t="shared" si="231"/>
        <v>גמל</v>
      </c>
      <c r="B1396" s="1786">
        <f t="shared" si="232"/>
        <v>777</v>
      </c>
      <c r="C1396" s="1787">
        <v>28946</v>
      </c>
      <c r="D1396" s="1786" t="str">
        <f t="shared" si="233"/>
        <v>מגדל השתלמות מסלול מט"ח</v>
      </c>
      <c r="E1396" s="1786" t="s">
        <v>3929</v>
      </c>
      <c r="F1396" s="1786" t="s">
        <v>2958</v>
      </c>
      <c r="G1396" s="1786" t="s">
        <v>2959</v>
      </c>
      <c r="H1396" s="1786" t="str">
        <f t="shared" si="234"/>
        <v>לא פעיל</v>
      </c>
      <c r="I1396" s="1788">
        <f t="shared" si="235"/>
        <v>35431</v>
      </c>
      <c r="J1396" s="1788">
        <f t="shared" si="236"/>
        <v>42386.6016087963</v>
      </c>
      <c r="K1396" s="1786">
        <v>0</v>
      </c>
      <c r="L1396" s="1786" t="s">
        <v>1594</v>
      </c>
      <c r="M1396" s="1786" t="s">
        <v>1653</v>
      </c>
      <c r="N1396" s="1786" t="s">
        <v>1653</v>
      </c>
      <c r="O1396" s="1786">
        <v>0</v>
      </c>
      <c r="P1396" s="1786"/>
      <c r="Q1396" s="1786">
        <v>0</v>
      </c>
      <c r="R1396" s="1788"/>
      <c r="S1396" s="1786">
        <f t="shared" si="237"/>
        <v>579</v>
      </c>
      <c r="T1396" s="1786" t="str">
        <f t="shared" si="238"/>
        <v>לאומי</v>
      </c>
      <c r="U1396" s="1786" t="str">
        <f t="shared" si="239"/>
        <v>מגדל השתלמות</v>
      </c>
      <c r="V1396" s="1786" t="str">
        <f t="shared" si="240"/>
        <v>510464803</v>
      </c>
      <c r="W1396" s="1789" t="str">
        <f t="shared" si="241"/>
        <v>מגדל מקפת קרנות פנסיה וקופות גמל בע"מ</v>
      </c>
      <c r="AC1396" s="1759" t="s">
        <v>1586</v>
      </c>
      <c r="AD1396" s="1760">
        <v>42386.6016087963</v>
      </c>
      <c r="AE1396" s="1760">
        <v>35431</v>
      </c>
      <c r="AF1396" s="1759" t="s">
        <v>1611</v>
      </c>
      <c r="AG1396" s="1759" t="s">
        <v>1611</v>
      </c>
      <c r="AH1396" s="1759" t="s">
        <v>1594</v>
      </c>
      <c r="AI1396" s="1759" t="s">
        <v>3303</v>
      </c>
      <c r="AJ1396" s="1759" t="s">
        <v>3302</v>
      </c>
      <c r="AK1396" s="1759">
        <v>777</v>
      </c>
      <c r="AL1396" s="1759" t="s">
        <v>3002</v>
      </c>
      <c r="AM1396" s="1759">
        <v>579</v>
      </c>
      <c r="AN1396" s="1759" t="s">
        <v>5305</v>
      </c>
      <c r="AO1396" s="1764"/>
      <c r="AP1396" s="1759" t="s">
        <v>5382</v>
      </c>
      <c r="AQ1396" s="1759" t="s">
        <v>5383</v>
      </c>
      <c r="AR1396" s="1759" t="s">
        <v>394</v>
      </c>
      <c r="AS1396" s="1759" t="s">
        <v>395</v>
      </c>
      <c r="AT1396" s="1759" t="s">
        <v>327</v>
      </c>
      <c r="AU1396" s="1763"/>
      <c r="AV1396" s="1763"/>
    </row>
    <row r="1397" spans="1:48" ht="37.5" hidden="1">
      <c r="A1397" s="1785" t="str">
        <f t="shared" si="231"/>
        <v>גמל</v>
      </c>
      <c r="B1397" s="1786">
        <f t="shared" si="232"/>
        <v>599</v>
      </c>
      <c r="C1397" s="1787">
        <v>28946</v>
      </c>
      <c r="D1397" s="1786" t="str">
        <f t="shared" si="233"/>
        <v>מגדל השתלמות מסלול אג"ח עד 10% מניות</v>
      </c>
      <c r="E1397" s="1786" t="s">
        <v>3929</v>
      </c>
      <c r="F1397" s="1786" t="s">
        <v>2958</v>
      </c>
      <c r="G1397" s="1786" t="s">
        <v>2959</v>
      </c>
      <c r="H1397" s="1786" t="str">
        <f t="shared" si="234"/>
        <v>פעיל</v>
      </c>
      <c r="I1397" s="1788">
        <f t="shared" si="235"/>
        <v>35431</v>
      </c>
      <c r="J1397" s="1788" t="str">
        <f t="shared" si="236"/>
        <v/>
      </c>
      <c r="K1397" s="1786">
        <v>0</v>
      </c>
      <c r="L1397" s="1786" t="s">
        <v>1594</v>
      </c>
      <c r="M1397" s="1786" t="s">
        <v>1653</v>
      </c>
      <c r="N1397" s="1786" t="s">
        <v>1653</v>
      </c>
      <c r="O1397" s="1786">
        <v>0</v>
      </c>
      <c r="P1397" s="1786"/>
      <c r="Q1397" s="1786">
        <v>0</v>
      </c>
      <c r="R1397" s="1788"/>
      <c r="S1397" s="1786">
        <f t="shared" si="237"/>
        <v>579</v>
      </c>
      <c r="T1397" s="1786" t="str">
        <f t="shared" si="238"/>
        <v>לאומי</v>
      </c>
      <c r="U1397" s="1786" t="str">
        <f t="shared" si="239"/>
        <v>מגדל השתלמות</v>
      </c>
      <c r="V1397" s="1786" t="str">
        <f t="shared" si="240"/>
        <v>510464803</v>
      </c>
      <c r="W1397" s="1789" t="str">
        <f t="shared" si="241"/>
        <v>מגדל מקפת קרנות פנסיה וקופות גמל בע"מ</v>
      </c>
      <c r="AC1397" s="1761" t="s">
        <v>346</v>
      </c>
      <c r="AD1397" s="1761"/>
      <c r="AE1397" s="1762">
        <v>35431</v>
      </c>
      <c r="AF1397" s="1761" t="s">
        <v>3934</v>
      </c>
      <c r="AG1397" s="1761" t="s">
        <v>1653</v>
      </c>
      <c r="AH1397" s="1761" t="s">
        <v>1594</v>
      </c>
      <c r="AI1397" s="1761" t="s">
        <v>3970</v>
      </c>
      <c r="AJ1397" s="1761" t="s">
        <v>3969</v>
      </c>
      <c r="AK1397" s="1761">
        <v>599</v>
      </c>
      <c r="AL1397" s="1761" t="s">
        <v>3002</v>
      </c>
      <c r="AM1397" s="1761">
        <v>579</v>
      </c>
      <c r="AN1397" s="1761" t="s">
        <v>5305</v>
      </c>
      <c r="AO1397" s="1764"/>
      <c r="AP1397" s="1761" t="s">
        <v>5382</v>
      </c>
      <c r="AQ1397" s="1761" t="s">
        <v>5383</v>
      </c>
      <c r="AR1397" s="1761" t="s">
        <v>394</v>
      </c>
      <c r="AS1397" s="1761" t="s">
        <v>395</v>
      </c>
      <c r="AT1397" s="1761" t="s">
        <v>327</v>
      </c>
      <c r="AU1397" s="1763"/>
      <c r="AV1397" s="1763"/>
    </row>
    <row r="1398" spans="1:48" ht="37.5" hidden="1">
      <c r="A1398" s="1785" t="str">
        <f t="shared" si="231"/>
        <v>גמל</v>
      </c>
      <c r="B1398" s="1786">
        <f t="shared" si="232"/>
        <v>7253</v>
      </c>
      <c r="C1398" s="1787">
        <v>28946</v>
      </c>
      <c r="D1398" s="1786" t="str">
        <f t="shared" si="233"/>
        <v>מגדל השתלמות מסלול לבני 50 ומטה</v>
      </c>
      <c r="E1398" s="1786" t="s">
        <v>3929</v>
      </c>
      <c r="F1398" s="1786" t="s">
        <v>2958</v>
      </c>
      <c r="G1398" s="1786" t="s">
        <v>2959</v>
      </c>
      <c r="H1398" s="1786" t="str">
        <f t="shared" si="234"/>
        <v>פעיל</v>
      </c>
      <c r="I1398" s="1788">
        <f t="shared" si="235"/>
        <v>35431</v>
      </c>
      <c r="J1398" s="1788" t="str">
        <f t="shared" si="236"/>
        <v/>
      </c>
      <c r="K1398" s="1786">
        <v>0</v>
      </c>
      <c r="L1398" s="1786" t="s">
        <v>1594</v>
      </c>
      <c r="M1398" s="1786" t="s">
        <v>1653</v>
      </c>
      <c r="N1398" s="1786" t="s">
        <v>1653</v>
      </c>
      <c r="O1398" s="1786">
        <v>0</v>
      </c>
      <c r="P1398" s="1786"/>
      <c r="Q1398" s="1786">
        <v>0</v>
      </c>
      <c r="R1398" s="1788"/>
      <c r="S1398" s="1786">
        <f t="shared" si="237"/>
        <v>579</v>
      </c>
      <c r="T1398" s="1786" t="str">
        <f t="shared" si="238"/>
        <v>לאומי</v>
      </c>
      <c r="U1398" s="1786" t="str">
        <f t="shared" si="239"/>
        <v>מגדל השתלמות</v>
      </c>
      <c r="V1398" s="1786" t="str">
        <f t="shared" si="240"/>
        <v>510464803</v>
      </c>
      <c r="W1398" s="1789" t="str">
        <f t="shared" si="241"/>
        <v>מגדל מקפת קרנות פנסיה וקופות גמל בע"מ</v>
      </c>
      <c r="AC1398" s="1759" t="s">
        <v>346</v>
      </c>
      <c r="AD1398" s="1759"/>
      <c r="AE1398" s="1760">
        <v>35431</v>
      </c>
      <c r="AF1398" s="1759" t="s">
        <v>3956</v>
      </c>
      <c r="AG1398" s="1759" t="s">
        <v>70</v>
      </c>
      <c r="AH1398" s="1759" t="s">
        <v>1594</v>
      </c>
      <c r="AI1398" s="1759" t="s">
        <v>4230</v>
      </c>
      <c r="AJ1398" s="1759" t="s">
        <v>4229</v>
      </c>
      <c r="AK1398" s="1759">
        <v>7253</v>
      </c>
      <c r="AL1398" s="1759" t="s">
        <v>3002</v>
      </c>
      <c r="AM1398" s="1759">
        <v>579</v>
      </c>
      <c r="AN1398" s="1759" t="s">
        <v>5305</v>
      </c>
      <c r="AO1398" s="1764"/>
      <c r="AP1398" s="1759" t="s">
        <v>5382</v>
      </c>
      <c r="AQ1398" s="1759" t="s">
        <v>5383</v>
      </c>
      <c r="AR1398" s="1759" t="s">
        <v>394</v>
      </c>
      <c r="AS1398" s="1759" t="s">
        <v>395</v>
      </c>
      <c r="AT1398" s="1759" t="s">
        <v>327</v>
      </c>
      <c r="AU1398" s="1763"/>
      <c r="AV1398" s="1763"/>
    </row>
    <row r="1399" spans="1:48" ht="37.5" hidden="1">
      <c r="A1399" s="1785" t="str">
        <f t="shared" si="231"/>
        <v>גמל</v>
      </c>
      <c r="B1399" s="1786">
        <f t="shared" si="232"/>
        <v>7254</v>
      </c>
      <c r="C1399" s="1787">
        <v>28946</v>
      </c>
      <c r="D1399" s="1786" t="str">
        <f t="shared" si="233"/>
        <v>מגדל השתלמות מסלול לבני 50 עד 60</v>
      </c>
      <c r="E1399" s="1786" t="s">
        <v>3929</v>
      </c>
      <c r="F1399" s="1786" t="s">
        <v>2958</v>
      </c>
      <c r="G1399" s="1786" t="s">
        <v>2959</v>
      </c>
      <c r="H1399" s="1786" t="str">
        <f t="shared" si="234"/>
        <v>פעיל</v>
      </c>
      <c r="I1399" s="1788">
        <f t="shared" si="235"/>
        <v>35431</v>
      </c>
      <c r="J1399" s="1788" t="str">
        <f t="shared" si="236"/>
        <v/>
      </c>
      <c r="K1399" s="1786">
        <v>0</v>
      </c>
      <c r="L1399" s="1786" t="s">
        <v>1594</v>
      </c>
      <c r="M1399" s="1786" t="s">
        <v>1653</v>
      </c>
      <c r="N1399" s="1786" t="s">
        <v>1653</v>
      </c>
      <c r="O1399" s="1786">
        <v>0</v>
      </c>
      <c r="P1399" s="1786"/>
      <c r="Q1399" s="1786">
        <v>0</v>
      </c>
      <c r="R1399" s="1788"/>
      <c r="S1399" s="1786">
        <f t="shared" si="237"/>
        <v>579</v>
      </c>
      <c r="T1399" s="1786" t="str">
        <f t="shared" si="238"/>
        <v>לאומי</v>
      </c>
      <c r="U1399" s="1786" t="str">
        <f t="shared" si="239"/>
        <v>מגדל השתלמות</v>
      </c>
      <c r="V1399" s="1786" t="str">
        <f t="shared" si="240"/>
        <v>510464803</v>
      </c>
      <c r="W1399" s="1789" t="str">
        <f t="shared" si="241"/>
        <v>מגדל מקפת קרנות פנסיה וקופות גמל בע"מ</v>
      </c>
      <c r="AC1399" s="1761" t="s">
        <v>346</v>
      </c>
      <c r="AD1399" s="1761"/>
      <c r="AE1399" s="1762">
        <v>35431</v>
      </c>
      <c r="AF1399" s="1761" t="s">
        <v>3956</v>
      </c>
      <c r="AG1399" s="1761" t="s">
        <v>70</v>
      </c>
      <c r="AH1399" s="1761" t="s">
        <v>1594</v>
      </c>
      <c r="AI1399" s="1761" t="s">
        <v>4232</v>
      </c>
      <c r="AJ1399" s="1761" t="s">
        <v>4231</v>
      </c>
      <c r="AK1399" s="1761">
        <v>7254</v>
      </c>
      <c r="AL1399" s="1761" t="s">
        <v>3002</v>
      </c>
      <c r="AM1399" s="1761">
        <v>579</v>
      </c>
      <c r="AN1399" s="1761" t="s">
        <v>5305</v>
      </c>
      <c r="AO1399" s="1764"/>
      <c r="AP1399" s="1761" t="s">
        <v>5382</v>
      </c>
      <c r="AQ1399" s="1761" t="s">
        <v>5383</v>
      </c>
      <c r="AR1399" s="1761" t="s">
        <v>394</v>
      </c>
      <c r="AS1399" s="1761" t="s">
        <v>395</v>
      </c>
      <c r="AT1399" s="1761" t="s">
        <v>327</v>
      </c>
      <c r="AU1399" s="1763"/>
      <c r="AV1399" s="1763"/>
    </row>
    <row r="1400" spans="1:48" ht="37.5" hidden="1">
      <c r="A1400" s="1785" t="str">
        <f t="shared" si="231"/>
        <v>גמל</v>
      </c>
      <c r="B1400" s="1786">
        <f t="shared" si="232"/>
        <v>7256</v>
      </c>
      <c r="C1400" s="1787">
        <v>28946</v>
      </c>
      <c r="D1400" s="1786" t="str">
        <f t="shared" si="233"/>
        <v xml:space="preserve">מגדל השתלמותמסלול פאסיבי כללי </v>
      </c>
      <c r="E1400" s="1786" t="s">
        <v>3929</v>
      </c>
      <c r="F1400" s="1786" t="s">
        <v>2958</v>
      </c>
      <c r="G1400" s="1786" t="s">
        <v>2959</v>
      </c>
      <c r="H1400" s="1786" t="str">
        <f t="shared" si="234"/>
        <v>פעיל</v>
      </c>
      <c r="I1400" s="1788">
        <f t="shared" si="235"/>
        <v>35431</v>
      </c>
      <c r="J1400" s="1788" t="str">
        <f t="shared" si="236"/>
        <v/>
      </c>
      <c r="K1400" s="1786">
        <v>0</v>
      </c>
      <c r="L1400" s="1786" t="s">
        <v>1594</v>
      </c>
      <c r="M1400" s="1786" t="s">
        <v>1653</v>
      </c>
      <c r="N1400" s="1786" t="s">
        <v>1653</v>
      </c>
      <c r="O1400" s="1786">
        <v>0</v>
      </c>
      <c r="P1400" s="1786"/>
      <c r="Q1400" s="1786">
        <v>0</v>
      </c>
      <c r="R1400" s="1788"/>
      <c r="S1400" s="1786">
        <f t="shared" si="237"/>
        <v>579</v>
      </c>
      <c r="T1400" s="1786" t="str">
        <f t="shared" si="238"/>
        <v>לאומי</v>
      </c>
      <c r="U1400" s="1786" t="str">
        <f t="shared" si="239"/>
        <v>מגדל השתלמות</v>
      </c>
      <c r="V1400" s="1786" t="str">
        <f t="shared" si="240"/>
        <v>510464803</v>
      </c>
      <c r="W1400" s="1789" t="str">
        <f t="shared" si="241"/>
        <v>מגדל מקפת קרנות פנסיה וקופות גמל בע"מ</v>
      </c>
      <c r="AC1400" s="1759" t="s">
        <v>346</v>
      </c>
      <c r="AD1400" s="1759"/>
      <c r="AE1400" s="1760">
        <v>35431</v>
      </c>
      <c r="AF1400" s="1759" t="s">
        <v>3959</v>
      </c>
      <c r="AG1400" s="1759" t="s">
        <v>1583</v>
      </c>
      <c r="AH1400" s="1759" t="s">
        <v>1583</v>
      </c>
      <c r="AI1400" s="1759" t="s">
        <v>4234</v>
      </c>
      <c r="AJ1400" s="1759" t="s">
        <v>4233</v>
      </c>
      <c r="AK1400" s="1759">
        <v>7256</v>
      </c>
      <c r="AL1400" s="1759" t="s">
        <v>3002</v>
      </c>
      <c r="AM1400" s="1759">
        <v>579</v>
      </c>
      <c r="AN1400" s="1759" t="s">
        <v>5305</v>
      </c>
      <c r="AO1400" s="1764"/>
      <c r="AP1400" s="1759" t="s">
        <v>5382</v>
      </c>
      <c r="AQ1400" s="1759" t="s">
        <v>5383</v>
      </c>
      <c r="AR1400" s="1759" t="s">
        <v>394</v>
      </c>
      <c r="AS1400" s="1759" t="s">
        <v>395</v>
      </c>
      <c r="AT1400" s="1759" t="s">
        <v>327</v>
      </c>
      <c r="AU1400" s="1763"/>
      <c r="AV1400" s="1763"/>
    </row>
    <row r="1401" spans="1:48" ht="37.5" hidden="1">
      <c r="A1401" s="1785" t="str">
        <f t="shared" si="231"/>
        <v>גמל</v>
      </c>
      <c r="B1401" s="1786">
        <f t="shared" si="232"/>
        <v>470</v>
      </c>
      <c r="C1401" s="1787">
        <v>28946</v>
      </c>
      <c r="D1401" s="1786" t="str">
        <f t="shared" si="233"/>
        <v>מגדל השתלמות לבני 60 ומעלה</v>
      </c>
      <c r="E1401" s="1786" t="s">
        <v>3929</v>
      </c>
      <c r="F1401" s="1786" t="s">
        <v>2958</v>
      </c>
      <c r="G1401" s="1786" t="s">
        <v>2959</v>
      </c>
      <c r="H1401" s="1786" t="str">
        <f t="shared" si="234"/>
        <v>פעיל</v>
      </c>
      <c r="I1401" s="1788">
        <f t="shared" si="235"/>
        <v>35431</v>
      </c>
      <c r="J1401" s="1788" t="str">
        <f t="shared" si="236"/>
        <v/>
      </c>
      <c r="K1401" s="1786">
        <v>0</v>
      </c>
      <c r="L1401" s="1786" t="s">
        <v>1594</v>
      </c>
      <c r="M1401" s="1786" t="s">
        <v>1653</v>
      </c>
      <c r="N1401" s="1786" t="s">
        <v>1653</v>
      </c>
      <c r="O1401" s="1786">
        <v>0</v>
      </c>
      <c r="P1401" s="1786"/>
      <c r="Q1401" s="1786">
        <v>0</v>
      </c>
      <c r="R1401" s="1788"/>
      <c r="S1401" s="1786">
        <f t="shared" si="237"/>
        <v>579</v>
      </c>
      <c r="T1401" s="1786" t="str">
        <f t="shared" si="238"/>
        <v>לאומי</v>
      </c>
      <c r="U1401" s="1786" t="str">
        <f t="shared" si="239"/>
        <v>מגדל השתלמות</v>
      </c>
      <c r="V1401" s="1786" t="str">
        <f t="shared" si="240"/>
        <v>510464803</v>
      </c>
      <c r="W1401" s="1789" t="str">
        <f t="shared" si="241"/>
        <v>מגדל מקפת קרנות פנסיה וקופות גמל בע"מ</v>
      </c>
      <c r="AC1401" s="1761" t="s">
        <v>346</v>
      </c>
      <c r="AD1401" s="1761"/>
      <c r="AE1401" s="1762">
        <v>35431</v>
      </c>
      <c r="AF1401" s="1761" t="s">
        <v>3956</v>
      </c>
      <c r="AG1401" s="1761" t="s">
        <v>70</v>
      </c>
      <c r="AH1401" s="1761" t="s">
        <v>1594</v>
      </c>
      <c r="AI1401" s="1761" t="s">
        <v>3955</v>
      </c>
      <c r="AJ1401" s="1761" t="s">
        <v>3955</v>
      </c>
      <c r="AK1401" s="1761">
        <v>470</v>
      </c>
      <c r="AL1401" s="1761" t="s">
        <v>3002</v>
      </c>
      <c r="AM1401" s="1761">
        <v>579</v>
      </c>
      <c r="AN1401" s="1761" t="s">
        <v>5305</v>
      </c>
      <c r="AO1401" s="1764"/>
      <c r="AP1401" s="1761" t="s">
        <v>5382</v>
      </c>
      <c r="AQ1401" s="1761" t="s">
        <v>5383</v>
      </c>
      <c r="AR1401" s="1761" t="s">
        <v>394</v>
      </c>
      <c r="AS1401" s="1761" t="s">
        <v>395</v>
      </c>
      <c r="AT1401" s="1761" t="s">
        <v>327</v>
      </c>
      <c r="AU1401" s="1763"/>
      <c r="AV1401" s="1763"/>
    </row>
    <row r="1402" spans="1:48" ht="37.5" hidden="1">
      <c r="A1402" s="1785" t="str">
        <f t="shared" si="231"/>
        <v>גמל</v>
      </c>
      <c r="B1402" s="1786">
        <f t="shared" si="232"/>
        <v>2048</v>
      </c>
      <c r="C1402" s="1787">
        <v>28946</v>
      </c>
      <c r="D1402" s="1786" t="str">
        <f t="shared" si="233"/>
        <v>מגדל השתלמות מסלול הלכה</v>
      </c>
      <c r="E1402" s="1786" t="s">
        <v>3929</v>
      </c>
      <c r="F1402" s="1786" t="s">
        <v>2958</v>
      </c>
      <c r="G1402" s="1786" t="s">
        <v>2959</v>
      </c>
      <c r="H1402" s="1786" t="str">
        <f t="shared" si="234"/>
        <v>פעיל</v>
      </c>
      <c r="I1402" s="1788">
        <f t="shared" si="235"/>
        <v>35431</v>
      </c>
      <c r="J1402" s="1788" t="str">
        <f t="shared" si="236"/>
        <v/>
      </c>
      <c r="K1402" s="1786">
        <v>0</v>
      </c>
      <c r="L1402" s="1786" t="s">
        <v>1594</v>
      </c>
      <c r="M1402" s="1786" t="s">
        <v>1653</v>
      </c>
      <c r="N1402" s="1786" t="s">
        <v>1653</v>
      </c>
      <c r="O1402" s="1786">
        <v>0</v>
      </c>
      <c r="P1402" s="1786"/>
      <c r="Q1402" s="1786">
        <v>0</v>
      </c>
      <c r="R1402" s="1788"/>
      <c r="S1402" s="1786">
        <f t="shared" si="237"/>
        <v>579</v>
      </c>
      <c r="T1402" s="1786" t="str">
        <f t="shared" si="238"/>
        <v>לאומי</v>
      </c>
      <c r="U1402" s="1786" t="str">
        <f t="shared" si="239"/>
        <v>מגדל השתלמות</v>
      </c>
      <c r="V1402" s="1786" t="str">
        <f t="shared" si="240"/>
        <v>510464803</v>
      </c>
      <c r="W1402" s="1789" t="str">
        <f t="shared" si="241"/>
        <v>מגדל מקפת קרנות פנסיה וקופות גמל בע"מ</v>
      </c>
      <c r="AC1402" s="1759" t="s">
        <v>346</v>
      </c>
      <c r="AD1402" s="1759"/>
      <c r="AE1402" s="1760">
        <v>35431</v>
      </c>
      <c r="AF1402" s="1759" t="s">
        <v>4603</v>
      </c>
      <c r="AG1402" s="1759" t="s">
        <v>2029</v>
      </c>
      <c r="AH1402" s="1759" t="s">
        <v>2028</v>
      </c>
      <c r="AI1402" s="1759" t="s">
        <v>4147</v>
      </c>
      <c r="AJ1402" s="1759" t="s">
        <v>4146</v>
      </c>
      <c r="AK1402" s="1759">
        <v>2048</v>
      </c>
      <c r="AL1402" s="1759" t="s">
        <v>3002</v>
      </c>
      <c r="AM1402" s="1759">
        <v>579</v>
      </c>
      <c r="AN1402" s="1759" t="s">
        <v>5305</v>
      </c>
      <c r="AO1402" s="1764"/>
      <c r="AP1402" s="1759" t="s">
        <v>5382</v>
      </c>
      <c r="AQ1402" s="1759" t="s">
        <v>5383</v>
      </c>
      <c r="AR1402" s="1759" t="s">
        <v>394</v>
      </c>
      <c r="AS1402" s="1759" t="s">
        <v>395</v>
      </c>
      <c r="AT1402" s="1759" t="s">
        <v>327</v>
      </c>
      <c r="AU1402" s="1763"/>
      <c r="AV1402" s="1763"/>
    </row>
    <row r="1403" spans="1:48" ht="37.5" hidden="1">
      <c r="A1403" s="1785" t="str">
        <f t="shared" si="231"/>
        <v>גמל</v>
      </c>
      <c r="B1403" s="1786">
        <f t="shared" si="232"/>
        <v>1157</v>
      </c>
      <c r="C1403" s="1787">
        <v>28946</v>
      </c>
      <c r="D1403" s="1786" t="str">
        <f t="shared" si="233"/>
        <v>מגדל השתלמות מסלול ביג כללי לפחות 30% מניות</v>
      </c>
      <c r="E1403" s="1786" t="s">
        <v>3929</v>
      </c>
      <c r="F1403" s="1786" t="s">
        <v>2958</v>
      </c>
      <c r="G1403" s="1786" t="s">
        <v>2959</v>
      </c>
      <c r="H1403" s="1786" t="str">
        <f t="shared" si="234"/>
        <v>לא פעיל</v>
      </c>
      <c r="I1403" s="1788">
        <f t="shared" si="235"/>
        <v>35431</v>
      </c>
      <c r="J1403" s="1788">
        <f t="shared" si="236"/>
        <v>43216.5140972222</v>
      </c>
      <c r="K1403" s="1786">
        <v>0</v>
      </c>
      <c r="L1403" s="1786" t="s">
        <v>1594</v>
      </c>
      <c r="M1403" s="1786" t="s">
        <v>1653</v>
      </c>
      <c r="N1403" s="1786" t="s">
        <v>1653</v>
      </c>
      <c r="O1403" s="1786">
        <v>0</v>
      </c>
      <c r="P1403" s="1786"/>
      <c r="Q1403" s="1786">
        <v>0</v>
      </c>
      <c r="R1403" s="1788"/>
      <c r="S1403" s="1786">
        <f t="shared" si="237"/>
        <v>579</v>
      </c>
      <c r="T1403" s="1786" t="str">
        <f t="shared" si="238"/>
        <v>לאומי</v>
      </c>
      <c r="U1403" s="1786" t="str">
        <f t="shared" si="239"/>
        <v>מגדל השתלמות</v>
      </c>
      <c r="V1403" s="1786" t="str">
        <f t="shared" si="240"/>
        <v>510464803</v>
      </c>
      <c r="W1403" s="1789" t="str">
        <f t="shared" si="241"/>
        <v>מגדל מקפת קרנות פנסיה וקופות גמל בע"מ</v>
      </c>
      <c r="AC1403" s="1761" t="s">
        <v>1586</v>
      </c>
      <c r="AD1403" s="1762">
        <v>43216.5140972222</v>
      </c>
      <c r="AE1403" s="1762">
        <v>35431</v>
      </c>
      <c r="AF1403" s="1761" t="s">
        <v>1583</v>
      </c>
      <c r="AG1403" s="1761" t="s">
        <v>1583</v>
      </c>
      <c r="AH1403" s="1761" t="s">
        <v>1583</v>
      </c>
      <c r="AI1403" s="1761" t="s">
        <v>3538</v>
      </c>
      <c r="AJ1403" s="1761" t="s">
        <v>3537</v>
      </c>
      <c r="AK1403" s="1761">
        <v>1157</v>
      </c>
      <c r="AL1403" s="1761" t="s">
        <v>3002</v>
      </c>
      <c r="AM1403" s="1761">
        <v>579</v>
      </c>
      <c r="AN1403" s="1761" t="s">
        <v>5305</v>
      </c>
      <c r="AO1403" s="1764"/>
      <c r="AP1403" s="1761" t="s">
        <v>5382</v>
      </c>
      <c r="AQ1403" s="1761" t="s">
        <v>5383</v>
      </c>
      <c r="AR1403" s="1761" t="s">
        <v>394</v>
      </c>
      <c r="AS1403" s="1761" t="s">
        <v>395</v>
      </c>
      <c r="AT1403" s="1761" t="s">
        <v>327</v>
      </c>
      <c r="AU1403" s="1763"/>
      <c r="AV1403" s="1763"/>
    </row>
    <row r="1404" spans="1:48" ht="37.5" hidden="1">
      <c r="A1404" s="1785" t="str">
        <f t="shared" si="231"/>
        <v>גמל</v>
      </c>
      <c r="B1404" s="1786">
        <f t="shared" si="232"/>
        <v>864</v>
      </c>
      <c r="C1404" s="1787">
        <v>28946</v>
      </c>
      <c r="D1404" s="1786" t="str">
        <f t="shared" si="233"/>
        <v xml:space="preserve">מגדל השתלמות מסלול שקלי טווח קצר </v>
      </c>
      <c r="E1404" s="1786" t="s">
        <v>3929</v>
      </c>
      <c r="F1404" s="1786" t="s">
        <v>2958</v>
      </c>
      <c r="G1404" s="1786" t="s">
        <v>2959</v>
      </c>
      <c r="H1404" s="1786" t="str">
        <f t="shared" si="234"/>
        <v>פעיל</v>
      </c>
      <c r="I1404" s="1788">
        <f t="shared" si="235"/>
        <v>35431</v>
      </c>
      <c r="J1404" s="1788" t="str">
        <f t="shared" si="236"/>
        <v/>
      </c>
      <c r="K1404" s="1786">
        <v>0</v>
      </c>
      <c r="L1404" s="1786" t="s">
        <v>1594</v>
      </c>
      <c r="M1404" s="1786" t="s">
        <v>1653</v>
      </c>
      <c r="N1404" s="1786" t="s">
        <v>1653</v>
      </c>
      <c r="O1404" s="1786">
        <v>0</v>
      </c>
      <c r="P1404" s="1786"/>
      <c r="Q1404" s="1786">
        <v>0</v>
      </c>
      <c r="R1404" s="1788"/>
      <c r="S1404" s="1786">
        <f t="shared" si="237"/>
        <v>579</v>
      </c>
      <c r="T1404" s="1786" t="str">
        <f t="shared" si="238"/>
        <v>לאומי</v>
      </c>
      <c r="U1404" s="1786" t="str">
        <f t="shared" si="239"/>
        <v>מגדל השתלמות</v>
      </c>
      <c r="V1404" s="1786" t="str">
        <f t="shared" si="240"/>
        <v>510464803</v>
      </c>
      <c r="W1404" s="1789" t="str">
        <f t="shared" si="241"/>
        <v>מגדל מקפת קרנות פנסיה וקופות גמל בע"מ</v>
      </c>
      <c r="AC1404" s="1759" t="s">
        <v>346</v>
      </c>
      <c r="AD1404" s="1759"/>
      <c r="AE1404" s="1760">
        <v>35431</v>
      </c>
      <c r="AF1404" s="1759" t="s">
        <v>1673</v>
      </c>
      <c r="AG1404" s="1759" t="s">
        <v>1614</v>
      </c>
      <c r="AH1404" s="1759" t="s">
        <v>1594</v>
      </c>
      <c r="AI1404" s="1759" t="s">
        <v>4006</v>
      </c>
      <c r="AJ1404" s="1759" t="s">
        <v>4005</v>
      </c>
      <c r="AK1404" s="1759">
        <v>864</v>
      </c>
      <c r="AL1404" s="1759" t="s">
        <v>3002</v>
      </c>
      <c r="AM1404" s="1759">
        <v>579</v>
      </c>
      <c r="AN1404" s="1759" t="s">
        <v>5305</v>
      </c>
      <c r="AO1404" s="1764"/>
      <c r="AP1404" s="1759" t="s">
        <v>5382</v>
      </c>
      <c r="AQ1404" s="1759" t="s">
        <v>5383</v>
      </c>
      <c r="AR1404" s="1759" t="s">
        <v>394</v>
      </c>
      <c r="AS1404" s="1759" t="s">
        <v>395</v>
      </c>
      <c r="AT1404" s="1759" t="s">
        <v>327</v>
      </c>
      <c r="AU1404" s="1763"/>
      <c r="AV1404" s="1763"/>
    </row>
    <row r="1405" spans="1:48" ht="37.5" hidden="1">
      <c r="A1405" s="1785" t="str">
        <f t="shared" si="231"/>
        <v>גמל</v>
      </c>
      <c r="B1405" s="1786">
        <f t="shared" si="232"/>
        <v>865</v>
      </c>
      <c r="C1405" s="1787">
        <v>28946</v>
      </c>
      <c r="D1405" s="1786" t="str">
        <f t="shared" si="233"/>
        <v>מגדל השתלמות מסלול אג"ח ממשלתי ישראלי</v>
      </c>
      <c r="E1405" s="1786" t="s">
        <v>3929</v>
      </c>
      <c r="F1405" s="1786" t="s">
        <v>2958</v>
      </c>
      <c r="G1405" s="1786" t="s">
        <v>2959</v>
      </c>
      <c r="H1405" s="1786" t="str">
        <f t="shared" si="234"/>
        <v>פעיל</v>
      </c>
      <c r="I1405" s="1788">
        <f t="shared" si="235"/>
        <v>35431</v>
      </c>
      <c r="J1405" s="1788" t="str">
        <f t="shared" si="236"/>
        <v/>
      </c>
      <c r="K1405" s="1786">
        <v>0</v>
      </c>
      <c r="L1405" s="1786" t="s">
        <v>1594</v>
      </c>
      <c r="M1405" s="1786" t="s">
        <v>1653</v>
      </c>
      <c r="N1405" s="1786" t="s">
        <v>1653</v>
      </c>
      <c r="O1405" s="1786">
        <v>0</v>
      </c>
      <c r="P1405" s="1786"/>
      <c r="Q1405" s="1786">
        <v>0</v>
      </c>
      <c r="R1405" s="1788"/>
      <c r="S1405" s="1786">
        <f t="shared" si="237"/>
        <v>579</v>
      </c>
      <c r="T1405" s="1786" t="str">
        <f t="shared" si="238"/>
        <v>לאומי</v>
      </c>
      <c r="U1405" s="1786" t="str">
        <f t="shared" si="239"/>
        <v>מגדל השתלמות</v>
      </c>
      <c r="V1405" s="1786" t="str">
        <f t="shared" si="240"/>
        <v>510464803</v>
      </c>
      <c r="W1405" s="1789" t="str">
        <f t="shared" si="241"/>
        <v>מגדל מקפת קרנות פנסיה וקופות גמל בע"מ</v>
      </c>
      <c r="AC1405" s="1761" t="s">
        <v>346</v>
      </c>
      <c r="AD1405" s="1759"/>
      <c r="AE1405" s="1762">
        <v>35431</v>
      </c>
      <c r="AF1405" s="1761" t="s">
        <v>2009</v>
      </c>
      <c r="AG1405" s="1761" t="s">
        <v>1653</v>
      </c>
      <c r="AH1405" s="1761" t="s">
        <v>1594</v>
      </c>
      <c r="AI1405" s="1761" t="s">
        <v>4008</v>
      </c>
      <c r="AJ1405" s="1761" t="s">
        <v>4007</v>
      </c>
      <c r="AK1405" s="1761">
        <v>865</v>
      </c>
      <c r="AL1405" s="1761" t="s">
        <v>3002</v>
      </c>
      <c r="AM1405" s="1761">
        <v>579</v>
      </c>
      <c r="AN1405" s="1761" t="s">
        <v>5305</v>
      </c>
      <c r="AO1405" s="1764"/>
      <c r="AP1405" s="1761" t="s">
        <v>5382</v>
      </c>
      <c r="AQ1405" s="1761" t="s">
        <v>5383</v>
      </c>
      <c r="AR1405" s="1761" t="s">
        <v>394</v>
      </c>
      <c r="AS1405" s="1761" t="s">
        <v>395</v>
      </c>
      <c r="AT1405" s="1761" t="s">
        <v>327</v>
      </c>
      <c r="AU1405" s="1763"/>
      <c r="AV1405" s="1763"/>
    </row>
    <row r="1406" spans="1:48" ht="37.5" hidden="1">
      <c r="A1406" s="1785" t="str">
        <f t="shared" si="231"/>
        <v>גמל</v>
      </c>
      <c r="B1406" s="1786">
        <f t="shared" si="232"/>
        <v>866</v>
      </c>
      <c r="C1406" s="1787">
        <v>28946</v>
      </c>
      <c r="D1406" s="1786" t="str">
        <f t="shared" si="233"/>
        <v>מגדל השתלמות מסלול צמוד מדד</v>
      </c>
      <c r="E1406" s="1786" t="s">
        <v>3929</v>
      </c>
      <c r="F1406" s="1786" t="s">
        <v>2958</v>
      </c>
      <c r="G1406" s="1786" t="s">
        <v>2959</v>
      </c>
      <c r="H1406" s="1786" t="str">
        <f t="shared" si="234"/>
        <v>לא פעיל</v>
      </c>
      <c r="I1406" s="1788">
        <f t="shared" si="235"/>
        <v>35431</v>
      </c>
      <c r="J1406" s="1788">
        <f t="shared" si="236"/>
        <v>42386.6016087963</v>
      </c>
      <c r="K1406" s="1786">
        <v>0</v>
      </c>
      <c r="L1406" s="1786" t="s">
        <v>1594</v>
      </c>
      <c r="M1406" s="1786" t="s">
        <v>1653</v>
      </c>
      <c r="N1406" s="1786" t="s">
        <v>1653</v>
      </c>
      <c r="O1406" s="1786">
        <v>0</v>
      </c>
      <c r="P1406" s="1786"/>
      <c r="Q1406" s="1786">
        <v>0</v>
      </c>
      <c r="R1406" s="1788"/>
      <c r="S1406" s="1786">
        <f t="shared" si="237"/>
        <v>579</v>
      </c>
      <c r="T1406" s="1786" t="str">
        <f t="shared" si="238"/>
        <v>לאומי</v>
      </c>
      <c r="U1406" s="1786" t="str">
        <f t="shared" si="239"/>
        <v>מגדל השתלמות</v>
      </c>
      <c r="V1406" s="1786" t="str">
        <f t="shared" si="240"/>
        <v>510464803</v>
      </c>
      <c r="W1406" s="1789" t="str">
        <f t="shared" si="241"/>
        <v>מגדל מקפת קרנות פנסיה וקופות גמל בע"מ</v>
      </c>
      <c r="AC1406" s="1759" t="s">
        <v>1586</v>
      </c>
      <c r="AD1406" s="1760">
        <v>42386.6016087963</v>
      </c>
      <c r="AE1406" s="1760">
        <v>35431</v>
      </c>
      <c r="AF1406" s="1759" t="s">
        <v>1094</v>
      </c>
      <c r="AG1406" s="1759" t="s">
        <v>1094</v>
      </c>
      <c r="AH1406" s="1759" t="s">
        <v>1594</v>
      </c>
      <c r="AI1406" s="1759" t="s">
        <v>3361</v>
      </c>
      <c r="AJ1406" s="1759" t="s">
        <v>3360</v>
      </c>
      <c r="AK1406" s="1759">
        <v>866</v>
      </c>
      <c r="AL1406" s="1759" t="s">
        <v>3002</v>
      </c>
      <c r="AM1406" s="1759">
        <v>579</v>
      </c>
      <c r="AN1406" s="1759" t="s">
        <v>5305</v>
      </c>
      <c r="AO1406" s="1764"/>
      <c r="AP1406" s="1759" t="s">
        <v>5382</v>
      </c>
      <c r="AQ1406" s="1759" t="s">
        <v>5383</v>
      </c>
      <c r="AR1406" s="1759" t="s">
        <v>394</v>
      </c>
      <c r="AS1406" s="1759" t="s">
        <v>395</v>
      </c>
      <c r="AT1406" s="1759" t="s">
        <v>327</v>
      </c>
      <c r="AU1406" s="1763"/>
      <c r="AV1406" s="1763"/>
    </row>
    <row r="1407" spans="1:48" ht="37.5" hidden="1">
      <c r="A1407" s="1785" t="str">
        <f t="shared" si="231"/>
        <v>גמל</v>
      </c>
      <c r="B1407" s="1786">
        <f t="shared" si="232"/>
        <v>868</v>
      </c>
      <c r="C1407" s="1787">
        <v>28946</v>
      </c>
      <c r="D1407" s="1786" t="str">
        <f t="shared" si="233"/>
        <v>מגדל השתלמות מסלול חו"ל</v>
      </c>
      <c r="E1407" s="1786" t="s">
        <v>3929</v>
      </c>
      <c r="F1407" s="1786" t="s">
        <v>2958</v>
      </c>
      <c r="G1407" s="1786" t="s">
        <v>2959</v>
      </c>
      <c r="H1407" s="1786" t="str">
        <f t="shared" si="234"/>
        <v>פעיל</v>
      </c>
      <c r="I1407" s="1788">
        <f t="shared" si="235"/>
        <v>35431</v>
      </c>
      <c r="J1407" s="1788" t="str">
        <f t="shared" si="236"/>
        <v/>
      </c>
      <c r="K1407" s="1786">
        <v>0</v>
      </c>
      <c r="L1407" s="1786" t="s">
        <v>1594</v>
      </c>
      <c r="M1407" s="1786" t="s">
        <v>1653</v>
      </c>
      <c r="N1407" s="1786" t="s">
        <v>1653</v>
      </c>
      <c r="O1407" s="1786">
        <v>0</v>
      </c>
      <c r="P1407" s="1786"/>
      <c r="Q1407" s="1786">
        <v>0</v>
      </c>
      <c r="R1407" s="1788"/>
      <c r="S1407" s="1786">
        <f t="shared" si="237"/>
        <v>579</v>
      </c>
      <c r="T1407" s="1786" t="str">
        <f t="shared" si="238"/>
        <v>לאומי</v>
      </c>
      <c r="U1407" s="1786" t="str">
        <f t="shared" si="239"/>
        <v>מגדל השתלמות</v>
      </c>
      <c r="V1407" s="1786" t="str">
        <f t="shared" si="240"/>
        <v>510464803</v>
      </c>
      <c r="W1407" s="1789" t="str">
        <f t="shared" si="241"/>
        <v>מגדל מקפת קרנות פנסיה וקופות גמל בע"מ</v>
      </c>
      <c r="AC1407" s="1761" t="s">
        <v>346</v>
      </c>
      <c r="AD1407" s="1761"/>
      <c r="AE1407" s="1762">
        <v>35431</v>
      </c>
      <c r="AF1407" s="1761" t="s">
        <v>1948</v>
      </c>
      <c r="AG1407" s="1761" t="s">
        <v>1947</v>
      </c>
      <c r="AH1407" s="1761" t="s">
        <v>1594</v>
      </c>
      <c r="AI1407" s="1761" t="s">
        <v>3363</v>
      </c>
      <c r="AJ1407" s="1761" t="s">
        <v>3362</v>
      </c>
      <c r="AK1407" s="1761">
        <v>868</v>
      </c>
      <c r="AL1407" s="1761" t="s">
        <v>3002</v>
      </c>
      <c r="AM1407" s="1761">
        <v>579</v>
      </c>
      <c r="AN1407" s="1761" t="s">
        <v>5305</v>
      </c>
      <c r="AO1407" s="1764"/>
      <c r="AP1407" s="1761" t="s">
        <v>5382</v>
      </c>
      <c r="AQ1407" s="1761" t="s">
        <v>5383</v>
      </c>
      <c r="AR1407" s="1761" t="s">
        <v>394</v>
      </c>
      <c r="AS1407" s="1761" t="s">
        <v>395</v>
      </c>
      <c r="AT1407" s="1761" t="s">
        <v>327</v>
      </c>
      <c r="AU1407" s="1763"/>
      <c r="AV1407" s="1763"/>
    </row>
    <row r="1408" spans="1:48" ht="37.5" hidden="1">
      <c r="A1408" s="1785" t="str">
        <f t="shared" si="231"/>
        <v>גמל</v>
      </c>
      <c r="B1408" s="1786">
        <f t="shared" si="232"/>
        <v>869</v>
      </c>
      <c r="C1408" s="1787">
        <v>28946</v>
      </c>
      <c r="D1408" s="1786" t="str">
        <f t="shared" si="233"/>
        <v>מגדל השתלמות מסלול מניות</v>
      </c>
      <c r="E1408" s="1786" t="s">
        <v>3929</v>
      </c>
      <c r="F1408" s="1786" t="s">
        <v>2958</v>
      </c>
      <c r="G1408" s="1786" t="s">
        <v>2959</v>
      </c>
      <c r="H1408" s="1786" t="str">
        <f t="shared" si="234"/>
        <v>פעיל</v>
      </c>
      <c r="I1408" s="1788">
        <f t="shared" si="235"/>
        <v>35431</v>
      </c>
      <c r="J1408" s="1788" t="str">
        <f t="shared" si="236"/>
        <v/>
      </c>
      <c r="K1408" s="1786">
        <v>0</v>
      </c>
      <c r="L1408" s="1786" t="s">
        <v>1594</v>
      </c>
      <c r="M1408" s="1786" t="s">
        <v>1653</v>
      </c>
      <c r="N1408" s="1786" t="s">
        <v>1653</v>
      </c>
      <c r="O1408" s="1786">
        <v>0</v>
      </c>
      <c r="P1408" s="1786"/>
      <c r="Q1408" s="1786">
        <v>0</v>
      </c>
      <c r="R1408" s="1788"/>
      <c r="S1408" s="1786">
        <f t="shared" si="237"/>
        <v>579</v>
      </c>
      <c r="T1408" s="1786" t="str">
        <f t="shared" si="238"/>
        <v>לאומי</v>
      </c>
      <c r="U1408" s="1786" t="str">
        <f t="shared" si="239"/>
        <v>מגדל השתלמות</v>
      </c>
      <c r="V1408" s="1786" t="str">
        <f t="shared" si="240"/>
        <v>510464803</v>
      </c>
      <c r="W1408" s="1789" t="str">
        <f t="shared" si="241"/>
        <v>מגדל מקפת קרנות פנסיה וקופות גמל בע"מ</v>
      </c>
      <c r="AC1408" s="1759" t="s">
        <v>346</v>
      </c>
      <c r="AD1408" s="1759"/>
      <c r="AE1408" s="1760">
        <v>35431</v>
      </c>
      <c r="AF1408" s="1759" t="s">
        <v>1595</v>
      </c>
      <c r="AG1408" s="1759" t="s">
        <v>75</v>
      </c>
      <c r="AH1408" s="1759" t="s">
        <v>1594</v>
      </c>
      <c r="AI1408" s="1759" t="s">
        <v>4010</v>
      </c>
      <c r="AJ1408" s="1759" t="s">
        <v>4009</v>
      </c>
      <c r="AK1408" s="1759">
        <v>869</v>
      </c>
      <c r="AL1408" s="1759" t="s">
        <v>3002</v>
      </c>
      <c r="AM1408" s="1759">
        <v>579</v>
      </c>
      <c r="AN1408" s="1759" t="s">
        <v>5305</v>
      </c>
      <c r="AO1408" s="1764"/>
      <c r="AP1408" s="1759" t="s">
        <v>5382</v>
      </c>
      <c r="AQ1408" s="1759" t="s">
        <v>5383</v>
      </c>
      <c r="AR1408" s="1759" t="s">
        <v>394</v>
      </c>
      <c r="AS1408" s="1759" t="s">
        <v>395</v>
      </c>
      <c r="AT1408" s="1759" t="s">
        <v>327</v>
      </c>
      <c r="AU1408" s="1763"/>
      <c r="AV1408" s="1763"/>
    </row>
    <row r="1409" spans="1:48" ht="37.5" hidden="1">
      <c r="A1409" s="1785" t="str">
        <f t="shared" si="231"/>
        <v>גמל</v>
      </c>
      <c r="B1409" s="1786">
        <f t="shared" si="232"/>
        <v>579</v>
      </c>
      <c r="C1409" s="1787">
        <v>28946</v>
      </c>
      <c r="D1409" s="1786" t="str">
        <f t="shared" si="233"/>
        <v>מגדל השתלמות מסלול כללי</v>
      </c>
      <c r="E1409" s="1786" t="s">
        <v>3929</v>
      </c>
      <c r="F1409" s="1786" t="s">
        <v>2958</v>
      </c>
      <c r="G1409" s="1786" t="s">
        <v>2959</v>
      </c>
      <c r="H1409" s="1786" t="str">
        <f t="shared" si="234"/>
        <v>פעיל</v>
      </c>
      <c r="I1409" s="1788">
        <f t="shared" si="235"/>
        <v>35431</v>
      </c>
      <c r="J1409" s="1788" t="str">
        <f t="shared" si="236"/>
        <v/>
      </c>
      <c r="K1409" s="1786">
        <v>0</v>
      </c>
      <c r="L1409" s="1786" t="s">
        <v>1594</v>
      </c>
      <c r="M1409" s="1786" t="s">
        <v>1653</v>
      </c>
      <c r="N1409" s="1786" t="s">
        <v>1653</v>
      </c>
      <c r="O1409" s="1786">
        <v>0</v>
      </c>
      <c r="P1409" s="1786"/>
      <c r="Q1409" s="1786">
        <v>0</v>
      </c>
      <c r="R1409" s="1788"/>
      <c r="S1409" s="1786">
        <f t="shared" si="237"/>
        <v>579</v>
      </c>
      <c r="T1409" s="1786" t="str">
        <f t="shared" si="238"/>
        <v>לאומי</v>
      </c>
      <c r="U1409" s="1786" t="str">
        <f t="shared" si="239"/>
        <v>מגדל השתלמות</v>
      </c>
      <c r="V1409" s="1786" t="str">
        <f t="shared" si="240"/>
        <v>510464803</v>
      </c>
      <c r="W1409" s="1789" t="str">
        <f t="shared" si="241"/>
        <v>מגדל מקפת קרנות פנסיה וקופות גמל בע"מ</v>
      </c>
      <c r="AC1409" s="1761" t="s">
        <v>346</v>
      </c>
      <c r="AD1409" s="1761"/>
      <c r="AE1409" s="1762">
        <v>35431</v>
      </c>
      <c r="AF1409" s="1761" t="s">
        <v>1583</v>
      </c>
      <c r="AG1409" s="1761" t="s">
        <v>1583</v>
      </c>
      <c r="AH1409" s="1761" t="s">
        <v>1583</v>
      </c>
      <c r="AI1409" s="1761" t="s">
        <v>3198</v>
      </c>
      <c r="AJ1409" s="1761" t="s">
        <v>3197</v>
      </c>
      <c r="AK1409" s="1761">
        <v>579</v>
      </c>
      <c r="AL1409" s="1761" t="s">
        <v>3002</v>
      </c>
      <c r="AM1409" s="1761">
        <v>579</v>
      </c>
      <c r="AN1409" s="1761" t="s">
        <v>5305</v>
      </c>
      <c r="AO1409" s="1764"/>
      <c r="AP1409" s="1761" t="s">
        <v>5382</v>
      </c>
      <c r="AQ1409" s="1761" t="s">
        <v>5383</v>
      </c>
      <c r="AR1409" s="1761" t="s">
        <v>394</v>
      </c>
      <c r="AS1409" s="1761" t="s">
        <v>395</v>
      </c>
      <c r="AT1409" s="1761" t="s">
        <v>327</v>
      </c>
      <c r="AU1409" s="1763"/>
      <c r="AV1409" s="1763"/>
    </row>
    <row r="1410" spans="1:48" ht="50" hidden="1">
      <c r="A1410" s="1785" t="str">
        <f t="shared" si="231"/>
        <v>גמל</v>
      </c>
      <c r="B1410" s="1786">
        <f t="shared" si="232"/>
        <v>578</v>
      </c>
      <c r="C1410" s="1787">
        <v>28946</v>
      </c>
      <c r="D1410" s="1786" t="str">
        <f t="shared" si="233"/>
        <v>מתן 2002ט - מסלול יב</v>
      </c>
      <c r="E1410" s="1786" t="s">
        <v>3929</v>
      </c>
      <c r="F1410" s="1786" t="s">
        <v>2958</v>
      </c>
      <c r="G1410" s="1786" t="s">
        <v>2959</v>
      </c>
      <c r="H1410" s="1786" t="str">
        <f t="shared" si="234"/>
        <v>לא פעיל</v>
      </c>
      <c r="I1410" s="1788">
        <f t="shared" si="235"/>
        <v>35431</v>
      </c>
      <c r="J1410" s="1788">
        <f t="shared" si="236"/>
        <v>35907.622858796298</v>
      </c>
      <c r="K1410" s="1786">
        <v>0</v>
      </c>
      <c r="L1410" s="1786" t="s">
        <v>1594</v>
      </c>
      <c r="M1410" s="1786" t="s">
        <v>1653</v>
      </c>
      <c r="N1410" s="1786" t="s">
        <v>1653</v>
      </c>
      <c r="O1410" s="1786">
        <v>0</v>
      </c>
      <c r="P1410" s="1786"/>
      <c r="Q1410" s="1786">
        <v>0</v>
      </c>
      <c r="R1410" s="1788"/>
      <c r="S1410" s="1786">
        <f t="shared" si="237"/>
        <v>578</v>
      </c>
      <c r="T1410" s="1786" t="str">
        <f t="shared" si="238"/>
        <v>בנק לאומי בע"מ</v>
      </c>
      <c r="U1410" s="1786" t="str">
        <f t="shared" si="239"/>
        <v>מתן 2002ט - מסלול יב</v>
      </c>
      <c r="V1410" s="1786">
        <f t="shared" si="240"/>
        <v>0</v>
      </c>
      <c r="W1410" s="1789" t="str">
        <f t="shared" si="241"/>
        <v>תעוזה קופת גמל לתגמולים ולפיצויים ליד הבנק הבינלאומי הראשון</v>
      </c>
      <c r="AC1410" s="1759" t="s">
        <v>1586</v>
      </c>
      <c r="AD1410" s="1760">
        <v>35907.622858796298</v>
      </c>
      <c r="AE1410" s="1760">
        <v>35431</v>
      </c>
      <c r="AF1410" s="1759" t="s">
        <v>1583</v>
      </c>
      <c r="AG1410" s="1759" t="s">
        <v>1583</v>
      </c>
      <c r="AH1410" s="1759" t="s">
        <v>1583</v>
      </c>
      <c r="AI1410" s="1759" t="s">
        <v>3196</v>
      </c>
      <c r="AJ1410" s="1759" t="s">
        <v>1896</v>
      </c>
      <c r="AK1410" s="1759">
        <v>578</v>
      </c>
      <c r="AL1410" s="1759" t="s">
        <v>1896</v>
      </c>
      <c r="AM1410" s="1759">
        <v>578</v>
      </c>
      <c r="AN1410" s="1759" t="s">
        <v>5470</v>
      </c>
      <c r="AO1410" s="1764"/>
      <c r="AP1410" s="1759"/>
      <c r="AQ1410" s="1759"/>
      <c r="AR1410" s="1759" t="s">
        <v>1684</v>
      </c>
      <c r="AS1410" s="1759" t="s">
        <v>1683</v>
      </c>
      <c r="AT1410" s="1759" t="s">
        <v>327</v>
      </c>
      <c r="AU1410" s="1763"/>
      <c r="AV1410" s="1763"/>
    </row>
    <row r="1411" spans="1:48" ht="50" hidden="1">
      <c r="A1411" s="1785" t="str">
        <f t="shared" si="231"/>
        <v>גמל</v>
      </c>
      <c r="B1411" s="1786">
        <f t="shared" si="232"/>
        <v>577</v>
      </c>
      <c r="C1411" s="1787">
        <v>28946</v>
      </c>
      <c r="D1411" s="1786" t="str">
        <f t="shared" si="233"/>
        <v>מתן 2002ח - מסלול יא</v>
      </c>
      <c r="E1411" s="1786" t="s">
        <v>3929</v>
      </c>
      <c r="F1411" s="1786" t="s">
        <v>2958</v>
      </c>
      <c r="G1411" s="1786" t="s">
        <v>2959</v>
      </c>
      <c r="H1411" s="1786" t="str">
        <f t="shared" si="234"/>
        <v>לא פעיל</v>
      </c>
      <c r="I1411" s="1788">
        <f t="shared" si="235"/>
        <v>35431</v>
      </c>
      <c r="J1411" s="1788">
        <f t="shared" si="236"/>
        <v>35907.622812499998</v>
      </c>
      <c r="K1411" s="1786">
        <v>0</v>
      </c>
      <c r="L1411" s="1786" t="s">
        <v>1594</v>
      </c>
      <c r="M1411" s="1786" t="s">
        <v>1653</v>
      </c>
      <c r="N1411" s="1786" t="s">
        <v>1653</v>
      </c>
      <c r="O1411" s="1786">
        <v>0</v>
      </c>
      <c r="P1411" s="1786"/>
      <c r="Q1411" s="1786">
        <v>0</v>
      </c>
      <c r="R1411" s="1788"/>
      <c r="S1411" s="1786">
        <f t="shared" si="237"/>
        <v>577</v>
      </c>
      <c r="T1411" s="1786" t="str">
        <f t="shared" si="238"/>
        <v>בנק לאומי בע"מ</v>
      </c>
      <c r="U1411" s="1786" t="str">
        <f t="shared" si="239"/>
        <v>מתן 2002ח - מסלול יא</v>
      </c>
      <c r="V1411" s="1786">
        <f t="shared" si="240"/>
        <v>0</v>
      </c>
      <c r="W1411" s="1789" t="str">
        <f t="shared" si="241"/>
        <v>תעוזה קופת גמל לתגמולים ולפיצויים ליד הבנק הבינלאומי הראשון</v>
      </c>
      <c r="AC1411" s="1761" t="s">
        <v>1586</v>
      </c>
      <c r="AD1411" s="1762">
        <v>35907.622812499998</v>
      </c>
      <c r="AE1411" s="1762">
        <v>35431</v>
      </c>
      <c r="AF1411" s="1761" t="s">
        <v>1583</v>
      </c>
      <c r="AG1411" s="1761" t="s">
        <v>1583</v>
      </c>
      <c r="AH1411" s="1761" t="s">
        <v>1583</v>
      </c>
      <c r="AI1411" s="1761" t="s">
        <v>3195</v>
      </c>
      <c r="AJ1411" s="1761" t="s">
        <v>1895</v>
      </c>
      <c r="AK1411" s="1761">
        <v>577</v>
      </c>
      <c r="AL1411" s="1761" t="s">
        <v>1895</v>
      </c>
      <c r="AM1411" s="1761">
        <v>577</v>
      </c>
      <c r="AN1411" s="1761" t="s">
        <v>5470</v>
      </c>
      <c r="AO1411" s="1764"/>
      <c r="AP1411" s="1761"/>
      <c r="AQ1411" s="1761"/>
      <c r="AR1411" s="1761" t="s">
        <v>1684</v>
      </c>
      <c r="AS1411" s="1761" t="s">
        <v>1683</v>
      </c>
      <c r="AT1411" s="1761" t="s">
        <v>327</v>
      </c>
      <c r="AU1411" s="1763"/>
      <c r="AV1411" s="1763"/>
    </row>
    <row r="1412" spans="1:48" ht="50" hidden="1">
      <c r="A1412" s="1785" t="str">
        <f t="shared" si="231"/>
        <v>גמל</v>
      </c>
      <c r="B1412" s="1786">
        <f t="shared" si="232"/>
        <v>576</v>
      </c>
      <c r="C1412" s="1787">
        <v>28946</v>
      </c>
      <c r="D1412" s="1786" t="str">
        <f t="shared" si="233"/>
        <v>מתן 2002ז - מסלול י</v>
      </c>
      <c r="E1412" s="1786" t="s">
        <v>3929</v>
      </c>
      <c r="F1412" s="1786" t="s">
        <v>2958</v>
      </c>
      <c r="G1412" s="1786" t="s">
        <v>2959</v>
      </c>
      <c r="H1412" s="1786" t="str">
        <f t="shared" si="234"/>
        <v>לא פעיל</v>
      </c>
      <c r="I1412" s="1788">
        <f t="shared" si="235"/>
        <v>35431</v>
      </c>
      <c r="J1412" s="1788">
        <f t="shared" si="236"/>
        <v>35907.6227546296</v>
      </c>
      <c r="K1412" s="1786">
        <v>0</v>
      </c>
      <c r="L1412" s="1786" t="s">
        <v>1594</v>
      </c>
      <c r="M1412" s="1786" t="s">
        <v>1653</v>
      </c>
      <c r="N1412" s="1786" t="s">
        <v>1653</v>
      </c>
      <c r="O1412" s="1786">
        <v>0</v>
      </c>
      <c r="P1412" s="1786"/>
      <c r="Q1412" s="1786">
        <v>0</v>
      </c>
      <c r="R1412" s="1788"/>
      <c r="S1412" s="1786">
        <f t="shared" si="237"/>
        <v>576</v>
      </c>
      <c r="T1412" s="1786" t="str">
        <f t="shared" si="238"/>
        <v>בנק לאומי בע"מ</v>
      </c>
      <c r="U1412" s="1786" t="str">
        <f t="shared" si="239"/>
        <v>מתן 2002ז - מסלול י</v>
      </c>
      <c r="V1412" s="1786">
        <f t="shared" si="240"/>
        <v>0</v>
      </c>
      <c r="W1412" s="1789" t="str">
        <f t="shared" si="241"/>
        <v>תעוזה קופת גמל לתגמולים ולפיצויים ליד הבנק הבינלאומי הראשון</v>
      </c>
      <c r="AC1412" s="1759" t="s">
        <v>1586</v>
      </c>
      <c r="AD1412" s="1760">
        <v>35907.6227546296</v>
      </c>
      <c r="AE1412" s="1760">
        <v>35431</v>
      </c>
      <c r="AF1412" s="1759" t="s">
        <v>1583</v>
      </c>
      <c r="AG1412" s="1759" t="s">
        <v>1583</v>
      </c>
      <c r="AH1412" s="1759" t="s">
        <v>1583</v>
      </c>
      <c r="AI1412" s="1759" t="s">
        <v>3194</v>
      </c>
      <c r="AJ1412" s="1759" t="s">
        <v>1894</v>
      </c>
      <c r="AK1412" s="1759">
        <v>576</v>
      </c>
      <c r="AL1412" s="1759" t="s">
        <v>1894</v>
      </c>
      <c r="AM1412" s="1759">
        <v>576</v>
      </c>
      <c r="AN1412" s="1759" t="s">
        <v>5470</v>
      </c>
      <c r="AO1412" s="1764"/>
      <c r="AP1412" s="1759"/>
      <c r="AQ1412" s="1759"/>
      <c r="AR1412" s="1759" t="s">
        <v>1684</v>
      </c>
      <c r="AS1412" s="1759" t="s">
        <v>1683</v>
      </c>
      <c r="AT1412" s="1759" t="s">
        <v>327</v>
      </c>
      <c r="AU1412" s="1763"/>
      <c r="AV1412" s="1763"/>
    </row>
    <row r="1413" spans="1:48" ht="50" hidden="1">
      <c r="A1413" s="1785" t="str">
        <f t="shared" si="231"/>
        <v>גמל</v>
      </c>
      <c r="B1413" s="1786">
        <f t="shared" si="232"/>
        <v>575</v>
      </c>
      <c r="C1413" s="1787">
        <v>28946</v>
      </c>
      <c r="D1413" s="1786" t="str">
        <f t="shared" si="233"/>
        <v>מתן 2002ו - מסלול ט</v>
      </c>
      <c r="E1413" s="1786" t="s">
        <v>3929</v>
      </c>
      <c r="F1413" s="1786" t="s">
        <v>2958</v>
      </c>
      <c r="G1413" s="1786" t="s">
        <v>2959</v>
      </c>
      <c r="H1413" s="1786" t="str">
        <f t="shared" si="234"/>
        <v>לא פעיל</v>
      </c>
      <c r="I1413" s="1788">
        <f t="shared" si="235"/>
        <v>35431</v>
      </c>
      <c r="J1413" s="1788">
        <f t="shared" si="236"/>
        <v>35907.6227083333</v>
      </c>
      <c r="K1413" s="1786">
        <v>0</v>
      </c>
      <c r="L1413" s="1786" t="s">
        <v>1594</v>
      </c>
      <c r="M1413" s="1786" t="s">
        <v>1653</v>
      </c>
      <c r="N1413" s="1786" t="s">
        <v>1653</v>
      </c>
      <c r="O1413" s="1786">
        <v>0</v>
      </c>
      <c r="P1413" s="1786"/>
      <c r="Q1413" s="1786">
        <v>0</v>
      </c>
      <c r="R1413" s="1788"/>
      <c r="S1413" s="1786">
        <f t="shared" si="237"/>
        <v>575</v>
      </c>
      <c r="T1413" s="1786" t="str">
        <f t="shared" si="238"/>
        <v>בנק לאומי בע"מ</v>
      </c>
      <c r="U1413" s="1786" t="str">
        <f t="shared" si="239"/>
        <v>מתן 2002ו - מסלול ט</v>
      </c>
      <c r="V1413" s="1786">
        <f t="shared" si="240"/>
        <v>0</v>
      </c>
      <c r="W1413" s="1789" t="str">
        <f t="shared" si="241"/>
        <v>תעוזה קופת גמל לתגמולים ולפיצויים ליד הבנק הבינלאומי הראשון</v>
      </c>
      <c r="AC1413" s="1761" t="s">
        <v>1586</v>
      </c>
      <c r="AD1413" s="1762">
        <v>35907.6227083333</v>
      </c>
      <c r="AE1413" s="1762">
        <v>35431</v>
      </c>
      <c r="AF1413" s="1761" t="s">
        <v>1583</v>
      </c>
      <c r="AG1413" s="1761" t="s">
        <v>1583</v>
      </c>
      <c r="AH1413" s="1761" t="s">
        <v>1583</v>
      </c>
      <c r="AI1413" s="1761" t="s">
        <v>1893</v>
      </c>
      <c r="AJ1413" s="1761" t="s">
        <v>1893</v>
      </c>
      <c r="AK1413" s="1761">
        <v>575</v>
      </c>
      <c r="AL1413" s="1761" t="s">
        <v>1893</v>
      </c>
      <c r="AM1413" s="1761">
        <v>575</v>
      </c>
      <c r="AN1413" s="1761" t="s">
        <v>5470</v>
      </c>
      <c r="AO1413" s="1764"/>
      <c r="AP1413" s="1761"/>
      <c r="AQ1413" s="1761"/>
      <c r="AR1413" s="1761" t="s">
        <v>1684</v>
      </c>
      <c r="AS1413" s="1761" t="s">
        <v>1683</v>
      </c>
      <c r="AT1413" s="1761" t="s">
        <v>327</v>
      </c>
      <c r="AU1413" s="1763"/>
      <c r="AV1413" s="1763"/>
    </row>
    <row r="1414" spans="1:48" ht="50" hidden="1">
      <c r="A1414" s="1785" t="str">
        <f t="shared" si="231"/>
        <v>גמל</v>
      </c>
      <c r="B1414" s="1786">
        <f t="shared" si="232"/>
        <v>574</v>
      </c>
      <c r="C1414" s="1787">
        <v>28946</v>
      </c>
      <c r="D1414" s="1786" t="str">
        <f t="shared" si="233"/>
        <v>מתן 2002ה - מסלול ח</v>
      </c>
      <c r="E1414" s="1786" t="s">
        <v>3929</v>
      </c>
      <c r="F1414" s="1786" t="s">
        <v>2958</v>
      </c>
      <c r="G1414" s="1786" t="s">
        <v>2959</v>
      </c>
      <c r="H1414" s="1786" t="str">
        <f t="shared" si="234"/>
        <v>לא פעיל</v>
      </c>
      <c r="I1414" s="1788">
        <f t="shared" si="235"/>
        <v>35431</v>
      </c>
      <c r="J1414" s="1788">
        <f t="shared" si="236"/>
        <v>35907.622604166703</v>
      </c>
      <c r="K1414" s="1786">
        <v>0</v>
      </c>
      <c r="L1414" s="1786" t="s">
        <v>1594</v>
      </c>
      <c r="M1414" s="1786" t="s">
        <v>1653</v>
      </c>
      <c r="N1414" s="1786" t="s">
        <v>1653</v>
      </c>
      <c r="O1414" s="1786">
        <v>0</v>
      </c>
      <c r="P1414" s="1786"/>
      <c r="Q1414" s="1786">
        <v>0</v>
      </c>
      <c r="R1414" s="1788"/>
      <c r="S1414" s="1786">
        <f t="shared" si="237"/>
        <v>574</v>
      </c>
      <c r="T1414" s="1786" t="str">
        <f t="shared" si="238"/>
        <v>בנק לאומי בע"מ</v>
      </c>
      <c r="U1414" s="1786" t="str">
        <f t="shared" si="239"/>
        <v>מתן 2002ה - מסלול ח</v>
      </c>
      <c r="V1414" s="1786">
        <f t="shared" si="240"/>
        <v>0</v>
      </c>
      <c r="W1414" s="1789" t="str">
        <f t="shared" si="241"/>
        <v>תעוזה קופת גמל לתגמולים ולפיצויים ליד הבנק הבינלאומי הראשון</v>
      </c>
      <c r="AC1414" s="1759" t="s">
        <v>1586</v>
      </c>
      <c r="AD1414" s="1760">
        <v>35907.622604166703</v>
      </c>
      <c r="AE1414" s="1760">
        <v>35431</v>
      </c>
      <c r="AF1414" s="1759" t="s">
        <v>1583</v>
      </c>
      <c r="AG1414" s="1759" t="s">
        <v>1583</v>
      </c>
      <c r="AH1414" s="1759" t="s">
        <v>1583</v>
      </c>
      <c r="AI1414" s="1759" t="s">
        <v>1892</v>
      </c>
      <c r="AJ1414" s="1759" t="s">
        <v>1892</v>
      </c>
      <c r="AK1414" s="1759">
        <v>574</v>
      </c>
      <c r="AL1414" s="1759" t="s">
        <v>1892</v>
      </c>
      <c r="AM1414" s="1759">
        <v>574</v>
      </c>
      <c r="AN1414" s="1759" t="s">
        <v>5470</v>
      </c>
      <c r="AO1414" s="1764"/>
      <c r="AP1414" s="1759"/>
      <c r="AQ1414" s="1759"/>
      <c r="AR1414" s="1759" t="s">
        <v>1684</v>
      </c>
      <c r="AS1414" s="1759" t="s">
        <v>1683</v>
      </c>
      <c r="AT1414" s="1759" t="s">
        <v>327</v>
      </c>
      <c r="AU1414" s="1763"/>
      <c r="AV1414" s="1763"/>
    </row>
    <row r="1415" spans="1:48" ht="50" hidden="1">
      <c r="A1415" s="1785" t="str">
        <f t="shared" si="231"/>
        <v>גמל</v>
      </c>
      <c r="B1415" s="1786">
        <f t="shared" si="232"/>
        <v>573</v>
      </c>
      <c r="C1415" s="1787">
        <v>28946</v>
      </c>
      <c r="D1415" s="1786" t="str">
        <f t="shared" si="233"/>
        <v>מתן 2002ד - מסלול ז</v>
      </c>
      <c r="E1415" s="1786" t="s">
        <v>3929</v>
      </c>
      <c r="F1415" s="1786" t="s">
        <v>2958</v>
      </c>
      <c r="G1415" s="1786" t="s">
        <v>2959</v>
      </c>
      <c r="H1415" s="1786" t="str">
        <f t="shared" si="234"/>
        <v>לא פעיל</v>
      </c>
      <c r="I1415" s="1788">
        <f t="shared" si="235"/>
        <v>35431</v>
      </c>
      <c r="J1415" s="1788">
        <f t="shared" si="236"/>
        <v>35907.622546296298</v>
      </c>
      <c r="K1415" s="1786">
        <v>0</v>
      </c>
      <c r="L1415" s="1786" t="s">
        <v>1594</v>
      </c>
      <c r="M1415" s="1786" t="s">
        <v>1653</v>
      </c>
      <c r="N1415" s="1786" t="s">
        <v>1653</v>
      </c>
      <c r="O1415" s="1786">
        <v>0</v>
      </c>
      <c r="P1415" s="1786"/>
      <c r="Q1415" s="1786">
        <v>0</v>
      </c>
      <c r="R1415" s="1788"/>
      <c r="S1415" s="1786">
        <f t="shared" si="237"/>
        <v>573</v>
      </c>
      <c r="T1415" s="1786" t="str">
        <f t="shared" si="238"/>
        <v>בנק לאומי בע"מ</v>
      </c>
      <c r="U1415" s="1786" t="str">
        <f t="shared" si="239"/>
        <v>מתן 2002ד - מסלול ז</v>
      </c>
      <c r="V1415" s="1786">
        <f t="shared" si="240"/>
        <v>0</v>
      </c>
      <c r="W1415" s="1789" t="str">
        <f t="shared" si="241"/>
        <v>תעוזה קופת גמל לתגמולים ולפיצויים ליד הבנק הבינלאומי הראשון</v>
      </c>
      <c r="AC1415" s="1761" t="s">
        <v>1586</v>
      </c>
      <c r="AD1415" s="1762">
        <v>35907.622546296298</v>
      </c>
      <c r="AE1415" s="1762">
        <v>35431</v>
      </c>
      <c r="AF1415" s="1761" t="s">
        <v>1583</v>
      </c>
      <c r="AG1415" s="1761" t="s">
        <v>1583</v>
      </c>
      <c r="AH1415" s="1761" t="s">
        <v>1583</v>
      </c>
      <c r="AI1415" s="1761" t="s">
        <v>1891</v>
      </c>
      <c r="AJ1415" s="1761" t="s">
        <v>1891</v>
      </c>
      <c r="AK1415" s="1761">
        <v>573</v>
      </c>
      <c r="AL1415" s="1761" t="s">
        <v>1891</v>
      </c>
      <c r="AM1415" s="1761">
        <v>573</v>
      </c>
      <c r="AN1415" s="1761" t="s">
        <v>5470</v>
      </c>
      <c r="AO1415" s="1764"/>
      <c r="AP1415" s="1761"/>
      <c r="AQ1415" s="1761"/>
      <c r="AR1415" s="1761" t="s">
        <v>1684</v>
      </c>
      <c r="AS1415" s="1761" t="s">
        <v>1683</v>
      </c>
      <c r="AT1415" s="1761" t="s">
        <v>327</v>
      </c>
      <c r="AU1415" s="1763"/>
      <c r="AV1415" s="1763"/>
    </row>
    <row r="1416" spans="1:48" ht="50" hidden="1">
      <c r="A1416" s="1785" t="str">
        <f t="shared" si="231"/>
        <v>גמל</v>
      </c>
      <c r="B1416" s="1786">
        <f t="shared" si="232"/>
        <v>572</v>
      </c>
      <c r="C1416" s="1787">
        <v>28946</v>
      </c>
      <c r="D1416" s="1786" t="str">
        <f t="shared" si="233"/>
        <v>מתן 2002ג - מסלול ו</v>
      </c>
      <c r="E1416" s="1786" t="s">
        <v>3929</v>
      </c>
      <c r="F1416" s="1786" t="s">
        <v>2958</v>
      </c>
      <c r="G1416" s="1786" t="s">
        <v>2959</v>
      </c>
      <c r="H1416" s="1786" t="str">
        <f t="shared" si="234"/>
        <v>לא פעיל</v>
      </c>
      <c r="I1416" s="1788">
        <f t="shared" si="235"/>
        <v>35431</v>
      </c>
      <c r="J1416" s="1788">
        <f t="shared" si="236"/>
        <v>35907.622499999998</v>
      </c>
      <c r="K1416" s="1786">
        <v>0</v>
      </c>
      <c r="L1416" s="1786" t="s">
        <v>1594</v>
      </c>
      <c r="M1416" s="1786" t="s">
        <v>1653</v>
      </c>
      <c r="N1416" s="1786" t="s">
        <v>1653</v>
      </c>
      <c r="O1416" s="1786">
        <v>0</v>
      </c>
      <c r="P1416" s="1786"/>
      <c r="Q1416" s="1786">
        <v>0</v>
      </c>
      <c r="R1416" s="1788"/>
      <c r="S1416" s="1786">
        <f t="shared" si="237"/>
        <v>572</v>
      </c>
      <c r="T1416" s="1786" t="str">
        <f t="shared" si="238"/>
        <v>בנק לאומי בע"מ</v>
      </c>
      <c r="U1416" s="1786" t="str">
        <f t="shared" si="239"/>
        <v>מתן 2002ג - מסלול ו</v>
      </c>
      <c r="V1416" s="1786">
        <f t="shared" si="240"/>
        <v>0</v>
      </c>
      <c r="W1416" s="1789" t="str">
        <f t="shared" si="241"/>
        <v>תעוזה קופת גמל לתגמולים ולפיצויים ליד הבנק הבינלאומי הראשון</v>
      </c>
      <c r="AC1416" s="1759" t="s">
        <v>1586</v>
      </c>
      <c r="AD1416" s="1760">
        <v>35907.622499999998</v>
      </c>
      <c r="AE1416" s="1760">
        <v>35431</v>
      </c>
      <c r="AF1416" s="1759" t="s">
        <v>1583</v>
      </c>
      <c r="AG1416" s="1759" t="s">
        <v>1583</v>
      </c>
      <c r="AH1416" s="1759" t="s">
        <v>1583</v>
      </c>
      <c r="AI1416" s="1759" t="s">
        <v>3193</v>
      </c>
      <c r="AJ1416" s="1759" t="s">
        <v>1890</v>
      </c>
      <c r="AK1416" s="1759">
        <v>572</v>
      </c>
      <c r="AL1416" s="1759" t="s">
        <v>1890</v>
      </c>
      <c r="AM1416" s="1759">
        <v>572</v>
      </c>
      <c r="AN1416" s="1759" t="s">
        <v>5470</v>
      </c>
      <c r="AO1416" s="1764"/>
      <c r="AP1416" s="1759"/>
      <c r="AQ1416" s="1759"/>
      <c r="AR1416" s="1759" t="s">
        <v>1684</v>
      </c>
      <c r="AS1416" s="1759" t="s">
        <v>1683</v>
      </c>
      <c r="AT1416" s="1759" t="s">
        <v>327</v>
      </c>
      <c r="AU1416" s="1763"/>
      <c r="AV1416" s="1763"/>
    </row>
    <row r="1417" spans="1:48" ht="50" hidden="1">
      <c r="A1417" s="1785" t="str">
        <f t="shared" si="231"/>
        <v>גמל</v>
      </c>
      <c r="B1417" s="1786">
        <f t="shared" si="232"/>
        <v>571</v>
      </c>
      <c r="C1417" s="1787">
        <v>28946</v>
      </c>
      <c r="D1417" s="1786" t="str">
        <f t="shared" si="233"/>
        <v>מתן 2002ב - מסלול ה</v>
      </c>
      <c r="E1417" s="1786" t="s">
        <v>3929</v>
      </c>
      <c r="F1417" s="1786" t="s">
        <v>2958</v>
      </c>
      <c r="G1417" s="1786" t="s">
        <v>2959</v>
      </c>
      <c r="H1417" s="1786" t="str">
        <f t="shared" si="234"/>
        <v>לא פעיל</v>
      </c>
      <c r="I1417" s="1788">
        <f t="shared" si="235"/>
        <v>35431</v>
      </c>
      <c r="J1417" s="1788">
        <f t="shared" si="236"/>
        <v>35907.622442129599</v>
      </c>
      <c r="K1417" s="1786">
        <v>0</v>
      </c>
      <c r="L1417" s="1786" t="s">
        <v>1594</v>
      </c>
      <c r="M1417" s="1786" t="s">
        <v>1653</v>
      </c>
      <c r="N1417" s="1786" t="s">
        <v>1653</v>
      </c>
      <c r="O1417" s="1786">
        <v>0</v>
      </c>
      <c r="P1417" s="1786"/>
      <c r="Q1417" s="1786">
        <v>0</v>
      </c>
      <c r="R1417" s="1788"/>
      <c r="S1417" s="1786">
        <f t="shared" si="237"/>
        <v>571</v>
      </c>
      <c r="T1417" s="1786" t="str">
        <f t="shared" si="238"/>
        <v>בנק לאומי בע"מ</v>
      </c>
      <c r="U1417" s="1786" t="str">
        <f t="shared" si="239"/>
        <v>מתן 2002ב - מסלול ה</v>
      </c>
      <c r="V1417" s="1786">
        <f t="shared" si="240"/>
        <v>0</v>
      </c>
      <c r="W1417" s="1789" t="str">
        <f t="shared" si="241"/>
        <v>תעוזה קופת גמל לתגמולים ולפיצויים ליד הבנק הבינלאומי הראשון</v>
      </c>
      <c r="AC1417" s="1761" t="s">
        <v>1586</v>
      </c>
      <c r="AD1417" s="1762">
        <v>35907.622442129599</v>
      </c>
      <c r="AE1417" s="1762">
        <v>35431</v>
      </c>
      <c r="AF1417" s="1761" t="s">
        <v>1583</v>
      </c>
      <c r="AG1417" s="1761" t="s">
        <v>1583</v>
      </c>
      <c r="AH1417" s="1761" t="s">
        <v>1583</v>
      </c>
      <c r="AI1417" s="1761" t="s">
        <v>1889</v>
      </c>
      <c r="AJ1417" s="1761" t="s">
        <v>1889</v>
      </c>
      <c r="AK1417" s="1761">
        <v>571</v>
      </c>
      <c r="AL1417" s="1761" t="s">
        <v>1889</v>
      </c>
      <c r="AM1417" s="1761">
        <v>571</v>
      </c>
      <c r="AN1417" s="1761" t="s">
        <v>5470</v>
      </c>
      <c r="AO1417" s="1764"/>
      <c r="AP1417" s="1761"/>
      <c r="AQ1417" s="1761"/>
      <c r="AR1417" s="1761" t="s">
        <v>1684</v>
      </c>
      <c r="AS1417" s="1761" t="s">
        <v>1683</v>
      </c>
      <c r="AT1417" s="1761" t="s">
        <v>327</v>
      </c>
      <c r="AU1417" s="1763"/>
      <c r="AV1417" s="1763"/>
    </row>
    <row r="1418" spans="1:48" ht="50" hidden="1">
      <c r="A1418" s="1785" t="str">
        <f t="shared" si="231"/>
        <v>גמל</v>
      </c>
      <c r="B1418" s="1786">
        <f t="shared" si="232"/>
        <v>570</v>
      </c>
      <c r="C1418" s="1787">
        <v>28946</v>
      </c>
      <c r="D1418" s="1786" t="str">
        <f t="shared" si="233"/>
        <v>מתן 2002א - מסלול ד</v>
      </c>
      <c r="E1418" s="1786" t="s">
        <v>3929</v>
      </c>
      <c r="F1418" s="1786" t="s">
        <v>2958</v>
      </c>
      <c r="G1418" s="1786" t="s">
        <v>2959</v>
      </c>
      <c r="H1418" s="1786" t="str">
        <f t="shared" si="234"/>
        <v>לא פעיל</v>
      </c>
      <c r="I1418" s="1788">
        <f t="shared" si="235"/>
        <v>35431</v>
      </c>
      <c r="J1418" s="1788">
        <f t="shared" si="236"/>
        <v>35907</v>
      </c>
      <c r="K1418" s="1786">
        <v>0</v>
      </c>
      <c r="L1418" s="1786" t="s">
        <v>1594</v>
      </c>
      <c r="M1418" s="1786" t="s">
        <v>1653</v>
      </c>
      <c r="N1418" s="1786" t="s">
        <v>1653</v>
      </c>
      <c r="O1418" s="1786">
        <v>0</v>
      </c>
      <c r="P1418" s="1786"/>
      <c r="Q1418" s="1786">
        <v>0</v>
      </c>
      <c r="R1418" s="1788"/>
      <c r="S1418" s="1786">
        <f t="shared" si="237"/>
        <v>570</v>
      </c>
      <c r="T1418" s="1786" t="str">
        <f t="shared" si="238"/>
        <v>בנק לאומי בע"מ</v>
      </c>
      <c r="U1418" s="1786" t="str">
        <f t="shared" si="239"/>
        <v>מתן 2002א - מסלול ד</v>
      </c>
      <c r="V1418" s="1786">
        <f t="shared" si="240"/>
        <v>0</v>
      </c>
      <c r="W1418" s="1789" t="str">
        <f t="shared" si="241"/>
        <v>תעוזה קופת גמל לתגמולים ולפיצויים ליד הבנק הבינלאומי הראשון</v>
      </c>
      <c r="AC1418" s="1759" t="s">
        <v>1586</v>
      </c>
      <c r="AD1418" s="1760">
        <v>35907</v>
      </c>
      <c r="AE1418" s="1760">
        <v>35431</v>
      </c>
      <c r="AF1418" s="1759" t="s">
        <v>1583</v>
      </c>
      <c r="AG1418" s="1759" t="s">
        <v>1583</v>
      </c>
      <c r="AH1418" s="1759" t="s">
        <v>1583</v>
      </c>
      <c r="AI1418" s="1759" t="s">
        <v>1888</v>
      </c>
      <c r="AJ1418" s="1759" t="s">
        <v>1888</v>
      </c>
      <c r="AK1418" s="1759">
        <v>570</v>
      </c>
      <c r="AL1418" s="1759" t="s">
        <v>1888</v>
      </c>
      <c r="AM1418" s="1759">
        <v>570</v>
      </c>
      <c r="AN1418" s="1759" t="s">
        <v>5470</v>
      </c>
      <c r="AO1418" s="1764"/>
      <c r="AP1418" s="1759"/>
      <c r="AQ1418" s="1759"/>
      <c r="AR1418" s="1759" t="s">
        <v>1684</v>
      </c>
      <c r="AS1418" s="1759" t="s">
        <v>1683</v>
      </c>
      <c r="AT1418" s="1759" t="s">
        <v>327</v>
      </c>
      <c r="AU1418" s="1763"/>
      <c r="AV1418" s="1763"/>
    </row>
    <row r="1419" spans="1:48" ht="50" hidden="1">
      <c r="A1419" s="1785" t="str">
        <f t="shared" si="231"/>
        <v>גמל</v>
      </c>
      <c r="B1419" s="1786">
        <f t="shared" si="232"/>
        <v>569</v>
      </c>
      <c r="C1419" s="1787">
        <v>28946</v>
      </c>
      <c r="D1419" s="1786" t="str">
        <f t="shared" si="233"/>
        <v>מתן 2001א - מסלול ג</v>
      </c>
      <c r="E1419" s="1786" t="s">
        <v>3929</v>
      </c>
      <c r="F1419" s="1786" t="s">
        <v>2958</v>
      </c>
      <c r="G1419" s="1786" t="s">
        <v>2959</v>
      </c>
      <c r="H1419" s="1786" t="str">
        <f t="shared" si="234"/>
        <v>לא פעיל</v>
      </c>
      <c r="I1419" s="1788">
        <f t="shared" si="235"/>
        <v>35431</v>
      </c>
      <c r="J1419" s="1788">
        <f t="shared" si="236"/>
        <v>35907.6222569444</v>
      </c>
      <c r="K1419" s="1786">
        <v>0</v>
      </c>
      <c r="L1419" s="1786" t="s">
        <v>1594</v>
      </c>
      <c r="M1419" s="1786" t="s">
        <v>1653</v>
      </c>
      <c r="N1419" s="1786" t="s">
        <v>1653</v>
      </c>
      <c r="O1419" s="1786">
        <v>0</v>
      </c>
      <c r="P1419" s="1786"/>
      <c r="Q1419" s="1786">
        <v>0</v>
      </c>
      <c r="R1419" s="1788"/>
      <c r="S1419" s="1786">
        <f t="shared" si="237"/>
        <v>569</v>
      </c>
      <c r="T1419" s="1786" t="str">
        <f t="shared" si="238"/>
        <v>בנק לאומי בע"מ</v>
      </c>
      <c r="U1419" s="1786" t="str">
        <f t="shared" si="239"/>
        <v>מתן 2001א - מסלול ג</v>
      </c>
      <c r="V1419" s="1786">
        <f t="shared" si="240"/>
        <v>0</v>
      </c>
      <c r="W1419" s="1789" t="str">
        <f t="shared" si="241"/>
        <v>תעוזה קופת גמל לתגמולים ולפיצויים ליד הבנק הבינלאומי הראשון</v>
      </c>
      <c r="AC1419" s="1761" t="s">
        <v>1586</v>
      </c>
      <c r="AD1419" s="1762">
        <v>35907.6222569444</v>
      </c>
      <c r="AE1419" s="1762">
        <v>35431</v>
      </c>
      <c r="AF1419" s="1761" t="s">
        <v>1583</v>
      </c>
      <c r="AG1419" s="1761" t="s">
        <v>1583</v>
      </c>
      <c r="AH1419" s="1761" t="s">
        <v>1583</v>
      </c>
      <c r="AI1419" s="1761" t="s">
        <v>3192</v>
      </c>
      <c r="AJ1419" s="1761" t="s">
        <v>1887</v>
      </c>
      <c r="AK1419" s="1761">
        <v>569</v>
      </c>
      <c r="AL1419" s="1761" t="s">
        <v>1887</v>
      </c>
      <c r="AM1419" s="1761">
        <v>569</v>
      </c>
      <c r="AN1419" s="1761" t="s">
        <v>5470</v>
      </c>
      <c r="AO1419" s="1764"/>
      <c r="AP1419" s="1761"/>
      <c r="AQ1419" s="1761"/>
      <c r="AR1419" s="1761" t="s">
        <v>1684</v>
      </c>
      <c r="AS1419" s="1761" t="s">
        <v>1683</v>
      </c>
      <c r="AT1419" s="1761" t="s">
        <v>327</v>
      </c>
      <c r="AU1419" s="1763"/>
      <c r="AV1419" s="1763"/>
    </row>
    <row r="1420" spans="1:48" ht="25" hidden="1">
      <c r="A1420" s="1785" t="str">
        <f t="shared" si="231"/>
        <v>גמל</v>
      </c>
      <c r="B1420" s="1786">
        <f t="shared" si="232"/>
        <v>568</v>
      </c>
      <c r="C1420" s="1787">
        <v>28946</v>
      </c>
      <c r="D1420" s="1786" t="str">
        <f t="shared" si="233"/>
        <v>הראל - צוברת</v>
      </c>
      <c r="E1420" s="1786" t="s">
        <v>3929</v>
      </c>
      <c r="F1420" s="1786" t="s">
        <v>2958</v>
      </c>
      <c r="G1420" s="1786" t="s">
        <v>2959</v>
      </c>
      <c r="H1420" s="1786" t="str">
        <f t="shared" si="234"/>
        <v>לא פעיל</v>
      </c>
      <c r="I1420" s="1788">
        <f t="shared" si="235"/>
        <v>35065</v>
      </c>
      <c r="J1420" s="1788">
        <f t="shared" si="236"/>
        <v>40179</v>
      </c>
      <c r="K1420" s="1786">
        <v>0</v>
      </c>
      <c r="L1420" s="1786" t="s">
        <v>1594</v>
      </c>
      <c r="M1420" s="1786" t="s">
        <v>1653</v>
      </c>
      <c r="N1420" s="1786" t="s">
        <v>1653</v>
      </c>
      <c r="O1420" s="1786">
        <v>0</v>
      </c>
      <c r="P1420" s="1786"/>
      <c r="Q1420" s="1786">
        <v>0</v>
      </c>
      <c r="R1420" s="1788"/>
      <c r="S1420" s="1786">
        <f t="shared" si="237"/>
        <v>568</v>
      </c>
      <c r="T1420" s="1786" t="str">
        <f t="shared" si="238"/>
        <v>בנק לאומי בע"מ</v>
      </c>
      <c r="U1420" s="1786" t="str">
        <f t="shared" si="239"/>
        <v>הראל - צוברת</v>
      </c>
      <c r="V1420" s="1786">
        <f t="shared" si="240"/>
        <v>0</v>
      </c>
      <c r="W1420" s="1789" t="str">
        <f t="shared" si="241"/>
        <v>הראל עתידית קופות גמל בע"מ</v>
      </c>
      <c r="AC1420" s="1759" t="s">
        <v>1586</v>
      </c>
      <c r="AD1420" s="1760">
        <v>40179</v>
      </c>
      <c r="AE1420" s="1760">
        <v>35065</v>
      </c>
      <c r="AF1420" s="1759" t="s">
        <v>1583</v>
      </c>
      <c r="AG1420" s="1759" t="s">
        <v>1583</v>
      </c>
      <c r="AH1420" s="1759" t="s">
        <v>1583</v>
      </c>
      <c r="AI1420" s="1759" t="s">
        <v>3191</v>
      </c>
      <c r="AJ1420" s="1759" t="s">
        <v>1886</v>
      </c>
      <c r="AK1420" s="1759">
        <v>568</v>
      </c>
      <c r="AL1420" s="1759" t="s">
        <v>1886</v>
      </c>
      <c r="AM1420" s="1759">
        <v>568</v>
      </c>
      <c r="AN1420" s="1759" t="s">
        <v>5470</v>
      </c>
      <c r="AO1420" s="1764"/>
      <c r="AP1420" s="1759"/>
      <c r="AQ1420" s="1759"/>
      <c r="AR1420" s="1759" t="s">
        <v>530</v>
      </c>
      <c r="AS1420" s="1759" t="s">
        <v>531</v>
      </c>
      <c r="AT1420" s="1759" t="s">
        <v>327</v>
      </c>
      <c r="AU1420" s="1763"/>
      <c r="AV1420" s="1763"/>
    </row>
    <row r="1421" spans="1:48" ht="25" hidden="1">
      <c r="A1421" s="1785" t="str">
        <f t="shared" si="231"/>
        <v>גמל</v>
      </c>
      <c r="B1421" s="1786">
        <f t="shared" si="232"/>
        <v>565</v>
      </c>
      <c r="C1421" s="1787">
        <v>28946</v>
      </c>
      <c r="D1421" s="1786" t="str">
        <f t="shared" si="233"/>
        <v>סמל - קרן השתלמות לשכירים ועצמאים</v>
      </c>
      <c r="E1421" s="1786" t="s">
        <v>3929</v>
      </c>
      <c r="F1421" s="1786" t="s">
        <v>2958</v>
      </c>
      <c r="G1421" s="1786" t="s">
        <v>2959</v>
      </c>
      <c r="H1421" s="1786" t="str">
        <f t="shared" si="234"/>
        <v>לא פעיל</v>
      </c>
      <c r="I1421" s="1788">
        <f t="shared" si="235"/>
        <v>35431</v>
      </c>
      <c r="J1421" s="1788">
        <f t="shared" si="236"/>
        <v>39636</v>
      </c>
      <c r="K1421" s="1786">
        <v>0</v>
      </c>
      <c r="L1421" s="1786" t="s">
        <v>1594</v>
      </c>
      <c r="M1421" s="1786" t="s">
        <v>1653</v>
      </c>
      <c r="N1421" s="1786" t="s">
        <v>1653</v>
      </c>
      <c r="O1421" s="1786">
        <v>0</v>
      </c>
      <c r="P1421" s="1786"/>
      <c r="Q1421" s="1786">
        <v>0</v>
      </c>
      <c r="R1421" s="1788"/>
      <c r="S1421" s="1786">
        <f t="shared" si="237"/>
        <v>565</v>
      </c>
      <c r="T1421" s="1786" t="str">
        <f t="shared" si="238"/>
        <v>בנק מזרחי טפחות בע"מ</v>
      </c>
      <c r="U1421" s="1786" t="str">
        <f t="shared" si="239"/>
        <v>סמל - קרן השתלמות לשכירים ועצמאים</v>
      </c>
      <c r="V1421" s="1786">
        <f t="shared" si="240"/>
        <v>0</v>
      </c>
      <c r="W1421" s="1789" t="str">
        <f t="shared" si="241"/>
        <v>סמל חברה לניהול קופות גמל בע"מ</v>
      </c>
      <c r="AC1421" s="1761" t="s">
        <v>1586</v>
      </c>
      <c r="AD1421" s="1762">
        <v>39636</v>
      </c>
      <c r="AE1421" s="1762">
        <v>35431</v>
      </c>
      <c r="AF1421" s="1761" t="s">
        <v>1583</v>
      </c>
      <c r="AG1421" s="1761" t="s">
        <v>1583</v>
      </c>
      <c r="AH1421" s="1761" t="s">
        <v>1583</v>
      </c>
      <c r="AI1421" s="1761" t="s">
        <v>3190</v>
      </c>
      <c r="AJ1421" s="1761" t="s">
        <v>1885</v>
      </c>
      <c r="AK1421" s="1761">
        <v>565</v>
      </c>
      <c r="AL1421" s="1761" t="s">
        <v>1885</v>
      </c>
      <c r="AM1421" s="1761">
        <v>565</v>
      </c>
      <c r="AN1421" s="1761" t="s">
        <v>5370</v>
      </c>
      <c r="AO1421" s="1764"/>
      <c r="AP1421" s="1761"/>
      <c r="AQ1421" s="1761"/>
      <c r="AR1421" s="1761" t="s">
        <v>1826</v>
      </c>
      <c r="AS1421" s="1761" t="s">
        <v>1825</v>
      </c>
      <c r="AT1421" s="1761" t="s">
        <v>327</v>
      </c>
      <c r="AU1421" s="1763"/>
      <c r="AV1421" s="1763"/>
    </row>
    <row r="1422" spans="1:48" ht="37.5" hidden="1">
      <c r="A1422" s="1785" t="str">
        <f t="shared" si="231"/>
        <v>גמל</v>
      </c>
      <c r="B1422" s="1786">
        <f t="shared" si="232"/>
        <v>564</v>
      </c>
      <c r="C1422" s="1787">
        <v>28946</v>
      </c>
      <c r="D1422" s="1786" t="str">
        <f t="shared" si="233"/>
        <v>משגב - קרן השתלמות לשכירים ועצמאים</v>
      </c>
      <c r="E1422" s="1786" t="s">
        <v>3929</v>
      </c>
      <c r="F1422" s="1786" t="s">
        <v>2958</v>
      </c>
      <c r="G1422" s="1786" t="s">
        <v>2959</v>
      </c>
      <c r="H1422" s="1786" t="str">
        <f t="shared" si="234"/>
        <v>לא פעיל</v>
      </c>
      <c r="I1422" s="1788">
        <f t="shared" si="235"/>
        <v>35065</v>
      </c>
      <c r="J1422" s="1788">
        <f t="shared" si="236"/>
        <v>40178</v>
      </c>
      <c r="K1422" s="1786">
        <v>0</v>
      </c>
      <c r="L1422" s="1786" t="s">
        <v>1594</v>
      </c>
      <c r="M1422" s="1786" t="s">
        <v>1653</v>
      </c>
      <c r="N1422" s="1786" t="s">
        <v>1653</v>
      </c>
      <c r="O1422" s="1786">
        <v>0</v>
      </c>
      <c r="P1422" s="1786"/>
      <c r="Q1422" s="1786">
        <v>0</v>
      </c>
      <c r="R1422" s="1788"/>
      <c r="S1422" s="1786">
        <f t="shared" si="237"/>
        <v>564</v>
      </c>
      <c r="T1422" s="1786" t="str">
        <f t="shared" si="238"/>
        <v>פיק, כהן ושות' חברה למיכון ומחשבים בע"מ</v>
      </c>
      <c r="U1422" s="1786" t="str">
        <f t="shared" si="239"/>
        <v>משגב - קרן השתלמות לשכירים ועצמאים</v>
      </c>
      <c r="V1422" s="1786" t="str">
        <f t="shared" si="240"/>
        <v>520030677</v>
      </c>
      <c r="W1422" s="1789" t="str">
        <f t="shared" si="241"/>
        <v>איילון פנסיה וגמל בע"מ</v>
      </c>
      <c r="AC1422" s="1759" t="s">
        <v>1586</v>
      </c>
      <c r="AD1422" s="1760">
        <v>40178</v>
      </c>
      <c r="AE1422" s="1760">
        <v>35065</v>
      </c>
      <c r="AF1422" s="1759" t="s">
        <v>1583</v>
      </c>
      <c r="AG1422" s="1759" t="s">
        <v>1583</v>
      </c>
      <c r="AH1422" s="1759" t="s">
        <v>1583</v>
      </c>
      <c r="AI1422" s="1759" t="s">
        <v>3189</v>
      </c>
      <c r="AJ1422" s="1759" t="s">
        <v>1884</v>
      </c>
      <c r="AK1422" s="1759">
        <v>564</v>
      </c>
      <c r="AL1422" s="1759" t="s">
        <v>1884</v>
      </c>
      <c r="AM1422" s="1759">
        <v>564</v>
      </c>
      <c r="AN1422" s="1759" t="s">
        <v>5530</v>
      </c>
      <c r="AO1422" s="1764"/>
      <c r="AP1422" s="1759" t="s">
        <v>5385</v>
      </c>
      <c r="AQ1422" s="1759" t="s">
        <v>5386</v>
      </c>
      <c r="AR1422" s="1759" t="s">
        <v>2780</v>
      </c>
      <c r="AS1422" s="1759" t="s">
        <v>426</v>
      </c>
      <c r="AT1422" s="1759" t="s">
        <v>327</v>
      </c>
      <c r="AU1422" s="1763"/>
      <c r="AV1422" s="1763"/>
    </row>
    <row r="1423" spans="1:48" ht="37.5" hidden="1">
      <c r="A1423" s="1785" t="str">
        <f t="shared" si="231"/>
        <v>גמל</v>
      </c>
      <c r="B1423" s="1786">
        <f t="shared" si="232"/>
        <v>563</v>
      </c>
      <c r="C1423" s="1787">
        <v>28946</v>
      </c>
      <c r="D1423" s="1786" t="str">
        <f t="shared" si="233"/>
        <v>ישיר מתן 2001 קופת גמל לתגמולים ולפיצויים מקבוצת ביטוח ישיר</v>
      </c>
      <c r="E1423" s="1786" t="s">
        <v>3929</v>
      </c>
      <c r="F1423" s="1786" t="s">
        <v>2958</v>
      </c>
      <c r="G1423" s="1786" t="s">
        <v>2959</v>
      </c>
      <c r="H1423" s="1786" t="str">
        <f t="shared" si="234"/>
        <v>לא פעיל</v>
      </c>
      <c r="I1423" s="1788">
        <f t="shared" si="235"/>
        <v>35065</v>
      </c>
      <c r="J1423" s="1788">
        <f t="shared" si="236"/>
        <v>40542</v>
      </c>
      <c r="K1423" s="1786">
        <v>0</v>
      </c>
      <c r="L1423" s="1786" t="s">
        <v>1594</v>
      </c>
      <c r="M1423" s="1786" t="s">
        <v>1653</v>
      </c>
      <c r="N1423" s="1786" t="s">
        <v>1653</v>
      </c>
      <c r="O1423" s="1786">
        <v>0</v>
      </c>
      <c r="P1423" s="1786"/>
      <c r="Q1423" s="1786">
        <v>0</v>
      </c>
      <c r="R1423" s="1788"/>
      <c r="S1423" s="1786">
        <f t="shared" si="237"/>
        <v>563</v>
      </c>
      <c r="T1423" s="1786" t="str">
        <f t="shared" si="238"/>
        <v>הבנק הבינלאומי הראשון</v>
      </c>
      <c r="U1423" s="1786" t="str">
        <f t="shared" si="239"/>
        <v>ישיר מתן 2001 קופת גמל לתגמולים ולפיצויים מקבוצת ביטוח ישיר</v>
      </c>
      <c r="V1423" s="1786">
        <f t="shared" si="240"/>
        <v>0</v>
      </c>
      <c r="W1423" s="1789" t="str">
        <f t="shared" si="241"/>
        <v>מיטב ישיר גמל בע"מ</v>
      </c>
      <c r="AC1423" s="1761" t="s">
        <v>1586</v>
      </c>
      <c r="AD1423" s="1762">
        <v>40542</v>
      </c>
      <c r="AE1423" s="1762">
        <v>35065</v>
      </c>
      <c r="AF1423" s="1761" t="s">
        <v>1681</v>
      </c>
      <c r="AG1423" s="1761" t="s">
        <v>1583</v>
      </c>
      <c r="AH1423" s="1761" t="s">
        <v>1583</v>
      </c>
      <c r="AI1423" s="1761" t="s">
        <v>3188</v>
      </c>
      <c r="AJ1423" s="1761" t="s">
        <v>1883</v>
      </c>
      <c r="AK1423" s="1761">
        <v>563</v>
      </c>
      <c r="AL1423" s="1761" t="s">
        <v>1883</v>
      </c>
      <c r="AM1423" s="1761">
        <v>563</v>
      </c>
      <c r="AN1423" s="1761" t="s">
        <v>5384</v>
      </c>
      <c r="AO1423" s="1764"/>
      <c r="AP1423" s="1761"/>
      <c r="AQ1423" s="1761"/>
      <c r="AR1423" s="1761" t="s">
        <v>1589</v>
      </c>
      <c r="AS1423" s="1761" t="s">
        <v>1588</v>
      </c>
      <c r="AT1423" s="1761" t="s">
        <v>327</v>
      </c>
      <c r="AU1423" s="1763"/>
      <c r="AV1423" s="1763"/>
    </row>
    <row r="1424" spans="1:48" ht="25" hidden="1">
      <c r="A1424" s="1785" t="str">
        <f t="shared" si="231"/>
        <v>גמל</v>
      </c>
      <c r="B1424" s="1786">
        <f t="shared" si="232"/>
        <v>562</v>
      </c>
      <c r="C1424" s="1787">
        <v>28946</v>
      </c>
      <c r="D1424" s="1786" t="str">
        <f t="shared" si="233"/>
        <v>רותם</v>
      </c>
      <c r="E1424" s="1786" t="s">
        <v>3929</v>
      </c>
      <c r="F1424" s="1786" t="s">
        <v>2958</v>
      </c>
      <c r="G1424" s="1786" t="s">
        <v>2959</v>
      </c>
      <c r="H1424" s="1786" t="str">
        <f t="shared" si="234"/>
        <v>לא פעיל</v>
      </c>
      <c r="I1424" s="1788">
        <f t="shared" si="235"/>
        <v>35327</v>
      </c>
      <c r="J1424" s="1788">
        <f t="shared" si="236"/>
        <v>40890.6401736111</v>
      </c>
      <c r="K1424" s="1786">
        <v>0</v>
      </c>
      <c r="L1424" s="1786" t="s">
        <v>1594</v>
      </c>
      <c r="M1424" s="1786" t="s">
        <v>1653</v>
      </c>
      <c r="N1424" s="1786" t="s">
        <v>1653</v>
      </c>
      <c r="O1424" s="1786">
        <v>0</v>
      </c>
      <c r="P1424" s="1786"/>
      <c r="Q1424" s="1786">
        <v>0</v>
      </c>
      <c r="R1424" s="1788"/>
      <c r="S1424" s="1786">
        <f t="shared" si="237"/>
        <v>562</v>
      </c>
      <c r="T1424" s="1786" t="str">
        <f t="shared" si="238"/>
        <v>בנק יהב לעובדי המדינה בע"מ</v>
      </c>
      <c r="U1424" s="1786" t="str">
        <f t="shared" si="239"/>
        <v>רותם</v>
      </c>
      <c r="V1424" s="1786" t="str">
        <f t="shared" si="240"/>
        <v>513163105</v>
      </c>
      <c r="W1424" s="1789" t="str">
        <f t="shared" si="241"/>
        <v>הלמן - אלדובי קופות גמל ופנסיה בע"מ</v>
      </c>
      <c r="AC1424" s="1759" t="s">
        <v>1586</v>
      </c>
      <c r="AD1424" s="1760">
        <v>40890.6401736111</v>
      </c>
      <c r="AE1424" s="1760">
        <v>35327</v>
      </c>
      <c r="AF1424" s="1759" t="s">
        <v>1583</v>
      </c>
      <c r="AG1424" s="1759" t="s">
        <v>1583</v>
      </c>
      <c r="AH1424" s="1759" t="s">
        <v>1583</v>
      </c>
      <c r="AI1424" s="1759" t="s">
        <v>1882</v>
      </c>
      <c r="AJ1424" s="1759" t="s">
        <v>1882</v>
      </c>
      <c r="AK1424" s="1759">
        <v>562</v>
      </c>
      <c r="AL1424" s="1759" t="s">
        <v>1882</v>
      </c>
      <c r="AM1424" s="1759">
        <v>562</v>
      </c>
      <c r="AN1424" s="1759" t="s">
        <v>5517</v>
      </c>
      <c r="AO1424" s="1764"/>
      <c r="AP1424" s="1759" t="s">
        <v>5371</v>
      </c>
      <c r="AQ1424" s="1759" t="s">
        <v>5372</v>
      </c>
      <c r="AR1424" s="1759" t="s">
        <v>354</v>
      </c>
      <c r="AS1424" s="1759" t="s">
        <v>355</v>
      </c>
      <c r="AT1424" s="1759" t="s">
        <v>327</v>
      </c>
      <c r="AU1424" s="1763"/>
      <c r="AV1424" s="1763"/>
    </row>
    <row r="1425" spans="1:48" ht="25" hidden="1">
      <c r="A1425" s="1785" t="str">
        <f t="shared" si="231"/>
        <v>גמל</v>
      </c>
      <c r="B1425" s="1786">
        <f t="shared" si="232"/>
        <v>561</v>
      </c>
      <c r="C1425" s="1787">
        <v>28946</v>
      </c>
      <c r="D1425" s="1786" t="str">
        <f t="shared" si="233"/>
        <v>להבה מסלול כללי</v>
      </c>
      <c r="E1425" s="1786" t="s">
        <v>3929</v>
      </c>
      <c r="F1425" s="1786" t="s">
        <v>2958</v>
      </c>
      <c r="G1425" s="1786" t="s">
        <v>2959</v>
      </c>
      <c r="H1425" s="1786" t="str">
        <f t="shared" si="234"/>
        <v>לא פעיל</v>
      </c>
      <c r="I1425" s="1788">
        <f t="shared" si="235"/>
        <v>35065</v>
      </c>
      <c r="J1425" s="1788">
        <f t="shared" si="236"/>
        <v>40909</v>
      </c>
      <c r="K1425" s="1786">
        <v>0</v>
      </c>
      <c r="L1425" s="1786" t="s">
        <v>1594</v>
      </c>
      <c r="M1425" s="1786" t="s">
        <v>1653</v>
      </c>
      <c r="N1425" s="1786" t="s">
        <v>1653</v>
      </c>
      <c r="O1425" s="1786">
        <v>0</v>
      </c>
      <c r="P1425" s="1786"/>
      <c r="Q1425" s="1786">
        <v>0</v>
      </c>
      <c r="R1425" s="1788"/>
      <c r="S1425" s="1786">
        <f t="shared" si="237"/>
        <v>561</v>
      </c>
      <c r="T1425" s="1786" t="str">
        <f t="shared" si="238"/>
        <v>בנק הפועלים בע"מ</v>
      </c>
      <c r="U1425" s="1786" t="str">
        <f t="shared" si="239"/>
        <v>להבה מסלול כללי</v>
      </c>
      <c r="V1425" s="1786">
        <f t="shared" si="240"/>
        <v>0</v>
      </c>
      <c r="W1425" s="1789" t="str">
        <f t="shared" si="241"/>
        <v>מנורה מבטחים גמל בע"מ</v>
      </c>
      <c r="AC1425" s="1761" t="s">
        <v>1586</v>
      </c>
      <c r="AD1425" s="1762">
        <v>40909</v>
      </c>
      <c r="AE1425" s="1762">
        <v>35065</v>
      </c>
      <c r="AF1425" s="1761" t="s">
        <v>1583</v>
      </c>
      <c r="AG1425" s="1761" t="s">
        <v>1583</v>
      </c>
      <c r="AH1425" s="1761" t="s">
        <v>1583</v>
      </c>
      <c r="AI1425" s="1761" t="s">
        <v>1881</v>
      </c>
      <c r="AJ1425" s="1761" t="s">
        <v>1881</v>
      </c>
      <c r="AK1425" s="1761">
        <v>561</v>
      </c>
      <c r="AL1425" s="1761" t="s">
        <v>1881</v>
      </c>
      <c r="AM1425" s="1761">
        <v>561</v>
      </c>
      <c r="AN1425" s="1761" t="s">
        <v>1695</v>
      </c>
      <c r="AO1425" s="1764"/>
      <c r="AP1425" s="1761"/>
      <c r="AQ1425" s="1761"/>
      <c r="AR1425" s="1761" t="s">
        <v>363</v>
      </c>
      <c r="AS1425" s="1761" t="s">
        <v>364</v>
      </c>
      <c r="AT1425" s="1761" t="s">
        <v>327</v>
      </c>
      <c r="AU1425" s="1763"/>
      <c r="AV1425" s="1763"/>
    </row>
    <row r="1426" spans="1:48" ht="25" hidden="1">
      <c r="A1426" s="1785" t="str">
        <f t="shared" si="231"/>
        <v>גמל</v>
      </c>
      <c r="B1426" s="1786">
        <f t="shared" si="232"/>
        <v>1379</v>
      </c>
      <c r="C1426" s="1787">
        <v>28946</v>
      </c>
      <c r="D1426" s="1786" t="str">
        <f t="shared" si="233"/>
        <v>להבה מסלול מדדי</v>
      </c>
      <c r="E1426" s="1786" t="s">
        <v>3929</v>
      </c>
      <c r="F1426" s="1786" t="s">
        <v>2958</v>
      </c>
      <c r="G1426" s="1786" t="s">
        <v>2959</v>
      </c>
      <c r="H1426" s="1786" t="str">
        <f t="shared" si="234"/>
        <v>לא פעיל</v>
      </c>
      <c r="I1426" s="1788">
        <f t="shared" si="235"/>
        <v>35065</v>
      </c>
      <c r="J1426" s="1788">
        <f t="shared" si="236"/>
        <v>40917.7901851852</v>
      </c>
      <c r="K1426" s="1786">
        <v>0</v>
      </c>
      <c r="L1426" s="1786" t="s">
        <v>1594</v>
      </c>
      <c r="M1426" s="1786" t="s">
        <v>1653</v>
      </c>
      <c r="N1426" s="1786" t="s">
        <v>1653</v>
      </c>
      <c r="O1426" s="1786">
        <v>0</v>
      </c>
      <c r="P1426" s="1786"/>
      <c r="Q1426" s="1786">
        <v>0</v>
      </c>
      <c r="R1426" s="1788"/>
      <c r="S1426" s="1786">
        <f t="shared" si="237"/>
        <v>561</v>
      </c>
      <c r="T1426" s="1786" t="str">
        <f t="shared" si="238"/>
        <v>בנק הפועלים בע"מ</v>
      </c>
      <c r="U1426" s="1786" t="str">
        <f t="shared" si="239"/>
        <v>להבה מסלול כללי</v>
      </c>
      <c r="V1426" s="1786">
        <f t="shared" si="240"/>
        <v>0</v>
      </c>
      <c r="W1426" s="1789" t="str">
        <f t="shared" si="241"/>
        <v>מנורה מבטחים גמל בע"מ</v>
      </c>
      <c r="AC1426" s="1759" t="s">
        <v>1586</v>
      </c>
      <c r="AD1426" s="1760">
        <v>40917.7901851852</v>
      </c>
      <c r="AE1426" s="1760">
        <v>35065</v>
      </c>
      <c r="AF1426" s="1759" t="s">
        <v>1094</v>
      </c>
      <c r="AG1426" s="1759" t="s">
        <v>1094</v>
      </c>
      <c r="AH1426" s="1759" t="s">
        <v>1594</v>
      </c>
      <c r="AI1426" s="1759" t="s">
        <v>2430</v>
      </c>
      <c r="AJ1426" s="1759" t="s">
        <v>2430</v>
      </c>
      <c r="AK1426" s="1759">
        <v>1379</v>
      </c>
      <c r="AL1426" s="1759" t="s">
        <v>1881</v>
      </c>
      <c r="AM1426" s="1759">
        <v>561</v>
      </c>
      <c r="AN1426" s="1759" t="s">
        <v>1695</v>
      </c>
      <c r="AO1426" s="1764"/>
      <c r="AP1426" s="1759"/>
      <c r="AQ1426" s="1759"/>
      <c r="AR1426" s="1759" t="s">
        <v>363</v>
      </c>
      <c r="AS1426" s="1759" t="s">
        <v>364</v>
      </c>
      <c r="AT1426" s="1759" t="s">
        <v>327</v>
      </c>
      <c r="AU1426" s="1763"/>
      <c r="AV1426" s="1763"/>
    </row>
    <row r="1427" spans="1:48" ht="25" hidden="1">
      <c r="A1427" s="1785" t="str">
        <f t="shared" si="231"/>
        <v>גמל</v>
      </c>
      <c r="B1427" s="1786">
        <f t="shared" si="232"/>
        <v>1382</v>
      </c>
      <c r="C1427" s="1787">
        <v>28946</v>
      </c>
      <c r="D1427" s="1786" t="str">
        <f t="shared" si="233"/>
        <v>להבה מסלול מט"ח</v>
      </c>
      <c r="E1427" s="1786" t="s">
        <v>3929</v>
      </c>
      <c r="F1427" s="1786" t="s">
        <v>2958</v>
      </c>
      <c r="G1427" s="1786" t="s">
        <v>2959</v>
      </c>
      <c r="H1427" s="1786" t="str">
        <f t="shared" si="234"/>
        <v>לא פעיל</v>
      </c>
      <c r="I1427" s="1788">
        <f t="shared" si="235"/>
        <v>35065</v>
      </c>
      <c r="J1427" s="1788">
        <f t="shared" si="236"/>
        <v>40917.790335648097</v>
      </c>
      <c r="K1427" s="1786">
        <v>0</v>
      </c>
      <c r="L1427" s="1786" t="s">
        <v>1594</v>
      </c>
      <c r="M1427" s="1786" t="s">
        <v>1653</v>
      </c>
      <c r="N1427" s="1786" t="s">
        <v>1653</v>
      </c>
      <c r="O1427" s="1786">
        <v>0</v>
      </c>
      <c r="P1427" s="1786"/>
      <c r="Q1427" s="1786">
        <v>0</v>
      </c>
      <c r="R1427" s="1788"/>
      <c r="S1427" s="1786">
        <f t="shared" si="237"/>
        <v>561</v>
      </c>
      <c r="T1427" s="1786" t="str">
        <f t="shared" si="238"/>
        <v>בנק הפועלים בע"מ</v>
      </c>
      <c r="U1427" s="1786" t="str">
        <f t="shared" si="239"/>
        <v>להבה מסלול כללי</v>
      </c>
      <c r="V1427" s="1786">
        <f t="shared" si="240"/>
        <v>0</v>
      </c>
      <c r="W1427" s="1789" t="str">
        <f t="shared" si="241"/>
        <v>מנורה מבטחים גמל בע"מ</v>
      </c>
      <c r="AC1427" s="1761" t="s">
        <v>1586</v>
      </c>
      <c r="AD1427" s="1762">
        <v>40917.790335648097</v>
      </c>
      <c r="AE1427" s="1762">
        <v>35065</v>
      </c>
      <c r="AF1427" s="1761" t="s">
        <v>1583</v>
      </c>
      <c r="AG1427" s="1761" t="s">
        <v>1583</v>
      </c>
      <c r="AH1427" s="1761" t="s">
        <v>1583</v>
      </c>
      <c r="AI1427" s="1761" t="s">
        <v>2433</v>
      </c>
      <c r="AJ1427" s="1761" t="s">
        <v>2433</v>
      </c>
      <c r="AK1427" s="1761">
        <v>1382</v>
      </c>
      <c r="AL1427" s="1761" t="s">
        <v>1881</v>
      </c>
      <c r="AM1427" s="1761">
        <v>561</v>
      </c>
      <c r="AN1427" s="1761" t="s">
        <v>1695</v>
      </c>
      <c r="AO1427" s="1764"/>
      <c r="AP1427" s="1761"/>
      <c r="AQ1427" s="1761"/>
      <c r="AR1427" s="1761" t="s">
        <v>363</v>
      </c>
      <c r="AS1427" s="1761" t="s">
        <v>364</v>
      </c>
      <c r="AT1427" s="1761" t="s">
        <v>327</v>
      </c>
      <c r="AU1427" s="1763"/>
      <c r="AV1427" s="1763"/>
    </row>
    <row r="1428" spans="1:48" ht="25" hidden="1">
      <c r="A1428" s="1785" t="str">
        <f t="shared" si="231"/>
        <v>גמל</v>
      </c>
      <c r="B1428" s="1786">
        <f t="shared" si="232"/>
        <v>1381</v>
      </c>
      <c r="C1428" s="1787">
        <v>28946</v>
      </c>
      <c r="D1428" s="1786" t="str">
        <f t="shared" si="233"/>
        <v>להבה מסלול מניות</v>
      </c>
      <c r="E1428" s="1786" t="s">
        <v>3929</v>
      </c>
      <c r="F1428" s="1786" t="s">
        <v>2958</v>
      </c>
      <c r="G1428" s="1786" t="s">
        <v>2959</v>
      </c>
      <c r="H1428" s="1786" t="str">
        <f t="shared" si="234"/>
        <v>לא פעיל</v>
      </c>
      <c r="I1428" s="1788">
        <f t="shared" si="235"/>
        <v>35065</v>
      </c>
      <c r="J1428" s="1788">
        <f t="shared" si="236"/>
        <v>40917.790520833303</v>
      </c>
      <c r="K1428" s="1786">
        <v>0</v>
      </c>
      <c r="L1428" s="1786" t="s">
        <v>1594</v>
      </c>
      <c r="M1428" s="1786" t="s">
        <v>1653</v>
      </c>
      <c r="N1428" s="1786" t="s">
        <v>1653</v>
      </c>
      <c r="O1428" s="1786">
        <v>0</v>
      </c>
      <c r="P1428" s="1786"/>
      <c r="Q1428" s="1786">
        <v>0</v>
      </c>
      <c r="R1428" s="1788"/>
      <c r="S1428" s="1786">
        <f t="shared" si="237"/>
        <v>561</v>
      </c>
      <c r="T1428" s="1786" t="str">
        <f t="shared" si="238"/>
        <v>בנק הפועלים בע"מ</v>
      </c>
      <c r="U1428" s="1786" t="str">
        <f t="shared" si="239"/>
        <v>להבה מסלול כללי</v>
      </c>
      <c r="V1428" s="1786">
        <f t="shared" si="240"/>
        <v>0</v>
      </c>
      <c r="W1428" s="1789" t="str">
        <f t="shared" si="241"/>
        <v>מנורה מבטחים גמל בע"מ</v>
      </c>
      <c r="AC1428" s="1759" t="s">
        <v>1586</v>
      </c>
      <c r="AD1428" s="1760">
        <v>40917.790520833303</v>
      </c>
      <c r="AE1428" s="1760">
        <v>35065</v>
      </c>
      <c r="AF1428" s="1759" t="s">
        <v>1595</v>
      </c>
      <c r="AG1428" s="1759" t="s">
        <v>75</v>
      </c>
      <c r="AH1428" s="1759" t="s">
        <v>1594</v>
      </c>
      <c r="AI1428" s="1759" t="s">
        <v>2432</v>
      </c>
      <c r="AJ1428" s="1759" t="s">
        <v>2432</v>
      </c>
      <c r="AK1428" s="1759">
        <v>1381</v>
      </c>
      <c r="AL1428" s="1759" t="s">
        <v>1881</v>
      </c>
      <c r="AM1428" s="1759">
        <v>561</v>
      </c>
      <c r="AN1428" s="1759" t="s">
        <v>1695</v>
      </c>
      <c r="AO1428" s="1764"/>
      <c r="AP1428" s="1759"/>
      <c r="AQ1428" s="1759"/>
      <c r="AR1428" s="1759" t="s">
        <v>363</v>
      </c>
      <c r="AS1428" s="1759" t="s">
        <v>364</v>
      </c>
      <c r="AT1428" s="1759" t="s">
        <v>327</v>
      </c>
      <c r="AU1428" s="1763"/>
      <c r="AV1428" s="1763"/>
    </row>
    <row r="1429" spans="1:48" ht="25" hidden="1">
      <c r="A1429" s="1785" t="str">
        <f t="shared" si="231"/>
        <v>גמל</v>
      </c>
      <c r="B1429" s="1786">
        <f t="shared" si="232"/>
        <v>1380</v>
      </c>
      <c r="C1429" s="1787">
        <v>28946</v>
      </c>
      <c r="D1429" s="1786" t="str">
        <f t="shared" si="233"/>
        <v>להבה מסלול שקלי</v>
      </c>
      <c r="E1429" s="1786" t="s">
        <v>3929</v>
      </c>
      <c r="F1429" s="1786" t="s">
        <v>2958</v>
      </c>
      <c r="G1429" s="1786" t="s">
        <v>2959</v>
      </c>
      <c r="H1429" s="1786" t="str">
        <f t="shared" si="234"/>
        <v>לא פעיל</v>
      </c>
      <c r="I1429" s="1788">
        <f t="shared" si="235"/>
        <v>35065</v>
      </c>
      <c r="J1429" s="1788">
        <f t="shared" si="236"/>
        <v>40909</v>
      </c>
      <c r="K1429" s="1786">
        <v>0</v>
      </c>
      <c r="L1429" s="1786" t="s">
        <v>1594</v>
      </c>
      <c r="M1429" s="1786" t="s">
        <v>1653</v>
      </c>
      <c r="N1429" s="1786" t="s">
        <v>1653</v>
      </c>
      <c r="O1429" s="1786">
        <v>0</v>
      </c>
      <c r="P1429" s="1786"/>
      <c r="Q1429" s="1786">
        <v>0</v>
      </c>
      <c r="R1429" s="1788"/>
      <c r="S1429" s="1786">
        <f t="shared" si="237"/>
        <v>561</v>
      </c>
      <c r="T1429" s="1786" t="str">
        <f t="shared" si="238"/>
        <v>בנק הפועלים בע"מ</v>
      </c>
      <c r="U1429" s="1786" t="str">
        <f t="shared" si="239"/>
        <v>להבה מסלול כללי</v>
      </c>
      <c r="V1429" s="1786">
        <f t="shared" si="240"/>
        <v>0</v>
      </c>
      <c r="W1429" s="1789" t="str">
        <f t="shared" si="241"/>
        <v>מנורה מבטחים גמל בע"מ</v>
      </c>
      <c r="AC1429" s="1761" t="s">
        <v>1586</v>
      </c>
      <c r="AD1429" s="1762">
        <v>40909</v>
      </c>
      <c r="AE1429" s="1762">
        <v>35065</v>
      </c>
      <c r="AF1429" s="1761" t="s">
        <v>1076</v>
      </c>
      <c r="AG1429" s="1761" t="s">
        <v>1614</v>
      </c>
      <c r="AH1429" s="1761" t="s">
        <v>1594</v>
      </c>
      <c r="AI1429" s="1761" t="s">
        <v>2431</v>
      </c>
      <c r="AJ1429" s="1761" t="s">
        <v>2431</v>
      </c>
      <c r="AK1429" s="1761">
        <v>1380</v>
      </c>
      <c r="AL1429" s="1761" t="s">
        <v>1881</v>
      </c>
      <c r="AM1429" s="1761">
        <v>561</v>
      </c>
      <c r="AN1429" s="1761" t="s">
        <v>1695</v>
      </c>
      <c r="AO1429" s="1764"/>
      <c r="AP1429" s="1761"/>
      <c r="AQ1429" s="1761"/>
      <c r="AR1429" s="1761" t="s">
        <v>363</v>
      </c>
      <c r="AS1429" s="1761" t="s">
        <v>364</v>
      </c>
      <c r="AT1429" s="1761" t="s">
        <v>327</v>
      </c>
      <c r="AU1429" s="1763"/>
      <c r="AV1429" s="1763"/>
    </row>
    <row r="1430" spans="1:48" ht="37.5" hidden="1">
      <c r="A1430" s="1785" t="str">
        <f t="shared" si="231"/>
        <v>גמל</v>
      </c>
      <c r="B1430" s="1786">
        <f t="shared" si="232"/>
        <v>560</v>
      </c>
      <c r="C1430" s="1787">
        <v>28946</v>
      </c>
      <c r="D1430" s="1786" t="str">
        <f t="shared" si="233"/>
        <v>אנליסט קרן השתלמות כללי</v>
      </c>
      <c r="E1430" s="1786" t="s">
        <v>3929</v>
      </c>
      <c r="F1430" s="1786" t="s">
        <v>2958</v>
      </c>
      <c r="G1430" s="1786" t="s">
        <v>2959</v>
      </c>
      <c r="H1430" s="1786" t="str">
        <f t="shared" si="234"/>
        <v>לא פעיל</v>
      </c>
      <c r="I1430" s="1788">
        <f t="shared" si="235"/>
        <v>35309</v>
      </c>
      <c r="J1430" s="1788">
        <f t="shared" si="236"/>
        <v>42380.413958333302</v>
      </c>
      <c r="K1430" s="1786">
        <v>0</v>
      </c>
      <c r="L1430" s="1786" t="s">
        <v>1594</v>
      </c>
      <c r="M1430" s="1786" t="s">
        <v>1653</v>
      </c>
      <c r="N1430" s="1786" t="s">
        <v>1653</v>
      </c>
      <c r="O1430" s="1786">
        <v>0</v>
      </c>
      <c r="P1430" s="1786"/>
      <c r="Q1430" s="1786">
        <v>0</v>
      </c>
      <c r="R1430" s="1788"/>
      <c r="S1430" s="1786">
        <f t="shared" si="237"/>
        <v>560</v>
      </c>
      <c r="T1430" s="1786" t="str">
        <f t="shared" si="238"/>
        <v>הבנק הבינלאומי הראשון</v>
      </c>
      <c r="U1430" s="1786" t="str">
        <f t="shared" si="239"/>
        <v>אנליסט קרן השתלמות כללי</v>
      </c>
      <c r="V1430" s="1786" t="str">
        <f t="shared" si="240"/>
        <v>520041963</v>
      </c>
      <c r="W1430" s="1789" t="str">
        <f t="shared" si="241"/>
        <v>אנליסט קופות גמל בע"מ</v>
      </c>
      <c r="AC1430" s="1759" t="s">
        <v>1586</v>
      </c>
      <c r="AD1430" s="1760">
        <v>42380.413958333302</v>
      </c>
      <c r="AE1430" s="1760">
        <v>35309</v>
      </c>
      <c r="AF1430" s="1759" t="s">
        <v>1583</v>
      </c>
      <c r="AG1430" s="1759" t="s">
        <v>1583</v>
      </c>
      <c r="AH1430" s="1759" t="s">
        <v>1583</v>
      </c>
      <c r="AI1430" s="1759" t="s">
        <v>2811</v>
      </c>
      <c r="AJ1430" s="1759" t="s">
        <v>576</v>
      </c>
      <c r="AK1430" s="1759">
        <v>560</v>
      </c>
      <c r="AL1430" s="1759" t="s">
        <v>576</v>
      </c>
      <c r="AM1430" s="1759">
        <v>560</v>
      </c>
      <c r="AN1430" s="1759" t="s">
        <v>5384</v>
      </c>
      <c r="AO1430" s="1764"/>
      <c r="AP1430" s="1759" t="s">
        <v>5387</v>
      </c>
      <c r="AQ1430" s="1759" t="s">
        <v>5388</v>
      </c>
      <c r="AR1430" s="1759" t="s">
        <v>360</v>
      </c>
      <c r="AS1430" s="1759" t="s">
        <v>361</v>
      </c>
      <c r="AT1430" s="1759" t="s">
        <v>327</v>
      </c>
      <c r="AU1430" s="1763"/>
      <c r="AV1430" s="1763"/>
    </row>
    <row r="1431" spans="1:48" ht="37.5" hidden="1">
      <c r="A1431" s="1785" t="str">
        <f t="shared" ref="A1431:A1494" si="242">AT1431</f>
        <v>גמל</v>
      </c>
      <c r="B1431" s="1786">
        <f t="shared" ref="B1431:B1494" si="243">AK1431</f>
        <v>7703</v>
      </c>
      <c r="C1431" s="1787">
        <v>28946</v>
      </c>
      <c r="D1431" s="1786" t="str">
        <f t="shared" ref="D1431:D1494" si="244">AJ1431</f>
        <v>אנליסט קרן השתלמות כללי פאסיבי</v>
      </c>
      <c r="E1431" s="1786" t="s">
        <v>3929</v>
      </c>
      <c r="F1431" s="1786" t="s">
        <v>2958</v>
      </c>
      <c r="G1431" s="1786" t="s">
        <v>2959</v>
      </c>
      <c r="H1431" s="1786" t="str">
        <f t="shared" ref="H1431:H1494" si="245">AC1431</f>
        <v>לא פעיל</v>
      </c>
      <c r="I1431" s="1788">
        <f t="shared" ref="I1431:I1494" si="246">IF(AE1431="","",AE1431)</f>
        <v>35309</v>
      </c>
      <c r="J1431" s="1788">
        <f t="shared" ref="J1431:J1494" si="247">IF(AD1431="","",AD1431)</f>
        <v>43032.594571759299</v>
      </c>
      <c r="K1431" s="1786">
        <v>0</v>
      </c>
      <c r="L1431" s="1786" t="s">
        <v>1594</v>
      </c>
      <c r="M1431" s="1786" t="s">
        <v>1653</v>
      </c>
      <c r="N1431" s="1786" t="s">
        <v>1653</v>
      </c>
      <c r="O1431" s="1786">
        <v>0</v>
      </c>
      <c r="P1431" s="1786"/>
      <c r="Q1431" s="1786">
        <v>0</v>
      </c>
      <c r="R1431" s="1788"/>
      <c r="S1431" s="1786">
        <f t="shared" ref="S1431:S1494" si="248">AM1431</f>
        <v>560</v>
      </c>
      <c r="T1431" s="1786" t="str">
        <f t="shared" ref="T1431:T1494" si="249">AN1431</f>
        <v>הבנק הבינלאומי הראשון</v>
      </c>
      <c r="U1431" s="1786" t="str">
        <f t="shared" ref="U1431:U1494" si="250">AL1431</f>
        <v>אנליסט קרן השתלמות כללי</v>
      </c>
      <c r="V1431" s="1786" t="str">
        <f t="shared" ref="V1431:V1494" si="251">AQ1431</f>
        <v>520041963</v>
      </c>
      <c r="W1431" s="1789" t="str">
        <f t="shared" ref="W1431:W1494" si="252">AR1431</f>
        <v>אנליסט קופות גמל בע"מ</v>
      </c>
      <c r="AC1431" s="1761" t="s">
        <v>1586</v>
      </c>
      <c r="AD1431" s="1762">
        <v>43032.594571759299</v>
      </c>
      <c r="AE1431" s="1762">
        <v>35309</v>
      </c>
      <c r="AF1431" s="1761" t="s">
        <v>3959</v>
      </c>
      <c r="AG1431" s="1761" t="s">
        <v>1583</v>
      </c>
      <c r="AH1431" s="1761" t="s">
        <v>1583</v>
      </c>
      <c r="AI1431" s="1761" t="s">
        <v>4635</v>
      </c>
      <c r="AJ1431" s="1761" t="s">
        <v>4634</v>
      </c>
      <c r="AK1431" s="1761">
        <v>7703</v>
      </c>
      <c r="AL1431" s="1761" t="s">
        <v>576</v>
      </c>
      <c r="AM1431" s="1761">
        <v>560</v>
      </c>
      <c r="AN1431" s="1761" t="s">
        <v>5384</v>
      </c>
      <c r="AO1431" s="1764"/>
      <c r="AP1431" s="1761" t="s">
        <v>5387</v>
      </c>
      <c r="AQ1431" s="1761" t="s">
        <v>5388</v>
      </c>
      <c r="AR1431" s="1761" t="s">
        <v>360</v>
      </c>
      <c r="AS1431" s="1761" t="s">
        <v>361</v>
      </c>
      <c r="AT1431" s="1761" t="s">
        <v>327</v>
      </c>
      <c r="AU1431" s="1763"/>
      <c r="AV1431" s="1763"/>
    </row>
    <row r="1432" spans="1:48" ht="37.5" hidden="1">
      <c r="A1432" s="1785" t="str">
        <f t="shared" si="242"/>
        <v>גמל</v>
      </c>
      <c r="B1432" s="1786">
        <f t="shared" si="243"/>
        <v>8679</v>
      </c>
      <c r="C1432" s="1787">
        <v>28946</v>
      </c>
      <c r="D1432" s="1786" t="str">
        <f t="shared" si="244"/>
        <v>אנליסט קרן השתלמות - אג"ח עד 20% במניות</v>
      </c>
      <c r="E1432" s="1786" t="s">
        <v>3929</v>
      </c>
      <c r="F1432" s="1786" t="s">
        <v>2958</v>
      </c>
      <c r="G1432" s="1786" t="s">
        <v>2959</v>
      </c>
      <c r="H1432" s="1786" t="str">
        <f t="shared" si="245"/>
        <v>פעיל</v>
      </c>
      <c r="I1432" s="1788">
        <f t="shared" si="246"/>
        <v>35309</v>
      </c>
      <c r="J1432" s="1788" t="str">
        <f t="shared" si="247"/>
        <v/>
      </c>
      <c r="K1432" s="1786">
        <v>0</v>
      </c>
      <c r="L1432" s="1786" t="s">
        <v>1594</v>
      </c>
      <c r="M1432" s="1786" t="s">
        <v>1653</v>
      </c>
      <c r="N1432" s="1786" t="s">
        <v>1653</v>
      </c>
      <c r="O1432" s="1786">
        <v>0</v>
      </c>
      <c r="P1432" s="1786"/>
      <c r="Q1432" s="1786">
        <v>0</v>
      </c>
      <c r="R1432" s="1788"/>
      <c r="S1432" s="1786">
        <f t="shared" si="248"/>
        <v>560</v>
      </c>
      <c r="T1432" s="1786" t="str">
        <f t="shared" si="249"/>
        <v>הבנק הבינלאומי הראשון</v>
      </c>
      <c r="U1432" s="1786" t="str">
        <f t="shared" si="250"/>
        <v>אנליסט קרן השתלמות כללי</v>
      </c>
      <c r="V1432" s="1786" t="str">
        <f t="shared" si="251"/>
        <v>520041963</v>
      </c>
      <c r="W1432" s="1789" t="str">
        <f t="shared" si="252"/>
        <v>אנליסט קופות גמל בע"מ</v>
      </c>
      <c r="AC1432" s="1759" t="s">
        <v>346</v>
      </c>
      <c r="AD1432" s="1759"/>
      <c r="AE1432" s="1760">
        <v>35309</v>
      </c>
      <c r="AF1432" s="1759" t="s">
        <v>1653</v>
      </c>
      <c r="AG1432" s="1759" t="s">
        <v>1653</v>
      </c>
      <c r="AH1432" s="1759" t="s">
        <v>1594</v>
      </c>
      <c r="AI1432" s="1759" t="s">
        <v>4258</v>
      </c>
      <c r="AJ1432" s="1759" t="s">
        <v>4257</v>
      </c>
      <c r="AK1432" s="1759">
        <v>8679</v>
      </c>
      <c r="AL1432" s="1759" t="s">
        <v>576</v>
      </c>
      <c r="AM1432" s="1759">
        <v>560</v>
      </c>
      <c r="AN1432" s="1759" t="s">
        <v>5384</v>
      </c>
      <c r="AO1432" s="1764"/>
      <c r="AP1432" s="1759" t="s">
        <v>5387</v>
      </c>
      <c r="AQ1432" s="1759" t="s">
        <v>5388</v>
      </c>
      <c r="AR1432" s="1759" t="s">
        <v>360</v>
      </c>
      <c r="AS1432" s="1759" t="s">
        <v>361</v>
      </c>
      <c r="AT1432" s="1759" t="s">
        <v>327</v>
      </c>
      <c r="AU1432" s="1763"/>
      <c r="AV1432" s="1763"/>
    </row>
    <row r="1433" spans="1:48" ht="37.5" hidden="1">
      <c r="A1433" s="1785" t="str">
        <f t="shared" si="242"/>
        <v>גמל</v>
      </c>
      <c r="B1433" s="1786">
        <f t="shared" si="243"/>
        <v>8779</v>
      </c>
      <c r="C1433" s="1787">
        <v>28946</v>
      </c>
      <c r="D1433" s="1786" t="str">
        <f t="shared" si="244"/>
        <v>אנליסט קרן השתלמות חו"ל</v>
      </c>
      <c r="E1433" s="1786" t="s">
        <v>3929</v>
      </c>
      <c r="F1433" s="1786" t="s">
        <v>2958</v>
      </c>
      <c r="G1433" s="1786" t="s">
        <v>2959</v>
      </c>
      <c r="H1433" s="1786" t="str">
        <f t="shared" si="245"/>
        <v>פעיל</v>
      </c>
      <c r="I1433" s="1788">
        <f t="shared" si="246"/>
        <v>35309</v>
      </c>
      <c r="J1433" s="1788" t="str">
        <f t="shared" si="247"/>
        <v/>
      </c>
      <c r="K1433" s="1786">
        <v>0</v>
      </c>
      <c r="L1433" s="1786" t="s">
        <v>1594</v>
      </c>
      <c r="M1433" s="1786" t="s">
        <v>1653</v>
      </c>
      <c r="N1433" s="1786" t="s">
        <v>1653</v>
      </c>
      <c r="O1433" s="1786">
        <v>0</v>
      </c>
      <c r="P1433" s="1786"/>
      <c r="Q1433" s="1786">
        <v>0</v>
      </c>
      <c r="R1433" s="1788"/>
      <c r="S1433" s="1786">
        <f t="shared" si="248"/>
        <v>560</v>
      </c>
      <c r="T1433" s="1786" t="str">
        <f t="shared" si="249"/>
        <v>הבנק הבינלאומי הראשון</v>
      </c>
      <c r="U1433" s="1786" t="str">
        <f t="shared" si="250"/>
        <v>אנליסט קרן השתלמות כללי</v>
      </c>
      <c r="V1433" s="1786" t="str">
        <f t="shared" si="251"/>
        <v>520041963</v>
      </c>
      <c r="W1433" s="1789" t="str">
        <f t="shared" si="252"/>
        <v>אנליסט קופות גמל בע"מ</v>
      </c>
      <c r="AC1433" s="1761" t="s">
        <v>346</v>
      </c>
      <c r="AD1433" s="1759"/>
      <c r="AE1433" s="1762">
        <v>35309</v>
      </c>
      <c r="AF1433" s="1761" t="s">
        <v>1948</v>
      </c>
      <c r="AG1433" s="1761" t="s">
        <v>1947</v>
      </c>
      <c r="AH1433" s="1761" t="s">
        <v>1594</v>
      </c>
      <c r="AI1433" s="1761" t="s">
        <v>3747</v>
      </c>
      <c r="AJ1433" s="1761" t="s">
        <v>3746</v>
      </c>
      <c r="AK1433" s="1761">
        <v>8779</v>
      </c>
      <c r="AL1433" s="1761" t="s">
        <v>576</v>
      </c>
      <c r="AM1433" s="1761">
        <v>560</v>
      </c>
      <c r="AN1433" s="1761" t="s">
        <v>5384</v>
      </c>
      <c r="AO1433" s="1764"/>
      <c r="AP1433" s="1761" t="s">
        <v>5387</v>
      </c>
      <c r="AQ1433" s="1761" t="s">
        <v>5388</v>
      </c>
      <c r="AR1433" s="1761" t="s">
        <v>360</v>
      </c>
      <c r="AS1433" s="1761" t="s">
        <v>361</v>
      </c>
      <c r="AT1433" s="1761" t="s">
        <v>327</v>
      </c>
      <c r="AU1433" s="1763"/>
      <c r="AV1433" s="1763"/>
    </row>
    <row r="1434" spans="1:48" ht="37.5" hidden="1">
      <c r="A1434" s="1785" t="str">
        <f t="shared" si="242"/>
        <v>גמל</v>
      </c>
      <c r="B1434" s="1786">
        <f t="shared" si="243"/>
        <v>8129</v>
      </c>
      <c r="C1434" s="1787">
        <v>28946</v>
      </c>
      <c r="D1434" s="1786" t="str">
        <f t="shared" si="244"/>
        <v>אנליסט קרן השתלמות אג"ח עד 10% מניות</v>
      </c>
      <c r="E1434" s="1786" t="s">
        <v>3929</v>
      </c>
      <c r="F1434" s="1786" t="s">
        <v>2958</v>
      </c>
      <c r="G1434" s="1786" t="s">
        <v>2959</v>
      </c>
      <c r="H1434" s="1786" t="str">
        <f t="shared" si="245"/>
        <v>פעיל</v>
      </c>
      <c r="I1434" s="1788">
        <f t="shared" si="246"/>
        <v>35309</v>
      </c>
      <c r="J1434" s="1788" t="str">
        <f t="shared" si="247"/>
        <v/>
      </c>
      <c r="K1434" s="1786">
        <v>0</v>
      </c>
      <c r="L1434" s="1786" t="s">
        <v>1594</v>
      </c>
      <c r="M1434" s="1786" t="s">
        <v>1653</v>
      </c>
      <c r="N1434" s="1786" t="s">
        <v>1653</v>
      </c>
      <c r="O1434" s="1786">
        <v>0</v>
      </c>
      <c r="P1434" s="1786"/>
      <c r="Q1434" s="1786">
        <v>0</v>
      </c>
      <c r="R1434" s="1788"/>
      <c r="S1434" s="1786">
        <f t="shared" si="248"/>
        <v>560</v>
      </c>
      <c r="T1434" s="1786" t="str">
        <f t="shared" si="249"/>
        <v>הבנק הבינלאומי הראשון</v>
      </c>
      <c r="U1434" s="1786" t="str">
        <f t="shared" si="250"/>
        <v>אנליסט קרן השתלמות כללי</v>
      </c>
      <c r="V1434" s="1786" t="str">
        <f t="shared" si="251"/>
        <v>520041963</v>
      </c>
      <c r="W1434" s="1789" t="str">
        <f t="shared" si="252"/>
        <v>אנליסט קופות גמל בע"מ</v>
      </c>
      <c r="AC1434" s="1759" t="s">
        <v>346</v>
      </c>
      <c r="AD1434" s="1759"/>
      <c r="AE1434" s="1760">
        <v>35309</v>
      </c>
      <c r="AF1434" s="1759" t="s">
        <v>1653</v>
      </c>
      <c r="AG1434" s="1759" t="s">
        <v>1653</v>
      </c>
      <c r="AH1434" s="1759" t="s">
        <v>1594</v>
      </c>
      <c r="AI1434" s="1759" t="s">
        <v>4242</v>
      </c>
      <c r="AJ1434" s="1759" t="s">
        <v>4241</v>
      </c>
      <c r="AK1434" s="1759">
        <v>8129</v>
      </c>
      <c r="AL1434" s="1759" t="s">
        <v>576</v>
      </c>
      <c r="AM1434" s="1759">
        <v>560</v>
      </c>
      <c r="AN1434" s="1759" t="s">
        <v>5384</v>
      </c>
      <c r="AO1434" s="1764"/>
      <c r="AP1434" s="1759" t="s">
        <v>5387</v>
      </c>
      <c r="AQ1434" s="1759" t="s">
        <v>5388</v>
      </c>
      <c r="AR1434" s="1759" t="s">
        <v>360</v>
      </c>
      <c r="AS1434" s="1759" t="s">
        <v>361</v>
      </c>
      <c r="AT1434" s="1759" t="s">
        <v>327</v>
      </c>
      <c r="AU1434" s="1763"/>
      <c r="AV1434" s="1763"/>
    </row>
    <row r="1435" spans="1:48" ht="37.5" hidden="1">
      <c r="A1435" s="1785" t="str">
        <f t="shared" si="242"/>
        <v>גמל</v>
      </c>
      <c r="B1435" s="1786">
        <f t="shared" si="243"/>
        <v>963</v>
      </c>
      <c r="C1435" s="1787">
        <v>28946</v>
      </c>
      <c r="D1435" s="1786" t="str">
        <f t="shared" si="244"/>
        <v>אנליסט השתלמות מניות</v>
      </c>
      <c r="E1435" s="1786" t="s">
        <v>3929</v>
      </c>
      <c r="F1435" s="1786" t="s">
        <v>2958</v>
      </c>
      <c r="G1435" s="1786" t="s">
        <v>2959</v>
      </c>
      <c r="H1435" s="1786" t="str">
        <f t="shared" si="245"/>
        <v>פעיל</v>
      </c>
      <c r="I1435" s="1788">
        <f t="shared" si="246"/>
        <v>35309</v>
      </c>
      <c r="J1435" s="1788" t="str">
        <f t="shared" si="247"/>
        <v/>
      </c>
      <c r="K1435" s="1786">
        <v>0</v>
      </c>
      <c r="L1435" s="1786" t="s">
        <v>1594</v>
      </c>
      <c r="M1435" s="1786" t="s">
        <v>1653</v>
      </c>
      <c r="N1435" s="1786" t="s">
        <v>1653</v>
      </c>
      <c r="O1435" s="1786">
        <v>0</v>
      </c>
      <c r="P1435" s="1786"/>
      <c r="Q1435" s="1786">
        <v>0</v>
      </c>
      <c r="R1435" s="1788"/>
      <c r="S1435" s="1786">
        <f t="shared" si="248"/>
        <v>560</v>
      </c>
      <c r="T1435" s="1786" t="str">
        <f t="shared" si="249"/>
        <v>הבנק הבינלאומי הראשון</v>
      </c>
      <c r="U1435" s="1786" t="str">
        <f t="shared" si="250"/>
        <v>אנליסט קרן השתלמות כללי</v>
      </c>
      <c r="V1435" s="1786" t="str">
        <f t="shared" si="251"/>
        <v>520041963</v>
      </c>
      <c r="W1435" s="1789" t="str">
        <f t="shared" si="252"/>
        <v>אנליסט קופות גמל בע"מ</v>
      </c>
      <c r="AC1435" s="1761" t="s">
        <v>346</v>
      </c>
      <c r="AD1435" s="1761"/>
      <c r="AE1435" s="1762">
        <v>35309</v>
      </c>
      <c r="AF1435" s="1761" t="s">
        <v>1595</v>
      </c>
      <c r="AG1435" s="1761" t="s">
        <v>75</v>
      </c>
      <c r="AH1435" s="1761" t="s">
        <v>1594</v>
      </c>
      <c r="AI1435" s="1761" t="s">
        <v>2177</v>
      </c>
      <c r="AJ1435" s="1761" t="s">
        <v>2177</v>
      </c>
      <c r="AK1435" s="1761">
        <v>963</v>
      </c>
      <c r="AL1435" s="1761" t="s">
        <v>576</v>
      </c>
      <c r="AM1435" s="1761">
        <v>560</v>
      </c>
      <c r="AN1435" s="1761" t="s">
        <v>5384</v>
      </c>
      <c r="AO1435" s="1764"/>
      <c r="AP1435" s="1761" t="s">
        <v>5387</v>
      </c>
      <c r="AQ1435" s="1761" t="s">
        <v>5388</v>
      </c>
      <c r="AR1435" s="1761" t="s">
        <v>360</v>
      </c>
      <c r="AS1435" s="1761" t="s">
        <v>361</v>
      </c>
      <c r="AT1435" s="1761" t="s">
        <v>327</v>
      </c>
      <c r="AU1435" s="1763"/>
      <c r="AV1435" s="1763"/>
    </row>
    <row r="1436" spans="1:48" ht="37.5" hidden="1">
      <c r="A1436" s="1785" t="str">
        <f t="shared" si="242"/>
        <v>גמל</v>
      </c>
      <c r="B1436" s="1786">
        <f t="shared" si="243"/>
        <v>2005</v>
      </c>
      <c r="C1436" s="1787">
        <v>28946</v>
      </c>
      <c r="D1436" s="1786" t="str">
        <f t="shared" si="244"/>
        <v>אנליסט קרן השתלמות כללי</v>
      </c>
      <c r="E1436" s="1786" t="s">
        <v>3929</v>
      </c>
      <c r="F1436" s="1786" t="s">
        <v>2958</v>
      </c>
      <c r="G1436" s="1786" t="s">
        <v>2959</v>
      </c>
      <c r="H1436" s="1786" t="str">
        <f t="shared" si="245"/>
        <v>לא פעיל</v>
      </c>
      <c r="I1436" s="1788">
        <f t="shared" si="246"/>
        <v>35309</v>
      </c>
      <c r="J1436" s="1788">
        <f t="shared" si="247"/>
        <v>40853.999988425901</v>
      </c>
      <c r="K1436" s="1786">
        <v>0</v>
      </c>
      <c r="L1436" s="1786" t="s">
        <v>1594</v>
      </c>
      <c r="M1436" s="1786" t="s">
        <v>1653</v>
      </c>
      <c r="N1436" s="1786" t="s">
        <v>1653</v>
      </c>
      <c r="O1436" s="1786">
        <v>0</v>
      </c>
      <c r="P1436" s="1786"/>
      <c r="Q1436" s="1786">
        <v>0</v>
      </c>
      <c r="R1436" s="1788"/>
      <c r="S1436" s="1786">
        <f t="shared" si="248"/>
        <v>560</v>
      </c>
      <c r="T1436" s="1786" t="str">
        <f t="shared" si="249"/>
        <v>בנק מזרחי טפחות בע"מ</v>
      </c>
      <c r="U1436" s="1786" t="str">
        <f t="shared" si="250"/>
        <v>אנליסט קרן השתלמות כללי</v>
      </c>
      <c r="V1436" s="1786" t="str">
        <f t="shared" si="251"/>
        <v>520041963</v>
      </c>
      <c r="W1436" s="1789" t="str">
        <f t="shared" si="252"/>
        <v>אנליסט קופות גמל בע"מ</v>
      </c>
      <c r="AC1436" s="1759" t="s">
        <v>1586</v>
      </c>
      <c r="AD1436" s="1760">
        <v>40853.999988425901</v>
      </c>
      <c r="AE1436" s="1760">
        <v>35309</v>
      </c>
      <c r="AF1436" s="1759" t="s">
        <v>1076</v>
      </c>
      <c r="AG1436" s="1759" t="s">
        <v>1614</v>
      </c>
      <c r="AH1436" s="1759" t="s">
        <v>1594</v>
      </c>
      <c r="AI1436" s="1759" t="s">
        <v>2811</v>
      </c>
      <c r="AJ1436" s="1759" t="s">
        <v>576</v>
      </c>
      <c r="AK1436" s="1759">
        <v>2005</v>
      </c>
      <c r="AL1436" s="1759" t="s">
        <v>576</v>
      </c>
      <c r="AM1436" s="1759">
        <v>560</v>
      </c>
      <c r="AN1436" s="1759" t="s">
        <v>5370</v>
      </c>
      <c r="AO1436" s="1764"/>
      <c r="AP1436" s="1759" t="s">
        <v>5387</v>
      </c>
      <c r="AQ1436" s="1759" t="s">
        <v>5388</v>
      </c>
      <c r="AR1436" s="1759" t="s">
        <v>360</v>
      </c>
      <c r="AS1436" s="1759" t="s">
        <v>361</v>
      </c>
      <c r="AT1436" s="1759" t="s">
        <v>327</v>
      </c>
      <c r="AU1436" s="1763"/>
      <c r="AV1436" s="1763"/>
    </row>
    <row r="1437" spans="1:48" ht="37.5" hidden="1">
      <c r="A1437" s="1785" t="str">
        <f t="shared" si="242"/>
        <v>גמל</v>
      </c>
      <c r="B1437" s="1786">
        <f t="shared" si="243"/>
        <v>972</v>
      </c>
      <c r="C1437" s="1787">
        <v>28946</v>
      </c>
      <c r="D1437" s="1786" t="str">
        <f t="shared" si="244"/>
        <v>אנליסט השתלמות אג"ח</v>
      </c>
      <c r="E1437" s="1786" t="s">
        <v>3929</v>
      </c>
      <c r="F1437" s="1786" t="s">
        <v>2958</v>
      </c>
      <c r="G1437" s="1786" t="s">
        <v>2959</v>
      </c>
      <c r="H1437" s="1786" t="str">
        <f t="shared" si="245"/>
        <v>פעיל</v>
      </c>
      <c r="I1437" s="1788">
        <f t="shared" si="246"/>
        <v>35309</v>
      </c>
      <c r="J1437" s="1788" t="str">
        <f t="shared" si="247"/>
        <v/>
      </c>
      <c r="K1437" s="1786">
        <v>0</v>
      </c>
      <c r="L1437" s="1786" t="s">
        <v>1594</v>
      </c>
      <c r="M1437" s="1786" t="s">
        <v>1653</v>
      </c>
      <c r="N1437" s="1786" t="s">
        <v>1653</v>
      </c>
      <c r="O1437" s="1786">
        <v>0</v>
      </c>
      <c r="P1437" s="1786"/>
      <c r="Q1437" s="1786">
        <v>0</v>
      </c>
      <c r="R1437" s="1788"/>
      <c r="S1437" s="1786">
        <f t="shared" si="248"/>
        <v>560</v>
      </c>
      <c r="T1437" s="1786" t="str">
        <f t="shared" si="249"/>
        <v>הבנק הבינלאומי הראשון</v>
      </c>
      <c r="U1437" s="1786" t="str">
        <f t="shared" si="250"/>
        <v>אנליסט קרן השתלמות כללי</v>
      </c>
      <c r="V1437" s="1786" t="str">
        <f t="shared" si="251"/>
        <v>520041963</v>
      </c>
      <c r="W1437" s="1789" t="str">
        <f t="shared" si="252"/>
        <v>אנליסט קופות גמל בע"מ</v>
      </c>
      <c r="AC1437" s="1761" t="s">
        <v>346</v>
      </c>
      <c r="AD1437" s="1761"/>
      <c r="AE1437" s="1762">
        <v>35309</v>
      </c>
      <c r="AF1437" s="1761" t="s">
        <v>1653</v>
      </c>
      <c r="AG1437" s="1761" t="s">
        <v>1653</v>
      </c>
      <c r="AH1437" s="1761" t="s">
        <v>1594</v>
      </c>
      <c r="AI1437" s="1761" t="s">
        <v>2183</v>
      </c>
      <c r="AJ1437" s="1761" t="s">
        <v>2183</v>
      </c>
      <c r="AK1437" s="1761">
        <v>972</v>
      </c>
      <c r="AL1437" s="1761" t="s">
        <v>576</v>
      </c>
      <c r="AM1437" s="1761">
        <v>560</v>
      </c>
      <c r="AN1437" s="1761" t="s">
        <v>5384</v>
      </c>
      <c r="AO1437" s="1764"/>
      <c r="AP1437" s="1761" t="s">
        <v>5387</v>
      </c>
      <c r="AQ1437" s="1761" t="s">
        <v>5388</v>
      </c>
      <c r="AR1437" s="1761" t="s">
        <v>360</v>
      </c>
      <c r="AS1437" s="1761" t="s">
        <v>361</v>
      </c>
      <c r="AT1437" s="1761" t="s">
        <v>327</v>
      </c>
      <c r="AU1437" s="1763"/>
      <c r="AV1437" s="1763"/>
    </row>
    <row r="1438" spans="1:48" ht="37.5" hidden="1">
      <c r="A1438" s="1785" t="str">
        <f t="shared" si="242"/>
        <v>גמל</v>
      </c>
      <c r="B1438" s="1786">
        <f t="shared" si="243"/>
        <v>973</v>
      </c>
      <c r="C1438" s="1787">
        <v>28946</v>
      </c>
      <c r="D1438" s="1786" t="str">
        <f t="shared" si="244"/>
        <v>אנליסט השתלמות אג"ח ממשלת ישראל</v>
      </c>
      <c r="E1438" s="1786" t="s">
        <v>3929</v>
      </c>
      <c r="F1438" s="1786" t="s">
        <v>2958</v>
      </c>
      <c r="G1438" s="1786" t="s">
        <v>2959</v>
      </c>
      <c r="H1438" s="1786" t="str">
        <f t="shared" si="245"/>
        <v>פעיל</v>
      </c>
      <c r="I1438" s="1788">
        <f t="shared" si="246"/>
        <v>35309</v>
      </c>
      <c r="J1438" s="1788" t="str">
        <f t="shared" si="247"/>
        <v/>
      </c>
      <c r="K1438" s="1786">
        <v>0</v>
      </c>
      <c r="L1438" s="1786" t="s">
        <v>1594</v>
      </c>
      <c r="M1438" s="1786" t="s">
        <v>1653</v>
      </c>
      <c r="N1438" s="1786" t="s">
        <v>1653</v>
      </c>
      <c r="O1438" s="1786">
        <v>0</v>
      </c>
      <c r="P1438" s="1786"/>
      <c r="Q1438" s="1786">
        <v>0</v>
      </c>
      <c r="R1438" s="1788"/>
      <c r="S1438" s="1786">
        <f t="shared" si="248"/>
        <v>560</v>
      </c>
      <c r="T1438" s="1786" t="str">
        <f t="shared" si="249"/>
        <v>הבנק הבינלאומי הראשון</v>
      </c>
      <c r="U1438" s="1786" t="str">
        <f t="shared" si="250"/>
        <v>אנליסט קרן השתלמות כללי</v>
      </c>
      <c r="V1438" s="1786" t="str">
        <f t="shared" si="251"/>
        <v>520041963</v>
      </c>
      <c r="W1438" s="1789" t="str">
        <f t="shared" si="252"/>
        <v>אנליסט קופות גמל בע"מ</v>
      </c>
      <c r="AC1438" s="1759" t="s">
        <v>346</v>
      </c>
      <c r="AD1438" s="1759"/>
      <c r="AE1438" s="1760">
        <v>35309</v>
      </c>
      <c r="AF1438" s="1759" t="s">
        <v>2009</v>
      </c>
      <c r="AG1438" s="1759" t="s">
        <v>1653</v>
      </c>
      <c r="AH1438" s="1759" t="s">
        <v>1594</v>
      </c>
      <c r="AI1438" s="1759" t="s">
        <v>4017</v>
      </c>
      <c r="AJ1438" s="1759" t="s">
        <v>4017</v>
      </c>
      <c r="AK1438" s="1759">
        <v>973</v>
      </c>
      <c r="AL1438" s="1759" t="s">
        <v>576</v>
      </c>
      <c r="AM1438" s="1759">
        <v>560</v>
      </c>
      <c r="AN1438" s="1759" t="s">
        <v>5384</v>
      </c>
      <c r="AO1438" s="1764"/>
      <c r="AP1438" s="1759" t="s">
        <v>5387</v>
      </c>
      <c r="AQ1438" s="1759" t="s">
        <v>5388</v>
      </c>
      <c r="AR1438" s="1759" t="s">
        <v>360</v>
      </c>
      <c r="AS1438" s="1759" t="s">
        <v>361</v>
      </c>
      <c r="AT1438" s="1759" t="s">
        <v>327</v>
      </c>
      <c r="AU1438" s="1763"/>
      <c r="AV1438" s="1763"/>
    </row>
    <row r="1439" spans="1:48" ht="37.5" hidden="1">
      <c r="A1439" s="1785" t="str">
        <f t="shared" si="242"/>
        <v>גמל</v>
      </c>
      <c r="B1439" s="1786">
        <f t="shared" si="243"/>
        <v>962</v>
      </c>
      <c r="C1439" s="1787">
        <v>28946</v>
      </c>
      <c r="D1439" s="1786" t="str">
        <f t="shared" si="244"/>
        <v xml:space="preserve">אנליסט השתלמות כללי </v>
      </c>
      <c r="E1439" s="1786" t="s">
        <v>3929</v>
      </c>
      <c r="F1439" s="1786" t="s">
        <v>2958</v>
      </c>
      <c r="G1439" s="1786" t="s">
        <v>2959</v>
      </c>
      <c r="H1439" s="1786" t="str">
        <f t="shared" si="245"/>
        <v>פעיל</v>
      </c>
      <c r="I1439" s="1788">
        <f t="shared" si="246"/>
        <v>35309</v>
      </c>
      <c r="J1439" s="1788" t="str">
        <f t="shared" si="247"/>
        <v/>
      </c>
      <c r="K1439" s="1786">
        <v>0</v>
      </c>
      <c r="L1439" s="1786" t="s">
        <v>1594</v>
      </c>
      <c r="M1439" s="1786" t="s">
        <v>1653</v>
      </c>
      <c r="N1439" s="1786" t="s">
        <v>1653</v>
      </c>
      <c r="O1439" s="1786">
        <v>0</v>
      </c>
      <c r="P1439" s="1786"/>
      <c r="Q1439" s="1786">
        <v>0</v>
      </c>
      <c r="R1439" s="1788"/>
      <c r="S1439" s="1786">
        <f t="shared" si="248"/>
        <v>560</v>
      </c>
      <c r="T1439" s="1786" t="str">
        <f t="shared" si="249"/>
        <v>הבנק הבינלאומי הראשון</v>
      </c>
      <c r="U1439" s="1786" t="str">
        <f t="shared" si="250"/>
        <v>אנליסט קרן השתלמות כללי</v>
      </c>
      <c r="V1439" s="1786" t="str">
        <f t="shared" si="251"/>
        <v>520041963</v>
      </c>
      <c r="W1439" s="1789" t="str">
        <f t="shared" si="252"/>
        <v>אנליסט קופות גמל בע"מ</v>
      </c>
      <c r="AC1439" s="1761" t="s">
        <v>346</v>
      </c>
      <c r="AD1439" s="1761"/>
      <c r="AE1439" s="1762">
        <v>35309</v>
      </c>
      <c r="AF1439" s="1761" t="s">
        <v>1583</v>
      </c>
      <c r="AG1439" s="1761" t="s">
        <v>1583</v>
      </c>
      <c r="AH1439" s="1761" t="s">
        <v>1583</v>
      </c>
      <c r="AI1439" s="1761" t="s">
        <v>4016</v>
      </c>
      <c r="AJ1439" s="1761" t="s">
        <v>4016</v>
      </c>
      <c r="AK1439" s="1761">
        <v>962</v>
      </c>
      <c r="AL1439" s="1761" t="s">
        <v>576</v>
      </c>
      <c r="AM1439" s="1761">
        <v>560</v>
      </c>
      <c r="AN1439" s="1761" t="s">
        <v>5384</v>
      </c>
      <c r="AO1439" s="1764"/>
      <c r="AP1439" s="1761" t="s">
        <v>5387</v>
      </c>
      <c r="AQ1439" s="1761" t="s">
        <v>5388</v>
      </c>
      <c r="AR1439" s="1761" t="s">
        <v>360</v>
      </c>
      <c r="AS1439" s="1761" t="s">
        <v>361</v>
      </c>
      <c r="AT1439" s="1761" t="s">
        <v>327</v>
      </c>
      <c r="AU1439" s="1763"/>
      <c r="AV1439" s="1763"/>
    </row>
    <row r="1440" spans="1:48" ht="37.5" hidden="1">
      <c r="A1440" s="1785" t="str">
        <f t="shared" si="242"/>
        <v>גמל</v>
      </c>
      <c r="B1440" s="1786">
        <f t="shared" si="243"/>
        <v>1535</v>
      </c>
      <c r="C1440" s="1787">
        <v>28946</v>
      </c>
      <c r="D1440" s="1786" t="str">
        <f t="shared" si="244"/>
        <v>אנליסט השתלמות שקלי טווח קצר</v>
      </c>
      <c r="E1440" s="1786" t="s">
        <v>3929</v>
      </c>
      <c r="F1440" s="1786" t="s">
        <v>2958</v>
      </c>
      <c r="G1440" s="1786" t="s">
        <v>2959</v>
      </c>
      <c r="H1440" s="1786" t="str">
        <f t="shared" si="245"/>
        <v>פעיל</v>
      </c>
      <c r="I1440" s="1788">
        <f t="shared" si="246"/>
        <v>35309</v>
      </c>
      <c r="J1440" s="1788" t="str">
        <f t="shared" si="247"/>
        <v/>
      </c>
      <c r="K1440" s="1786">
        <v>0</v>
      </c>
      <c r="L1440" s="1786" t="s">
        <v>1594</v>
      </c>
      <c r="M1440" s="1786" t="s">
        <v>1653</v>
      </c>
      <c r="N1440" s="1786" t="s">
        <v>1653</v>
      </c>
      <c r="O1440" s="1786">
        <v>0</v>
      </c>
      <c r="P1440" s="1786"/>
      <c r="Q1440" s="1786">
        <v>0</v>
      </c>
      <c r="R1440" s="1788"/>
      <c r="S1440" s="1786">
        <f t="shared" si="248"/>
        <v>560</v>
      </c>
      <c r="T1440" s="1786" t="str">
        <f t="shared" si="249"/>
        <v>הבנק הבינלאומי הראשון</v>
      </c>
      <c r="U1440" s="1786" t="str">
        <f t="shared" si="250"/>
        <v>אנליסט קרן השתלמות כללי</v>
      </c>
      <c r="V1440" s="1786" t="str">
        <f t="shared" si="251"/>
        <v>520041963</v>
      </c>
      <c r="W1440" s="1789" t="str">
        <f t="shared" si="252"/>
        <v>אנליסט קופות גמל בע"מ</v>
      </c>
      <c r="AC1440" s="1759" t="s">
        <v>346</v>
      </c>
      <c r="AD1440" s="1759"/>
      <c r="AE1440" s="1760">
        <v>35309</v>
      </c>
      <c r="AF1440" s="1759" t="s">
        <v>1673</v>
      </c>
      <c r="AG1440" s="1759" t="s">
        <v>1614</v>
      </c>
      <c r="AH1440" s="1759" t="s">
        <v>1594</v>
      </c>
      <c r="AI1440" s="1759" t="s">
        <v>4124</v>
      </c>
      <c r="AJ1440" s="1759" t="s">
        <v>4124</v>
      </c>
      <c r="AK1440" s="1759">
        <v>1535</v>
      </c>
      <c r="AL1440" s="1759" t="s">
        <v>576</v>
      </c>
      <c r="AM1440" s="1759">
        <v>560</v>
      </c>
      <c r="AN1440" s="1759" t="s">
        <v>5384</v>
      </c>
      <c r="AO1440" s="1764"/>
      <c r="AP1440" s="1759" t="s">
        <v>5387</v>
      </c>
      <c r="AQ1440" s="1759" t="s">
        <v>5388</v>
      </c>
      <c r="AR1440" s="1759" t="s">
        <v>360</v>
      </c>
      <c r="AS1440" s="1759" t="s">
        <v>361</v>
      </c>
      <c r="AT1440" s="1759" t="s">
        <v>327</v>
      </c>
      <c r="AU1440" s="1763"/>
      <c r="AV1440" s="1763"/>
    </row>
    <row r="1441" spans="1:48" ht="37.5" hidden="1">
      <c r="A1441" s="1785" t="str">
        <f t="shared" si="242"/>
        <v>גמל</v>
      </c>
      <c r="B1441" s="1786">
        <f t="shared" si="243"/>
        <v>556</v>
      </c>
      <c r="C1441" s="1787">
        <v>28946</v>
      </c>
      <c r="D1441" s="1786" t="str">
        <f t="shared" si="244"/>
        <v>מחוג מסלול כללי</v>
      </c>
      <c r="E1441" s="1786" t="s">
        <v>3929</v>
      </c>
      <c r="F1441" s="1786" t="s">
        <v>2958</v>
      </c>
      <c r="G1441" s="1786" t="s">
        <v>2959</v>
      </c>
      <c r="H1441" s="1786" t="str">
        <f t="shared" si="245"/>
        <v>פעיל</v>
      </c>
      <c r="I1441" s="1788">
        <f t="shared" si="246"/>
        <v>35299</v>
      </c>
      <c r="J1441" s="1788" t="str">
        <f t="shared" si="247"/>
        <v/>
      </c>
      <c r="K1441" s="1786">
        <v>0</v>
      </c>
      <c r="L1441" s="1786" t="s">
        <v>1594</v>
      </c>
      <c r="M1441" s="1786" t="s">
        <v>1653</v>
      </c>
      <c r="N1441" s="1786" t="s">
        <v>1653</v>
      </c>
      <c r="O1441" s="1786">
        <v>0</v>
      </c>
      <c r="P1441" s="1786"/>
      <c r="Q1441" s="1786">
        <v>0</v>
      </c>
      <c r="R1441" s="1788"/>
      <c r="S1441" s="1786">
        <f t="shared" si="248"/>
        <v>559</v>
      </c>
      <c r="T1441" s="1786" t="str">
        <f t="shared" si="249"/>
        <v>בנק מזרחי טפחות בע"מ</v>
      </c>
      <c r="U1441" s="1786" t="str">
        <f t="shared" si="250"/>
        <v xml:space="preserve">מחוג </v>
      </c>
      <c r="V1441" s="1786">
        <f t="shared" si="251"/>
        <v>0</v>
      </c>
      <c r="W1441" s="1789" t="str">
        <f t="shared" si="252"/>
        <v>מחוג - מינהל גמל לעובדי חברת חשמל לישראל בע"מ</v>
      </c>
      <c r="AC1441" s="1761" t="s">
        <v>346</v>
      </c>
      <c r="AD1441" s="1761"/>
      <c r="AE1441" s="1762">
        <v>35299</v>
      </c>
      <c r="AF1441" s="1761" t="s">
        <v>1583</v>
      </c>
      <c r="AG1441" s="1761" t="s">
        <v>1583</v>
      </c>
      <c r="AH1441" s="1761" t="s">
        <v>1583</v>
      </c>
      <c r="AI1441" s="1761" t="s">
        <v>4599</v>
      </c>
      <c r="AJ1441" s="1761" t="s">
        <v>4599</v>
      </c>
      <c r="AK1441" s="1761">
        <v>556</v>
      </c>
      <c r="AL1441" s="1761" t="s">
        <v>4183</v>
      </c>
      <c r="AM1441" s="1761">
        <v>559</v>
      </c>
      <c r="AN1441" s="1761" t="s">
        <v>5370</v>
      </c>
      <c r="AO1441" s="1764"/>
      <c r="AP1441" s="1761"/>
      <c r="AQ1441" s="1761"/>
      <c r="AR1441" s="1761" t="s">
        <v>573</v>
      </c>
      <c r="AS1441" s="1761" t="s">
        <v>574</v>
      </c>
      <c r="AT1441" s="1761" t="s">
        <v>327</v>
      </c>
      <c r="AU1441" s="1763"/>
      <c r="AV1441" s="1763"/>
    </row>
    <row r="1442" spans="1:48" ht="37.5" hidden="1">
      <c r="A1442" s="1785" t="str">
        <f t="shared" si="242"/>
        <v>גמל</v>
      </c>
      <c r="B1442" s="1786">
        <f t="shared" si="243"/>
        <v>559</v>
      </c>
      <c r="C1442" s="1787">
        <v>28946</v>
      </c>
      <c r="D1442" s="1786" t="str">
        <f t="shared" si="244"/>
        <v>מחוג 5  - קופת תגמולים</v>
      </c>
      <c r="E1442" s="1786" t="s">
        <v>3929</v>
      </c>
      <c r="F1442" s="1786" t="s">
        <v>2958</v>
      </c>
      <c r="G1442" s="1786" t="s">
        <v>2959</v>
      </c>
      <c r="H1442" s="1786" t="str">
        <f t="shared" si="245"/>
        <v>לא פעיל</v>
      </c>
      <c r="I1442" s="1788">
        <f t="shared" si="246"/>
        <v>35299</v>
      </c>
      <c r="J1442" s="1788">
        <f t="shared" si="247"/>
        <v>42370.799456018503</v>
      </c>
      <c r="K1442" s="1786">
        <v>0</v>
      </c>
      <c r="L1442" s="1786" t="s">
        <v>1594</v>
      </c>
      <c r="M1442" s="1786" t="s">
        <v>1653</v>
      </c>
      <c r="N1442" s="1786" t="s">
        <v>1653</v>
      </c>
      <c r="O1442" s="1786">
        <v>0</v>
      </c>
      <c r="P1442" s="1786"/>
      <c r="Q1442" s="1786">
        <v>0</v>
      </c>
      <c r="R1442" s="1788"/>
      <c r="S1442" s="1786">
        <f t="shared" si="248"/>
        <v>559</v>
      </c>
      <c r="T1442" s="1786" t="str">
        <f t="shared" si="249"/>
        <v>בנק מזרחי טפחות בע"מ</v>
      </c>
      <c r="U1442" s="1786" t="str">
        <f t="shared" si="250"/>
        <v xml:space="preserve">מחוג </v>
      </c>
      <c r="V1442" s="1786">
        <f t="shared" si="251"/>
        <v>0</v>
      </c>
      <c r="W1442" s="1789" t="str">
        <f t="shared" si="252"/>
        <v>מחוג - מינהל גמל לעובדי חברת חשמל לישראל בע"מ</v>
      </c>
      <c r="AC1442" s="1759" t="s">
        <v>1586</v>
      </c>
      <c r="AD1442" s="1760">
        <v>42370.799456018503</v>
      </c>
      <c r="AE1442" s="1760">
        <v>35299</v>
      </c>
      <c r="AF1442" s="1759" t="s">
        <v>1583</v>
      </c>
      <c r="AG1442" s="1759" t="s">
        <v>1583</v>
      </c>
      <c r="AH1442" s="1759" t="s">
        <v>1583</v>
      </c>
      <c r="AI1442" s="1759" t="s">
        <v>3187</v>
      </c>
      <c r="AJ1442" s="1759" t="s">
        <v>575</v>
      </c>
      <c r="AK1442" s="1759">
        <v>559</v>
      </c>
      <c r="AL1442" s="1759" t="s">
        <v>4183</v>
      </c>
      <c r="AM1442" s="1759">
        <v>559</v>
      </c>
      <c r="AN1442" s="1759" t="s">
        <v>5370</v>
      </c>
      <c r="AO1442" s="1764"/>
      <c r="AP1442" s="1759"/>
      <c r="AQ1442" s="1759"/>
      <c r="AR1442" s="1759" t="s">
        <v>573</v>
      </c>
      <c r="AS1442" s="1759" t="s">
        <v>574</v>
      </c>
      <c r="AT1442" s="1759" t="s">
        <v>327</v>
      </c>
      <c r="AU1442" s="1763"/>
      <c r="AV1442" s="1763"/>
    </row>
    <row r="1443" spans="1:48" ht="37.5" hidden="1">
      <c r="A1443" s="1785" t="str">
        <f t="shared" si="242"/>
        <v>גמל</v>
      </c>
      <c r="B1443" s="1786">
        <f t="shared" si="243"/>
        <v>7207</v>
      </c>
      <c r="C1443" s="1787">
        <v>28946</v>
      </c>
      <c r="D1443" s="1786" t="str">
        <f t="shared" si="244"/>
        <v>מחוג מסלול לבני 60 ומעלה</v>
      </c>
      <c r="E1443" s="1786" t="s">
        <v>3929</v>
      </c>
      <c r="F1443" s="1786" t="s">
        <v>2958</v>
      </c>
      <c r="G1443" s="1786" t="s">
        <v>2959</v>
      </c>
      <c r="H1443" s="1786" t="str">
        <f t="shared" si="245"/>
        <v>פעיל</v>
      </c>
      <c r="I1443" s="1788">
        <f t="shared" si="246"/>
        <v>35299</v>
      </c>
      <c r="J1443" s="1788" t="str">
        <f t="shared" si="247"/>
        <v/>
      </c>
      <c r="K1443" s="1786">
        <v>0</v>
      </c>
      <c r="L1443" s="1786" t="s">
        <v>1594</v>
      </c>
      <c r="M1443" s="1786" t="s">
        <v>1653</v>
      </c>
      <c r="N1443" s="1786" t="s">
        <v>1653</v>
      </c>
      <c r="O1443" s="1786">
        <v>0</v>
      </c>
      <c r="P1443" s="1786"/>
      <c r="Q1443" s="1786">
        <v>0</v>
      </c>
      <c r="R1443" s="1788"/>
      <c r="S1443" s="1786">
        <f t="shared" si="248"/>
        <v>559</v>
      </c>
      <c r="T1443" s="1786" t="str">
        <f t="shared" si="249"/>
        <v>בנק מזרחי טפחות בע"מ</v>
      </c>
      <c r="U1443" s="1786" t="str">
        <f t="shared" si="250"/>
        <v xml:space="preserve">מחוג </v>
      </c>
      <c r="V1443" s="1786">
        <f t="shared" si="251"/>
        <v>0</v>
      </c>
      <c r="W1443" s="1789" t="str">
        <f t="shared" si="252"/>
        <v>מחוג - מינהל גמל לעובדי חברת חשמל לישראל בע"מ</v>
      </c>
      <c r="AC1443" s="1761" t="s">
        <v>346</v>
      </c>
      <c r="AD1443" s="1761"/>
      <c r="AE1443" s="1762">
        <v>35299</v>
      </c>
      <c r="AF1443" s="1761" t="s">
        <v>3963</v>
      </c>
      <c r="AG1443" s="1761" t="s">
        <v>3931</v>
      </c>
      <c r="AH1443" s="1761" t="s">
        <v>3658</v>
      </c>
      <c r="AI1443" s="1761" t="s">
        <v>4185</v>
      </c>
      <c r="AJ1443" s="1761" t="s">
        <v>4185</v>
      </c>
      <c r="AK1443" s="1761">
        <v>7207</v>
      </c>
      <c r="AL1443" s="1761" t="s">
        <v>4183</v>
      </c>
      <c r="AM1443" s="1761">
        <v>559</v>
      </c>
      <c r="AN1443" s="1761" t="s">
        <v>5370</v>
      </c>
      <c r="AO1443" s="1764"/>
      <c r="AP1443" s="1761"/>
      <c r="AQ1443" s="1761"/>
      <c r="AR1443" s="1761" t="s">
        <v>573</v>
      </c>
      <c r="AS1443" s="1761" t="s">
        <v>574</v>
      </c>
      <c r="AT1443" s="1761" t="s">
        <v>327</v>
      </c>
      <c r="AU1443" s="1763"/>
      <c r="AV1443" s="1763"/>
    </row>
    <row r="1444" spans="1:48" ht="37.5" hidden="1">
      <c r="A1444" s="1785" t="str">
        <f t="shared" si="242"/>
        <v>גמל</v>
      </c>
      <c r="B1444" s="1786">
        <f t="shared" si="243"/>
        <v>7206</v>
      </c>
      <c r="C1444" s="1787">
        <v>28946</v>
      </c>
      <c r="D1444" s="1786" t="str">
        <f t="shared" si="244"/>
        <v>מחוג  מסלול לבני 50 עד 60</v>
      </c>
      <c r="E1444" s="1786" t="s">
        <v>3929</v>
      </c>
      <c r="F1444" s="1786" t="s">
        <v>2958</v>
      </c>
      <c r="G1444" s="1786" t="s">
        <v>2959</v>
      </c>
      <c r="H1444" s="1786" t="str">
        <f t="shared" si="245"/>
        <v>פעיל</v>
      </c>
      <c r="I1444" s="1788">
        <f t="shared" si="246"/>
        <v>35299</v>
      </c>
      <c r="J1444" s="1788" t="str">
        <f t="shared" si="247"/>
        <v/>
      </c>
      <c r="K1444" s="1786">
        <v>0</v>
      </c>
      <c r="L1444" s="1786" t="s">
        <v>1594</v>
      </c>
      <c r="M1444" s="1786" t="s">
        <v>1653</v>
      </c>
      <c r="N1444" s="1786" t="s">
        <v>1653</v>
      </c>
      <c r="O1444" s="1786">
        <v>0</v>
      </c>
      <c r="P1444" s="1786"/>
      <c r="Q1444" s="1786">
        <v>0</v>
      </c>
      <c r="R1444" s="1788"/>
      <c r="S1444" s="1786">
        <f t="shared" si="248"/>
        <v>559</v>
      </c>
      <c r="T1444" s="1786" t="str">
        <f t="shared" si="249"/>
        <v>בנק מזרחי טפחות בע"מ</v>
      </c>
      <c r="U1444" s="1786" t="str">
        <f t="shared" si="250"/>
        <v xml:space="preserve">מחוג </v>
      </c>
      <c r="V1444" s="1786">
        <f t="shared" si="251"/>
        <v>0</v>
      </c>
      <c r="W1444" s="1789" t="str">
        <f t="shared" si="252"/>
        <v>מחוג - מינהל גמל לעובדי חברת חשמל לישראל בע"מ</v>
      </c>
      <c r="AC1444" s="1759" t="s">
        <v>346</v>
      </c>
      <c r="AD1444" s="1759"/>
      <c r="AE1444" s="1760">
        <v>35299</v>
      </c>
      <c r="AF1444" s="1759" t="s">
        <v>3932</v>
      </c>
      <c r="AG1444" s="1759" t="s">
        <v>3931</v>
      </c>
      <c r="AH1444" s="1759" t="s">
        <v>3658</v>
      </c>
      <c r="AI1444" s="1759" t="s">
        <v>4184</v>
      </c>
      <c r="AJ1444" s="1759" t="s">
        <v>4184</v>
      </c>
      <c r="AK1444" s="1759">
        <v>7206</v>
      </c>
      <c r="AL1444" s="1759" t="s">
        <v>4183</v>
      </c>
      <c r="AM1444" s="1759">
        <v>559</v>
      </c>
      <c r="AN1444" s="1759" t="s">
        <v>5370</v>
      </c>
      <c r="AO1444" s="1764"/>
      <c r="AP1444" s="1759"/>
      <c r="AQ1444" s="1759"/>
      <c r="AR1444" s="1759" t="s">
        <v>573</v>
      </c>
      <c r="AS1444" s="1759" t="s">
        <v>574</v>
      </c>
      <c r="AT1444" s="1759" t="s">
        <v>327</v>
      </c>
      <c r="AU1444" s="1763"/>
      <c r="AV1444" s="1763"/>
    </row>
    <row r="1445" spans="1:48" ht="37.5" hidden="1">
      <c r="A1445" s="1785" t="str">
        <f t="shared" si="242"/>
        <v>גמל</v>
      </c>
      <c r="B1445" s="1786">
        <f t="shared" si="243"/>
        <v>7205</v>
      </c>
      <c r="C1445" s="1787">
        <v>28946</v>
      </c>
      <c r="D1445" s="1786" t="str">
        <f t="shared" si="244"/>
        <v>מחוג  מסלול לבני 50 ומטה</v>
      </c>
      <c r="E1445" s="1786" t="s">
        <v>3929</v>
      </c>
      <c r="F1445" s="1786" t="s">
        <v>2958</v>
      </c>
      <c r="G1445" s="1786" t="s">
        <v>2959</v>
      </c>
      <c r="H1445" s="1786" t="str">
        <f t="shared" si="245"/>
        <v>פעיל</v>
      </c>
      <c r="I1445" s="1788">
        <f t="shared" si="246"/>
        <v>35299</v>
      </c>
      <c r="J1445" s="1788" t="str">
        <f t="shared" si="247"/>
        <v/>
      </c>
      <c r="K1445" s="1786">
        <v>0</v>
      </c>
      <c r="L1445" s="1786" t="s">
        <v>1594</v>
      </c>
      <c r="M1445" s="1786" t="s">
        <v>1653</v>
      </c>
      <c r="N1445" s="1786" t="s">
        <v>1653</v>
      </c>
      <c r="O1445" s="1786">
        <v>0</v>
      </c>
      <c r="P1445" s="1786"/>
      <c r="Q1445" s="1786">
        <v>0</v>
      </c>
      <c r="R1445" s="1788"/>
      <c r="S1445" s="1786">
        <f t="shared" si="248"/>
        <v>559</v>
      </c>
      <c r="T1445" s="1786" t="str">
        <f t="shared" si="249"/>
        <v>בנק מזרחי טפחות בע"מ</v>
      </c>
      <c r="U1445" s="1786" t="str">
        <f t="shared" si="250"/>
        <v xml:space="preserve">מחוג </v>
      </c>
      <c r="V1445" s="1786">
        <f t="shared" si="251"/>
        <v>0</v>
      </c>
      <c r="W1445" s="1789" t="str">
        <f t="shared" si="252"/>
        <v>מחוג - מינהל גמל לעובדי חברת חשמל לישראל בע"מ</v>
      </c>
      <c r="AC1445" s="1761" t="s">
        <v>346</v>
      </c>
      <c r="AD1445" s="1761"/>
      <c r="AE1445" s="1762">
        <v>35299</v>
      </c>
      <c r="AF1445" s="1761" t="s">
        <v>4151</v>
      </c>
      <c r="AG1445" s="1761" t="s">
        <v>3931</v>
      </c>
      <c r="AH1445" s="1761" t="s">
        <v>3658</v>
      </c>
      <c r="AI1445" s="1761" t="s">
        <v>4182</v>
      </c>
      <c r="AJ1445" s="1761" t="s">
        <v>4182</v>
      </c>
      <c r="AK1445" s="1761">
        <v>7205</v>
      </c>
      <c r="AL1445" s="1761" t="s">
        <v>4183</v>
      </c>
      <c r="AM1445" s="1761">
        <v>559</v>
      </c>
      <c r="AN1445" s="1761" t="s">
        <v>5370</v>
      </c>
      <c r="AO1445" s="1764"/>
      <c r="AP1445" s="1761"/>
      <c r="AQ1445" s="1761"/>
      <c r="AR1445" s="1761" t="s">
        <v>573</v>
      </c>
      <c r="AS1445" s="1761" t="s">
        <v>574</v>
      </c>
      <c r="AT1445" s="1761" t="s">
        <v>327</v>
      </c>
      <c r="AU1445" s="1763"/>
      <c r="AV1445" s="1763"/>
    </row>
    <row r="1446" spans="1:48" ht="37.5" hidden="1">
      <c r="A1446" s="1785" t="str">
        <f t="shared" si="242"/>
        <v>גמל</v>
      </c>
      <c r="B1446" s="1786">
        <f t="shared" si="243"/>
        <v>1475</v>
      </c>
      <c r="C1446" s="1787">
        <v>28946</v>
      </c>
      <c r="D1446" s="1786" t="str">
        <f t="shared" si="244"/>
        <v>יניר קופת תגמולים ופיצויים לשכירים ועצמאים מסלול ללא מניות</v>
      </c>
      <c r="E1446" s="1786" t="s">
        <v>3929</v>
      </c>
      <c r="F1446" s="1786" t="s">
        <v>2958</v>
      </c>
      <c r="G1446" s="1786" t="s">
        <v>2959</v>
      </c>
      <c r="H1446" s="1786" t="str">
        <f t="shared" si="245"/>
        <v>לא פעיל</v>
      </c>
      <c r="I1446" s="1788">
        <f t="shared" si="246"/>
        <v>35065</v>
      </c>
      <c r="J1446" s="1788">
        <f t="shared" si="247"/>
        <v>40725</v>
      </c>
      <c r="K1446" s="1786">
        <v>0</v>
      </c>
      <c r="L1446" s="1786" t="s">
        <v>1594</v>
      </c>
      <c r="M1446" s="1786" t="s">
        <v>1653</v>
      </c>
      <c r="N1446" s="1786" t="s">
        <v>1653</v>
      </c>
      <c r="O1446" s="1786">
        <v>0</v>
      </c>
      <c r="P1446" s="1786"/>
      <c r="Q1446" s="1786">
        <v>0</v>
      </c>
      <c r="R1446" s="1788"/>
      <c r="S1446" s="1786">
        <f t="shared" si="248"/>
        <v>555</v>
      </c>
      <c r="T1446" s="1786" t="str">
        <f t="shared" si="249"/>
        <v>בנק יהב לעובדי המדינה בע"מ</v>
      </c>
      <c r="U1446" s="1786" t="str">
        <f t="shared" si="250"/>
        <v>יניר קופת תגמולים ופיצויים לשכירים ועצמאים מסלול כללי</v>
      </c>
      <c r="V1446" s="1786">
        <f t="shared" si="251"/>
        <v>0</v>
      </c>
      <c r="W1446" s="1789" t="str">
        <f t="shared" si="252"/>
        <v>שחר - חברה לניהול קופת גמל מפעלית למהנדסים בע"מ</v>
      </c>
      <c r="AC1446" s="1759" t="s">
        <v>1586</v>
      </c>
      <c r="AD1446" s="1760">
        <v>40725</v>
      </c>
      <c r="AE1446" s="1760">
        <v>35065</v>
      </c>
      <c r="AF1446" s="1759" t="s">
        <v>1681</v>
      </c>
      <c r="AG1446" s="1759" t="s">
        <v>1583</v>
      </c>
      <c r="AH1446" s="1759" t="s">
        <v>1583</v>
      </c>
      <c r="AI1446" s="1759" t="s">
        <v>3652</v>
      </c>
      <c r="AJ1446" s="1759" t="s">
        <v>2490</v>
      </c>
      <c r="AK1446" s="1759">
        <v>1475</v>
      </c>
      <c r="AL1446" s="1759" t="s">
        <v>1877</v>
      </c>
      <c r="AM1446" s="1759">
        <v>555</v>
      </c>
      <c r="AN1446" s="1759" t="s">
        <v>5517</v>
      </c>
      <c r="AO1446" s="1764"/>
      <c r="AP1446" s="1759"/>
      <c r="AQ1446" s="1759"/>
      <c r="AR1446" s="1759" t="s">
        <v>1879</v>
      </c>
      <c r="AS1446" s="1759" t="s">
        <v>1878</v>
      </c>
      <c r="AT1446" s="1759" t="s">
        <v>327</v>
      </c>
      <c r="AU1446" s="1763"/>
      <c r="AV1446" s="1763"/>
    </row>
    <row r="1447" spans="1:48" ht="37.5" hidden="1">
      <c r="A1447" s="1785" t="str">
        <f t="shared" si="242"/>
        <v>גמל</v>
      </c>
      <c r="B1447" s="1786">
        <f t="shared" si="243"/>
        <v>555</v>
      </c>
      <c r="C1447" s="1787">
        <v>28946</v>
      </c>
      <c r="D1447" s="1786" t="str">
        <f t="shared" si="244"/>
        <v>יניר קופת תגמולים ופיצויים לשכירים ועצמאים מסלול כללי</v>
      </c>
      <c r="E1447" s="1786" t="s">
        <v>3929</v>
      </c>
      <c r="F1447" s="1786" t="s">
        <v>2958</v>
      </c>
      <c r="G1447" s="1786" t="s">
        <v>2959</v>
      </c>
      <c r="H1447" s="1786" t="str">
        <f t="shared" si="245"/>
        <v>לא פעיל</v>
      </c>
      <c r="I1447" s="1788">
        <f t="shared" si="246"/>
        <v>35065</v>
      </c>
      <c r="J1447" s="1788">
        <f t="shared" si="247"/>
        <v>40725</v>
      </c>
      <c r="K1447" s="1786">
        <v>0</v>
      </c>
      <c r="L1447" s="1786" t="s">
        <v>1594</v>
      </c>
      <c r="M1447" s="1786" t="s">
        <v>1653</v>
      </c>
      <c r="N1447" s="1786" t="s">
        <v>1653</v>
      </c>
      <c r="O1447" s="1786">
        <v>0</v>
      </c>
      <c r="P1447" s="1786"/>
      <c r="Q1447" s="1786">
        <v>0</v>
      </c>
      <c r="R1447" s="1788"/>
      <c r="S1447" s="1786">
        <f t="shared" si="248"/>
        <v>555</v>
      </c>
      <c r="T1447" s="1786" t="str">
        <f t="shared" si="249"/>
        <v>בנק יהב לעובדי המדינה בע"מ</v>
      </c>
      <c r="U1447" s="1786" t="str">
        <f t="shared" si="250"/>
        <v>יניר קופת תגמולים ופיצויים לשכירים ועצמאים מסלול כללי</v>
      </c>
      <c r="V1447" s="1786">
        <f t="shared" si="251"/>
        <v>0</v>
      </c>
      <c r="W1447" s="1789" t="str">
        <f t="shared" si="252"/>
        <v>שחר - חברה לניהול קופת גמל מפעלית למהנדסים בע"מ</v>
      </c>
      <c r="AC1447" s="1761" t="s">
        <v>1586</v>
      </c>
      <c r="AD1447" s="1762">
        <v>40725</v>
      </c>
      <c r="AE1447" s="1762">
        <v>35065</v>
      </c>
      <c r="AF1447" s="1761" t="s">
        <v>1583</v>
      </c>
      <c r="AG1447" s="1761" t="s">
        <v>1583</v>
      </c>
      <c r="AH1447" s="1761" t="s">
        <v>1583</v>
      </c>
      <c r="AI1447" s="1761" t="s">
        <v>3185</v>
      </c>
      <c r="AJ1447" s="1761" t="s">
        <v>1877</v>
      </c>
      <c r="AK1447" s="1761">
        <v>555</v>
      </c>
      <c r="AL1447" s="1761" t="s">
        <v>1877</v>
      </c>
      <c r="AM1447" s="1761">
        <v>555</v>
      </c>
      <c r="AN1447" s="1761" t="s">
        <v>5517</v>
      </c>
      <c r="AO1447" s="1764"/>
      <c r="AP1447" s="1761"/>
      <c r="AQ1447" s="1761"/>
      <c r="AR1447" s="1761" t="s">
        <v>1879</v>
      </c>
      <c r="AS1447" s="1761" t="s">
        <v>1878</v>
      </c>
      <c r="AT1447" s="1761" t="s">
        <v>327</v>
      </c>
      <c r="AU1447" s="1763"/>
      <c r="AV1447" s="1763"/>
    </row>
    <row r="1448" spans="1:48" ht="25" hidden="1">
      <c r="A1448" s="1785" t="str">
        <f t="shared" si="242"/>
        <v>גמל</v>
      </c>
      <c r="B1448" s="1786">
        <f t="shared" si="243"/>
        <v>2032</v>
      </c>
      <c r="C1448" s="1787">
        <v>28946</v>
      </c>
      <c r="D1448" s="1786" t="str">
        <f t="shared" si="244"/>
        <v>דש השתלמות אג"ח כללי</v>
      </c>
      <c r="E1448" s="1786" t="s">
        <v>3929</v>
      </c>
      <c r="F1448" s="1786" t="s">
        <v>2958</v>
      </c>
      <c r="G1448" s="1786" t="s">
        <v>2959</v>
      </c>
      <c r="H1448" s="1786" t="str">
        <f t="shared" si="245"/>
        <v>לא פעיל</v>
      </c>
      <c r="I1448" s="1788">
        <f t="shared" si="246"/>
        <v>34926</v>
      </c>
      <c r="J1448" s="1788">
        <f t="shared" si="247"/>
        <v>41751.428530092599</v>
      </c>
      <c r="K1448" s="1786">
        <v>0</v>
      </c>
      <c r="L1448" s="1786" t="s">
        <v>1594</v>
      </c>
      <c r="M1448" s="1786" t="s">
        <v>1653</v>
      </c>
      <c r="N1448" s="1786" t="s">
        <v>1653</v>
      </c>
      <c r="O1448" s="1786">
        <v>0</v>
      </c>
      <c r="P1448" s="1786"/>
      <c r="Q1448" s="1786">
        <v>0</v>
      </c>
      <c r="R1448" s="1788"/>
      <c r="S1448" s="1786">
        <f t="shared" si="248"/>
        <v>554</v>
      </c>
      <c r="T1448" s="1786" t="str">
        <f t="shared" si="249"/>
        <v>בנק מזרחי טפחות בע"מ</v>
      </c>
      <c r="U1448" s="1786" t="str">
        <f t="shared" si="250"/>
        <v>דש - קרן השתלמות</v>
      </c>
      <c r="V1448" s="1786" t="str">
        <f t="shared" si="251"/>
        <v>520043795</v>
      </c>
      <c r="W1448" s="1789" t="str">
        <f t="shared" si="252"/>
        <v>מיטב דש גמל ופנסיה בע"מ</v>
      </c>
      <c r="AC1448" s="1759" t="s">
        <v>1586</v>
      </c>
      <c r="AD1448" s="1760">
        <v>41751.428530092599</v>
      </c>
      <c r="AE1448" s="1760">
        <v>34926</v>
      </c>
      <c r="AF1448" s="1759" t="s">
        <v>1653</v>
      </c>
      <c r="AG1448" s="1759" t="s">
        <v>1653</v>
      </c>
      <c r="AH1448" s="1759" t="s">
        <v>1594</v>
      </c>
      <c r="AI1448" s="1759" t="s">
        <v>2521</v>
      </c>
      <c r="AJ1448" s="1759" t="s">
        <v>2521</v>
      </c>
      <c r="AK1448" s="1759">
        <v>2032</v>
      </c>
      <c r="AL1448" s="1759" t="s">
        <v>572</v>
      </c>
      <c r="AM1448" s="1759">
        <v>554</v>
      </c>
      <c r="AN1448" s="1759" t="s">
        <v>5370</v>
      </c>
      <c r="AO1448" s="1764"/>
      <c r="AP1448" s="1759" t="s">
        <v>5373</v>
      </c>
      <c r="AQ1448" s="1759" t="s">
        <v>5374</v>
      </c>
      <c r="AR1448" s="1759" t="s">
        <v>2899</v>
      </c>
      <c r="AS1448" s="1759" t="s">
        <v>349</v>
      </c>
      <c r="AT1448" s="1759" t="s">
        <v>327</v>
      </c>
      <c r="AU1448" s="1763"/>
      <c r="AV1448" s="1763"/>
    </row>
    <row r="1449" spans="1:48" ht="25" hidden="1">
      <c r="A1449" s="1785" t="str">
        <f t="shared" si="242"/>
        <v>גמל</v>
      </c>
      <c r="B1449" s="1786">
        <f t="shared" si="243"/>
        <v>2032</v>
      </c>
      <c r="C1449" s="1787">
        <v>28946</v>
      </c>
      <c r="D1449" s="1786" t="str">
        <f t="shared" si="244"/>
        <v>דש השתלמות אג"ח כללי</v>
      </c>
      <c r="E1449" s="1786" t="s">
        <v>3929</v>
      </c>
      <c r="F1449" s="1786" t="s">
        <v>2958</v>
      </c>
      <c r="G1449" s="1786" t="s">
        <v>2959</v>
      </c>
      <c r="H1449" s="1786" t="str">
        <f t="shared" si="245"/>
        <v>לא פעיל</v>
      </c>
      <c r="I1449" s="1788">
        <f t="shared" si="246"/>
        <v>34926</v>
      </c>
      <c r="J1449" s="1788">
        <f t="shared" si="247"/>
        <v>41751.428530092599</v>
      </c>
      <c r="K1449" s="1786">
        <v>0</v>
      </c>
      <c r="L1449" s="1786" t="s">
        <v>1594</v>
      </c>
      <c r="M1449" s="1786" t="s">
        <v>1653</v>
      </c>
      <c r="N1449" s="1786" t="s">
        <v>1653</v>
      </c>
      <c r="O1449" s="1786">
        <v>0</v>
      </c>
      <c r="P1449" s="1786"/>
      <c r="Q1449" s="1786">
        <v>0</v>
      </c>
      <c r="R1449" s="1788"/>
      <c r="S1449" s="1786">
        <f t="shared" si="248"/>
        <v>554</v>
      </c>
      <c r="T1449" s="1786" t="str">
        <f t="shared" si="249"/>
        <v>בנק מזרחי טפחות בע"מ</v>
      </c>
      <c r="U1449" s="1786" t="str">
        <f t="shared" si="250"/>
        <v>דש - קרן השתלמות</v>
      </c>
      <c r="V1449" s="1786" t="str">
        <f t="shared" si="251"/>
        <v>520043795</v>
      </c>
      <c r="W1449" s="1789" t="str">
        <f t="shared" si="252"/>
        <v>מיטב דש גמל ופנסיה בע"מ</v>
      </c>
      <c r="AC1449" s="1761" t="s">
        <v>1586</v>
      </c>
      <c r="AD1449" s="1762">
        <v>41751.428530092599</v>
      </c>
      <c r="AE1449" s="1762">
        <v>34926</v>
      </c>
      <c r="AF1449" s="1761" t="s">
        <v>1653</v>
      </c>
      <c r="AG1449" s="1761" t="s">
        <v>1653</v>
      </c>
      <c r="AH1449" s="1761" t="s">
        <v>1594</v>
      </c>
      <c r="AI1449" s="1761" t="s">
        <v>2521</v>
      </c>
      <c r="AJ1449" s="1761" t="s">
        <v>2521</v>
      </c>
      <c r="AK1449" s="1761">
        <v>2032</v>
      </c>
      <c r="AL1449" s="1761" t="s">
        <v>572</v>
      </c>
      <c r="AM1449" s="1761">
        <v>554</v>
      </c>
      <c r="AN1449" s="1761" t="s">
        <v>5370</v>
      </c>
      <c r="AO1449" s="1764"/>
      <c r="AP1449" s="1761" t="s">
        <v>5373</v>
      </c>
      <c r="AQ1449" s="1761" t="s">
        <v>5374</v>
      </c>
      <c r="AR1449" s="1761" t="s">
        <v>2899</v>
      </c>
      <c r="AS1449" s="1761" t="s">
        <v>349</v>
      </c>
      <c r="AT1449" s="1761" t="s">
        <v>327</v>
      </c>
      <c r="AU1449" s="1763"/>
      <c r="AV1449" s="1763"/>
    </row>
    <row r="1450" spans="1:48" ht="25" hidden="1">
      <c r="A1450" s="1785" t="str">
        <f t="shared" si="242"/>
        <v>גמל</v>
      </c>
      <c r="B1450" s="1786">
        <f t="shared" si="243"/>
        <v>2054</v>
      </c>
      <c r="C1450" s="1787">
        <v>28946</v>
      </c>
      <c r="D1450" s="1786" t="str">
        <f t="shared" si="244"/>
        <v>דש השתלמות שקלי קצר</v>
      </c>
      <c r="E1450" s="1786" t="s">
        <v>3929</v>
      </c>
      <c r="F1450" s="1786" t="s">
        <v>2958</v>
      </c>
      <c r="G1450" s="1786" t="s">
        <v>2959</v>
      </c>
      <c r="H1450" s="1786" t="str">
        <f t="shared" si="245"/>
        <v>לא פעיל</v>
      </c>
      <c r="I1450" s="1788">
        <f t="shared" si="246"/>
        <v>34926</v>
      </c>
      <c r="J1450" s="1788">
        <f t="shared" si="247"/>
        <v>41751.426562499997</v>
      </c>
      <c r="K1450" s="1786">
        <v>0</v>
      </c>
      <c r="L1450" s="1786" t="s">
        <v>1594</v>
      </c>
      <c r="M1450" s="1786" t="s">
        <v>1653</v>
      </c>
      <c r="N1450" s="1786" t="s">
        <v>1653</v>
      </c>
      <c r="O1450" s="1786">
        <v>0</v>
      </c>
      <c r="P1450" s="1786"/>
      <c r="Q1450" s="1786">
        <v>0</v>
      </c>
      <c r="R1450" s="1788"/>
      <c r="S1450" s="1786">
        <f t="shared" si="248"/>
        <v>554</v>
      </c>
      <c r="T1450" s="1786" t="str">
        <f t="shared" si="249"/>
        <v>בנק מזרחי טפחות בע"מ</v>
      </c>
      <c r="U1450" s="1786" t="str">
        <f t="shared" si="250"/>
        <v>דש - קרן השתלמות</v>
      </c>
      <c r="V1450" s="1786" t="str">
        <f t="shared" si="251"/>
        <v>520043795</v>
      </c>
      <c r="W1450" s="1789" t="str">
        <f t="shared" si="252"/>
        <v>מיטב דש גמל ופנסיה בע"מ</v>
      </c>
      <c r="AC1450" s="1759" t="s">
        <v>1586</v>
      </c>
      <c r="AD1450" s="1760">
        <v>41751.426562499997</v>
      </c>
      <c r="AE1450" s="1760">
        <v>34926</v>
      </c>
      <c r="AF1450" s="1759" t="s">
        <v>1673</v>
      </c>
      <c r="AG1450" s="1759" t="s">
        <v>1614</v>
      </c>
      <c r="AH1450" s="1759" t="s">
        <v>1594</v>
      </c>
      <c r="AI1450" s="1759" t="s">
        <v>2534</v>
      </c>
      <c r="AJ1450" s="1759" t="s">
        <v>2534</v>
      </c>
      <c r="AK1450" s="1759">
        <v>2054</v>
      </c>
      <c r="AL1450" s="1759" t="s">
        <v>572</v>
      </c>
      <c r="AM1450" s="1759">
        <v>554</v>
      </c>
      <c r="AN1450" s="1759" t="s">
        <v>5370</v>
      </c>
      <c r="AO1450" s="1764"/>
      <c r="AP1450" s="1759" t="s">
        <v>5373</v>
      </c>
      <c r="AQ1450" s="1759" t="s">
        <v>5374</v>
      </c>
      <c r="AR1450" s="1759" t="s">
        <v>2899</v>
      </c>
      <c r="AS1450" s="1759" t="s">
        <v>349</v>
      </c>
      <c r="AT1450" s="1759" t="s">
        <v>327</v>
      </c>
      <c r="AU1450" s="1763"/>
      <c r="AV1450" s="1763"/>
    </row>
    <row r="1451" spans="1:48" ht="25" hidden="1">
      <c r="A1451" s="1785" t="str">
        <f t="shared" si="242"/>
        <v>גמל</v>
      </c>
      <c r="B1451" s="1786">
        <f t="shared" si="243"/>
        <v>2033</v>
      </c>
      <c r="C1451" s="1787">
        <v>28946</v>
      </c>
      <c r="D1451" s="1786" t="str">
        <f t="shared" si="244"/>
        <v>דש השתלמות מניות</v>
      </c>
      <c r="E1451" s="1786" t="s">
        <v>3929</v>
      </c>
      <c r="F1451" s="1786" t="s">
        <v>2958</v>
      </c>
      <c r="G1451" s="1786" t="s">
        <v>2959</v>
      </c>
      <c r="H1451" s="1786" t="str">
        <f t="shared" si="245"/>
        <v>לא פעיל</v>
      </c>
      <c r="I1451" s="1788">
        <f t="shared" si="246"/>
        <v>34926</v>
      </c>
      <c r="J1451" s="1788">
        <f t="shared" si="247"/>
        <v>41751.427511574097</v>
      </c>
      <c r="K1451" s="1786">
        <v>0</v>
      </c>
      <c r="L1451" s="1786" t="s">
        <v>1594</v>
      </c>
      <c r="M1451" s="1786" t="s">
        <v>1653</v>
      </c>
      <c r="N1451" s="1786" t="s">
        <v>1653</v>
      </c>
      <c r="O1451" s="1786">
        <v>0</v>
      </c>
      <c r="P1451" s="1786"/>
      <c r="Q1451" s="1786">
        <v>0</v>
      </c>
      <c r="R1451" s="1788"/>
      <c r="S1451" s="1786">
        <f t="shared" si="248"/>
        <v>554</v>
      </c>
      <c r="T1451" s="1786" t="str">
        <f t="shared" si="249"/>
        <v>בנק מזרחי טפחות בע"מ</v>
      </c>
      <c r="U1451" s="1786" t="str">
        <f t="shared" si="250"/>
        <v>דש - קרן השתלמות</v>
      </c>
      <c r="V1451" s="1786" t="str">
        <f t="shared" si="251"/>
        <v>520043795</v>
      </c>
      <c r="W1451" s="1789" t="str">
        <f t="shared" si="252"/>
        <v>מיטב דש גמל ופנסיה בע"מ</v>
      </c>
      <c r="AC1451" s="1761" t="s">
        <v>1586</v>
      </c>
      <c r="AD1451" s="1762">
        <v>41751.427511574097</v>
      </c>
      <c r="AE1451" s="1762">
        <v>34926</v>
      </c>
      <c r="AF1451" s="1761" t="s">
        <v>1595</v>
      </c>
      <c r="AG1451" s="1761" t="s">
        <v>75</v>
      </c>
      <c r="AH1451" s="1761" t="s">
        <v>1594</v>
      </c>
      <c r="AI1451" s="1761" t="s">
        <v>2522</v>
      </c>
      <c r="AJ1451" s="1761" t="s">
        <v>2522</v>
      </c>
      <c r="AK1451" s="1761">
        <v>2033</v>
      </c>
      <c r="AL1451" s="1761" t="s">
        <v>572</v>
      </c>
      <c r="AM1451" s="1761">
        <v>554</v>
      </c>
      <c r="AN1451" s="1761" t="s">
        <v>5370</v>
      </c>
      <c r="AO1451" s="1764"/>
      <c r="AP1451" s="1761" t="s">
        <v>5373</v>
      </c>
      <c r="AQ1451" s="1761" t="s">
        <v>5374</v>
      </c>
      <c r="AR1451" s="1761" t="s">
        <v>2899</v>
      </c>
      <c r="AS1451" s="1761" t="s">
        <v>349</v>
      </c>
      <c r="AT1451" s="1761" t="s">
        <v>327</v>
      </c>
      <c r="AU1451" s="1763"/>
      <c r="AV1451" s="1763"/>
    </row>
    <row r="1452" spans="1:48" ht="25" hidden="1">
      <c r="A1452" s="1785" t="str">
        <f t="shared" si="242"/>
        <v>גמל</v>
      </c>
      <c r="B1452" s="1786">
        <f t="shared" si="243"/>
        <v>2054</v>
      </c>
      <c r="C1452" s="1787">
        <v>28946</v>
      </c>
      <c r="D1452" s="1786" t="str">
        <f t="shared" si="244"/>
        <v>דש השתלמות שקלי קצר</v>
      </c>
      <c r="E1452" s="1786" t="s">
        <v>3929</v>
      </c>
      <c r="F1452" s="1786" t="s">
        <v>2958</v>
      </c>
      <c r="G1452" s="1786" t="s">
        <v>2959</v>
      </c>
      <c r="H1452" s="1786" t="str">
        <f t="shared" si="245"/>
        <v>לא פעיל</v>
      </c>
      <c r="I1452" s="1788">
        <f t="shared" si="246"/>
        <v>34926</v>
      </c>
      <c r="J1452" s="1788">
        <f t="shared" si="247"/>
        <v>41751.426562499997</v>
      </c>
      <c r="K1452" s="1786">
        <v>0</v>
      </c>
      <c r="L1452" s="1786" t="s">
        <v>1594</v>
      </c>
      <c r="M1452" s="1786" t="s">
        <v>1653</v>
      </c>
      <c r="N1452" s="1786" t="s">
        <v>1653</v>
      </c>
      <c r="O1452" s="1786">
        <v>0</v>
      </c>
      <c r="P1452" s="1786"/>
      <c r="Q1452" s="1786">
        <v>0</v>
      </c>
      <c r="R1452" s="1788"/>
      <c r="S1452" s="1786">
        <f t="shared" si="248"/>
        <v>554</v>
      </c>
      <c r="T1452" s="1786" t="str">
        <f t="shared" si="249"/>
        <v>בנק מזרחי טפחות בע"מ</v>
      </c>
      <c r="U1452" s="1786" t="str">
        <f t="shared" si="250"/>
        <v>דש - קרן השתלמות</v>
      </c>
      <c r="V1452" s="1786" t="str">
        <f t="shared" si="251"/>
        <v>520043795</v>
      </c>
      <c r="W1452" s="1789" t="str">
        <f t="shared" si="252"/>
        <v>מיטב דש גמל ופנסיה בע"מ</v>
      </c>
      <c r="AC1452" s="1759" t="s">
        <v>1586</v>
      </c>
      <c r="AD1452" s="1760">
        <v>41751.426562499997</v>
      </c>
      <c r="AE1452" s="1760">
        <v>34926</v>
      </c>
      <c r="AF1452" s="1759" t="s">
        <v>1673</v>
      </c>
      <c r="AG1452" s="1759" t="s">
        <v>1614</v>
      </c>
      <c r="AH1452" s="1759" t="s">
        <v>1594</v>
      </c>
      <c r="AI1452" s="1759" t="s">
        <v>2534</v>
      </c>
      <c r="AJ1452" s="1759" t="s">
        <v>2534</v>
      </c>
      <c r="AK1452" s="1759">
        <v>2054</v>
      </c>
      <c r="AL1452" s="1759" t="s">
        <v>572</v>
      </c>
      <c r="AM1452" s="1759">
        <v>554</v>
      </c>
      <c r="AN1452" s="1759" t="s">
        <v>5370</v>
      </c>
      <c r="AO1452" s="1764"/>
      <c r="AP1452" s="1759" t="s">
        <v>5373</v>
      </c>
      <c r="AQ1452" s="1759" t="s">
        <v>5374</v>
      </c>
      <c r="AR1452" s="1759" t="s">
        <v>2899</v>
      </c>
      <c r="AS1452" s="1759" t="s">
        <v>349</v>
      </c>
      <c r="AT1452" s="1759" t="s">
        <v>327</v>
      </c>
      <c r="AU1452" s="1763"/>
      <c r="AV1452" s="1763"/>
    </row>
    <row r="1453" spans="1:48" ht="25" hidden="1">
      <c r="A1453" s="1785" t="str">
        <f t="shared" si="242"/>
        <v>גמל</v>
      </c>
      <c r="B1453" s="1786">
        <f t="shared" si="243"/>
        <v>2033</v>
      </c>
      <c r="C1453" s="1787">
        <v>28946</v>
      </c>
      <c r="D1453" s="1786" t="str">
        <f t="shared" si="244"/>
        <v>דש השתלמות מניות</v>
      </c>
      <c r="E1453" s="1786" t="s">
        <v>3929</v>
      </c>
      <c r="F1453" s="1786" t="s">
        <v>2958</v>
      </c>
      <c r="G1453" s="1786" t="s">
        <v>2959</v>
      </c>
      <c r="H1453" s="1786" t="str">
        <f t="shared" si="245"/>
        <v>לא פעיל</v>
      </c>
      <c r="I1453" s="1788">
        <f t="shared" si="246"/>
        <v>34926</v>
      </c>
      <c r="J1453" s="1788">
        <f t="shared" si="247"/>
        <v>41751.427511574097</v>
      </c>
      <c r="K1453" s="1786">
        <v>0</v>
      </c>
      <c r="L1453" s="1786" t="s">
        <v>1594</v>
      </c>
      <c r="M1453" s="1786" t="s">
        <v>1653</v>
      </c>
      <c r="N1453" s="1786" t="s">
        <v>1653</v>
      </c>
      <c r="O1453" s="1786">
        <v>0</v>
      </c>
      <c r="P1453" s="1786"/>
      <c r="Q1453" s="1786">
        <v>0</v>
      </c>
      <c r="R1453" s="1788"/>
      <c r="S1453" s="1786">
        <f t="shared" si="248"/>
        <v>554</v>
      </c>
      <c r="T1453" s="1786" t="str">
        <f t="shared" si="249"/>
        <v>בנק מזרחי טפחות בע"מ</v>
      </c>
      <c r="U1453" s="1786" t="str">
        <f t="shared" si="250"/>
        <v>דש - קרן השתלמות</v>
      </c>
      <c r="V1453" s="1786" t="str">
        <f t="shared" si="251"/>
        <v>520043795</v>
      </c>
      <c r="W1453" s="1789" t="str">
        <f t="shared" si="252"/>
        <v>מיטב דש גמל ופנסיה בע"מ</v>
      </c>
      <c r="AC1453" s="1761" t="s">
        <v>1586</v>
      </c>
      <c r="AD1453" s="1762">
        <v>41751.427511574097</v>
      </c>
      <c r="AE1453" s="1762">
        <v>34926</v>
      </c>
      <c r="AF1453" s="1761" t="s">
        <v>1595</v>
      </c>
      <c r="AG1453" s="1761" t="s">
        <v>75</v>
      </c>
      <c r="AH1453" s="1761" t="s">
        <v>1594</v>
      </c>
      <c r="AI1453" s="1761" t="s">
        <v>2522</v>
      </c>
      <c r="AJ1453" s="1761" t="s">
        <v>2522</v>
      </c>
      <c r="AK1453" s="1761">
        <v>2033</v>
      </c>
      <c r="AL1453" s="1761" t="s">
        <v>572</v>
      </c>
      <c r="AM1453" s="1761">
        <v>554</v>
      </c>
      <c r="AN1453" s="1761" t="s">
        <v>5370</v>
      </c>
      <c r="AO1453" s="1764"/>
      <c r="AP1453" s="1761" t="s">
        <v>5373</v>
      </c>
      <c r="AQ1453" s="1761" t="s">
        <v>5374</v>
      </c>
      <c r="AR1453" s="1761" t="s">
        <v>2899</v>
      </c>
      <c r="AS1453" s="1761" t="s">
        <v>349</v>
      </c>
      <c r="AT1453" s="1761" t="s">
        <v>327</v>
      </c>
      <c r="AU1453" s="1763"/>
      <c r="AV1453" s="1763"/>
    </row>
    <row r="1454" spans="1:48" ht="25" hidden="1">
      <c r="A1454" s="1785" t="str">
        <f t="shared" si="242"/>
        <v>גמל</v>
      </c>
      <c r="B1454" s="1786">
        <f t="shared" si="243"/>
        <v>2061</v>
      </c>
      <c r="C1454" s="1787">
        <v>28946</v>
      </c>
      <c r="D1454" s="1786" t="str">
        <f t="shared" si="244"/>
        <v>דש - מרכזית לפיצויים אג"ח ממשלתי</v>
      </c>
      <c r="E1454" s="1786" t="s">
        <v>3929</v>
      </c>
      <c r="F1454" s="1786" t="s">
        <v>2958</v>
      </c>
      <c r="G1454" s="1786" t="s">
        <v>2959</v>
      </c>
      <c r="H1454" s="1786" t="str">
        <f t="shared" si="245"/>
        <v>לא פעיל</v>
      </c>
      <c r="I1454" s="1788">
        <f t="shared" si="246"/>
        <v>34882</v>
      </c>
      <c r="J1454" s="1788">
        <f t="shared" si="247"/>
        <v>41863.422581018502</v>
      </c>
      <c r="K1454" s="1786">
        <v>0</v>
      </c>
      <c r="L1454" s="1786" t="s">
        <v>1594</v>
      </c>
      <c r="M1454" s="1786" t="s">
        <v>1653</v>
      </c>
      <c r="N1454" s="1786" t="s">
        <v>1653</v>
      </c>
      <c r="O1454" s="1786">
        <v>0</v>
      </c>
      <c r="P1454" s="1786"/>
      <c r="Q1454" s="1786">
        <v>0</v>
      </c>
      <c r="R1454" s="1788"/>
      <c r="S1454" s="1786">
        <f t="shared" si="248"/>
        <v>553</v>
      </c>
      <c r="T1454" s="1786" t="str">
        <f t="shared" si="249"/>
        <v>בנק מזרחי טפחות בע"מ</v>
      </c>
      <c r="U1454" s="1786" t="str">
        <f t="shared" si="250"/>
        <v>דש - מרכזית לפיצויים</v>
      </c>
      <c r="V1454" s="1786" t="str">
        <f t="shared" si="251"/>
        <v>520043795</v>
      </c>
      <c r="W1454" s="1789" t="str">
        <f t="shared" si="252"/>
        <v>מיטב דש גמל ופנסיה בע"מ</v>
      </c>
      <c r="AC1454" s="1759" t="s">
        <v>1586</v>
      </c>
      <c r="AD1454" s="1760">
        <v>41863.422581018502</v>
      </c>
      <c r="AE1454" s="1760">
        <v>34882</v>
      </c>
      <c r="AF1454" s="1759" t="s">
        <v>2009</v>
      </c>
      <c r="AG1454" s="1759" t="s">
        <v>1653</v>
      </c>
      <c r="AH1454" s="1759" t="s">
        <v>1594</v>
      </c>
      <c r="AI1454" s="1759" t="s">
        <v>3695</v>
      </c>
      <c r="AJ1454" s="1759" t="s">
        <v>2539</v>
      </c>
      <c r="AK1454" s="1759">
        <v>2061</v>
      </c>
      <c r="AL1454" s="1759" t="s">
        <v>571</v>
      </c>
      <c r="AM1454" s="1759">
        <v>553</v>
      </c>
      <c r="AN1454" s="1759" t="s">
        <v>5370</v>
      </c>
      <c r="AO1454" s="1764"/>
      <c r="AP1454" s="1759" t="s">
        <v>5373</v>
      </c>
      <c r="AQ1454" s="1759" t="s">
        <v>5374</v>
      </c>
      <c r="AR1454" s="1759" t="s">
        <v>2899</v>
      </c>
      <c r="AS1454" s="1759" t="s">
        <v>349</v>
      </c>
      <c r="AT1454" s="1759" t="s">
        <v>327</v>
      </c>
      <c r="AU1454" s="1763"/>
      <c r="AV1454" s="1763"/>
    </row>
    <row r="1455" spans="1:48" ht="25" hidden="1">
      <c r="A1455" s="1785" t="str">
        <f t="shared" si="242"/>
        <v>גמל</v>
      </c>
      <c r="B1455" s="1786">
        <f t="shared" si="243"/>
        <v>2061</v>
      </c>
      <c r="C1455" s="1787">
        <v>28946</v>
      </c>
      <c r="D1455" s="1786" t="str">
        <f t="shared" si="244"/>
        <v>דש - מרכזית לפיצויים אג"ח ממשלתי</v>
      </c>
      <c r="E1455" s="1786" t="s">
        <v>3929</v>
      </c>
      <c r="F1455" s="1786" t="s">
        <v>2958</v>
      </c>
      <c r="G1455" s="1786" t="s">
        <v>2959</v>
      </c>
      <c r="H1455" s="1786" t="str">
        <f t="shared" si="245"/>
        <v>לא פעיל</v>
      </c>
      <c r="I1455" s="1788">
        <f t="shared" si="246"/>
        <v>34882</v>
      </c>
      <c r="J1455" s="1788">
        <f t="shared" si="247"/>
        <v>41863.422581018502</v>
      </c>
      <c r="K1455" s="1786">
        <v>0</v>
      </c>
      <c r="L1455" s="1786" t="s">
        <v>1594</v>
      </c>
      <c r="M1455" s="1786" t="s">
        <v>1653</v>
      </c>
      <c r="N1455" s="1786" t="s">
        <v>1653</v>
      </c>
      <c r="O1455" s="1786">
        <v>0</v>
      </c>
      <c r="P1455" s="1786"/>
      <c r="Q1455" s="1786">
        <v>0</v>
      </c>
      <c r="R1455" s="1788"/>
      <c r="S1455" s="1786">
        <f t="shared" si="248"/>
        <v>553</v>
      </c>
      <c r="T1455" s="1786" t="str">
        <f t="shared" si="249"/>
        <v>בנק מזרחי טפחות בע"מ</v>
      </c>
      <c r="U1455" s="1786" t="str">
        <f t="shared" si="250"/>
        <v>דש - מרכזית לפיצויים</v>
      </c>
      <c r="V1455" s="1786" t="str">
        <f t="shared" si="251"/>
        <v>520043795</v>
      </c>
      <c r="W1455" s="1789" t="str">
        <f t="shared" si="252"/>
        <v>מיטב דש גמל ופנסיה בע"מ</v>
      </c>
      <c r="AC1455" s="1761" t="s">
        <v>1586</v>
      </c>
      <c r="AD1455" s="1762">
        <v>41863.422581018502</v>
      </c>
      <c r="AE1455" s="1762">
        <v>34882</v>
      </c>
      <c r="AF1455" s="1761" t="s">
        <v>2009</v>
      </c>
      <c r="AG1455" s="1761" t="s">
        <v>1653</v>
      </c>
      <c r="AH1455" s="1761" t="s">
        <v>1594</v>
      </c>
      <c r="AI1455" s="1761" t="s">
        <v>3695</v>
      </c>
      <c r="AJ1455" s="1761" t="s">
        <v>2539</v>
      </c>
      <c r="AK1455" s="1761">
        <v>2061</v>
      </c>
      <c r="AL1455" s="1761" t="s">
        <v>571</v>
      </c>
      <c r="AM1455" s="1761">
        <v>553</v>
      </c>
      <c r="AN1455" s="1761" t="s">
        <v>5370</v>
      </c>
      <c r="AO1455" s="1764"/>
      <c r="AP1455" s="1761" t="s">
        <v>5373</v>
      </c>
      <c r="AQ1455" s="1761" t="s">
        <v>5374</v>
      </c>
      <c r="AR1455" s="1761" t="s">
        <v>2899</v>
      </c>
      <c r="AS1455" s="1761" t="s">
        <v>349</v>
      </c>
      <c r="AT1455" s="1761" t="s">
        <v>327</v>
      </c>
      <c r="AU1455" s="1763"/>
      <c r="AV1455" s="1763"/>
    </row>
    <row r="1456" spans="1:48" ht="25" hidden="1">
      <c r="A1456" s="1785" t="str">
        <f t="shared" si="242"/>
        <v>גמל</v>
      </c>
      <c r="B1456" s="1786">
        <f t="shared" si="243"/>
        <v>2062</v>
      </c>
      <c r="C1456" s="1787">
        <v>28946</v>
      </c>
      <c r="D1456" s="1786" t="str">
        <f t="shared" si="244"/>
        <v>דש - מרכזית לפיצויים צמוד מדד</v>
      </c>
      <c r="E1456" s="1786" t="s">
        <v>3929</v>
      </c>
      <c r="F1456" s="1786" t="s">
        <v>2958</v>
      </c>
      <c r="G1456" s="1786" t="s">
        <v>2959</v>
      </c>
      <c r="H1456" s="1786" t="str">
        <f t="shared" si="245"/>
        <v>לא פעיל</v>
      </c>
      <c r="I1456" s="1788">
        <f t="shared" si="246"/>
        <v>34882</v>
      </c>
      <c r="J1456" s="1788">
        <f t="shared" si="247"/>
        <v>41863.419016203698</v>
      </c>
      <c r="K1456" s="1786">
        <v>0</v>
      </c>
      <c r="L1456" s="1786" t="s">
        <v>1594</v>
      </c>
      <c r="M1456" s="1786" t="s">
        <v>1653</v>
      </c>
      <c r="N1456" s="1786" t="s">
        <v>1653</v>
      </c>
      <c r="O1456" s="1786">
        <v>0</v>
      </c>
      <c r="P1456" s="1786"/>
      <c r="Q1456" s="1786">
        <v>0</v>
      </c>
      <c r="R1456" s="1788"/>
      <c r="S1456" s="1786">
        <f t="shared" si="248"/>
        <v>553</v>
      </c>
      <c r="T1456" s="1786" t="str">
        <f t="shared" si="249"/>
        <v>בנק מזרחי טפחות בע"מ</v>
      </c>
      <c r="U1456" s="1786" t="str">
        <f t="shared" si="250"/>
        <v>דש - מרכזית לפיצויים</v>
      </c>
      <c r="V1456" s="1786" t="str">
        <f t="shared" si="251"/>
        <v>520043795</v>
      </c>
      <c r="W1456" s="1789" t="str">
        <f t="shared" si="252"/>
        <v>מיטב דש גמל ופנסיה בע"מ</v>
      </c>
      <c r="AC1456" s="1759" t="s">
        <v>1586</v>
      </c>
      <c r="AD1456" s="1760">
        <v>41863.419016203698</v>
      </c>
      <c r="AE1456" s="1760">
        <v>34882</v>
      </c>
      <c r="AF1456" s="1759" t="s">
        <v>1094</v>
      </c>
      <c r="AG1456" s="1759" t="s">
        <v>1094</v>
      </c>
      <c r="AH1456" s="1759" t="s">
        <v>1594</v>
      </c>
      <c r="AI1456" s="1759" t="s">
        <v>3696</v>
      </c>
      <c r="AJ1456" s="1759" t="s">
        <v>2540</v>
      </c>
      <c r="AK1456" s="1759">
        <v>2062</v>
      </c>
      <c r="AL1456" s="1759" t="s">
        <v>571</v>
      </c>
      <c r="AM1456" s="1759">
        <v>553</v>
      </c>
      <c r="AN1456" s="1759" t="s">
        <v>5370</v>
      </c>
      <c r="AO1456" s="1764"/>
      <c r="AP1456" s="1759" t="s">
        <v>5373</v>
      </c>
      <c r="AQ1456" s="1759" t="s">
        <v>5374</v>
      </c>
      <c r="AR1456" s="1759" t="s">
        <v>2899</v>
      </c>
      <c r="AS1456" s="1759" t="s">
        <v>349</v>
      </c>
      <c r="AT1456" s="1759" t="s">
        <v>327</v>
      </c>
      <c r="AU1456" s="1763"/>
      <c r="AV1456" s="1763"/>
    </row>
    <row r="1457" spans="1:48" ht="25" hidden="1">
      <c r="A1457" s="1785" t="str">
        <f t="shared" si="242"/>
        <v>גמל</v>
      </c>
      <c r="B1457" s="1786">
        <f t="shared" si="243"/>
        <v>2062</v>
      </c>
      <c r="C1457" s="1787">
        <v>28946</v>
      </c>
      <c r="D1457" s="1786" t="str">
        <f t="shared" si="244"/>
        <v>דש - מרכזית לפיצויים צמוד מדד</v>
      </c>
      <c r="E1457" s="1786" t="s">
        <v>3929</v>
      </c>
      <c r="F1457" s="1786" t="s">
        <v>2958</v>
      </c>
      <c r="G1457" s="1786" t="s">
        <v>2959</v>
      </c>
      <c r="H1457" s="1786" t="str">
        <f t="shared" si="245"/>
        <v>לא פעיל</v>
      </c>
      <c r="I1457" s="1788">
        <f t="shared" si="246"/>
        <v>34882</v>
      </c>
      <c r="J1457" s="1788">
        <f t="shared" si="247"/>
        <v>41863.419016203698</v>
      </c>
      <c r="K1457" s="1786">
        <v>0</v>
      </c>
      <c r="L1457" s="1786" t="s">
        <v>1594</v>
      </c>
      <c r="M1457" s="1786" t="s">
        <v>1653</v>
      </c>
      <c r="N1457" s="1786" t="s">
        <v>1653</v>
      </c>
      <c r="O1457" s="1786">
        <v>0</v>
      </c>
      <c r="P1457" s="1786"/>
      <c r="Q1457" s="1786">
        <v>0</v>
      </c>
      <c r="R1457" s="1788"/>
      <c r="S1457" s="1786">
        <f t="shared" si="248"/>
        <v>553</v>
      </c>
      <c r="T1457" s="1786" t="str">
        <f t="shared" si="249"/>
        <v>בנק מזרחי טפחות בע"מ</v>
      </c>
      <c r="U1457" s="1786" t="str">
        <f t="shared" si="250"/>
        <v>דש - מרכזית לפיצויים</v>
      </c>
      <c r="V1457" s="1786" t="str">
        <f t="shared" si="251"/>
        <v>520043795</v>
      </c>
      <c r="W1457" s="1789" t="str">
        <f t="shared" si="252"/>
        <v>מיטב דש גמל ופנסיה בע"מ</v>
      </c>
      <c r="AC1457" s="1761" t="s">
        <v>1586</v>
      </c>
      <c r="AD1457" s="1762">
        <v>41863.419016203698</v>
      </c>
      <c r="AE1457" s="1762">
        <v>34882</v>
      </c>
      <c r="AF1457" s="1761" t="s">
        <v>1094</v>
      </c>
      <c r="AG1457" s="1761" t="s">
        <v>1094</v>
      </c>
      <c r="AH1457" s="1761" t="s">
        <v>1594</v>
      </c>
      <c r="AI1457" s="1761" t="s">
        <v>3696</v>
      </c>
      <c r="AJ1457" s="1761" t="s">
        <v>2540</v>
      </c>
      <c r="AK1457" s="1761">
        <v>2062</v>
      </c>
      <c r="AL1457" s="1761" t="s">
        <v>571</v>
      </c>
      <c r="AM1457" s="1761">
        <v>553</v>
      </c>
      <c r="AN1457" s="1761" t="s">
        <v>5370</v>
      </c>
      <c r="AO1457" s="1764"/>
      <c r="AP1457" s="1761" t="s">
        <v>5373</v>
      </c>
      <c r="AQ1457" s="1761" t="s">
        <v>5374</v>
      </c>
      <c r="AR1457" s="1761" t="s">
        <v>2899</v>
      </c>
      <c r="AS1457" s="1761" t="s">
        <v>349</v>
      </c>
      <c r="AT1457" s="1761" t="s">
        <v>327</v>
      </c>
      <c r="AU1457" s="1763"/>
      <c r="AV1457" s="1763"/>
    </row>
    <row r="1458" spans="1:48" ht="25" hidden="1">
      <c r="A1458" s="1785" t="str">
        <f t="shared" si="242"/>
        <v>גמל</v>
      </c>
      <c r="B1458" s="1786">
        <f t="shared" si="243"/>
        <v>553</v>
      </c>
      <c r="C1458" s="1787">
        <v>28946</v>
      </c>
      <c r="D1458" s="1786" t="str">
        <f t="shared" si="244"/>
        <v>דש - מרכזית לפיצויים</v>
      </c>
      <c r="E1458" s="1786" t="s">
        <v>3929</v>
      </c>
      <c r="F1458" s="1786" t="s">
        <v>2958</v>
      </c>
      <c r="G1458" s="1786" t="s">
        <v>2959</v>
      </c>
      <c r="H1458" s="1786" t="str">
        <f t="shared" si="245"/>
        <v>לא פעיל</v>
      </c>
      <c r="I1458" s="1788">
        <f t="shared" si="246"/>
        <v>34882</v>
      </c>
      <c r="J1458" s="1788">
        <f t="shared" si="247"/>
        <v>41863.413587962998</v>
      </c>
      <c r="K1458" s="1786">
        <v>0</v>
      </c>
      <c r="L1458" s="1786" t="s">
        <v>1594</v>
      </c>
      <c r="M1458" s="1786" t="s">
        <v>1653</v>
      </c>
      <c r="N1458" s="1786" t="s">
        <v>1653</v>
      </c>
      <c r="O1458" s="1786">
        <v>0</v>
      </c>
      <c r="P1458" s="1786"/>
      <c r="Q1458" s="1786">
        <v>0</v>
      </c>
      <c r="R1458" s="1788"/>
      <c r="S1458" s="1786">
        <f t="shared" si="248"/>
        <v>553</v>
      </c>
      <c r="T1458" s="1786" t="str">
        <f t="shared" si="249"/>
        <v>בנק מזרחי טפחות בע"מ</v>
      </c>
      <c r="U1458" s="1786" t="str">
        <f t="shared" si="250"/>
        <v>דש - מרכזית לפיצויים</v>
      </c>
      <c r="V1458" s="1786" t="str">
        <f t="shared" si="251"/>
        <v>520043795</v>
      </c>
      <c r="W1458" s="1789" t="str">
        <f t="shared" si="252"/>
        <v>מיטב דש גמל ופנסיה בע"מ</v>
      </c>
      <c r="AC1458" s="1759" t="s">
        <v>1586</v>
      </c>
      <c r="AD1458" s="1760">
        <v>41863.413587962998</v>
      </c>
      <c r="AE1458" s="1760">
        <v>34882</v>
      </c>
      <c r="AF1458" s="1759" t="s">
        <v>1583</v>
      </c>
      <c r="AG1458" s="1759" t="s">
        <v>1583</v>
      </c>
      <c r="AH1458" s="1759" t="s">
        <v>1583</v>
      </c>
      <c r="AI1458" s="1759" t="s">
        <v>3184</v>
      </c>
      <c r="AJ1458" s="1759" t="s">
        <v>571</v>
      </c>
      <c r="AK1458" s="1759">
        <v>553</v>
      </c>
      <c r="AL1458" s="1759" t="s">
        <v>571</v>
      </c>
      <c r="AM1458" s="1759">
        <v>553</v>
      </c>
      <c r="AN1458" s="1759" t="s">
        <v>5370</v>
      </c>
      <c r="AO1458" s="1764"/>
      <c r="AP1458" s="1759" t="s">
        <v>5373</v>
      </c>
      <c r="AQ1458" s="1759" t="s">
        <v>5374</v>
      </c>
      <c r="AR1458" s="1759" t="s">
        <v>2899</v>
      </c>
      <c r="AS1458" s="1759" t="s">
        <v>349</v>
      </c>
      <c r="AT1458" s="1759" t="s">
        <v>327</v>
      </c>
      <c r="AU1458" s="1763"/>
      <c r="AV1458" s="1763"/>
    </row>
    <row r="1459" spans="1:48" ht="25" hidden="1">
      <c r="A1459" s="1785" t="str">
        <f t="shared" si="242"/>
        <v>גמל</v>
      </c>
      <c r="B1459" s="1786">
        <f t="shared" si="243"/>
        <v>553</v>
      </c>
      <c r="C1459" s="1787">
        <v>28946</v>
      </c>
      <c r="D1459" s="1786" t="str">
        <f t="shared" si="244"/>
        <v>דש - מרכזית לפיצויים</v>
      </c>
      <c r="E1459" s="1786" t="s">
        <v>3929</v>
      </c>
      <c r="F1459" s="1786" t="s">
        <v>2958</v>
      </c>
      <c r="G1459" s="1786" t="s">
        <v>2959</v>
      </c>
      <c r="H1459" s="1786" t="str">
        <f t="shared" si="245"/>
        <v>לא פעיל</v>
      </c>
      <c r="I1459" s="1788">
        <f t="shared" si="246"/>
        <v>34882</v>
      </c>
      <c r="J1459" s="1788">
        <f t="shared" si="247"/>
        <v>41863.413587962998</v>
      </c>
      <c r="K1459" s="1786">
        <v>0</v>
      </c>
      <c r="L1459" s="1786" t="s">
        <v>1594</v>
      </c>
      <c r="M1459" s="1786" t="s">
        <v>1653</v>
      </c>
      <c r="N1459" s="1786" t="s">
        <v>1653</v>
      </c>
      <c r="O1459" s="1786">
        <v>0</v>
      </c>
      <c r="P1459" s="1786"/>
      <c r="Q1459" s="1786">
        <v>0</v>
      </c>
      <c r="R1459" s="1788"/>
      <c r="S1459" s="1786">
        <f t="shared" si="248"/>
        <v>553</v>
      </c>
      <c r="T1459" s="1786" t="str">
        <f t="shared" si="249"/>
        <v>בנק מזרחי טפחות בע"מ</v>
      </c>
      <c r="U1459" s="1786" t="str">
        <f t="shared" si="250"/>
        <v>דש - מרכזית לפיצויים</v>
      </c>
      <c r="V1459" s="1786" t="str">
        <f t="shared" si="251"/>
        <v>520043795</v>
      </c>
      <c r="W1459" s="1789" t="str">
        <f t="shared" si="252"/>
        <v>מיטב דש גמל ופנסיה בע"מ</v>
      </c>
      <c r="AC1459" s="1761" t="s">
        <v>1586</v>
      </c>
      <c r="AD1459" s="1762">
        <v>41863.413587962998</v>
      </c>
      <c r="AE1459" s="1762">
        <v>34882</v>
      </c>
      <c r="AF1459" s="1761" t="s">
        <v>1583</v>
      </c>
      <c r="AG1459" s="1761" t="s">
        <v>1583</v>
      </c>
      <c r="AH1459" s="1761" t="s">
        <v>1583</v>
      </c>
      <c r="AI1459" s="1761" t="s">
        <v>3184</v>
      </c>
      <c r="AJ1459" s="1761" t="s">
        <v>571</v>
      </c>
      <c r="AK1459" s="1761">
        <v>553</v>
      </c>
      <c r="AL1459" s="1761" t="s">
        <v>571</v>
      </c>
      <c r="AM1459" s="1761">
        <v>553</v>
      </c>
      <c r="AN1459" s="1761" t="s">
        <v>5370</v>
      </c>
      <c r="AO1459" s="1764"/>
      <c r="AP1459" s="1761" t="s">
        <v>5373</v>
      </c>
      <c r="AQ1459" s="1761" t="s">
        <v>5374</v>
      </c>
      <c r="AR1459" s="1761" t="s">
        <v>2899</v>
      </c>
      <c r="AS1459" s="1761" t="s">
        <v>349</v>
      </c>
      <c r="AT1459" s="1761" t="s">
        <v>327</v>
      </c>
      <c r="AU1459" s="1763"/>
      <c r="AV1459" s="1763"/>
    </row>
    <row r="1460" spans="1:48" ht="25" hidden="1">
      <c r="A1460" s="1785" t="str">
        <f t="shared" si="242"/>
        <v>גמל</v>
      </c>
      <c r="B1460" s="1786">
        <f t="shared" si="243"/>
        <v>2031</v>
      </c>
      <c r="C1460" s="1787">
        <v>28946</v>
      </c>
      <c r="D1460" s="1786" t="str">
        <f t="shared" si="244"/>
        <v>דש  גמל מניות</v>
      </c>
      <c r="E1460" s="1786" t="s">
        <v>3929</v>
      </c>
      <c r="F1460" s="1786" t="s">
        <v>2958</v>
      </c>
      <c r="G1460" s="1786" t="s">
        <v>2959</v>
      </c>
      <c r="H1460" s="1786" t="str">
        <f t="shared" si="245"/>
        <v>לא פעיל</v>
      </c>
      <c r="I1460" s="1788">
        <f t="shared" si="246"/>
        <v>34562</v>
      </c>
      <c r="J1460" s="1788">
        <f t="shared" si="247"/>
        <v>41751.417824074102</v>
      </c>
      <c r="K1460" s="1786">
        <v>0</v>
      </c>
      <c r="L1460" s="1786" t="s">
        <v>1594</v>
      </c>
      <c r="M1460" s="1786" t="s">
        <v>1653</v>
      </c>
      <c r="N1460" s="1786" t="s">
        <v>1653</v>
      </c>
      <c r="O1460" s="1786">
        <v>0</v>
      </c>
      <c r="P1460" s="1786"/>
      <c r="Q1460" s="1786">
        <v>0</v>
      </c>
      <c r="R1460" s="1788"/>
      <c r="S1460" s="1786">
        <f t="shared" si="248"/>
        <v>552</v>
      </c>
      <c r="T1460" s="1786" t="str">
        <f t="shared" si="249"/>
        <v>בנק מזרחי טפחות בע"מ</v>
      </c>
      <c r="U1460" s="1786" t="str">
        <f t="shared" si="250"/>
        <v>דש  גמל</v>
      </c>
      <c r="V1460" s="1786" t="str">
        <f t="shared" si="251"/>
        <v>520043795</v>
      </c>
      <c r="W1460" s="1789" t="str">
        <f t="shared" si="252"/>
        <v>מיטב דש גמל ופנסיה בע"מ</v>
      </c>
      <c r="AC1460" s="1759" t="s">
        <v>1586</v>
      </c>
      <c r="AD1460" s="1760">
        <v>41751.417824074102</v>
      </c>
      <c r="AE1460" s="1760">
        <v>34562</v>
      </c>
      <c r="AF1460" s="1759" t="s">
        <v>1595</v>
      </c>
      <c r="AG1460" s="1759" t="s">
        <v>75</v>
      </c>
      <c r="AH1460" s="1759" t="s">
        <v>1594</v>
      </c>
      <c r="AI1460" s="1759" t="s">
        <v>3687</v>
      </c>
      <c r="AJ1460" s="1759" t="s">
        <v>2520</v>
      </c>
      <c r="AK1460" s="1759">
        <v>2031</v>
      </c>
      <c r="AL1460" s="1759" t="s">
        <v>570</v>
      </c>
      <c r="AM1460" s="1759">
        <v>552</v>
      </c>
      <c r="AN1460" s="1759" t="s">
        <v>5370</v>
      </c>
      <c r="AO1460" s="1764"/>
      <c r="AP1460" s="1759" t="s">
        <v>5373</v>
      </c>
      <c r="AQ1460" s="1759" t="s">
        <v>5374</v>
      </c>
      <c r="AR1460" s="1759" t="s">
        <v>2899</v>
      </c>
      <c r="AS1460" s="1759" t="s">
        <v>349</v>
      </c>
      <c r="AT1460" s="1759" t="s">
        <v>327</v>
      </c>
      <c r="AU1460" s="1763"/>
      <c r="AV1460" s="1763"/>
    </row>
    <row r="1461" spans="1:48" ht="25" hidden="1">
      <c r="A1461" s="1785" t="str">
        <f t="shared" si="242"/>
        <v>גמל</v>
      </c>
      <c r="B1461" s="1786">
        <f t="shared" si="243"/>
        <v>2050</v>
      </c>
      <c r="C1461" s="1787">
        <v>28946</v>
      </c>
      <c r="D1461" s="1786" t="str">
        <f t="shared" si="244"/>
        <v>דש  גמל שקלי קצר</v>
      </c>
      <c r="E1461" s="1786" t="s">
        <v>3929</v>
      </c>
      <c r="F1461" s="1786" t="s">
        <v>2958</v>
      </c>
      <c r="G1461" s="1786" t="s">
        <v>2959</v>
      </c>
      <c r="H1461" s="1786" t="str">
        <f t="shared" si="245"/>
        <v>לא פעיל</v>
      </c>
      <c r="I1461" s="1788">
        <f t="shared" si="246"/>
        <v>34562</v>
      </c>
      <c r="J1461" s="1788">
        <f t="shared" si="247"/>
        <v>41751.416886574101</v>
      </c>
      <c r="K1461" s="1786">
        <v>0</v>
      </c>
      <c r="L1461" s="1786" t="s">
        <v>1594</v>
      </c>
      <c r="M1461" s="1786" t="s">
        <v>1653</v>
      </c>
      <c r="N1461" s="1786" t="s">
        <v>1653</v>
      </c>
      <c r="O1461" s="1786">
        <v>0</v>
      </c>
      <c r="P1461" s="1786"/>
      <c r="Q1461" s="1786">
        <v>0</v>
      </c>
      <c r="R1461" s="1788"/>
      <c r="S1461" s="1786">
        <f t="shared" si="248"/>
        <v>552</v>
      </c>
      <c r="T1461" s="1786" t="str">
        <f t="shared" si="249"/>
        <v>בנק מזרחי טפחות בע"מ</v>
      </c>
      <c r="U1461" s="1786" t="str">
        <f t="shared" si="250"/>
        <v>דש  גמל</v>
      </c>
      <c r="V1461" s="1786" t="str">
        <f t="shared" si="251"/>
        <v>520043795</v>
      </c>
      <c r="W1461" s="1789" t="str">
        <f t="shared" si="252"/>
        <v>מיטב דש גמל ופנסיה בע"מ</v>
      </c>
      <c r="AC1461" s="1761" t="s">
        <v>1586</v>
      </c>
      <c r="AD1461" s="1762">
        <v>41751.416886574101</v>
      </c>
      <c r="AE1461" s="1762">
        <v>34562</v>
      </c>
      <c r="AF1461" s="1761" t="s">
        <v>1673</v>
      </c>
      <c r="AG1461" s="1761" t="s">
        <v>1614</v>
      </c>
      <c r="AH1461" s="1761" t="s">
        <v>1594</v>
      </c>
      <c r="AI1461" s="1761" t="s">
        <v>3690</v>
      </c>
      <c r="AJ1461" s="1761" t="s">
        <v>2531</v>
      </c>
      <c r="AK1461" s="1761">
        <v>2050</v>
      </c>
      <c r="AL1461" s="1761" t="s">
        <v>570</v>
      </c>
      <c r="AM1461" s="1761">
        <v>552</v>
      </c>
      <c r="AN1461" s="1761" t="s">
        <v>5370</v>
      </c>
      <c r="AO1461" s="1764"/>
      <c r="AP1461" s="1761" t="s">
        <v>5373</v>
      </c>
      <c r="AQ1461" s="1761" t="s">
        <v>5374</v>
      </c>
      <c r="AR1461" s="1761" t="s">
        <v>2899</v>
      </c>
      <c r="AS1461" s="1761" t="s">
        <v>349</v>
      </c>
      <c r="AT1461" s="1761" t="s">
        <v>327</v>
      </c>
      <c r="AU1461" s="1763"/>
      <c r="AV1461" s="1763"/>
    </row>
    <row r="1462" spans="1:48" ht="25" hidden="1">
      <c r="A1462" s="1785" t="str">
        <f t="shared" si="242"/>
        <v>גמל</v>
      </c>
      <c r="B1462" s="1786">
        <f t="shared" si="243"/>
        <v>552</v>
      </c>
      <c r="C1462" s="1787">
        <v>28946</v>
      </c>
      <c r="D1462" s="1786" t="str">
        <f t="shared" si="244"/>
        <v>דש  גמל</v>
      </c>
      <c r="E1462" s="1786" t="s">
        <v>3929</v>
      </c>
      <c r="F1462" s="1786" t="s">
        <v>2958</v>
      </c>
      <c r="G1462" s="1786" t="s">
        <v>2959</v>
      </c>
      <c r="H1462" s="1786" t="str">
        <f t="shared" si="245"/>
        <v>לא פעיל</v>
      </c>
      <c r="I1462" s="1788">
        <f t="shared" si="246"/>
        <v>34562</v>
      </c>
      <c r="J1462" s="1788">
        <f t="shared" si="247"/>
        <v>41751.415868055599</v>
      </c>
      <c r="K1462" s="1786">
        <v>0</v>
      </c>
      <c r="L1462" s="1786" t="s">
        <v>1594</v>
      </c>
      <c r="M1462" s="1786" t="s">
        <v>1653</v>
      </c>
      <c r="N1462" s="1786" t="s">
        <v>1653</v>
      </c>
      <c r="O1462" s="1786">
        <v>0</v>
      </c>
      <c r="P1462" s="1786"/>
      <c r="Q1462" s="1786">
        <v>0</v>
      </c>
      <c r="R1462" s="1788"/>
      <c r="S1462" s="1786">
        <f t="shared" si="248"/>
        <v>552</v>
      </c>
      <c r="T1462" s="1786" t="str">
        <f t="shared" si="249"/>
        <v>בנק מזרחי טפחות בע"מ</v>
      </c>
      <c r="U1462" s="1786" t="str">
        <f t="shared" si="250"/>
        <v>דש  גמל</v>
      </c>
      <c r="V1462" s="1786" t="str">
        <f t="shared" si="251"/>
        <v>520043795</v>
      </c>
      <c r="W1462" s="1789" t="str">
        <f t="shared" si="252"/>
        <v>מיטב דש גמל ופנסיה בע"מ</v>
      </c>
      <c r="AC1462" s="1759" t="s">
        <v>1586</v>
      </c>
      <c r="AD1462" s="1760">
        <v>41751.415868055599</v>
      </c>
      <c r="AE1462" s="1760">
        <v>34562</v>
      </c>
      <c r="AF1462" s="1759" t="s">
        <v>1583</v>
      </c>
      <c r="AG1462" s="1759" t="s">
        <v>1583</v>
      </c>
      <c r="AH1462" s="1759" t="s">
        <v>1583</v>
      </c>
      <c r="AI1462" s="1759" t="s">
        <v>3183</v>
      </c>
      <c r="AJ1462" s="1759" t="s">
        <v>570</v>
      </c>
      <c r="AK1462" s="1759">
        <v>552</v>
      </c>
      <c r="AL1462" s="1759" t="s">
        <v>570</v>
      </c>
      <c r="AM1462" s="1759">
        <v>552</v>
      </c>
      <c r="AN1462" s="1759" t="s">
        <v>5370</v>
      </c>
      <c r="AO1462" s="1764"/>
      <c r="AP1462" s="1759" t="s">
        <v>5373</v>
      </c>
      <c r="AQ1462" s="1759" t="s">
        <v>5374</v>
      </c>
      <c r="AR1462" s="1759" t="s">
        <v>2899</v>
      </c>
      <c r="AS1462" s="1759" t="s">
        <v>349</v>
      </c>
      <c r="AT1462" s="1759" t="s">
        <v>327</v>
      </c>
      <c r="AU1462" s="1763"/>
      <c r="AV1462" s="1763"/>
    </row>
    <row r="1463" spans="1:48" ht="25" hidden="1">
      <c r="A1463" s="1785" t="str">
        <f t="shared" si="242"/>
        <v>גמל</v>
      </c>
      <c r="B1463" s="1786">
        <f t="shared" si="243"/>
        <v>2030</v>
      </c>
      <c r="C1463" s="1787">
        <v>28946</v>
      </c>
      <c r="D1463" s="1786" t="str">
        <f t="shared" si="244"/>
        <v>דש  גמל אג"ח כללי</v>
      </c>
      <c r="E1463" s="1786" t="s">
        <v>3929</v>
      </c>
      <c r="F1463" s="1786" t="s">
        <v>2958</v>
      </c>
      <c r="G1463" s="1786" t="s">
        <v>2959</v>
      </c>
      <c r="H1463" s="1786" t="str">
        <f t="shared" si="245"/>
        <v>לא פעיל</v>
      </c>
      <c r="I1463" s="1788">
        <f t="shared" si="246"/>
        <v>34562</v>
      </c>
      <c r="J1463" s="1788">
        <f t="shared" si="247"/>
        <v>41751.419027777803</v>
      </c>
      <c r="K1463" s="1786">
        <v>0</v>
      </c>
      <c r="L1463" s="1786" t="s">
        <v>1594</v>
      </c>
      <c r="M1463" s="1786" t="s">
        <v>1653</v>
      </c>
      <c r="N1463" s="1786" t="s">
        <v>1653</v>
      </c>
      <c r="O1463" s="1786">
        <v>0</v>
      </c>
      <c r="P1463" s="1786"/>
      <c r="Q1463" s="1786">
        <v>0</v>
      </c>
      <c r="R1463" s="1788"/>
      <c r="S1463" s="1786">
        <f t="shared" si="248"/>
        <v>552</v>
      </c>
      <c r="T1463" s="1786" t="str">
        <f t="shared" si="249"/>
        <v>בנק מזרחי טפחות בע"מ</v>
      </c>
      <c r="U1463" s="1786" t="str">
        <f t="shared" si="250"/>
        <v>דש  גמל</v>
      </c>
      <c r="V1463" s="1786" t="str">
        <f t="shared" si="251"/>
        <v>520043795</v>
      </c>
      <c r="W1463" s="1789" t="str">
        <f t="shared" si="252"/>
        <v>מיטב דש גמל ופנסיה בע"מ</v>
      </c>
      <c r="AC1463" s="1761" t="s">
        <v>1586</v>
      </c>
      <c r="AD1463" s="1762">
        <v>41751.419027777803</v>
      </c>
      <c r="AE1463" s="1762">
        <v>34562</v>
      </c>
      <c r="AF1463" s="1761" t="s">
        <v>1653</v>
      </c>
      <c r="AG1463" s="1761" t="s">
        <v>1653</v>
      </c>
      <c r="AH1463" s="1761" t="s">
        <v>1594</v>
      </c>
      <c r="AI1463" s="1761" t="s">
        <v>3686</v>
      </c>
      <c r="AJ1463" s="1761" t="s">
        <v>2519</v>
      </c>
      <c r="AK1463" s="1761">
        <v>2030</v>
      </c>
      <c r="AL1463" s="1761" t="s">
        <v>570</v>
      </c>
      <c r="AM1463" s="1761">
        <v>552</v>
      </c>
      <c r="AN1463" s="1761" t="s">
        <v>5370</v>
      </c>
      <c r="AO1463" s="1764"/>
      <c r="AP1463" s="1761" t="s">
        <v>5373</v>
      </c>
      <c r="AQ1463" s="1761" t="s">
        <v>5374</v>
      </c>
      <c r="AR1463" s="1761" t="s">
        <v>2899</v>
      </c>
      <c r="AS1463" s="1761" t="s">
        <v>349</v>
      </c>
      <c r="AT1463" s="1761" t="s">
        <v>327</v>
      </c>
      <c r="AU1463" s="1763"/>
      <c r="AV1463" s="1763"/>
    </row>
    <row r="1464" spans="1:48" ht="25" hidden="1">
      <c r="A1464" s="1785" t="str">
        <f t="shared" si="242"/>
        <v>גמל</v>
      </c>
      <c r="B1464" s="1786">
        <f t="shared" si="243"/>
        <v>552</v>
      </c>
      <c r="C1464" s="1787">
        <v>28946</v>
      </c>
      <c r="D1464" s="1786" t="str">
        <f t="shared" si="244"/>
        <v>דש  גמל</v>
      </c>
      <c r="E1464" s="1786" t="s">
        <v>3929</v>
      </c>
      <c r="F1464" s="1786" t="s">
        <v>2958</v>
      </c>
      <c r="G1464" s="1786" t="s">
        <v>2959</v>
      </c>
      <c r="H1464" s="1786" t="str">
        <f t="shared" si="245"/>
        <v>לא פעיל</v>
      </c>
      <c r="I1464" s="1788">
        <f t="shared" si="246"/>
        <v>34562</v>
      </c>
      <c r="J1464" s="1788">
        <f t="shared" si="247"/>
        <v>41751.415868055599</v>
      </c>
      <c r="K1464" s="1786">
        <v>0</v>
      </c>
      <c r="L1464" s="1786" t="s">
        <v>1594</v>
      </c>
      <c r="M1464" s="1786" t="s">
        <v>1653</v>
      </c>
      <c r="N1464" s="1786" t="s">
        <v>1653</v>
      </c>
      <c r="O1464" s="1786">
        <v>0</v>
      </c>
      <c r="P1464" s="1786"/>
      <c r="Q1464" s="1786">
        <v>0</v>
      </c>
      <c r="R1464" s="1788"/>
      <c r="S1464" s="1786">
        <f t="shared" si="248"/>
        <v>552</v>
      </c>
      <c r="T1464" s="1786" t="str">
        <f t="shared" si="249"/>
        <v>בנק מזרחי טפחות בע"מ</v>
      </c>
      <c r="U1464" s="1786" t="str">
        <f t="shared" si="250"/>
        <v>דש  גמל</v>
      </c>
      <c r="V1464" s="1786" t="str">
        <f t="shared" si="251"/>
        <v>520043795</v>
      </c>
      <c r="W1464" s="1789" t="str">
        <f t="shared" si="252"/>
        <v>מיטב דש גמל ופנסיה בע"מ</v>
      </c>
      <c r="AC1464" s="1759" t="s">
        <v>1586</v>
      </c>
      <c r="AD1464" s="1760">
        <v>41751.415868055599</v>
      </c>
      <c r="AE1464" s="1760">
        <v>34562</v>
      </c>
      <c r="AF1464" s="1759" t="s">
        <v>1583</v>
      </c>
      <c r="AG1464" s="1759" t="s">
        <v>1583</v>
      </c>
      <c r="AH1464" s="1759" t="s">
        <v>1583</v>
      </c>
      <c r="AI1464" s="1759" t="s">
        <v>3183</v>
      </c>
      <c r="AJ1464" s="1759" t="s">
        <v>570</v>
      </c>
      <c r="AK1464" s="1759">
        <v>552</v>
      </c>
      <c r="AL1464" s="1759" t="s">
        <v>570</v>
      </c>
      <c r="AM1464" s="1759">
        <v>552</v>
      </c>
      <c r="AN1464" s="1759" t="s">
        <v>5370</v>
      </c>
      <c r="AO1464" s="1764"/>
      <c r="AP1464" s="1759" t="s">
        <v>5373</v>
      </c>
      <c r="AQ1464" s="1759" t="s">
        <v>5374</v>
      </c>
      <c r="AR1464" s="1759" t="s">
        <v>2899</v>
      </c>
      <c r="AS1464" s="1759" t="s">
        <v>349</v>
      </c>
      <c r="AT1464" s="1759" t="s">
        <v>327</v>
      </c>
      <c r="AU1464" s="1763"/>
      <c r="AV1464" s="1763"/>
    </row>
    <row r="1465" spans="1:48" ht="25" hidden="1">
      <c r="A1465" s="1785" t="str">
        <f t="shared" si="242"/>
        <v>גמל</v>
      </c>
      <c r="B1465" s="1786">
        <f t="shared" si="243"/>
        <v>2031</v>
      </c>
      <c r="C1465" s="1787">
        <v>28946</v>
      </c>
      <c r="D1465" s="1786" t="str">
        <f t="shared" si="244"/>
        <v>דש  גמל מניות</v>
      </c>
      <c r="E1465" s="1786" t="s">
        <v>3929</v>
      </c>
      <c r="F1465" s="1786" t="s">
        <v>2958</v>
      </c>
      <c r="G1465" s="1786" t="s">
        <v>2959</v>
      </c>
      <c r="H1465" s="1786" t="str">
        <f t="shared" si="245"/>
        <v>לא פעיל</v>
      </c>
      <c r="I1465" s="1788">
        <f t="shared" si="246"/>
        <v>34562</v>
      </c>
      <c r="J1465" s="1788">
        <f t="shared" si="247"/>
        <v>41751.417824074102</v>
      </c>
      <c r="K1465" s="1786">
        <v>0</v>
      </c>
      <c r="L1465" s="1786" t="s">
        <v>1594</v>
      </c>
      <c r="M1465" s="1786" t="s">
        <v>1653</v>
      </c>
      <c r="N1465" s="1786" t="s">
        <v>1653</v>
      </c>
      <c r="O1465" s="1786">
        <v>0</v>
      </c>
      <c r="P1465" s="1786"/>
      <c r="Q1465" s="1786">
        <v>0</v>
      </c>
      <c r="R1465" s="1788"/>
      <c r="S1465" s="1786">
        <f t="shared" si="248"/>
        <v>552</v>
      </c>
      <c r="T1465" s="1786" t="str">
        <f t="shared" si="249"/>
        <v>בנק מזרחי טפחות בע"מ</v>
      </c>
      <c r="U1465" s="1786" t="str">
        <f t="shared" si="250"/>
        <v>דש  גמל</v>
      </c>
      <c r="V1465" s="1786" t="str">
        <f t="shared" si="251"/>
        <v>520043795</v>
      </c>
      <c r="W1465" s="1789" t="str">
        <f t="shared" si="252"/>
        <v>מיטב דש גמל ופנסיה בע"מ</v>
      </c>
      <c r="AC1465" s="1761" t="s">
        <v>1586</v>
      </c>
      <c r="AD1465" s="1762">
        <v>41751.417824074102</v>
      </c>
      <c r="AE1465" s="1762">
        <v>34562</v>
      </c>
      <c r="AF1465" s="1761" t="s">
        <v>1595</v>
      </c>
      <c r="AG1465" s="1761" t="s">
        <v>75</v>
      </c>
      <c r="AH1465" s="1761" t="s">
        <v>1594</v>
      </c>
      <c r="AI1465" s="1761" t="s">
        <v>3687</v>
      </c>
      <c r="AJ1465" s="1761" t="s">
        <v>2520</v>
      </c>
      <c r="AK1465" s="1761">
        <v>2031</v>
      </c>
      <c r="AL1465" s="1761" t="s">
        <v>570</v>
      </c>
      <c r="AM1465" s="1761">
        <v>552</v>
      </c>
      <c r="AN1465" s="1761" t="s">
        <v>5370</v>
      </c>
      <c r="AO1465" s="1764"/>
      <c r="AP1465" s="1761" t="s">
        <v>5373</v>
      </c>
      <c r="AQ1465" s="1761" t="s">
        <v>5374</v>
      </c>
      <c r="AR1465" s="1761" t="s">
        <v>2899</v>
      </c>
      <c r="AS1465" s="1761" t="s">
        <v>349</v>
      </c>
      <c r="AT1465" s="1761" t="s">
        <v>327</v>
      </c>
      <c r="AU1465" s="1763"/>
      <c r="AV1465" s="1763"/>
    </row>
    <row r="1466" spans="1:48" ht="25" hidden="1">
      <c r="A1466" s="1785" t="str">
        <f t="shared" si="242"/>
        <v>גמל</v>
      </c>
      <c r="B1466" s="1786">
        <f t="shared" si="243"/>
        <v>2030</v>
      </c>
      <c r="C1466" s="1787">
        <v>28946</v>
      </c>
      <c r="D1466" s="1786" t="str">
        <f t="shared" si="244"/>
        <v>דש  גמל אג"ח כללי</v>
      </c>
      <c r="E1466" s="1786" t="s">
        <v>3929</v>
      </c>
      <c r="F1466" s="1786" t="s">
        <v>2958</v>
      </c>
      <c r="G1466" s="1786" t="s">
        <v>2959</v>
      </c>
      <c r="H1466" s="1786" t="str">
        <f t="shared" si="245"/>
        <v>לא פעיל</v>
      </c>
      <c r="I1466" s="1788">
        <f t="shared" si="246"/>
        <v>34562</v>
      </c>
      <c r="J1466" s="1788">
        <f t="shared" si="247"/>
        <v>41751.419027777803</v>
      </c>
      <c r="K1466" s="1786">
        <v>0</v>
      </c>
      <c r="L1466" s="1786" t="s">
        <v>1594</v>
      </c>
      <c r="M1466" s="1786" t="s">
        <v>1653</v>
      </c>
      <c r="N1466" s="1786" t="s">
        <v>1653</v>
      </c>
      <c r="O1466" s="1786">
        <v>0</v>
      </c>
      <c r="P1466" s="1786"/>
      <c r="Q1466" s="1786">
        <v>0</v>
      </c>
      <c r="R1466" s="1788"/>
      <c r="S1466" s="1786">
        <f t="shared" si="248"/>
        <v>552</v>
      </c>
      <c r="T1466" s="1786" t="str">
        <f t="shared" si="249"/>
        <v>בנק מזרחי טפחות בע"מ</v>
      </c>
      <c r="U1466" s="1786" t="str">
        <f t="shared" si="250"/>
        <v>דש  גמל</v>
      </c>
      <c r="V1466" s="1786" t="str">
        <f t="shared" si="251"/>
        <v>520043795</v>
      </c>
      <c r="W1466" s="1789" t="str">
        <f t="shared" si="252"/>
        <v>מיטב דש גמל ופנסיה בע"מ</v>
      </c>
      <c r="AC1466" s="1759" t="s">
        <v>1586</v>
      </c>
      <c r="AD1466" s="1760">
        <v>41751.419027777803</v>
      </c>
      <c r="AE1466" s="1760">
        <v>34562</v>
      </c>
      <c r="AF1466" s="1759" t="s">
        <v>1653</v>
      </c>
      <c r="AG1466" s="1759" t="s">
        <v>1653</v>
      </c>
      <c r="AH1466" s="1759" t="s">
        <v>1594</v>
      </c>
      <c r="AI1466" s="1759" t="s">
        <v>3686</v>
      </c>
      <c r="AJ1466" s="1759" t="s">
        <v>2519</v>
      </c>
      <c r="AK1466" s="1759">
        <v>2030</v>
      </c>
      <c r="AL1466" s="1759" t="s">
        <v>570</v>
      </c>
      <c r="AM1466" s="1759">
        <v>552</v>
      </c>
      <c r="AN1466" s="1759" t="s">
        <v>5370</v>
      </c>
      <c r="AO1466" s="1764"/>
      <c r="AP1466" s="1759" t="s">
        <v>5373</v>
      </c>
      <c r="AQ1466" s="1759" t="s">
        <v>5374</v>
      </c>
      <c r="AR1466" s="1759" t="s">
        <v>2899</v>
      </c>
      <c r="AS1466" s="1759" t="s">
        <v>349</v>
      </c>
      <c r="AT1466" s="1759" t="s">
        <v>327</v>
      </c>
      <c r="AU1466" s="1763"/>
      <c r="AV1466" s="1763"/>
    </row>
    <row r="1467" spans="1:48" ht="25" hidden="1">
      <c r="A1467" s="1785" t="str">
        <f t="shared" si="242"/>
        <v>גמל</v>
      </c>
      <c r="B1467" s="1786">
        <f t="shared" si="243"/>
        <v>2050</v>
      </c>
      <c r="C1467" s="1787">
        <v>28946</v>
      </c>
      <c r="D1467" s="1786" t="str">
        <f t="shared" si="244"/>
        <v>דש  גמל שקלי קצר</v>
      </c>
      <c r="E1467" s="1786" t="s">
        <v>3929</v>
      </c>
      <c r="F1467" s="1786" t="s">
        <v>2958</v>
      </c>
      <c r="G1467" s="1786" t="s">
        <v>2959</v>
      </c>
      <c r="H1467" s="1786" t="str">
        <f t="shared" si="245"/>
        <v>לא פעיל</v>
      </c>
      <c r="I1467" s="1788">
        <f t="shared" si="246"/>
        <v>34562</v>
      </c>
      <c r="J1467" s="1788">
        <f t="shared" si="247"/>
        <v>41751.416886574101</v>
      </c>
      <c r="K1467" s="1786">
        <v>0</v>
      </c>
      <c r="L1467" s="1786" t="s">
        <v>1594</v>
      </c>
      <c r="M1467" s="1786" t="s">
        <v>1653</v>
      </c>
      <c r="N1467" s="1786" t="s">
        <v>1653</v>
      </c>
      <c r="O1467" s="1786">
        <v>0</v>
      </c>
      <c r="P1467" s="1786"/>
      <c r="Q1467" s="1786">
        <v>0</v>
      </c>
      <c r="R1467" s="1788"/>
      <c r="S1467" s="1786">
        <f t="shared" si="248"/>
        <v>552</v>
      </c>
      <c r="T1467" s="1786" t="str">
        <f t="shared" si="249"/>
        <v>בנק מזרחי טפחות בע"מ</v>
      </c>
      <c r="U1467" s="1786" t="str">
        <f t="shared" si="250"/>
        <v>דש  גמל</v>
      </c>
      <c r="V1467" s="1786" t="str">
        <f t="shared" si="251"/>
        <v>520043795</v>
      </c>
      <c r="W1467" s="1789" t="str">
        <f t="shared" si="252"/>
        <v>מיטב דש גמל ופנסיה בע"מ</v>
      </c>
      <c r="AC1467" s="1761" t="s">
        <v>1586</v>
      </c>
      <c r="AD1467" s="1762">
        <v>41751.416886574101</v>
      </c>
      <c r="AE1467" s="1762">
        <v>34562</v>
      </c>
      <c r="AF1467" s="1761" t="s">
        <v>1673</v>
      </c>
      <c r="AG1467" s="1761" t="s">
        <v>1614</v>
      </c>
      <c r="AH1467" s="1761" t="s">
        <v>1594</v>
      </c>
      <c r="AI1467" s="1761" t="s">
        <v>3690</v>
      </c>
      <c r="AJ1467" s="1761" t="s">
        <v>2531</v>
      </c>
      <c r="AK1467" s="1761">
        <v>2050</v>
      </c>
      <c r="AL1467" s="1761" t="s">
        <v>570</v>
      </c>
      <c r="AM1467" s="1761">
        <v>552</v>
      </c>
      <c r="AN1467" s="1761" t="s">
        <v>5370</v>
      </c>
      <c r="AO1467" s="1764"/>
      <c r="AP1467" s="1761" t="s">
        <v>5373</v>
      </c>
      <c r="AQ1467" s="1761" t="s">
        <v>5374</v>
      </c>
      <c r="AR1467" s="1761" t="s">
        <v>2899</v>
      </c>
      <c r="AS1467" s="1761" t="s">
        <v>349</v>
      </c>
      <c r="AT1467" s="1761" t="s">
        <v>327</v>
      </c>
      <c r="AU1467" s="1763"/>
      <c r="AV1467" s="1763"/>
    </row>
    <row r="1468" spans="1:48" ht="25" hidden="1">
      <c r="A1468" s="1785" t="str">
        <f t="shared" si="242"/>
        <v>גמל</v>
      </c>
      <c r="B1468" s="1786">
        <f t="shared" si="243"/>
        <v>776</v>
      </c>
      <c r="C1468" s="1787">
        <v>28946</v>
      </c>
      <c r="D1468" s="1786" t="str">
        <f t="shared" si="244"/>
        <v>פסגות סגנון גמל כספית</v>
      </c>
      <c r="E1468" s="1786" t="s">
        <v>3929</v>
      </c>
      <c r="F1468" s="1786" t="s">
        <v>2958</v>
      </c>
      <c r="G1468" s="1786" t="s">
        <v>2959</v>
      </c>
      <c r="H1468" s="1786" t="str">
        <f t="shared" si="245"/>
        <v>לא פעיל</v>
      </c>
      <c r="I1468" s="1788">
        <f t="shared" si="246"/>
        <v>34031</v>
      </c>
      <c r="J1468" s="1788">
        <f t="shared" si="247"/>
        <v>40917.836909722202</v>
      </c>
      <c r="K1468" s="1786">
        <v>0</v>
      </c>
      <c r="L1468" s="1786" t="s">
        <v>1594</v>
      </c>
      <c r="M1468" s="1786" t="s">
        <v>1653</v>
      </c>
      <c r="N1468" s="1786" t="s">
        <v>1653</v>
      </c>
      <c r="O1468" s="1786">
        <v>0</v>
      </c>
      <c r="P1468" s="1786"/>
      <c r="Q1468" s="1786">
        <v>0</v>
      </c>
      <c r="R1468" s="1788"/>
      <c r="S1468" s="1786">
        <f t="shared" si="248"/>
        <v>547</v>
      </c>
      <c r="T1468" s="1786" t="str">
        <f t="shared" si="249"/>
        <v>בנק לאומי בע"מ</v>
      </c>
      <c r="U1468" s="1786" t="str">
        <f t="shared" si="250"/>
        <v>פסגות סגנון גמל מניות</v>
      </c>
      <c r="V1468" s="1786" t="str">
        <f t="shared" si="251"/>
        <v>513767079</v>
      </c>
      <c r="W1468" s="1789" t="str">
        <f t="shared" si="252"/>
        <v>פסגות קופות גמל ופנסיה בע"מ</v>
      </c>
      <c r="AC1468" s="1759" t="s">
        <v>1586</v>
      </c>
      <c r="AD1468" s="1760">
        <v>40917.836909722202</v>
      </c>
      <c r="AE1468" s="1760">
        <v>34031</v>
      </c>
      <c r="AF1468" s="1759" t="s">
        <v>1673</v>
      </c>
      <c r="AG1468" s="1759" t="s">
        <v>1614</v>
      </c>
      <c r="AH1468" s="1759" t="s">
        <v>1594</v>
      </c>
      <c r="AI1468" s="1759" t="s">
        <v>2034</v>
      </c>
      <c r="AJ1468" s="1759" t="s">
        <v>2034</v>
      </c>
      <c r="AK1468" s="1759">
        <v>776</v>
      </c>
      <c r="AL1468" s="1759" t="s">
        <v>1875</v>
      </c>
      <c r="AM1468" s="1759">
        <v>547</v>
      </c>
      <c r="AN1468" s="1759" t="s">
        <v>5470</v>
      </c>
      <c r="AO1468" s="1764"/>
      <c r="AP1468" s="1759" t="s">
        <v>5365</v>
      </c>
      <c r="AQ1468" s="1759" t="s">
        <v>5366</v>
      </c>
      <c r="AR1468" s="1759" t="s">
        <v>351</v>
      </c>
      <c r="AS1468" s="1759" t="s">
        <v>352</v>
      </c>
      <c r="AT1468" s="1759" t="s">
        <v>327</v>
      </c>
      <c r="AU1468" s="1763"/>
      <c r="AV1468" s="1763"/>
    </row>
    <row r="1469" spans="1:48" ht="25" hidden="1">
      <c r="A1469" s="1785" t="str">
        <f t="shared" si="242"/>
        <v>גמל</v>
      </c>
      <c r="B1469" s="1786">
        <f t="shared" si="243"/>
        <v>547</v>
      </c>
      <c r="C1469" s="1787">
        <v>28946</v>
      </c>
      <c r="D1469" s="1786" t="str">
        <f t="shared" si="244"/>
        <v>פסגות סגנון גמל מניות</v>
      </c>
      <c r="E1469" s="1786" t="s">
        <v>3929</v>
      </c>
      <c r="F1469" s="1786" t="s">
        <v>2958</v>
      </c>
      <c r="G1469" s="1786" t="s">
        <v>2959</v>
      </c>
      <c r="H1469" s="1786" t="str">
        <f t="shared" si="245"/>
        <v>לא פעיל</v>
      </c>
      <c r="I1469" s="1788">
        <f t="shared" si="246"/>
        <v>34031</v>
      </c>
      <c r="J1469" s="1788">
        <f t="shared" si="247"/>
        <v>40917.837627314802</v>
      </c>
      <c r="K1469" s="1786">
        <v>0</v>
      </c>
      <c r="L1469" s="1786" t="s">
        <v>1594</v>
      </c>
      <c r="M1469" s="1786" t="s">
        <v>1653</v>
      </c>
      <c r="N1469" s="1786" t="s">
        <v>1653</v>
      </c>
      <c r="O1469" s="1786">
        <v>0</v>
      </c>
      <c r="P1469" s="1786"/>
      <c r="Q1469" s="1786">
        <v>0</v>
      </c>
      <c r="R1469" s="1788"/>
      <c r="S1469" s="1786">
        <f t="shared" si="248"/>
        <v>547</v>
      </c>
      <c r="T1469" s="1786" t="str">
        <f t="shared" si="249"/>
        <v>בנק לאומי בע"מ</v>
      </c>
      <c r="U1469" s="1786" t="str">
        <f t="shared" si="250"/>
        <v>פסגות סגנון גמל מניות</v>
      </c>
      <c r="V1469" s="1786" t="str">
        <f t="shared" si="251"/>
        <v>513767079</v>
      </c>
      <c r="W1469" s="1789" t="str">
        <f t="shared" si="252"/>
        <v>פסגות קופות גמל ופנסיה בע"מ</v>
      </c>
      <c r="AC1469" s="1761" t="s">
        <v>1586</v>
      </c>
      <c r="AD1469" s="1762">
        <v>40917.837627314802</v>
      </c>
      <c r="AE1469" s="1762">
        <v>34031</v>
      </c>
      <c r="AF1469" s="1761" t="s">
        <v>1595</v>
      </c>
      <c r="AG1469" s="1761" t="s">
        <v>75</v>
      </c>
      <c r="AH1469" s="1761" t="s">
        <v>1594</v>
      </c>
      <c r="AI1469" s="1761" t="s">
        <v>1875</v>
      </c>
      <c r="AJ1469" s="1761" t="s">
        <v>1875</v>
      </c>
      <c r="AK1469" s="1761">
        <v>547</v>
      </c>
      <c r="AL1469" s="1761" t="s">
        <v>1875</v>
      </c>
      <c r="AM1469" s="1761">
        <v>547</v>
      </c>
      <c r="AN1469" s="1761" t="s">
        <v>5470</v>
      </c>
      <c r="AO1469" s="1764"/>
      <c r="AP1469" s="1761" t="s">
        <v>5365</v>
      </c>
      <c r="AQ1469" s="1761" t="s">
        <v>5366</v>
      </c>
      <c r="AR1469" s="1761" t="s">
        <v>351</v>
      </c>
      <c r="AS1469" s="1761" t="s">
        <v>352</v>
      </c>
      <c r="AT1469" s="1761" t="s">
        <v>327</v>
      </c>
      <c r="AU1469" s="1763"/>
      <c r="AV1469" s="1763"/>
    </row>
    <row r="1470" spans="1:48" ht="25" hidden="1">
      <c r="A1470" s="1785" t="str">
        <f t="shared" si="242"/>
        <v>גמל</v>
      </c>
      <c r="B1470" s="1786">
        <f t="shared" si="243"/>
        <v>774</v>
      </c>
      <c r="C1470" s="1787">
        <v>28946</v>
      </c>
      <c r="D1470" s="1786" t="str">
        <f t="shared" si="244"/>
        <v>פסגות סגנון גמל אג"ח</v>
      </c>
      <c r="E1470" s="1786" t="s">
        <v>3929</v>
      </c>
      <c r="F1470" s="1786" t="s">
        <v>2958</v>
      </c>
      <c r="G1470" s="1786" t="s">
        <v>2959</v>
      </c>
      <c r="H1470" s="1786" t="str">
        <f t="shared" si="245"/>
        <v>לא פעיל</v>
      </c>
      <c r="I1470" s="1788">
        <f t="shared" si="246"/>
        <v>34031</v>
      </c>
      <c r="J1470" s="1788">
        <f t="shared" si="247"/>
        <v>40917.835347222201</v>
      </c>
      <c r="K1470" s="1786">
        <v>0</v>
      </c>
      <c r="L1470" s="1786" t="s">
        <v>1594</v>
      </c>
      <c r="M1470" s="1786" t="s">
        <v>1653</v>
      </c>
      <c r="N1470" s="1786" t="s">
        <v>1653</v>
      </c>
      <c r="O1470" s="1786">
        <v>0</v>
      </c>
      <c r="P1470" s="1786"/>
      <c r="Q1470" s="1786">
        <v>0</v>
      </c>
      <c r="R1470" s="1788"/>
      <c r="S1470" s="1786">
        <f t="shared" si="248"/>
        <v>547</v>
      </c>
      <c r="T1470" s="1786" t="str">
        <f t="shared" si="249"/>
        <v>בנק לאומי בע"מ</v>
      </c>
      <c r="U1470" s="1786" t="str">
        <f t="shared" si="250"/>
        <v>פסגות סגנון גמל מניות</v>
      </c>
      <c r="V1470" s="1786" t="str">
        <f t="shared" si="251"/>
        <v>513767079</v>
      </c>
      <c r="W1470" s="1789" t="str">
        <f t="shared" si="252"/>
        <v>פסגות קופות גמל ופנסיה בע"מ</v>
      </c>
      <c r="AC1470" s="1759" t="s">
        <v>1586</v>
      </c>
      <c r="AD1470" s="1760">
        <v>40917.835347222201</v>
      </c>
      <c r="AE1470" s="1760">
        <v>34031</v>
      </c>
      <c r="AF1470" s="1759" t="s">
        <v>1653</v>
      </c>
      <c r="AG1470" s="1759" t="s">
        <v>1653</v>
      </c>
      <c r="AH1470" s="1759" t="s">
        <v>1594</v>
      </c>
      <c r="AI1470" s="1759" t="s">
        <v>2032</v>
      </c>
      <c r="AJ1470" s="1759" t="s">
        <v>2032</v>
      </c>
      <c r="AK1470" s="1759">
        <v>774</v>
      </c>
      <c r="AL1470" s="1759" t="s">
        <v>1875</v>
      </c>
      <c r="AM1470" s="1759">
        <v>547</v>
      </c>
      <c r="AN1470" s="1759" t="s">
        <v>5470</v>
      </c>
      <c r="AO1470" s="1764"/>
      <c r="AP1470" s="1759" t="s">
        <v>5365</v>
      </c>
      <c r="AQ1470" s="1759" t="s">
        <v>5366</v>
      </c>
      <c r="AR1470" s="1759" t="s">
        <v>351</v>
      </c>
      <c r="AS1470" s="1759" t="s">
        <v>352</v>
      </c>
      <c r="AT1470" s="1759" t="s">
        <v>327</v>
      </c>
      <c r="AU1470" s="1763"/>
      <c r="AV1470" s="1763"/>
    </row>
    <row r="1471" spans="1:48" ht="37.5" hidden="1">
      <c r="A1471" s="1785" t="str">
        <f t="shared" si="242"/>
        <v>גמל</v>
      </c>
      <c r="B1471" s="1786">
        <f t="shared" si="243"/>
        <v>545</v>
      </c>
      <c r="C1471" s="1787">
        <v>28946</v>
      </c>
      <c r="D1471" s="1786" t="str">
        <f t="shared" si="244"/>
        <v>חיננית - מסלול שקלי</v>
      </c>
      <c r="E1471" s="1786" t="s">
        <v>3929</v>
      </c>
      <c r="F1471" s="1786" t="s">
        <v>2958</v>
      </c>
      <c r="G1471" s="1786" t="s">
        <v>2959</v>
      </c>
      <c r="H1471" s="1786" t="str">
        <f t="shared" si="245"/>
        <v>לא פעיל</v>
      </c>
      <c r="I1471" s="1788">
        <f t="shared" si="246"/>
        <v>33786</v>
      </c>
      <c r="J1471" s="1788">
        <f t="shared" si="247"/>
        <v>40917.727337962999</v>
      </c>
      <c r="K1471" s="1786">
        <v>0</v>
      </c>
      <c r="L1471" s="1786" t="s">
        <v>1594</v>
      </c>
      <c r="M1471" s="1786" t="s">
        <v>1653</v>
      </c>
      <c r="N1471" s="1786" t="s">
        <v>1653</v>
      </c>
      <c r="O1471" s="1786">
        <v>0</v>
      </c>
      <c r="P1471" s="1786"/>
      <c r="Q1471" s="1786">
        <v>0</v>
      </c>
      <c r="R1471" s="1788"/>
      <c r="S1471" s="1786">
        <f t="shared" si="248"/>
        <v>541</v>
      </c>
      <c r="T1471" s="1786" t="str">
        <f t="shared" si="249"/>
        <v>בנק מזרחי טפחות בע"מ</v>
      </c>
      <c r="U1471" s="1786" t="str">
        <f t="shared" si="250"/>
        <v>חיננית  קופת תגמולים - טווח בינוני - לשעבר מקבוצת מזרחי טפחות</v>
      </c>
      <c r="V1471" s="1786" t="str">
        <f t="shared" si="251"/>
        <v>520017450</v>
      </c>
      <c r="W1471" s="1789" t="str">
        <f t="shared" si="252"/>
        <v xml:space="preserve">הפניקס אקסלנס פנסיה וגמל בע"מ </v>
      </c>
      <c r="AC1471" s="1761" t="s">
        <v>1586</v>
      </c>
      <c r="AD1471" s="1762">
        <v>40917.727337962999</v>
      </c>
      <c r="AE1471" s="1762">
        <v>33786</v>
      </c>
      <c r="AF1471" s="1761" t="s">
        <v>1076</v>
      </c>
      <c r="AG1471" s="1761" t="s">
        <v>1614</v>
      </c>
      <c r="AH1471" s="1761" t="s">
        <v>1594</v>
      </c>
      <c r="AI1471" s="1761" t="s">
        <v>3179</v>
      </c>
      <c r="AJ1471" s="1761" t="s">
        <v>1874</v>
      </c>
      <c r="AK1471" s="1761">
        <v>545</v>
      </c>
      <c r="AL1471" s="1761" t="s">
        <v>1868</v>
      </c>
      <c r="AM1471" s="1761">
        <v>541</v>
      </c>
      <c r="AN1471" s="1761" t="s">
        <v>5370</v>
      </c>
      <c r="AO1471" s="1764"/>
      <c r="AP1471" s="1761" t="s">
        <v>5379</v>
      </c>
      <c r="AQ1471" s="1761" t="s">
        <v>5380</v>
      </c>
      <c r="AR1471" s="1761" t="s">
        <v>5381</v>
      </c>
      <c r="AS1471" s="1761" t="s">
        <v>347</v>
      </c>
      <c r="AT1471" s="1761" t="s">
        <v>327</v>
      </c>
      <c r="AU1471" s="1763"/>
      <c r="AV1471" s="1763"/>
    </row>
    <row r="1472" spans="1:48" ht="37.5" hidden="1">
      <c r="A1472" s="1785" t="str">
        <f t="shared" si="242"/>
        <v>גמל</v>
      </c>
      <c r="B1472" s="1786">
        <f t="shared" si="243"/>
        <v>543</v>
      </c>
      <c r="C1472" s="1787">
        <v>28946</v>
      </c>
      <c r="D1472" s="1786" t="str">
        <f t="shared" si="244"/>
        <v>חיננית - מסלול מט"ח</v>
      </c>
      <c r="E1472" s="1786" t="s">
        <v>3929</v>
      </c>
      <c r="F1472" s="1786" t="s">
        <v>2958</v>
      </c>
      <c r="G1472" s="1786" t="s">
        <v>2959</v>
      </c>
      <c r="H1472" s="1786" t="str">
        <f t="shared" si="245"/>
        <v>לא פעיל</v>
      </c>
      <c r="I1472" s="1788">
        <f t="shared" si="246"/>
        <v>33786</v>
      </c>
      <c r="J1472" s="1788">
        <f t="shared" si="247"/>
        <v>40917.729351851798</v>
      </c>
      <c r="K1472" s="1786">
        <v>0</v>
      </c>
      <c r="L1472" s="1786" t="s">
        <v>1594</v>
      </c>
      <c r="M1472" s="1786" t="s">
        <v>1653</v>
      </c>
      <c r="N1472" s="1786" t="s">
        <v>1653</v>
      </c>
      <c r="O1472" s="1786">
        <v>0</v>
      </c>
      <c r="P1472" s="1786"/>
      <c r="Q1472" s="1786">
        <v>0</v>
      </c>
      <c r="R1472" s="1788"/>
      <c r="S1472" s="1786">
        <f t="shared" si="248"/>
        <v>541</v>
      </c>
      <c r="T1472" s="1786" t="str">
        <f t="shared" si="249"/>
        <v>בנק מזרחי טפחות בע"מ</v>
      </c>
      <c r="U1472" s="1786" t="str">
        <f t="shared" si="250"/>
        <v>חיננית  קופת תגמולים - טווח בינוני - לשעבר מקבוצת מזרחי טפחות</v>
      </c>
      <c r="V1472" s="1786" t="str">
        <f t="shared" si="251"/>
        <v>520017450</v>
      </c>
      <c r="W1472" s="1789" t="str">
        <f t="shared" si="252"/>
        <v xml:space="preserve">הפניקס אקסלנס פנסיה וגמל בע"מ </v>
      </c>
      <c r="AC1472" s="1759" t="s">
        <v>1586</v>
      </c>
      <c r="AD1472" s="1760">
        <v>40917.729351851798</v>
      </c>
      <c r="AE1472" s="1760">
        <v>33786</v>
      </c>
      <c r="AF1472" s="1759" t="s">
        <v>1611</v>
      </c>
      <c r="AG1472" s="1759" t="s">
        <v>1611</v>
      </c>
      <c r="AH1472" s="1759" t="s">
        <v>1594</v>
      </c>
      <c r="AI1472" s="1759" t="s">
        <v>3177</v>
      </c>
      <c r="AJ1472" s="1759" t="s">
        <v>1872</v>
      </c>
      <c r="AK1472" s="1759">
        <v>543</v>
      </c>
      <c r="AL1472" s="1759" t="s">
        <v>1868</v>
      </c>
      <c r="AM1472" s="1759">
        <v>541</v>
      </c>
      <c r="AN1472" s="1759" t="s">
        <v>5370</v>
      </c>
      <c r="AO1472" s="1764"/>
      <c r="AP1472" s="1759" t="s">
        <v>5379</v>
      </c>
      <c r="AQ1472" s="1759" t="s">
        <v>5380</v>
      </c>
      <c r="AR1472" s="1759" t="s">
        <v>5381</v>
      </c>
      <c r="AS1472" s="1759" t="s">
        <v>347</v>
      </c>
      <c r="AT1472" s="1759" t="s">
        <v>327</v>
      </c>
      <c r="AU1472" s="1763"/>
      <c r="AV1472" s="1763"/>
    </row>
    <row r="1473" spans="1:48" ht="37.5" hidden="1">
      <c r="A1473" s="1785" t="str">
        <f t="shared" si="242"/>
        <v>גמל</v>
      </c>
      <c r="B1473" s="1786">
        <f t="shared" si="243"/>
        <v>544</v>
      </c>
      <c r="C1473" s="1787">
        <v>28946</v>
      </c>
      <c r="D1473" s="1786" t="str">
        <f t="shared" si="244"/>
        <v>חיננית - מסלול מניות</v>
      </c>
      <c r="E1473" s="1786" t="s">
        <v>3929</v>
      </c>
      <c r="F1473" s="1786" t="s">
        <v>2958</v>
      </c>
      <c r="G1473" s="1786" t="s">
        <v>2959</v>
      </c>
      <c r="H1473" s="1786" t="str">
        <f t="shared" si="245"/>
        <v>לא פעיל</v>
      </c>
      <c r="I1473" s="1788">
        <f t="shared" si="246"/>
        <v>33786</v>
      </c>
      <c r="J1473" s="1788">
        <f t="shared" si="247"/>
        <v>40917.726875</v>
      </c>
      <c r="K1473" s="1786">
        <v>0</v>
      </c>
      <c r="L1473" s="1786" t="s">
        <v>1594</v>
      </c>
      <c r="M1473" s="1786" t="s">
        <v>1653</v>
      </c>
      <c r="N1473" s="1786" t="s">
        <v>1653</v>
      </c>
      <c r="O1473" s="1786">
        <v>0</v>
      </c>
      <c r="P1473" s="1786"/>
      <c r="Q1473" s="1786">
        <v>0</v>
      </c>
      <c r="R1473" s="1788"/>
      <c r="S1473" s="1786">
        <f t="shared" si="248"/>
        <v>541</v>
      </c>
      <c r="T1473" s="1786" t="str">
        <f t="shared" si="249"/>
        <v>בנק מזרחי טפחות בע"מ</v>
      </c>
      <c r="U1473" s="1786" t="str">
        <f t="shared" si="250"/>
        <v>חיננית  קופת תגמולים - טווח בינוני - לשעבר מקבוצת מזרחי טפחות</v>
      </c>
      <c r="V1473" s="1786" t="str">
        <f t="shared" si="251"/>
        <v>520017450</v>
      </c>
      <c r="W1473" s="1789" t="str">
        <f t="shared" si="252"/>
        <v xml:space="preserve">הפניקס אקסלנס פנסיה וגמל בע"מ </v>
      </c>
      <c r="AC1473" s="1761" t="s">
        <v>1586</v>
      </c>
      <c r="AD1473" s="1762">
        <v>40917.726875</v>
      </c>
      <c r="AE1473" s="1762">
        <v>33786</v>
      </c>
      <c r="AF1473" s="1761" t="s">
        <v>1595</v>
      </c>
      <c r="AG1473" s="1761" t="s">
        <v>75</v>
      </c>
      <c r="AH1473" s="1761" t="s">
        <v>1594</v>
      </c>
      <c r="AI1473" s="1761" t="s">
        <v>3178</v>
      </c>
      <c r="AJ1473" s="1761" t="s">
        <v>1873</v>
      </c>
      <c r="AK1473" s="1761">
        <v>544</v>
      </c>
      <c r="AL1473" s="1761" t="s">
        <v>1868</v>
      </c>
      <c r="AM1473" s="1761">
        <v>541</v>
      </c>
      <c r="AN1473" s="1761" t="s">
        <v>5370</v>
      </c>
      <c r="AO1473" s="1764"/>
      <c r="AP1473" s="1761" t="s">
        <v>5379</v>
      </c>
      <c r="AQ1473" s="1761" t="s">
        <v>5380</v>
      </c>
      <c r="AR1473" s="1761" t="s">
        <v>5381</v>
      </c>
      <c r="AS1473" s="1761" t="s">
        <v>347</v>
      </c>
      <c r="AT1473" s="1761" t="s">
        <v>327</v>
      </c>
      <c r="AU1473" s="1763"/>
      <c r="AV1473" s="1763"/>
    </row>
    <row r="1474" spans="1:48" ht="37.5" hidden="1">
      <c r="A1474" s="1785" t="str">
        <f t="shared" si="242"/>
        <v>גמל</v>
      </c>
      <c r="B1474" s="1786">
        <f t="shared" si="243"/>
        <v>542</v>
      </c>
      <c r="C1474" s="1787">
        <v>28946</v>
      </c>
      <c r="D1474" s="1786" t="str">
        <f t="shared" si="244"/>
        <v>חיננית - מסלול טווח ארוך</v>
      </c>
      <c r="E1474" s="1786" t="s">
        <v>3929</v>
      </c>
      <c r="F1474" s="1786" t="s">
        <v>2958</v>
      </c>
      <c r="G1474" s="1786" t="s">
        <v>2959</v>
      </c>
      <c r="H1474" s="1786" t="str">
        <f t="shared" si="245"/>
        <v>לא פעיל</v>
      </c>
      <c r="I1474" s="1788">
        <f t="shared" si="246"/>
        <v>33786</v>
      </c>
      <c r="J1474" s="1788">
        <f t="shared" si="247"/>
        <v>40917.728900463</v>
      </c>
      <c r="K1474" s="1786">
        <v>0</v>
      </c>
      <c r="L1474" s="1786" t="s">
        <v>1594</v>
      </c>
      <c r="M1474" s="1786" t="s">
        <v>1653</v>
      </c>
      <c r="N1474" s="1786" t="s">
        <v>1653</v>
      </c>
      <c r="O1474" s="1786">
        <v>0</v>
      </c>
      <c r="P1474" s="1786"/>
      <c r="Q1474" s="1786">
        <v>0</v>
      </c>
      <c r="R1474" s="1788"/>
      <c r="S1474" s="1786">
        <f t="shared" si="248"/>
        <v>541</v>
      </c>
      <c r="T1474" s="1786" t="str">
        <f t="shared" si="249"/>
        <v>בנק מזרחי טפחות בע"מ</v>
      </c>
      <c r="U1474" s="1786" t="str">
        <f t="shared" si="250"/>
        <v>חיננית  קופת תגמולים - טווח בינוני - לשעבר מקבוצת מזרחי טפחות</v>
      </c>
      <c r="V1474" s="1786" t="str">
        <f t="shared" si="251"/>
        <v>520017450</v>
      </c>
      <c r="W1474" s="1789" t="str">
        <f t="shared" si="252"/>
        <v xml:space="preserve">הפניקס אקסלנס פנסיה וגמל בע"מ </v>
      </c>
      <c r="AC1474" s="1759" t="s">
        <v>1586</v>
      </c>
      <c r="AD1474" s="1760">
        <v>40917.728900463</v>
      </c>
      <c r="AE1474" s="1760">
        <v>33786</v>
      </c>
      <c r="AF1474" s="1759" t="s">
        <v>1871</v>
      </c>
      <c r="AG1474" s="1759" t="s">
        <v>1653</v>
      </c>
      <c r="AH1474" s="1759" t="s">
        <v>1594</v>
      </c>
      <c r="AI1474" s="1759" t="s">
        <v>3176</v>
      </c>
      <c r="AJ1474" s="1759" t="s">
        <v>1870</v>
      </c>
      <c r="AK1474" s="1759">
        <v>542</v>
      </c>
      <c r="AL1474" s="1759" t="s">
        <v>1868</v>
      </c>
      <c r="AM1474" s="1759">
        <v>541</v>
      </c>
      <c r="AN1474" s="1759" t="s">
        <v>5370</v>
      </c>
      <c r="AO1474" s="1764"/>
      <c r="AP1474" s="1759" t="s">
        <v>5379</v>
      </c>
      <c r="AQ1474" s="1759" t="s">
        <v>5380</v>
      </c>
      <c r="AR1474" s="1759" t="s">
        <v>5381</v>
      </c>
      <c r="AS1474" s="1759" t="s">
        <v>347</v>
      </c>
      <c r="AT1474" s="1759" t="s">
        <v>327</v>
      </c>
      <c r="AU1474" s="1763"/>
      <c r="AV1474" s="1763"/>
    </row>
    <row r="1475" spans="1:48" ht="37.5" hidden="1">
      <c r="A1475" s="1785" t="str">
        <f t="shared" si="242"/>
        <v>גמל</v>
      </c>
      <c r="B1475" s="1786">
        <f t="shared" si="243"/>
        <v>541</v>
      </c>
      <c r="C1475" s="1787">
        <v>28946</v>
      </c>
      <c r="D1475" s="1786" t="str">
        <f t="shared" si="244"/>
        <v>חיננית  קופת תגמולים - טווח בינוני - לשעבר מקבוצת מזרחי טפחות</v>
      </c>
      <c r="E1475" s="1786" t="s">
        <v>3929</v>
      </c>
      <c r="F1475" s="1786" t="s">
        <v>2958</v>
      </c>
      <c r="G1475" s="1786" t="s">
        <v>2959</v>
      </c>
      <c r="H1475" s="1786" t="str">
        <f t="shared" si="245"/>
        <v>לא פעיל</v>
      </c>
      <c r="I1475" s="1788">
        <f t="shared" si="246"/>
        <v>33786</v>
      </c>
      <c r="J1475" s="1788">
        <f t="shared" si="247"/>
        <v>40917.728472222203</v>
      </c>
      <c r="K1475" s="1786">
        <v>0</v>
      </c>
      <c r="L1475" s="1786" t="s">
        <v>1594</v>
      </c>
      <c r="M1475" s="1786" t="s">
        <v>1653</v>
      </c>
      <c r="N1475" s="1786" t="s">
        <v>1653</v>
      </c>
      <c r="O1475" s="1786">
        <v>0</v>
      </c>
      <c r="P1475" s="1786"/>
      <c r="Q1475" s="1786">
        <v>0</v>
      </c>
      <c r="R1475" s="1788"/>
      <c r="S1475" s="1786">
        <f t="shared" si="248"/>
        <v>541</v>
      </c>
      <c r="T1475" s="1786" t="str">
        <f t="shared" si="249"/>
        <v>בנק מזרחי טפחות בע"מ</v>
      </c>
      <c r="U1475" s="1786" t="str">
        <f t="shared" si="250"/>
        <v>חיננית  קופת תגמולים - טווח בינוני - לשעבר מקבוצת מזרחי טפחות</v>
      </c>
      <c r="V1475" s="1786" t="str">
        <f t="shared" si="251"/>
        <v>520017450</v>
      </c>
      <c r="W1475" s="1789" t="str">
        <f t="shared" si="252"/>
        <v xml:space="preserve">הפניקס אקסלנס פנסיה וגמל בע"מ </v>
      </c>
      <c r="AC1475" s="1761" t="s">
        <v>1586</v>
      </c>
      <c r="AD1475" s="1762">
        <v>40917.728472222203</v>
      </c>
      <c r="AE1475" s="1762">
        <v>33786</v>
      </c>
      <c r="AF1475" s="1761" t="s">
        <v>1869</v>
      </c>
      <c r="AG1475" s="1761" t="s">
        <v>1653</v>
      </c>
      <c r="AH1475" s="1761" t="s">
        <v>1594</v>
      </c>
      <c r="AI1475" s="1761" t="s">
        <v>3175</v>
      </c>
      <c r="AJ1475" s="1761" t="s">
        <v>1868</v>
      </c>
      <c r="AK1475" s="1761">
        <v>541</v>
      </c>
      <c r="AL1475" s="1761" t="s">
        <v>1868</v>
      </c>
      <c r="AM1475" s="1761">
        <v>541</v>
      </c>
      <c r="AN1475" s="1761" t="s">
        <v>5370</v>
      </c>
      <c r="AO1475" s="1764"/>
      <c r="AP1475" s="1761" t="s">
        <v>5379</v>
      </c>
      <c r="AQ1475" s="1761" t="s">
        <v>5380</v>
      </c>
      <c r="AR1475" s="1761" t="s">
        <v>5381</v>
      </c>
      <c r="AS1475" s="1761" t="s">
        <v>347</v>
      </c>
      <c r="AT1475" s="1761" t="s">
        <v>327</v>
      </c>
      <c r="AU1475" s="1763"/>
      <c r="AV1475" s="1763"/>
    </row>
    <row r="1476" spans="1:48" ht="37.5" hidden="1">
      <c r="A1476" s="1785" t="str">
        <f t="shared" si="242"/>
        <v>גמל</v>
      </c>
      <c r="B1476" s="1786">
        <f t="shared" si="243"/>
        <v>538</v>
      </c>
      <c r="C1476" s="1787">
        <v>28946</v>
      </c>
      <c r="D1476" s="1786" t="str">
        <f t="shared" si="244"/>
        <v>אמיר ג'</v>
      </c>
      <c r="E1476" s="1786" t="s">
        <v>3929</v>
      </c>
      <c r="F1476" s="1786" t="s">
        <v>2958</v>
      </c>
      <c r="G1476" s="1786" t="s">
        <v>2959</v>
      </c>
      <c r="H1476" s="1786" t="str">
        <f t="shared" si="245"/>
        <v>לא פעיל</v>
      </c>
      <c r="I1476" s="1788">
        <f t="shared" si="246"/>
        <v>25569</v>
      </c>
      <c r="J1476" s="1788">
        <f t="shared" si="247"/>
        <v>25569</v>
      </c>
      <c r="K1476" s="1786">
        <v>0</v>
      </c>
      <c r="L1476" s="1786" t="s">
        <v>1594</v>
      </c>
      <c r="M1476" s="1786" t="s">
        <v>1653</v>
      </c>
      <c r="N1476" s="1786" t="s">
        <v>1653</v>
      </c>
      <c r="O1476" s="1786">
        <v>0</v>
      </c>
      <c r="P1476" s="1786"/>
      <c r="Q1476" s="1786">
        <v>0</v>
      </c>
      <c r="R1476" s="1788"/>
      <c r="S1476" s="1786">
        <f t="shared" si="248"/>
        <v>538</v>
      </c>
      <c r="T1476" s="1786" t="str">
        <f t="shared" si="249"/>
        <v>בנק לאומי בע"מ</v>
      </c>
      <c r="U1476" s="1786" t="str">
        <f t="shared" si="250"/>
        <v>אמיר ג'</v>
      </c>
      <c r="V1476" s="1786">
        <f t="shared" si="251"/>
        <v>0</v>
      </c>
      <c r="W1476" s="1789" t="str">
        <f t="shared" si="252"/>
        <v>קופת התגמולים לעצמאים "עצמה" ליד בל"ל בע"מ</v>
      </c>
      <c r="AC1476" s="1759" t="s">
        <v>1586</v>
      </c>
      <c r="AD1476" s="1760">
        <v>25569</v>
      </c>
      <c r="AE1476" s="1760">
        <v>25569</v>
      </c>
      <c r="AF1476" s="1759" t="s">
        <v>1583</v>
      </c>
      <c r="AG1476" s="1759" t="s">
        <v>1583</v>
      </c>
      <c r="AH1476" s="1759" t="s">
        <v>1583</v>
      </c>
      <c r="AI1476" s="1759" t="s">
        <v>1865</v>
      </c>
      <c r="AJ1476" s="1759" t="s">
        <v>1865</v>
      </c>
      <c r="AK1476" s="1759">
        <v>538</v>
      </c>
      <c r="AL1476" s="1759" t="s">
        <v>1865</v>
      </c>
      <c r="AM1476" s="1759">
        <v>538</v>
      </c>
      <c r="AN1476" s="1759" t="s">
        <v>5470</v>
      </c>
      <c r="AO1476" s="1764"/>
      <c r="AP1476" s="1759"/>
      <c r="AQ1476" s="1759"/>
      <c r="AR1476" s="1759" t="s">
        <v>1661</v>
      </c>
      <c r="AS1476" s="1759" t="s">
        <v>1660</v>
      </c>
      <c r="AT1476" s="1759" t="s">
        <v>327</v>
      </c>
      <c r="AU1476" s="1763"/>
      <c r="AV1476" s="1763"/>
    </row>
    <row r="1477" spans="1:48" ht="37.5" hidden="1">
      <c r="A1477" s="1785" t="str">
        <f t="shared" si="242"/>
        <v>גמל</v>
      </c>
      <c r="B1477" s="1786">
        <f t="shared" si="243"/>
        <v>537</v>
      </c>
      <c r="C1477" s="1787">
        <v>28946</v>
      </c>
      <c r="D1477" s="1786" t="str">
        <f t="shared" si="244"/>
        <v>אמיר ב'</v>
      </c>
      <c r="E1477" s="1786" t="s">
        <v>3929</v>
      </c>
      <c r="F1477" s="1786" t="s">
        <v>2958</v>
      </c>
      <c r="G1477" s="1786" t="s">
        <v>2959</v>
      </c>
      <c r="H1477" s="1786" t="str">
        <f t="shared" si="245"/>
        <v>לא פעיל</v>
      </c>
      <c r="I1477" s="1788">
        <f t="shared" si="246"/>
        <v>25569</v>
      </c>
      <c r="J1477" s="1788">
        <f t="shared" si="247"/>
        <v>25569</v>
      </c>
      <c r="K1477" s="1786">
        <v>0</v>
      </c>
      <c r="L1477" s="1786" t="s">
        <v>1594</v>
      </c>
      <c r="M1477" s="1786" t="s">
        <v>1653</v>
      </c>
      <c r="N1477" s="1786" t="s">
        <v>1653</v>
      </c>
      <c r="O1477" s="1786">
        <v>0</v>
      </c>
      <c r="P1477" s="1786"/>
      <c r="Q1477" s="1786">
        <v>0</v>
      </c>
      <c r="R1477" s="1788"/>
      <c r="S1477" s="1786">
        <f t="shared" si="248"/>
        <v>537</v>
      </c>
      <c r="T1477" s="1786" t="str">
        <f t="shared" si="249"/>
        <v>בנק לאומי בע"מ</v>
      </c>
      <c r="U1477" s="1786" t="str">
        <f t="shared" si="250"/>
        <v>אמיר ב'</v>
      </c>
      <c r="V1477" s="1786">
        <f t="shared" si="251"/>
        <v>0</v>
      </c>
      <c r="W1477" s="1789" t="str">
        <f t="shared" si="252"/>
        <v>קופת התגמולים לעצמאים "עצמה" ליד בל"ל בע"מ</v>
      </c>
      <c r="AC1477" s="1761" t="s">
        <v>1586</v>
      </c>
      <c r="AD1477" s="1762">
        <v>25569</v>
      </c>
      <c r="AE1477" s="1762">
        <v>25569</v>
      </c>
      <c r="AF1477" s="1761" t="s">
        <v>1583</v>
      </c>
      <c r="AG1477" s="1761" t="s">
        <v>1583</v>
      </c>
      <c r="AH1477" s="1761" t="s">
        <v>1583</v>
      </c>
      <c r="AI1477" s="1761" t="s">
        <v>1864</v>
      </c>
      <c r="AJ1477" s="1761" t="s">
        <v>1864</v>
      </c>
      <c r="AK1477" s="1761">
        <v>537</v>
      </c>
      <c r="AL1477" s="1761" t="s">
        <v>1864</v>
      </c>
      <c r="AM1477" s="1761">
        <v>537</v>
      </c>
      <c r="AN1477" s="1761" t="s">
        <v>5470</v>
      </c>
      <c r="AO1477" s="1764"/>
      <c r="AP1477" s="1761"/>
      <c r="AQ1477" s="1761"/>
      <c r="AR1477" s="1761" t="s">
        <v>1661</v>
      </c>
      <c r="AS1477" s="1761" t="s">
        <v>1660</v>
      </c>
      <c r="AT1477" s="1761" t="s">
        <v>327</v>
      </c>
      <c r="AU1477" s="1763"/>
      <c r="AV1477" s="1763"/>
    </row>
    <row r="1478" spans="1:48" ht="37.5" hidden="1">
      <c r="A1478" s="1785" t="str">
        <f t="shared" si="242"/>
        <v>גמל</v>
      </c>
      <c r="B1478" s="1786">
        <f t="shared" si="243"/>
        <v>535</v>
      </c>
      <c r="C1478" s="1787">
        <v>28946</v>
      </c>
      <c r="D1478" s="1786" t="str">
        <f t="shared" si="244"/>
        <v>פלס ג'</v>
      </c>
      <c r="E1478" s="1786" t="s">
        <v>3929</v>
      </c>
      <c r="F1478" s="1786" t="s">
        <v>2958</v>
      </c>
      <c r="G1478" s="1786" t="s">
        <v>2959</v>
      </c>
      <c r="H1478" s="1786" t="str">
        <f t="shared" si="245"/>
        <v>לא פעיל</v>
      </c>
      <c r="I1478" s="1788">
        <f t="shared" si="246"/>
        <v>25569</v>
      </c>
      <c r="J1478" s="1788">
        <f t="shared" si="247"/>
        <v>25569</v>
      </c>
      <c r="K1478" s="1786">
        <v>0</v>
      </c>
      <c r="L1478" s="1786" t="s">
        <v>1594</v>
      </c>
      <c r="M1478" s="1786" t="s">
        <v>1653</v>
      </c>
      <c r="N1478" s="1786" t="s">
        <v>1653</v>
      </c>
      <c r="O1478" s="1786">
        <v>0</v>
      </c>
      <c r="P1478" s="1786"/>
      <c r="Q1478" s="1786">
        <v>0</v>
      </c>
      <c r="R1478" s="1788"/>
      <c r="S1478" s="1786">
        <f t="shared" si="248"/>
        <v>535</v>
      </c>
      <c r="T1478" s="1786" t="str">
        <f t="shared" si="249"/>
        <v>בנק לאומי בע"מ</v>
      </c>
      <c r="U1478" s="1786" t="str">
        <f t="shared" si="250"/>
        <v>פלס ג'</v>
      </c>
      <c r="V1478" s="1786">
        <f t="shared" si="251"/>
        <v>0</v>
      </c>
      <c r="W1478" s="1789" t="str">
        <f t="shared" si="252"/>
        <v>קופת התגמולים לעצמאים "עצמה" ליד בל"ל בע"מ</v>
      </c>
      <c r="AC1478" s="1759" t="s">
        <v>1586</v>
      </c>
      <c r="AD1478" s="1760">
        <v>25569</v>
      </c>
      <c r="AE1478" s="1760">
        <v>25569</v>
      </c>
      <c r="AF1478" s="1759" t="s">
        <v>1583</v>
      </c>
      <c r="AG1478" s="1759" t="s">
        <v>1583</v>
      </c>
      <c r="AH1478" s="1759" t="s">
        <v>1583</v>
      </c>
      <c r="AI1478" s="1759" t="s">
        <v>1862</v>
      </c>
      <c r="AJ1478" s="1759" t="s">
        <v>1862</v>
      </c>
      <c r="AK1478" s="1759">
        <v>535</v>
      </c>
      <c r="AL1478" s="1759" t="s">
        <v>1862</v>
      </c>
      <c r="AM1478" s="1759">
        <v>535</v>
      </c>
      <c r="AN1478" s="1759" t="s">
        <v>5470</v>
      </c>
      <c r="AO1478" s="1764"/>
      <c r="AP1478" s="1759"/>
      <c r="AQ1478" s="1759"/>
      <c r="AR1478" s="1759" t="s">
        <v>1661</v>
      </c>
      <c r="AS1478" s="1759" t="s">
        <v>1660</v>
      </c>
      <c r="AT1478" s="1759" t="s">
        <v>327</v>
      </c>
      <c r="AU1478" s="1763"/>
      <c r="AV1478" s="1763"/>
    </row>
    <row r="1479" spans="1:48" ht="37.5" hidden="1">
      <c r="A1479" s="1785" t="str">
        <f t="shared" si="242"/>
        <v>גמל</v>
      </c>
      <c r="B1479" s="1786">
        <f t="shared" si="243"/>
        <v>527</v>
      </c>
      <c r="C1479" s="1787">
        <v>28946</v>
      </c>
      <c r="D1479" s="1786" t="str">
        <f t="shared" si="244"/>
        <v>ישיר תעוזה קופת גמל לתגמולים ולפיצויים מקבוצת ביטוח ישיר</v>
      </c>
      <c r="E1479" s="1786" t="s">
        <v>3929</v>
      </c>
      <c r="F1479" s="1786" t="s">
        <v>2958</v>
      </c>
      <c r="G1479" s="1786" t="s">
        <v>2959</v>
      </c>
      <c r="H1479" s="1786" t="str">
        <f t="shared" si="245"/>
        <v>לא פעיל</v>
      </c>
      <c r="I1479" s="1788">
        <f t="shared" si="246"/>
        <v>33482</v>
      </c>
      <c r="J1479" s="1788">
        <f t="shared" si="247"/>
        <v>40542</v>
      </c>
      <c r="K1479" s="1786">
        <v>0</v>
      </c>
      <c r="L1479" s="1786" t="s">
        <v>1594</v>
      </c>
      <c r="M1479" s="1786" t="s">
        <v>1653</v>
      </c>
      <c r="N1479" s="1786" t="s">
        <v>1653</v>
      </c>
      <c r="O1479" s="1786">
        <v>0</v>
      </c>
      <c r="P1479" s="1786"/>
      <c r="Q1479" s="1786">
        <v>0</v>
      </c>
      <c r="R1479" s="1788"/>
      <c r="S1479" s="1786">
        <f t="shared" si="248"/>
        <v>527</v>
      </c>
      <c r="T1479" s="1786" t="str">
        <f t="shared" si="249"/>
        <v>הבנק הבינלאומי הראשון</v>
      </c>
      <c r="U1479" s="1786" t="str">
        <f t="shared" si="250"/>
        <v>ישיר תעוזה קופת גמל לתגמולים ולפיצויים מקבוצת ביטוח ישיר</v>
      </c>
      <c r="V1479" s="1786">
        <f t="shared" si="251"/>
        <v>0</v>
      </c>
      <c r="W1479" s="1789" t="str">
        <f t="shared" si="252"/>
        <v>מיטב ישיר גמל בע"מ</v>
      </c>
      <c r="AC1479" s="1761" t="s">
        <v>1586</v>
      </c>
      <c r="AD1479" s="1762">
        <v>40542</v>
      </c>
      <c r="AE1479" s="1762">
        <v>33482</v>
      </c>
      <c r="AF1479" s="1761" t="s">
        <v>1583</v>
      </c>
      <c r="AG1479" s="1761" t="s">
        <v>1583</v>
      </c>
      <c r="AH1479" s="1761" t="s">
        <v>1583</v>
      </c>
      <c r="AI1479" s="1761" t="s">
        <v>3162</v>
      </c>
      <c r="AJ1479" s="1761" t="s">
        <v>1858</v>
      </c>
      <c r="AK1479" s="1761">
        <v>527</v>
      </c>
      <c r="AL1479" s="1761" t="s">
        <v>1858</v>
      </c>
      <c r="AM1479" s="1761">
        <v>527</v>
      </c>
      <c r="AN1479" s="1761" t="s">
        <v>5384</v>
      </c>
      <c r="AO1479" s="1764"/>
      <c r="AP1479" s="1761"/>
      <c r="AQ1479" s="1761"/>
      <c r="AR1479" s="1761" t="s">
        <v>1589</v>
      </c>
      <c r="AS1479" s="1761" t="s">
        <v>1588</v>
      </c>
      <c r="AT1479" s="1761" t="s">
        <v>327</v>
      </c>
      <c r="AU1479" s="1763"/>
      <c r="AV1479" s="1763"/>
    </row>
    <row r="1480" spans="1:48" ht="37.5" hidden="1">
      <c r="A1480" s="1785" t="str">
        <f t="shared" si="242"/>
        <v>גמל</v>
      </c>
      <c r="B1480" s="1786">
        <f t="shared" si="243"/>
        <v>526</v>
      </c>
      <c r="C1480" s="1787">
        <v>28946</v>
      </c>
      <c r="D1480" s="1786" t="str">
        <f t="shared" si="244"/>
        <v>מבטחים - קופת גמל למחלה ותאונה</v>
      </c>
      <c r="E1480" s="1786" t="s">
        <v>3929</v>
      </c>
      <c r="F1480" s="1786" t="s">
        <v>2958</v>
      </c>
      <c r="G1480" s="1786" t="s">
        <v>2959</v>
      </c>
      <c r="H1480" s="1786" t="str">
        <f t="shared" si="245"/>
        <v>פעיל</v>
      </c>
      <c r="I1480" s="1788">
        <f t="shared" si="246"/>
        <v>32143</v>
      </c>
      <c r="J1480" s="1788" t="str">
        <f t="shared" si="247"/>
        <v/>
      </c>
      <c r="K1480" s="1786">
        <v>0</v>
      </c>
      <c r="L1480" s="1786" t="s">
        <v>1594</v>
      </c>
      <c r="M1480" s="1786" t="s">
        <v>1653</v>
      </c>
      <c r="N1480" s="1786" t="s">
        <v>1653</v>
      </c>
      <c r="O1480" s="1786">
        <v>0</v>
      </c>
      <c r="P1480" s="1786"/>
      <c r="Q1480" s="1786">
        <v>0</v>
      </c>
      <c r="R1480" s="1788"/>
      <c r="S1480" s="1786">
        <f t="shared" si="248"/>
        <v>526</v>
      </c>
      <c r="T1480" s="1786" t="str">
        <f t="shared" si="249"/>
        <v>מבטחים הותיקה</v>
      </c>
      <c r="U1480" s="1786" t="str">
        <f t="shared" si="250"/>
        <v>מבטחים - קופת גמל למחלה ותאונה</v>
      </c>
      <c r="V1480" s="1786">
        <f t="shared" si="251"/>
        <v>0</v>
      </c>
      <c r="W1480" s="1789" t="str">
        <f t="shared" si="252"/>
        <v>מבטחים מוסד לביטוח סוציאלי של העובדים בע"מ</v>
      </c>
      <c r="AC1480" s="1759" t="s">
        <v>346</v>
      </c>
      <c r="AD1480" s="1759"/>
      <c r="AE1480" s="1760">
        <v>32143</v>
      </c>
      <c r="AF1480" s="1759" t="s">
        <v>1583</v>
      </c>
      <c r="AG1480" s="1759" t="s">
        <v>1583</v>
      </c>
      <c r="AH1480" s="1759" t="s">
        <v>1583</v>
      </c>
      <c r="AI1480" s="1759" t="s">
        <v>3161</v>
      </c>
      <c r="AJ1480" s="1759" t="s">
        <v>569</v>
      </c>
      <c r="AK1480" s="1759">
        <v>526</v>
      </c>
      <c r="AL1480" s="1759" t="s">
        <v>569</v>
      </c>
      <c r="AM1480" s="1759">
        <v>526</v>
      </c>
      <c r="AN1480" s="1759" t="s">
        <v>5548</v>
      </c>
      <c r="AO1480" s="1764"/>
      <c r="AP1480" s="1759"/>
      <c r="AQ1480" s="1759"/>
      <c r="AR1480" s="1759" t="s">
        <v>482</v>
      </c>
      <c r="AS1480" s="1759" t="s">
        <v>483</v>
      </c>
      <c r="AT1480" s="1759" t="s">
        <v>327</v>
      </c>
      <c r="AU1480" s="1763"/>
      <c r="AV1480" s="1763"/>
    </row>
    <row r="1481" spans="1:48" ht="25" hidden="1">
      <c r="A1481" s="1785" t="str">
        <f t="shared" si="242"/>
        <v>גמל</v>
      </c>
      <c r="B1481" s="1786">
        <f t="shared" si="243"/>
        <v>524</v>
      </c>
      <c r="C1481" s="1787">
        <v>28946</v>
      </c>
      <c r="D1481" s="1786" t="str">
        <f t="shared" si="244"/>
        <v>מבטחים - קופה לפיצויים ותגמולים</v>
      </c>
      <c r="E1481" s="1786" t="s">
        <v>3929</v>
      </c>
      <c r="F1481" s="1786" t="s">
        <v>2958</v>
      </c>
      <c r="G1481" s="1786" t="s">
        <v>2959</v>
      </c>
      <c r="H1481" s="1786" t="str">
        <f t="shared" si="245"/>
        <v>לא פעיל</v>
      </c>
      <c r="I1481" s="1788">
        <f t="shared" si="246"/>
        <v>32143</v>
      </c>
      <c r="J1481" s="1788">
        <f t="shared" si="247"/>
        <v>38862.487488425897</v>
      </c>
      <c r="K1481" s="1786">
        <v>0</v>
      </c>
      <c r="L1481" s="1786" t="s">
        <v>1594</v>
      </c>
      <c r="M1481" s="1786" t="s">
        <v>1653</v>
      </c>
      <c r="N1481" s="1786" t="s">
        <v>1653</v>
      </c>
      <c r="O1481" s="1786">
        <v>0</v>
      </c>
      <c r="P1481" s="1786"/>
      <c r="Q1481" s="1786">
        <v>0</v>
      </c>
      <c r="R1481" s="1788"/>
      <c r="S1481" s="1786">
        <f t="shared" si="248"/>
        <v>524</v>
      </c>
      <c r="T1481" s="1786" t="str">
        <f t="shared" si="249"/>
        <v>מבטחים הותיקה</v>
      </c>
      <c r="U1481" s="1786" t="str">
        <f t="shared" si="250"/>
        <v>מבטחים - קופה לפיצויים ותגמולים</v>
      </c>
      <c r="V1481" s="1786">
        <f t="shared" si="251"/>
        <v>0</v>
      </c>
      <c r="W1481" s="1789" t="str">
        <f t="shared" si="252"/>
        <v>מנורה מבטחים גמל בע"מ</v>
      </c>
      <c r="AC1481" s="1761" t="s">
        <v>1586</v>
      </c>
      <c r="AD1481" s="1762">
        <v>38862.487488425897</v>
      </c>
      <c r="AE1481" s="1762">
        <v>32143</v>
      </c>
      <c r="AF1481" s="1761" t="s">
        <v>1583</v>
      </c>
      <c r="AG1481" s="1761" t="s">
        <v>1583</v>
      </c>
      <c r="AH1481" s="1761" t="s">
        <v>1583</v>
      </c>
      <c r="AI1481" s="1761" t="s">
        <v>3160</v>
      </c>
      <c r="AJ1481" s="1761" t="s">
        <v>1857</v>
      </c>
      <c r="AK1481" s="1761">
        <v>524</v>
      </c>
      <c r="AL1481" s="1761" t="s">
        <v>1857</v>
      </c>
      <c r="AM1481" s="1761">
        <v>524</v>
      </c>
      <c r="AN1481" s="1761" t="s">
        <v>5548</v>
      </c>
      <c r="AO1481" s="1764"/>
      <c r="AP1481" s="1761"/>
      <c r="AQ1481" s="1761"/>
      <c r="AR1481" s="1761" t="s">
        <v>363</v>
      </c>
      <c r="AS1481" s="1761" t="s">
        <v>364</v>
      </c>
      <c r="AT1481" s="1761" t="s">
        <v>327</v>
      </c>
      <c r="AU1481" s="1763"/>
      <c r="AV1481" s="1763"/>
    </row>
    <row r="1482" spans="1:48" ht="50" hidden="1">
      <c r="A1482" s="1785" t="str">
        <f t="shared" si="242"/>
        <v>גמל</v>
      </c>
      <c r="B1482" s="1786">
        <f t="shared" si="243"/>
        <v>523</v>
      </c>
      <c r="C1482" s="1787">
        <v>28946</v>
      </c>
      <c r="D1482" s="1786" t="str">
        <f t="shared" si="244"/>
        <v>קרן הביטוח ופנסיה של פועלי בנין ועבודות ציבוריות אגודה שיתופית בע"מ</v>
      </c>
      <c r="E1482" s="1786" t="s">
        <v>3929</v>
      </c>
      <c r="F1482" s="1786" t="s">
        <v>2958</v>
      </c>
      <c r="G1482" s="1786" t="s">
        <v>2959</v>
      </c>
      <c r="H1482" s="1786" t="str">
        <f t="shared" si="245"/>
        <v>פעיל</v>
      </c>
      <c r="I1482" s="1788">
        <f t="shared" si="246"/>
        <v>32143</v>
      </c>
      <c r="J1482" s="1788" t="str">
        <f t="shared" si="247"/>
        <v/>
      </c>
      <c r="K1482" s="1786">
        <v>0</v>
      </c>
      <c r="L1482" s="1786" t="s">
        <v>1594</v>
      </c>
      <c r="M1482" s="1786" t="s">
        <v>1653</v>
      </c>
      <c r="N1482" s="1786" t="s">
        <v>1653</v>
      </c>
      <c r="O1482" s="1786">
        <v>0</v>
      </c>
      <c r="P1482" s="1786"/>
      <c r="Q1482" s="1786">
        <v>0</v>
      </c>
      <c r="R1482" s="1788"/>
      <c r="S1482" s="1786">
        <f t="shared" si="248"/>
        <v>523</v>
      </c>
      <c r="T1482" s="1786" t="str">
        <f t="shared" si="249"/>
        <v>ניהול  עצמי</v>
      </c>
      <c r="U1482" s="1786" t="str">
        <f t="shared" si="250"/>
        <v>קרן הביטוח ופנסיה של פועלי בנין ועבודות ציבוריות אגודה שיתופית בע"מ</v>
      </c>
      <c r="V1482" s="1786">
        <f t="shared" si="251"/>
        <v>0</v>
      </c>
      <c r="W1482" s="1789" t="str">
        <f t="shared" si="252"/>
        <v>קרן הביטוח והפנסיה של פועלי בנין ועבודות ציבוריות אגודה שיתופית בע"מ</v>
      </c>
      <c r="AC1482" s="1759" t="s">
        <v>346</v>
      </c>
      <c r="AD1482" s="1759"/>
      <c r="AE1482" s="1760">
        <v>32143</v>
      </c>
      <c r="AF1482" s="1759" t="s">
        <v>1583</v>
      </c>
      <c r="AG1482" s="1759" t="s">
        <v>1583</v>
      </c>
      <c r="AH1482" s="1759" t="s">
        <v>1583</v>
      </c>
      <c r="AI1482" s="1759" t="s">
        <v>3159</v>
      </c>
      <c r="AJ1482" s="1759" t="s">
        <v>568</v>
      </c>
      <c r="AK1482" s="1759">
        <v>523</v>
      </c>
      <c r="AL1482" s="1759" t="s">
        <v>568</v>
      </c>
      <c r="AM1482" s="1759">
        <v>523</v>
      </c>
      <c r="AN1482" s="1759" t="s">
        <v>5524</v>
      </c>
      <c r="AO1482" s="1764"/>
      <c r="AP1482" s="1759"/>
      <c r="AQ1482" s="1759"/>
      <c r="AR1482" s="1759" t="s">
        <v>498</v>
      </c>
      <c r="AS1482" s="1759" t="s">
        <v>499</v>
      </c>
      <c r="AT1482" s="1759" t="s">
        <v>327</v>
      </c>
      <c r="AU1482" s="1763"/>
      <c r="AV1482" s="1763"/>
    </row>
    <row r="1483" spans="1:48" ht="37.5" hidden="1">
      <c r="A1483" s="1785" t="str">
        <f t="shared" si="242"/>
        <v>גמל</v>
      </c>
      <c r="B1483" s="1786">
        <f t="shared" si="243"/>
        <v>519</v>
      </c>
      <c r="C1483" s="1787">
        <v>28946</v>
      </c>
      <c r="D1483" s="1786" t="str">
        <f t="shared" si="244"/>
        <v>נג"ב מרכזית</v>
      </c>
      <c r="E1483" s="1786" t="s">
        <v>3929</v>
      </c>
      <c r="F1483" s="1786" t="s">
        <v>2958</v>
      </c>
      <c r="G1483" s="1786" t="s">
        <v>2959</v>
      </c>
      <c r="H1483" s="1786" t="str">
        <f t="shared" si="245"/>
        <v>לא פעיל</v>
      </c>
      <c r="I1483" s="1788">
        <f t="shared" si="246"/>
        <v>25569</v>
      </c>
      <c r="J1483" s="1788">
        <f t="shared" si="247"/>
        <v>25569</v>
      </c>
      <c r="K1483" s="1786">
        <v>0</v>
      </c>
      <c r="L1483" s="1786" t="s">
        <v>1594</v>
      </c>
      <c r="M1483" s="1786" t="s">
        <v>1653</v>
      </c>
      <c r="N1483" s="1786" t="s">
        <v>1653</v>
      </c>
      <c r="O1483" s="1786">
        <v>0</v>
      </c>
      <c r="P1483" s="1786"/>
      <c r="Q1483" s="1786">
        <v>0</v>
      </c>
      <c r="R1483" s="1788"/>
      <c r="S1483" s="1786">
        <f t="shared" si="248"/>
        <v>519</v>
      </c>
      <c r="T1483" s="1786" t="str">
        <f t="shared" si="249"/>
        <v>בנק לאומי בע"מ</v>
      </c>
      <c r="U1483" s="1786" t="str">
        <f t="shared" si="250"/>
        <v>נג"ב מרכזית</v>
      </c>
      <c r="V1483" s="1786">
        <f t="shared" si="251"/>
        <v>0</v>
      </c>
      <c r="W1483" s="1789" t="str">
        <f t="shared" si="252"/>
        <v>קופת התגמולים לעצמאים "עצמה" ליד בל"ל בע"מ</v>
      </c>
      <c r="AC1483" s="1761" t="s">
        <v>1586</v>
      </c>
      <c r="AD1483" s="1762">
        <v>25569</v>
      </c>
      <c r="AE1483" s="1762">
        <v>25569</v>
      </c>
      <c r="AF1483" s="1761" t="s">
        <v>1583</v>
      </c>
      <c r="AG1483" s="1761" t="s">
        <v>1583</v>
      </c>
      <c r="AH1483" s="1761" t="s">
        <v>1583</v>
      </c>
      <c r="AI1483" s="1761" t="s">
        <v>1856</v>
      </c>
      <c r="AJ1483" s="1761" t="s">
        <v>1856</v>
      </c>
      <c r="AK1483" s="1761">
        <v>519</v>
      </c>
      <c r="AL1483" s="1761" t="s">
        <v>1856</v>
      </c>
      <c r="AM1483" s="1761">
        <v>519</v>
      </c>
      <c r="AN1483" s="1761" t="s">
        <v>5470</v>
      </c>
      <c r="AO1483" s="1764"/>
      <c r="AP1483" s="1761"/>
      <c r="AQ1483" s="1761"/>
      <c r="AR1483" s="1761" t="s">
        <v>1661</v>
      </c>
      <c r="AS1483" s="1761" t="s">
        <v>1660</v>
      </c>
      <c r="AT1483" s="1761" t="s">
        <v>327</v>
      </c>
      <c r="AU1483" s="1763"/>
      <c r="AV1483" s="1763"/>
    </row>
    <row r="1484" spans="1:48" ht="37.5" hidden="1">
      <c r="A1484" s="1785" t="str">
        <f t="shared" si="242"/>
        <v>גמל</v>
      </c>
      <c r="B1484" s="1786">
        <f t="shared" si="243"/>
        <v>518</v>
      </c>
      <c r="C1484" s="1787">
        <v>28946</v>
      </c>
      <c r="D1484" s="1786" t="str">
        <f t="shared" si="244"/>
        <v>הראל - נתיב קופת תגמולים לעצמאיים לשכירים ואישית לפיצויים</v>
      </c>
      <c r="E1484" s="1786" t="s">
        <v>3929</v>
      </c>
      <c r="F1484" s="1786" t="s">
        <v>2958</v>
      </c>
      <c r="G1484" s="1786" t="s">
        <v>2959</v>
      </c>
      <c r="H1484" s="1786" t="str">
        <f t="shared" si="245"/>
        <v>לא פעיל</v>
      </c>
      <c r="I1484" s="1788">
        <f t="shared" si="246"/>
        <v>32143</v>
      </c>
      <c r="J1484" s="1788">
        <f t="shared" si="247"/>
        <v>40179</v>
      </c>
      <c r="K1484" s="1786">
        <v>0</v>
      </c>
      <c r="L1484" s="1786" t="s">
        <v>1594</v>
      </c>
      <c r="M1484" s="1786" t="s">
        <v>1653</v>
      </c>
      <c r="N1484" s="1786" t="s">
        <v>1653</v>
      </c>
      <c r="O1484" s="1786">
        <v>0</v>
      </c>
      <c r="P1484" s="1786"/>
      <c r="Q1484" s="1786">
        <v>0</v>
      </c>
      <c r="R1484" s="1788"/>
      <c r="S1484" s="1786">
        <f t="shared" si="248"/>
        <v>518</v>
      </c>
      <c r="T1484" s="1786" t="str">
        <f t="shared" si="249"/>
        <v>הראל פנסיה</v>
      </c>
      <c r="U1484" s="1786" t="str">
        <f t="shared" si="250"/>
        <v>הראל - נתיב קופת תגמולים לעצמאיים לשכירים ואישית לפיצויים</v>
      </c>
      <c r="V1484" s="1786">
        <f t="shared" si="251"/>
        <v>0</v>
      </c>
      <c r="W1484" s="1789" t="str">
        <f t="shared" si="252"/>
        <v>הראל עתידית קופות גמל בע"מ</v>
      </c>
      <c r="AC1484" s="1759" t="s">
        <v>1586</v>
      </c>
      <c r="AD1484" s="1760">
        <v>40179</v>
      </c>
      <c r="AE1484" s="1760">
        <v>32143</v>
      </c>
      <c r="AF1484" s="1759" t="s">
        <v>1583</v>
      </c>
      <c r="AG1484" s="1759" t="s">
        <v>1583</v>
      </c>
      <c r="AH1484" s="1759" t="s">
        <v>1583</v>
      </c>
      <c r="AI1484" s="1759" t="s">
        <v>3157</v>
      </c>
      <c r="AJ1484" s="1759" t="s">
        <v>1855</v>
      </c>
      <c r="AK1484" s="1759">
        <v>518</v>
      </c>
      <c r="AL1484" s="1759" t="s">
        <v>1855</v>
      </c>
      <c r="AM1484" s="1759">
        <v>518</v>
      </c>
      <c r="AN1484" s="1759" t="s">
        <v>4168</v>
      </c>
      <c r="AO1484" s="1764"/>
      <c r="AP1484" s="1759"/>
      <c r="AQ1484" s="1759"/>
      <c r="AR1484" s="1759" t="s">
        <v>530</v>
      </c>
      <c r="AS1484" s="1759" t="s">
        <v>531</v>
      </c>
      <c r="AT1484" s="1759" t="s">
        <v>327</v>
      </c>
      <c r="AU1484" s="1763"/>
      <c r="AV1484" s="1763"/>
    </row>
    <row r="1485" spans="1:48" ht="25" hidden="1">
      <c r="A1485" s="1785" t="str">
        <f t="shared" si="242"/>
        <v>גמל</v>
      </c>
      <c r="B1485" s="1786">
        <f t="shared" si="243"/>
        <v>1457</v>
      </c>
      <c r="C1485" s="1787">
        <v>28946</v>
      </c>
      <c r="D1485" s="1786" t="str">
        <f t="shared" si="244"/>
        <v>תלם גמל מסלולית  - מסלול קצר ללא מניות</v>
      </c>
      <c r="E1485" s="1786" t="s">
        <v>3929</v>
      </c>
      <c r="F1485" s="1786" t="s">
        <v>2958</v>
      </c>
      <c r="G1485" s="1786" t="s">
        <v>2959</v>
      </c>
      <c r="H1485" s="1786" t="str">
        <f t="shared" si="245"/>
        <v>לא פעיל</v>
      </c>
      <c r="I1485" s="1788">
        <f t="shared" si="246"/>
        <v>34455</v>
      </c>
      <c r="J1485" s="1788">
        <f t="shared" si="247"/>
        <v>40917.611944444398</v>
      </c>
      <c r="K1485" s="1786">
        <v>0</v>
      </c>
      <c r="L1485" s="1786" t="s">
        <v>1594</v>
      </c>
      <c r="M1485" s="1786" t="s">
        <v>1653</v>
      </c>
      <c r="N1485" s="1786" t="s">
        <v>1653</v>
      </c>
      <c r="O1485" s="1786">
        <v>0</v>
      </c>
      <c r="P1485" s="1786"/>
      <c r="Q1485" s="1786">
        <v>0</v>
      </c>
      <c r="R1485" s="1788"/>
      <c r="S1485" s="1786">
        <f t="shared" si="248"/>
        <v>517</v>
      </c>
      <c r="T1485" s="1786" t="str">
        <f t="shared" si="249"/>
        <v>בנק יהב לעובדי המדינה בע"מ</v>
      </c>
      <c r="U1485" s="1786" t="str">
        <f t="shared" si="250"/>
        <v>תלם גמל מסלולית - מסלול כללי</v>
      </c>
      <c r="V1485" s="1786" t="str">
        <f t="shared" si="251"/>
        <v>513163105</v>
      </c>
      <c r="W1485" s="1789" t="str">
        <f t="shared" si="252"/>
        <v>הלמן - אלדובי קופות גמל ופנסיה בע"מ</v>
      </c>
      <c r="AC1485" s="1761" t="s">
        <v>1586</v>
      </c>
      <c r="AD1485" s="1762">
        <v>40917.611944444398</v>
      </c>
      <c r="AE1485" s="1762">
        <v>34455</v>
      </c>
      <c r="AF1485" s="1761" t="s">
        <v>1681</v>
      </c>
      <c r="AG1485" s="1761" t="s">
        <v>1583</v>
      </c>
      <c r="AH1485" s="1761" t="s">
        <v>1583</v>
      </c>
      <c r="AI1485" s="1761" t="s">
        <v>3644</v>
      </c>
      <c r="AJ1485" s="1761" t="s">
        <v>2480</v>
      </c>
      <c r="AK1485" s="1761">
        <v>1457</v>
      </c>
      <c r="AL1485" s="1761" t="s">
        <v>2481</v>
      </c>
      <c r="AM1485" s="1761">
        <v>517</v>
      </c>
      <c r="AN1485" s="1761" t="s">
        <v>5517</v>
      </c>
      <c r="AO1485" s="1764"/>
      <c r="AP1485" s="1761" t="s">
        <v>5371</v>
      </c>
      <c r="AQ1485" s="1761" t="s">
        <v>5372</v>
      </c>
      <c r="AR1485" s="1761" t="s">
        <v>354</v>
      </c>
      <c r="AS1485" s="1761" t="s">
        <v>355</v>
      </c>
      <c r="AT1485" s="1761" t="s">
        <v>327</v>
      </c>
      <c r="AU1485" s="1763"/>
      <c r="AV1485" s="1763"/>
    </row>
    <row r="1486" spans="1:48" ht="25" hidden="1">
      <c r="A1486" s="1785" t="str">
        <f t="shared" si="242"/>
        <v>גמל</v>
      </c>
      <c r="B1486" s="1786">
        <f t="shared" si="243"/>
        <v>1459</v>
      </c>
      <c r="C1486" s="1787">
        <v>28946</v>
      </c>
      <c r="D1486" s="1786" t="str">
        <f t="shared" si="244"/>
        <v>תלם גמל מסלולית - מסלול 90% אג"ח</v>
      </c>
      <c r="E1486" s="1786" t="s">
        <v>3929</v>
      </c>
      <c r="F1486" s="1786" t="s">
        <v>2958</v>
      </c>
      <c r="G1486" s="1786" t="s">
        <v>2959</v>
      </c>
      <c r="H1486" s="1786" t="str">
        <f t="shared" si="245"/>
        <v>לא פעיל</v>
      </c>
      <c r="I1486" s="1788">
        <f t="shared" si="246"/>
        <v>34455</v>
      </c>
      <c r="J1486" s="1788">
        <f t="shared" si="247"/>
        <v>40917.614560185197</v>
      </c>
      <c r="K1486" s="1786">
        <v>0</v>
      </c>
      <c r="L1486" s="1786" t="s">
        <v>1594</v>
      </c>
      <c r="M1486" s="1786" t="s">
        <v>1653</v>
      </c>
      <c r="N1486" s="1786" t="s">
        <v>1653</v>
      </c>
      <c r="O1486" s="1786">
        <v>0</v>
      </c>
      <c r="P1486" s="1786"/>
      <c r="Q1486" s="1786">
        <v>0</v>
      </c>
      <c r="R1486" s="1788"/>
      <c r="S1486" s="1786">
        <f t="shared" si="248"/>
        <v>517</v>
      </c>
      <c r="T1486" s="1786" t="str">
        <f t="shared" si="249"/>
        <v>בנק יהב לעובדי המדינה בע"מ</v>
      </c>
      <c r="U1486" s="1786" t="str">
        <f t="shared" si="250"/>
        <v>תלם גמל מסלולית - מסלול כללי</v>
      </c>
      <c r="V1486" s="1786" t="str">
        <f t="shared" si="251"/>
        <v>513163105</v>
      </c>
      <c r="W1486" s="1789" t="str">
        <f t="shared" si="252"/>
        <v>הלמן - אלדובי קופות גמל ופנסיה בע"מ</v>
      </c>
      <c r="AC1486" s="1759" t="s">
        <v>1586</v>
      </c>
      <c r="AD1486" s="1760">
        <v>40917.614560185197</v>
      </c>
      <c r="AE1486" s="1760">
        <v>34455</v>
      </c>
      <c r="AF1486" s="1759" t="s">
        <v>1583</v>
      </c>
      <c r="AG1486" s="1759" t="s">
        <v>1583</v>
      </c>
      <c r="AH1486" s="1759" t="s">
        <v>1583</v>
      </c>
      <c r="AI1486" s="1759" t="s">
        <v>3646</v>
      </c>
      <c r="AJ1486" s="1759" t="s">
        <v>2483</v>
      </c>
      <c r="AK1486" s="1759">
        <v>1459</v>
      </c>
      <c r="AL1486" s="1759" t="s">
        <v>2481</v>
      </c>
      <c r="AM1486" s="1759">
        <v>517</v>
      </c>
      <c r="AN1486" s="1759" t="s">
        <v>5517</v>
      </c>
      <c r="AO1486" s="1764"/>
      <c r="AP1486" s="1759" t="s">
        <v>5371</v>
      </c>
      <c r="AQ1486" s="1759" t="s">
        <v>5372</v>
      </c>
      <c r="AR1486" s="1759" t="s">
        <v>354</v>
      </c>
      <c r="AS1486" s="1759" t="s">
        <v>355</v>
      </c>
      <c r="AT1486" s="1759" t="s">
        <v>327</v>
      </c>
      <c r="AU1486" s="1763"/>
      <c r="AV1486" s="1763"/>
    </row>
    <row r="1487" spans="1:48" ht="25" hidden="1">
      <c r="A1487" s="1785" t="str">
        <f t="shared" si="242"/>
        <v>גמל</v>
      </c>
      <c r="B1487" s="1786">
        <f t="shared" si="243"/>
        <v>1458</v>
      </c>
      <c r="C1487" s="1787">
        <v>28946</v>
      </c>
      <c r="D1487" s="1786" t="str">
        <f t="shared" si="244"/>
        <v>תלם גמל מסלולית - מסלול ללא מניות</v>
      </c>
      <c r="E1487" s="1786" t="s">
        <v>3929</v>
      </c>
      <c r="F1487" s="1786" t="s">
        <v>2958</v>
      </c>
      <c r="G1487" s="1786" t="s">
        <v>2959</v>
      </c>
      <c r="H1487" s="1786" t="str">
        <f t="shared" si="245"/>
        <v>לא פעיל</v>
      </c>
      <c r="I1487" s="1788">
        <f t="shared" si="246"/>
        <v>34455</v>
      </c>
      <c r="J1487" s="1788">
        <f t="shared" si="247"/>
        <v>40917.614050925898</v>
      </c>
      <c r="K1487" s="1786">
        <v>0</v>
      </c>
      <c r="L1487" s="1786" t="s">
        <v>1594</v>
      </c>
      <c r="M1487" s="1786" t="s">
        <v>1653</v>
      </c>
      <c r="N1487" s="1786" t="s">
        <v>1653</v>
      </c>
      <c r="O1487" s="1786">
        <v>0</v>
      </c>
      <c r="P1487" s="1786"/>
      <c r="Q1487" s="1786">
        <v>0</v>
      </c>
      <c r="R1487" s="1788"/>
      <c r="S1487" s="1786">
        <f t="shared" si="248"/>
        <v>517</v>
      </c>
      <c r="T1487" s="1786" t="str">
        <f t="shared" si="249"/>
        <v>בנק יהב לעובדי המדינה בע"מ</v>
      </c>
      <c r="U1487" s="1786" t="str">
        <f t="shared" si="250"/>
        <v>תלם גמל מסלולית - מסלול כללי</v>
      </c>
      <c r="V1487" s="1786" t="str">
        <f t="shared" si="251"/>
        <v>513163105</v>
      </c>
      <c r="W1487" s="1789" t="str">
        <f t="shared" si="252"/>
        <v>הלמן - אלדובי קופות גמל ופנסיה בע"מ</v>
      </c>
      <c r="AC1487" s="1761" t="s">
        <v>1586</v>
      </c>
      <c r="AD1487" s="1762">
        <v>40917.614050925898</v>
      </c>
      <c r="AE1487" s="1762">
        <v>34455</v>
      </c>
      <c r="AF1487" s="1761" t="s">
        <v>1681</v>
      </c>
      <c r="AG1487" s="1761" t="s">
        <v>1583</v>
      </c>
      <c r="AH1487" s="1761" t="s">
        <v>1583</v>
      </c>
      <c r="AI1487" s="1761" t="s">
        <v>3645</v>
      </c>
      <c r="AJ1487" s="1761" t="s">
        <v>2482</v>
      </c>
      <c r="AK1487" s="1761">
        <v>1458</v>
      </c>
      <c r="AL1487" s="1761" t="s">
        <v>2481</v>
      </c>
      <c r="AM1487" s="1761">
        <v>517</v>
      </c>
      <c r="AN1487" s="1761" t="s">
        <v>5517</v>
      </c>
      <c r="AO1487" s="1764"/>
      <c r="AP1487" s="1761" t="s">
        <v>5371</v>
      </c>
      <c r="AQ1487" s="1761" t="s">
        <v>5372</v>
      </c>
      <c r="AR1487" s="1761" t="s">
        <v>354</v>
      </c>
      <c r="AS1487" s="1761" t="s">
        <v>355</v>
      </c>
      <c r="AT1487" s="1761" t="s">
        <v>327</v>
      </c>
      <c r="AU1487" s="1763"/>
      <c r="AV1487" s="1763"/>
    </row>
    <row r="1488" spans="1:48" ht="25" hidden="1">
      <c r="A1488" s="1785" t="str">
        <f t="shared" si="242"/>
        <v>גמל</v>
      </c>
      <c r="B1488" s="1786">
        <f t="shared" si="243"/>
        <v>1460</v>
      </c>
      <c r="C1488" s="1787">
        <v>28946</v>
      </c>
      <c r="D1488" s="1786" t="str">
        <f t="shared" si="244"/>
        <v>תלם גמל מסלולית - מסלול מניות</v>
      </c>
      <c r="E1488" s="1786" t="s">
        <v>3929</v>
      </c>
      <c r="F1488" s="1786" t="s">
        <v>2958</v>
      </c>
      <c r="G1488" s="1786" t="s">
        <v>2959</v>
      </c>
      <c r="H1488" s="1786" t="str">
        <f t="shared" si="245"/>
        <v>לא פעיל</v>
      </c>
      <c r="I1488" s="1788">
        <f t="shared" si="246"/>
        <v>34455</v>
      </c>
      <c r="J1488" s="1788">
        <f t="shared" si="247"/>
        <v>40917.614710648202</v>
      </c>
      <c r="K1488" s="1786">
        <v>0</v>
      </c>
      <c r="L1488" s="1786" t="s">
        <v>1594</v>
      </c>
      <c r="M1488" s="1786" t="s">
        <v>1653</v>
      </c>
      <c r="N1488" s="1786" t="s">
        <v>1653</v>
      </c>
      <c r="O1488" s="1786">
        <v>0</v>
      </c>
      <c r="P1488" s="1786"/>
      <c r="Q1488" s="1786">
        <v>0</v>
      </c>
      <c r="R1488" s="1788"/>
      <c r="S1488" s="1786">
        <f t="shared" si="248"/>
        <v>517</v>
      </c>
      <c r="T1488" s="1786" t="str">
        <f t="shared" si="249"/>
        <v>בנק יהב לעובדי המדינה בע"מ</v>
      </c>
      <c r="U1488" s="1786" t="str">
        <f t="shared" si="250"/>
        <v>תלם גמל מסלולית - מסלול כללי</v>
      </c>
      <c r="V1488" s="1786" t="str">
        <f t="shared" si="251"/>
        <v>513163105</v>
      </c>
      <c r="W1488" s="1789" t="str">
        <f t="shared" si="252"/>
        <v>הלמן - אלדובי קופות גמל ופנסיה בע"מ</v>
      </c>
      <c r="AC1488" s="1759" t="s">
        <v>1586</v>
      </c>
      <c r="AD1488" s="1760">
        <v>40917.614710648202</v>
      </c>
      <c r="AE1488" s="1760">
        <v>34455</v>
      </c>
      <c r="AF1488" s="1759" t="s">
        <v>1595</v>
      </c>
      <c r="AG1488" s="1759" t="s">
        <v>75</v>
      </c>
      <c r="AH1488" s="1759" t="s">
        <v>1594</v>
      </c>
      <c r="AI1488" s="1759" t="s">
        <v>3647</v>
      </c>
      <c r="AJ1488" s="1759" t="s">
        <v>2484</v>
      </c>
      <c r="AK1488" s="1759">
        <v>1460</v>
      </c>
      <c r="AL1488" s="1759" t="s">
        <v>2481</v>
      </c>
      <c r="AM1488" s="1759">
        <v>517</v>
      </c>
      <c r="AN1488" s="1759" t="s">
        <v>5517</v>
      </c>
      <c r="AO1488" s="1764"/>
      <c r="AP1488" s="1759" t="s">
        <v>5371</v>
      </c>
      <c r="AQ1488" s="1759" t="s">
        <v>5372</v>
      </c>
      <c r="AR1488" s="1759" t="s">
        <v>354</v>
      </c>
      <c r="AS1488" s="1759" t="s">
        <v>355</v>
      </c>
      <c r="AT1488" s="1759" t="s">
        <v>327</v>
      </c>
      <c r="AU1488" s="1763"/>
      <c r="AV1488" s="1763"/>
    </row>
    <row r="1489" spans="1:48" ht="37.5" hidden="1">
      <c r="A1489" s="1785" t="str">
        <f t="shared" si="242"/>
        <v>גמל</v>
      </c>
      <c r="B1489" s="1786">
        <f t="shared" si="243"/>
        <v>516</v>
      </c>
      <c r="C1489" s="1787">
        <v>28946</v>
      </c>
      <c r="D1489" s="1786" t="str">
        <f t="shared" si="244"/>
        <v>מגן קרן פנסיה מרכזית בע"מ - קופה מרכזית לפיצויים</v>
      </c>
      <c r="E1489" s="1786" t="s">
        <v>3929</v>
      </c>
      <c r="F1489" s="1786" t="s">
        <v>2958</v>
      </c>
      <c r="G1489" s="1786" t="s">
        <v>2959</v>
      </c>
      <c r="H1489" s="1786" t="str">
        <f t="shared" si="245"/>
        <v>לא פעיל</v>
      </c>
      <c r="I1489" s="1788">
        <f t="shared" si="246"/>
        <v>32143</v>
      </c>
      <c r="J1489" s="1788">
        <f t="shared" si="247"/>
        <v>41410.584479166697</v>
      </c>
      <c r="K1489" s="1786">
        <v>0</v>
      </c>
      <c r="L1489" s="1786" t="s">
        <v>1594</v>
      </c>
      <c r="M1489" s="1786" t="s">
        <v>1653</v>
      </c>
      <c r="N1489" s="1786" t="s">
        <v>1653</v>
      </c>
      <c r="O1489" s="1786">
        <v>0</v>
      </c>
      <c r="P1489" s="1786"/>
      <c r="Q1489" s="1786">
        <v>0</v>
      </c>
      <c r="R1489" s="1788"/>
      <c r="S1489" s="1786">
        <f t="shared" si="248"/>
        <v>516</v>
      </c>
      <c r="T1489" s="1786" t="str">
        <f t="shared" si="249"/>
        <v>ניהול  עצמי</v>
      </c>
      <c r="U1489" s="1786" t="str">
        <f t="shared" si="250"/>
        <v>מגן קרן פנסיה מרכזית בע"מ - קופה מרכזית לפיצויים</v>
      </c>
      <c r="V1489" s="1786">
        <f t="shared" si="251"/>
        <v>0</v>
      </c>
      <c r="W1489" s="1789" t="str">
        <f t="shared" si="252"/>
        <v>מגן - אגודה שיתופית בע"מ</v>
      </c>
      <c r="AC1489" s="1761" t="s">
        <v>1586</v>
      </c>
      <c r="AD1489" s="1762">
        <v>41410.584479166697</v>
      </c>
      <c r="AE1489" s="1762">
        <v>32143</v>
      </c>
      <c r="AF1489" s="1761" t="s">
        <v>1583</v>
      </c>
      <c r="AG1489" s="1761" t="s">
        <v>1583</v>
      </c>
      <c r="AH1489" s="1761" t="s">
        <v>1583</v>
      </c>
      <c r="AI1489" s="1761" t="s">
        <v>3155</v>
      </c>
      <c r="AJ1489" s="1761" t="s">
        <v>567</v>
      </c>
      <c r="AK1489" s="1761">
        <v>516</v>
      </c>
      <c r="AL1489" s="1761" t="s">
        <v>567</v>
      </c>
      <c r="AM1489" s="1761">
        <v>516</v>
      </c>
      <c r="AN1489" s="1761" t="s">
        <v>5524</v>
      </c>
      <c r="AO1489" s="1764"/>
      <c r="AP1489" s="1761"/>
      <c r="AQ1489" s="1761"/>
      <c r="AR1489" s="1761" t="s">
        <v>3154</v>
      </c>
      <c r="AS1489" s="1761" t="s">
        <v>485</v>
      </c>
      <c r="AT1489" s="1761" t="s">
        <v>327</v>
      </c>
      <c r="AU1489" s="1763"/>
      <c r="AV1489" s="1763"/>
    </row>
    <row r="1490" spans="1:48" ht="25" hidden="1">
      <c r="A1490" s="1785" t="str">
        <f t="shared" si="242"/>
        <v>גמל</v>
      </c>
      <c r="B1490" s="1786">
        <f t="shared" si="243"/>
        <v>515</v>
      </c>
      <c r="C1490" s="1787">
        <v>28946</v>
      </c>
      <c r="D1490" s="1786" t="str">
        <f t="shared" si="244"/>
        <v>מגן קרן פנסיה מרכזית בע"מ - קופת תגמולים</v>
      </c>
      <c r="E1490" s="1786" t="s">
        <v>3929</v>
      </c>
      <c r="F1490" s="1786" t="s">
        <v>2958</v>
      </c>
      <c r="G1490" s="1786" t="s">
        <v>2959</v>
      </c>
      <c r="H1490" s="1786" t="str">
        <f t="shared" si="245"/>
        <v>לא פעיל</v>
      </c>
      <c r="I1490" s="1788">
        <f t="shared" si="246"/>
        <v>32143</v>
      </c>
      <c r="J1490" s="1788">
        <f t="shared" si="247"/>
        <v>41759.601099537002</v>
      </c>
      <c r="K1490" s="1786">
        <v>0</v>
      </c>
      <c r="L1490" s="1786" t="s">
        <v>1594</v>
      </c>
      <c r="M1490" s="1786" t="s">
        <v>1653</v>
      </c>
      <c r="N1490" s="1786" t="s">
        <v>1653</v>
      </c>
      <c r="O1490" s="1786">
        <v>0</v>
      </c>
      <c r="P1490" s="1786"/>
      <c r="Q1490" s="1786">
        <v>0</v>
      </c>
      <c r="R1490" s="1788"/>
      <c r="S1490" s="1786">
        <f t="shared" si="248"/>
        <v>515</v>
      </c>
      <c r="T1490" s="1786" t="str">
        <f t="shared" si="249"/>
        <v>ניהול  עצמי</v>
      </c>
      <c r="U1490" s="1786" t="str">
        <f t="shared" si="250"/>
        <v>מגן קרן פנסיה מרכזית בע"מ - קופת תגמולים</v>
      </c>
      <c r="V1490" s="1786">
        <f t="shared" si="251"/>
        <v>0</v>
      </c>
      <c r="W1490" s="1789" t="str">
        <f t="shared" si="252"/>
        <v>מגן - אגודה שיתופית בע"מ</v>
      </c>
      <c r="AC1490" s="1759" t="s">
        <v>1586</v>
      </c>
      <c r="AD1490" s="1760">
        <v>41759.601099537002</v>
      </c>
      <c r="AE1490" s="1760">
        <v>32143</v>
      </c>
      <c r="AF1490" s="1759" t="s">
        <v>1583</v>
      </c>
      <c r="AG1490" s="1759" t="s">
        <v>1583</v>
      </c>
      <c r="AH1490" s="1759" t="s">
        <v>1583</v>
      </c>
      <c r="AI1490" s="1759" t="s">
        <v>3153</v>
      </c>
      <c r="AJ1490" s="1759" t="s">
        <v>566</v>
      </c>
      <c r="AK1490" s="1759">
        <v>515</v>
      </c>
      <c r="AL1490" s="1759" t="s">
        <v>566</v>
      </c>
      <c r="AM1490" s="1759">
        <v>515</v>
      </c>
      <c r="AN1490" s="1759" t="s">
        <v>5524</v>
      </c>
      <c r="AO1490" s="1764"/>
      <c r="AP1490" s="1759"/>
      <c r="AQ1490" s="1759"/>
      <c r="AR1490" s="1759" t="s">
        <v>3154</v>
      </c>
      <c r="AS1490" s="1759" t="s">
        <v>485</v>
      </c>
      <c r="AT1490" s="1759" t="s">
        <v>327</v>
      </c>
      <c r="AU1490" s="1763"/>
      <c r="AV1490" s="1763"/>
    </row>
    <row r="1491" spans="1:48" ht="25" hidden="1">
      <c r="A1491" s="1785" t="str">
        <f t="shared" si="242"/>
        <v>גמל</v>
      </c>
      <c r="B1491" s="1786">
        <f t="shared" si="243"/>
        <v>1143</v>
      </c>
      <c r="C1491" s="1787">
        <v>28946</v>
      </c>
      <c r="D1491" s="1786" t="str">
        <f t="shared" si="244"/>
        <v>איילון מקפת השתלמות - ללא מניות</v>
      </c>
      <c r="E1491" s="1786" t="s">
        <v>3929</v>
      </c>
      <c r="F1491" s="1786" t="s">
        <v>2958</v>
      </c>
      <c r="G1491" s="1786" t="s">
        <v>2959</v>
      </c>
      <c r="H1491" s="1786" t="str">
        <f t="shared" si="245"/>
        <v>לא פעיל</v>
      </c>
      <c r="I1491" s="1788">
        <f t="shared" si="246"/>
        <v>25569</v>
      </c>
      <c r="J1491" s="1788">
        <f t="shared" si="247"/>
        <v>41561.507187499999</v>
      </c>
      <c r="K1491" s="1786">
        <v>0</v>
      </c>
      <c r="L1491" s="1786" t="s">
        <v>1594</v>
      </c>
      <c r="M1491" s="1786" t="s">
        <v>1653</v>
      </c>
      <c r="N1491" s="1786" t="s">
        <v>1653</v>
      </c>
      <c r="O1491" s="1786">
        <v>0</v>
      </c>
      <c r="P1491" s="1786"/>
      <c r="Q1491" s="1786">
        <v>0</v>
      </c>
      <c r="R1491" s="1788"/>
      <c r="S1491" s="1786">
        <f t="shared" si="248"/>
        <v>514</v>
      </c>
      <c r="T1491" s="1786" t="str">
        <f t="shared" si="249"/>
        <v>בנק הפועלים בע"מ</v>
      </c>
      <c r="U1491" s="1786" t="str">
        <f t="shared" si="250"/>
        <v>איילון מקפת השתלמות - כללי</v>
      </c>
      <c r="V1491" s="1786" t="str">
        <f t="shared" si="251"/>
        <v>520030677</v>
      </c>
      <c r="W1491" s="1789" t="str">
        <f t="shared" si="252"/>
        <v>איילון פנסיה וגמל בע"מ</v>
      </c>
      <c r="AC1491" s="1761" t="s">
        <v>1586</v>
      </c>
      <c r="AD1491" s="1762">
        <v>41561.507187499999</v>
      </c>
      <c r="AE1491" s="1762">
        <v>25569</v>
      </c>
      <c r="AF1491" s="1761" t="s">
        <v>1583</v>
      </c>
      <c r="AG1491" s="1761" t="s">
        <v>1583</v>
      </c>
      <c r="AH1491" s="1761" t="s">
        <v>1583</v>
      </c>
      <c r="AI1491" s="1761" t="s">
        <v>3532</v>
      </c>
      <c r="AJ1491" s="1761" t="s">
        <v>2298</v>
      </c>
      <c r="AK1491" s="1761">
        <v>1143</v>
      </c>
      <c r="AL1491" s="1761" t="s">
        <v>565</v>
      </c>
      <c r="AM1491" s="1761">
        <v>514</v>
      </c>
      <c r="AN1491" s="1761" t="s">
        <v>1695</v>
      </c>
      <c r="AO1491" s="1764"/>
      <c r="AP1491" s="1761" t="s">
        <v>5385</v>
      </c>
      <c r="AQ1491" s="1761" t="s">
        <v>5386</v>
      </c>
      <c r="AR1491" s="1761" t="s">
        <v>2780</v>
      </c>
      <c r="AS1491" s="1761" t="s">
        <v>426</v>
      </c>
      <c r="AT1491" s="1761" t="s">
        <v>327</v>
      </c>
      <c r="AU1491" s="1763"/>
      <c r="AV1491" s="1763"/>
    </row>
    <row r="1492" spans="1:48" ht="25" hidden="1">
      <c r="A1492" s="1785" t="str">
        <f t="shared" si="242"/>
        <v>גמל</v>
      </c>
      <c r="B1492" s="1786">
        <f t="shared" si="243"/>
        <v>2239</v>
      </c>
      <c r="C1492" s="1787">
        <v>28946</v>
      </c>
      <c r="D1492" s="1786" t="str">
        <f t="shared" si="244"/>
        <v>איילון מקפת השתלמות - אג"ח</v>
      </c>
      <c r="E1492" s="1786" t="s">
        <v>3929</v>
      </c>
      <c r="F1492" s="1786" t="s">
        <v>2958</v>
      </c>
      <c r="G1492" s="1786" t="s">
        <v>2959</v>
      </c>
      <c r="H1492" s="1786" t="str">
        <f t="shared" si="245"/>
        <v>לא פעיל</v>
      </c>
      <c r="I1492" s="1788">
        <f t="shared" si="246"/>
        <v>25569</v>
      </c>
      <c r="J1492" s="1788">
        <f t="shared" si="247"/>
        <v>41561.441724536999</v>
      </c>
      <c r="K1492" s="1786">
        <v>0</v>
      </c>
      <c r="L1492" s="1786" t="s">
        <v>1594</v>
      </c>
      <c r="M1492" s="1786" t="s">
        <v>1653</v>
      </c>
      <c r="N1492" s="1786" t="s">
        <v>1653</v>
      </c>
      <c r="O1492" s="1786">
        <v>0</v>
      </c>
      <c r="P1492" s="1786"/>
      <c r="Q1492" s="1786">
        <v>0</v>
      </c>
      <c r="R1492" s="1788"/>
      <c r="S1492" s="1786">
        <f t="shared" si="248"/>
        <v>514</v>
      </c>
      <c r="T1492" s="1786" t="str">
        <f t="shared" si="249"/>
        <v>בנק הפועלים בע"מ</v>
      </c>
      <c r="U1492" s="1786" t="str">
        <f t="shared" si="250"/>
        <v>איילון מקפת השתלמות - כללי</v>
      </c>
      <c r="V1492" s="1786" t="str">
        <f t="shared" si="251"/>
        <v>520030677</v>
      </c>
      <c r="W1492" s="1789" t="str">
        <f t="shared" si="252"/>
        <v>איילון פנסיה וגמל בע"מ</v>
      </c>
      <c r="AC1492" s="1759" t="s">
        <v>1586</v>
      </c>
      <c r="AD1492" s="1760">
        <v>41561.441724536999</v>
      </c>
      <c r="AE1492" s="1760">
        <v>25569</v>
      </c>
      <c r="AF1492" s="1759" t="s">
        <v>1653</v>
      </c>
      <c r="AG1492" s="1759" t="s">
        <v>1653</v>
      </c>
      <c r="AH1492" s="1759" t="s">
        <v>1594</v>
      </c>
      <c r="AI1492" s="1759" t="s">
        <v>3717</v>
      </c>
      <c r="AJ1492" s="1759" t="s">
        <v>3717</v>
      </c>
      <c r="AK1492" s="1759">
        <v>2239</v>
      </c>
      <c r="AL1492" s="1759" t="s">
        <v>565</v>
      </c>
      <c r="AM1492" s="1759">
        <v>514</v>
      </c>
      <c r="AN1492" s="1759" t="s">
        <v>1695</v>
      </c>
      <c r="AO1492" s="1764"/>
      <c r="AP1492" s="1759" t="s">
        <v>5385</v>
      </c>
      <c r="AQ1492" s="1759" t="s">
        <v>5386</v>
      </c>
      <c r="AR1492" s="1759" t="s">
        <v>2780</v>
      </c>
      <c r="AS1492" s="1759" t="s">
        <v>426</v>
      </c>
      <c r="AT1492" s="1759" t="s">
        <v>327</v>
      </c>
      <c r="AU1492" s="1763"/>
      <c r="AV1492" s="1763"/>
    </row>
    <row r="1493" spans="1:48" ht="25" hidden="1">
      <c r="A1493" s="1785" t="str">
        <f t="shared" si="242"/>
        <v>גמל</v>
      </c>
      <c r="B1493" s="1786">
        <f t="shared" si="243"/>
        <v>514</v>
      </c>
      <c r="C1493" s="1787">
        <v>28946</v>
      </c>
      <c r="D1493" s="1786" t="str">
        <f t="shared" si="244"/>
        <v>איילון מקפת השתלמות - כללי</v>
      </c>
      <c r="E1493" s="1786" t="s">
        <v>3929</v>
      </c>
      <c r="F1493" s="1786" t="s">
        <v>2958</v>
      </c>
      <c r="G1493" s="1786" t="s">
        <v>2959</v>
      </c>
      <c r="H1493" s="1786" t="str">
        <f t="shared" si="245"/>
        <v>לא פעיל</v>
      </c>
      <c r="I1493" s="1788">
        <f t="shared" si="246"/>
        <v>25569</v>
      </c>
      <c r="J1493" s="1788">
        <f t="shared" si="247"/>
        <v>41561.402592592603</v>
      </c>
      <c r="K1493" s="1786">
        <v>0</v>
      </c>
      <c r="L1493" s="1786" t="s">
        <v>1594</v>
      </c>
      <c r="M1493" s="1786" t="s">
        <v>1653</v>
      </c>
      <c r="N1493" s="1786" t="s">
        <v>1653</v>
      </c>
      <c r="O1493" s="1786">
        <v>0</v>
      </c>
      <c r="P1493" s="1786"/>
      <c r="Q1493" s="1786">
        <v>0</v>
      </c>
      <c r="R1493" s="1788"/>
      <c r="S1493" s="1786">
        <f t="shared" si="248"/>
        <v>514</v>
      </c>
      <c r="T1493" s="1786" t="str">
        <f t="shared" si="249"/>
        <v>בנק הפועלים בע"מ</v>
      </c>
      <c r="U1493" s="1786" t="str">
        <f t="shared" si="250"/>
        <v>איילון מקפת השתלמות - כללי</v>
      </c>
      <c r="V1493" s="1786" t="str">
        <f t="shared" si="251"/>
        <v>520030677</v>
      </c>
      <c r="W1493" s="1789" t="str">
        <f t="shared" si="252"/>
        <v>איילון פנסיה וגמל בע"מ</v>
      </c>
      <c r="AC1493" s="1761" t="s">
        <v>1586</v>
      </c>
      <c r="AD1493" s="1762">
        <v>41561.402592592603</v>
      </c>
      <c r="AE1493" s="1762">
        <v>25569</v>
      </c>
      <c r="AF1493" s="1761" t="s">
        <v>1583</v>
      </c>
      <c r="AG1493" s="1761" t="s">
        <v>1583</v>
      </c>
      <c r="AH1493" s="1761" t="s">
        <v>1583</v>
      </c>
      <c r="AI1493" s="1761" t="s">
        <v>565</v>
      </c>
      <c r="AJ1493" s="1761" t="s">
        <v>565</v>
      </c>
      <c r="AK1493" s="1761">
        <v>514</v>
      </c>
      <c r="AL1493" s="1761" t="s">
        <v>565</v>
      </c>
      <c r="AM1493" s="1761">
        <v>514</v>
      </c>
      <c r="AN1493" s="1761" t="s">
        <v>1695</v>
      </c>
      <c r="AO1493" s="1764"/>
      <c r="AP1493" s="1761" t="s">
        <v>5385</v>
      </c>
      <c r="AQ1493" s="1761" t="s">
        <v>5386</v>
      </c>
      <c r="AR1493" s="1761" t="s">
        <v>2780</v>
      </c>
      <c r="AS1493" s="1761" t="s">
        <v>426</v>
      </c>
      <c r="AT1493" s="1761" t="s">
        <v>327</v>
      </c>
      <c r="AU1493" s="1763"/>
      <c r="AV1493" s="1763"/>
    </row>
    <row r="1494" spans="1:48" ht="37.5" hidden="1">
      <c r="A1494" s="1785" t="str">
        <f t="shared" si="242"/>
        <v>גמל</v>
      </c>
      <c r="B1494" s="1786">
        <f t="shared" si="243"/>
        <v>513</v>
      </c>
      <c r="C1494" s="1787">
        <v>28946</v>
      </c>
      <c r="D1494" s="1786" t="str">
        <f t="shared" si="244"/>
        <v>קרן מקפת - קרנות למטרה אחרת</v>
      </c>
      <c r="E1494" s="1786" t="s">
        <v>3929</v>
      </c>
      <c r="F1494" s="1786" t="s">
        <v>2958</v>
      </c>
      <c r="G1494" s="1786" t="s">
        <v>2959</v>
      </c>
      <c r="H1494" s="1786" t="str">
        <f t="shared" si="245"/>
        <v>פעיל</v>
      </c>
      <c r="I1494" s="1788">
        <f t="shared" si="246"/>
        <v>32143</v>
      </c>
      <c r="J1494" s="1788" t="str">
        <f t="shared" si="247"/>
        <v/>
      </c>
      <c r="K1494" s="1786">
        <v>0</v>
      </c>
      <c r="L1494" s="1786" t="s">
        <v>1594</v>
      </c>
      <c r="M1494" s="1786" t="s">
        <v>1653</v>
      </c>
      <c r="N1494" s="1786" t="s">
        <v>1653</v>
      </c>
      <c r="O1494" s="1786">
        <v>0</v>
      </c>
      <c r="P1494" s="1786"/>
      <c r="Q1494" s="1786">
        <v>0</v>
      </c>
      <c r="R1494" s="1788"/>
      <c r="S1494" s="1786">
        <f t="shared" si="248"/>
        <v>513</v>
      </c>
      <c r="T1494" s="1786">
        <f t="shared" si="249"/>
        <v>0</v>
      </c>
      <c r="U1494" s="1786" t="str">
        <f t="shared" si="250"/>
        <v>קרן מקפת - קרנות למטרה אחרת</v>
      </c>
      <c r="V1494" s="1786">
        <f t="shared" si="251"/>
        <v>0</v>
      </c>
      <c r="W1494" s="1789" t="str">
        <f t="shared" si="252"/>
        <v>קרן מקפת מרכז לפנסיה ותגמולים אגודה שיתופית בע"מ</v>
      </c>
      <c r="AC1494" s="1759" t="s">
        <v>346</v>
      </c>
      <c r="AD1494" s="1759"/>
      <c r="AE1494" s="1760">
        <v>32143</v>
      </c>
      <c r="AF1494" s="1759" t="s">
        <v>1583</v>
      </c>
      <c r="AG1494" s="1759" t="s">
        <v>1583</v>
      </c>
      <c r="AH1494" s="1759" t="s">
        <v>1583</v>
      </c>
      <c r="AI1494" s="1759" t="s">
        <v>3152</v>
      </c>
      <c r="AJ1494" s="1759" t="s">
        <v>564</v>
      </c>
      <c r="AK1494" s="1759">
        <v>513</v>
      </c>
      <c r="AL1494" s="1759" t="s">
        <v>564</v>
      </c>
      <c r="AM1494" s="1759">
        <v>513</v>
      </c>
      <c r="AN1494" s="1759"/>
      <c r="AO1494" s="1764"/>
      <c r="AP1494" s="1759"/>
      <c r="AQ1494" s="1759"/>
      <c r="AR1494" s="1759" t="s">
        <v>480</v>
      </c>
      <c r="AS1494" s="1759" t="s">
        <v>481</v>
      </c>
      <c r="AT1494" s="1759" t="s">
        <v>327</v>
      </c>
      <c r="AU1494" s="1763"/>
      <c r="AV1494" s="1763"/>
    </row>
    <row r="1495" spans="1:48" ht="25" hidden="1">
      <c r="A1495" s="1785" t="str">
        <f t="shared" ref="A1495:A1558" si="253">AT1495</f>
        <v>גמל</v>
      </c>
      <c r="B1495" s="1786">
        <f t="shared" ref="B1495:B1558" si="254">AK1495</f>
        <v>512</v>
      </c>
      <c r="C1495" s="1787">
        <v>28946</v>
      </c>
      <c r="D1495" s="1786" t="str">
        <f t="shared" ref="D1495:D1558" si="255">AJ1495</f>
        <v>איילון מרכזית לפיצויים מסלול כללי</v>
      </c>
      <c r="E1495" s="1786" t="s">
        <v>3929</v>
      </c>
      <c r="F1495" s="1786" t="s">
        <v>2958</v>
      </c>
      <c r="G1495" s="1786" t="s">
        <v>2959</v>
      </c>
      <c r="H1495" s="1786" t="str">
        <f t="shared" ref="H1495:H1558" si="256">AC1495</f>
        <v>לא פעיל</v>
      </c>
      <c r="I1495" s="1788">
        <f t="shared" ref="I1495:I1558" si="257">IF(AE1495="","",AE1495)</f>
        <v>32509</v>
      </c>
      <c r="J1495" s="1788">
        <f t="shared" ref="J1495:J1558" si="258">IF(AD1495="","",AD1495)</f>
        <v>42744.377754629597</v>
      </c>
      <c r="K1495" s="1786">
        <v>0</v>
      </c>
      <c r="L1495" s="1786" t="s">
        <v>1594</v>
      </c>
      <c r="M1495" s="1786" t="s">
        <v>1653</v>
      </c>
      <c r="N1495" s="1786" t="s">
        <v>1653</v>
      </c>
      <c r="O1495" s="1786">
        <v>0</v>
      </c>
      <c r="P1495" s="1786"/>
      <c r="Q1495" s="1786">
        <v>0</v>
      </c>
      <c r="R1495" s="1788"/>
      <c r="S1495" s="1786">
        <f t="shared" ref="S1495:S1558" si="259">AM1495</f>
        <v>512</v>
      </c>
      <c r="T1495" s="1786" t="str">
        <f t="shared" ref="T1495:T1558" si="260">AN1495</f>
        <v>ד.ס.ש ייעוץ ושירותים בע"מ</v>
      </c>
      <c r="U1495" s="1786" t="str">
        <f t="shared" ref="U1495:U1558" si="261">AL1495</f>
        <v>איילון מרכזית לפיצויים מסלולית</v>
      </c>
      <c r="V1495" s="1786" t="str">
        <f t="shared" ref="V1495:V1558" si="262">AQ1495</f>
        <v>520030677</v>
      </c>
      <c r="W1495" s="1789" t="str">
        <f t="shared" ref="W1495:W1558" si="263">AR1495</f>
        <v>איילון פנסיה וגמל בע"מ</v>
      </c>
      <c r="AC1495" s="1761" t="s">
        <v>1586</v>
      </c>
      <c r="AD1495" s="1762">
        <v>42744.377754629597</v>
      </c>
      <c r="AE1495" s="1762">
        <v>32509</v>
      </c>
      <c r="AF1495" s="1761" t="s">
        <v>1583</v>
      </c>
      <c r="AG1495" s="1761" t="s">
        <v>1583</v>
      </c>
      <c r="AH1495" s="1761" t="s">
        <v>1583</v>
      </c>
      <c r="AI1495" s="1761" t="s">
        <v>3150</v>
      </c>
      <c r="AJ1495" s="1761" t="s">
        <v>3149</v>
      </c>
      <c r="AK1495" s="1761">
        <v>512</v>
      </c>
      <c r="AL1495" s="1761" t="s">
        <v>3151</v>
      </c>
      <c r="AM1495" s="1761">
        <v>512</v>
      </c>
      <c r="AN1495" s="1761" t="s">
        <v>5393</v>
      </c>
      <c r="AO1495" s="1764"/>
      <c r="AP1495" s="1761" t="s">
        <v>5385</v>
      </c>
      <c r="AQ1495" s="1761" t="s">
        <v>5386</v>
      </c>
      <c r="AR1495" s="1761" t="s">
        <v>2780</v>
      </c>
      <c r="AS1495" s="1761" t="s">
        <v>426</v>
      </c>
      <c r="AT1495" s="1761" t="s">
        <v>327</v>
      </c>
      <c r="AU1495" s="1763"/>
      <c r="AV1495" s="1763"/>
    </row>
    <row r="1496" spans="1:48" ht="25" hidden="1">
      <c r="A1496" s="1785" t="str">
        <f t="shared" si="253"/>
        <v>גמל</v>
      </c>
      <c r="B1496" s="1786">
        <f t="shared" si="254"/>
        <v>1070</v>
      </c>
      <c r="C1496" s="1787">
        <v>28946</v>
      </c>
      <c r="D1496" s="1786" t="str">
        <f t="shared" si="255"/>
        <v>איילון מרכזית לפיצויים מסלול צמוד מדד</v>
      </c>
      <c r="E1496" s="1786" t="s">
        <v>3929</v>
      </c>
      <c r="F1496" s="1786" t="s">
        <v>2958</v>
      </c>
      <c r="G1496" s="1786" t="s">
        <v>2959</v>
      </c>
      <c r="H1496" s="1786" t="str">
        <f t="shared" si="256"/>
        <v>לא פעיל</v>
      </c>
      <c r="I1496" s="1788">
        <f t="shared" si="257"/>
        <v>32509</v>
      </c>
      <c r="J1496" s="1788">
        <f t="shared" si="258"/>
        <v>42744.377754629597</v>
      </c>
      <c r="K1496" s="1786">
        <v>0</v>
      </c>
      <c r="L1496" s="1786" t="s">
        <v>1594</v>
      </c>
      <c r="M1496" s="1786" t="s">
        <v>1653</v>
      </c>
      <c r="N1496" s="1786" t="s">
        <v>1653</v>
      </c>
      <c r="O1496" s="1786">
        <v>0</v>
      </c>
      <c r="P1496" s="1786"/>
      <c r="Q1496" s="1786">
        <v>0</v>
      </c>
      <c r="R1496" s="1788"/>
      <c r="S1496" s="1786">
        <f t="shared" si="259"/>
        <v>512</v>
      </c>
      <c r="T1496" s="1786" t="str">
        <f t="shared" si="260"/>
        <v>ד.ס.ש ייעוץ ושירותים בע"מ</v>
      </c>
      <c r="U1496" s="1786" t="str">
        <f t="shared" si="261"/>
        <v>איילון מרכזית לפיצויים מסלולית</v>
      </c>
      <c r="V1496" s="1786" t="str">
        <f t="shared" si="262"/>
        <v>520030677</v>
      </c>
      <c r="W1496" s="1789" t="str">
        <f t="shared" si="263"/>
        <v>איילון פנסיה וגמל בע"מ</v>
      </c>
      <c r="AC1496" s="1759" t="s">
        <v>1586</v>
      </c>
      <c r="AD1496" s="1760">
        <v>42744.377754629597</v>
      </c>
      <c r="AE1496" s="1760">
        <v>32509</v>
      </c>
      <c r="AF1496" s="1759" t="s">
        <v>1094</v>
      </c>
      <c r="AG1496" s="1759" t="s">
        <v>1094</v>
      </c>
      <c r="AH1496" s="1759" t="s">
        <v>1594</v>
      </c>
      <c r="AI1496" s="1759" t="s">
        <v>3503</v>
      </c>
      <c r="AJ1496" s="1759" t="s">
        <v>3502</v>
      </c>
      <c r="AK1496" s="1759">
        <v>1070</v>
      </c>
      <c r="AL1496" s="1759" t="s">
        <v>3151</v>
      </c>
      <c r="AM1496" s="1759">
        <v>512</v>
      </c>
      <c r="AN1496" s="1759" t="s">
        <v>5393</v>
      </c>
      <c r="AO1496" s="1764"/>
      <c r="AP1496" s="1759" t="s">
        <v>5385</v>
      </c>
      <c r="AQ1496" s="1759" t="s">
        <v>5386</v>
      </c>
      <c r="AR1496" s="1759" t="s">
        <v>2780</v>
      </c>
      <c r="AS1496" s="1759" t="s">
        <v>426</v>
      </c>
      <c r="AT1496" s="1759" t="s">
        <v>327</v>
      </c>
      <c r="AU1496" s="1763"/>
      <c r="AV1496" s="1763"/>
    </row>
    <row r="1497" spans="1:48" ht="25" hidden="1">
      <c r="A1497" s="1785" t="str">
        <f t="shared" si="253"/>
        <v>גמל</v>
      </c>
      <c r="B1497" s="1786">
        <f t="shared" si="254"/>
        <v>511</v>
      </c>
      <c r="C1497" s="1787">
        <v>28946</v>
      </c>
      <c r="D1497" s="1786" t="str">
        <f t="shared" si="255"/>
        <v>איילון מקפת תגמולים - כללי</v>
      </c>
      <c r="E1497" s="1786" t="s">
        <v>3929</v>
      </c>
      <c r="F1497" s="1786" t="s">
        <v>2958</v>
      </c>
      <c r="G1497" s="1786" t="s">
        <v>2959</v>
      </c>
      <c r="H1497" s="1786" t="str">
        <f t="shared" si="256"/>
        <v>לא פעיל</v>
      </c>
      <c r="I1497" s="1788">
        <f t="shared" si="257"/>
        <v>32143</v>
      </c>
      <c r="J1497" s="1788">
        <f t="shared" si="258"/>
        <v>41561.400023148097</v>
      </c>
      <c r="K1497" s="1786">
        <v>0</v>
      </c>
      <c r="L1497" s="1786" t="s">
        <v>1594</v>
      </c>
      <c r="M1497" s="1786" t="s">
        <v>1653</v>
      </c>
      <c r="N1497" s="1786" t="s">
        <v>1653</v>
      </c>
      <c r="O1497" s="1786">
        <v>0</v>
      </c>
      <c r="P1497" s="1786"/>
      <c r="Q1497" s="1786">
        <v>0</v>
      </c>
      <c r="R1497" s="1788"/>
      <c r="S1497" s="1786">
        <f t="shared" si="259"/>
        <v>511</v>
      </c>
      <c r="T1497" s="1786" t="str">
        <f t="shared" si="260"/>
        <v>בנק הפועלים בע"מ</v>
      </c>
      <c r="U1497" s="1786" t="str">
        <f t="shared" si="261"/>
        <v>איילון מקפת תגמולים - כללי</v>
      </c>
      <c r="V1497" s="1786" t="str">
        <f t="shared" si="262"/>
        <v>520030677</v>
      </c>
      <c r="W1497" s="1789" t="str">
        <f t="shared" si="263"/>
        <v>איילון פנסיה וגמל בע"מ</v>
      </c>
      <c r="AC1497" s="1761" t="s">
        <v>1586</v>
      </c>
      <c r="AD1497" s="1762">
        <v>41561.400023148097</v>
      </c>
      <c r="AE1497" s="1762">
        <v>32143</v>
      </c>
      <c r="AF1497" s="1761" t="s">
        <v>1583</v>
      </c>
      <c r="AG1497" s="1761" t="s">
        <v>1583</v>
      </c>
      <c r="AH1497" s="1761" t="s">
        <v>1583</v>
      </c>
      <c r="AI1497" s="1761" t="s">
        <v>563</v>
      </c>
      <c r="AJ1497" s="1761" t="s">
        <v>563</v>
      </c>
      <c r="AK1497" s="1761">
        <v>511</v>
      </c>
      <c r="AL1497" s="1761" t="s">
        <v>563</v>
      </c>
      <c r="AM1497" s="1761">
        <v>511</v>
      </c>
      <c r="AN1497" s="1761" t="s">
        <v>1695</v>
      </c>
      <c r="AO1497" s="1764"/>
      <c r="AP1497" s="1761" t="s">
        <v>5385</v>
      </c>
      <c r="AQ1497" s="1761" t="s">
        <v>5386</v>
      </c>
      <c r="AR1497" s="1761" t="s">
        <v>2780</v>
      </c>
      <c r="AS1497" s="1761" t="s">
        <v>426</v>
      </c>
      <c r="AT1497" s="1761" t="s">
        <v>327</v>
      </c>
      <c r="AU1497" s="1763"/>
      <c r="AV1497" s="1763"/>
    </row>
    <row r="1498" spans="1:48" ht="25" hidden="1">
      <c r="A1498" s="1785" t="str">
        <f t="shared" si="253"/>
        <v>גמל</v>
      </c>
      <c r="B1498" s="1786">
        <f t="shared" si="254"/>
        <v>2237</v>
      </c>
      <c r="C1498" s="1787">
        <v>28946</v>
      </c>
      <c r="D1498" s="1786" t="str">
        <f t="shared" si="255"/>
        <v>איילון מקפת תגמולים - אג"ח</v>
      </c>
      <c r="E1498" s="1786" t="s">
        <v>3929</v>
      </c>
      <c r="F1498" s="1786" t="s">
        <v>2958</v>
      </c>
      <c r="G1498" s="1786" t="s">
        <v>2959</v>
      </c>
      <c r="H1498" s="1786" t="str">
        <f t="shared" si="256"/>
        <v>לא פעיל</v>
      </c>
      <c r="I1498" s="1788">
        <f t="shared" si="257"/>
        <v>32143</v>
      </c>
      <c r="J1498" s="1788">
        <f t="shared" si="258"/>
        <v>41561.401504629597</v>
      </c>
      <c r="K1498" s="1786">
        <v>0</v>
      </c>
      <c r="L1498" s="1786" t="s">
        <v>1594</v>
      </c>
      <c r="M1498" s="1786" t="s">
        <v>1653</v>
      </c>
      <c r="N1498" s="1786" t="s">
        <v>1653</v>
      </c>
      <c r="O1498" s="1786">
        <v>0</v>
      </c>
      <c r="P1498" s="1786"/>
      <c r="Q1498" s="1786">
        <v>0</v>
      </c>
      <c r="R1498" s="1788"/>
      <c r="S1498" s="1786">
        <f t="shared" si="259"/>
        <v>511</v>
      </c>
      <c r="T1498" s="1786" t="str">
        <f t="shared" si="260"/>
        <v>בנק הפועלים בע"מ</v>
      </c>
      <c r="U1498" s="1786" t="str">
        <f t="shared" si="261"/>
        <v>איילון מקפת תגמולים - כללי</v>
      </c>
      <c r="V1498" s="1786" t="str">
        <f t="shared" si="262"/>
        <v>520030677</v>
      </c>
      <c r="W1498" s="1789" t="str">
        <f t="shared" si="263"/>
        <v>איילון פנסיה וגמל בע"מ</v>
      </c>
      <c r="AC1498" s="1759" t="s">
        <v>1586</v>
      </c>
      <c r="AD1498" s="1760">
        <v>41561.401504629597</v>
      </c>
      <c r="AE1498" s="1760">
        <v>32143</v>
      </c>
      <c r="AF1498" s="1759" t="s">
        <v>1653</v>
      </c>
      <c r="AG1498" s="1759" t="s">
        <v>1653</v>
      </c>
      <c r="AH1498" s="1759" t="s">
        <v>1594</v>
      </c>
      <c r="AI1498" s="1759" t="s">
        <v>3714</v>
      </c>
      <c r="AJ1498" s="1759" t="s">
        <v>3714</v>
      </c>
      <c r="AK1498" s="1759">
        <v>2237</v>
      </c>
      <c r="AL1498" s="1759" t="s">
        <v>563</v>
      </c>
      <c r="AM1498" s="1759">
        <v>511</v>
      </c>
      <c r="AN1498" s="1759" t="s">
        <v>1695</v>
      </c>
      <c r="AO1498" s="1764"/>
      <c r="AP1498" s="1759" t="s">
        <v>5385</v>
      </c>
      <c r="AQ1498" s="1759" t="s">
        <v>5386</v>
      </c>
      <c r="AR1498" s="1759" t="s">
        <v>2780</v>
      </c>
      <c r="AS1498" s="1759" t="s">
        <v>426</v>
      </c>
      <c r="AT1498" s="1759" t="s">
        <v>327</v>
      </c>
      <c r="AU1498" s="1763"/>
      <c r="AV1498" s="1763"/>
    </row>
    <row r="1499" spans="1:48" ht="25" hidden="1">
      <c r="A1499" s="1785" t="str">
        <f t="shared" si="253"/>
        <v>גמל</v>
      </c>
      <c r="B1499" s="1786">
        <f t="shared" si="254"/>
        <v>1138</v>
      </c>
      <c r="C1499" s="1787">
        <v>28946</v>
      </c>
      <c r="D1499" s="1786" t="str">
        <f t="shared" si="255"/>
        <v>איילון מקפת תגמולים - ללא מניות</v>
      </c>
      <c r="E1499" s="1786" t="s">
        <v>3929</v>
      </c>
      <c r="F1499" s="1786" t="s">
        <v>2958</v>
      </c>
      <c r="G1499" s="1786" t="s">
        <v>2959</v>
      </c>
      <c r="H1499" s="1786" t="str">
        <f t="shared" si="256"/>
        <v>לא פעיל</v>
      </c>
      <c r="I1499" s="1788">
        <f t="shared" si="257"/>
        <v>32143</v>
      </c>
      <c r="J1499" s="1788">
        <f t="shared" si="258"/>
        <v>41561.400578703702</v>
      </c>
      <c r="K1499" s="1786">
        <v>0</v>
      </c>
      <c r="L1499" s="1786" t="s">
        <v>1594</v>
      </c>
      <c r="M1499" s="1786" t="s">
        <v>1653</v>
      </c>
      <c r="N1499" s="1786" t="s">
        <v>1653</v>
      </c>
      <c r="O1499" s="1786">
        <v>0</v>
      </c>
      <c r="P1499" s="1786"/>
      <c r="Q1499" s="1786">
        <v>0</v>
      </c>
      <c r="R1499" s="1788"/>
      <c r="S1499" s="1786">
        <f t="shared" si="259"/>
        <v>511</v>
      </c>
      <c r="T1499" s="1786" t="str">
        <f t="shared" si="260"/>
        <v>בנק הפועלים בע"מ</v>
      </c>
      <c r="U1499" s="1786" t="str">
        <f t="shared" si="261"/>
        <v>איילון מקפת תגמולים - כללי</v>
      </c>
      <c r="V1499" s="1786" t="str">
        <f t="shared" si="262"/>
        <v>520030677</v>
      </c>
      <c r="W1499" s="1789" t="str">
        <f t="shared" si="263"/>
        <v>איילון פנסיה וגמל בע"מ</v>
      </c>
      <c r="AC1499" s="1761" t="s">
        <v>1586</v>
      </c>
      <c r="AD1499" s="1762">
        <v>41561.400578703702</v>
      </c>
      <c r="AE1499" s="1762">
        <v>32143</v>
      </c>
      <c r="AF1499" s="1761" t="s">
        <v>1583</v>
      </c>
      <c r="AG1499" s="1761" t="s">
        <v>1583</v>
      </c>
      <c r="AH1499" s="1761" t="s">
        <v>1583</v>
      </c>
      <c r="AI1499" s="1761" t="s">
        <v>2296</v>
      </c>
      <c r="AJ1499" s="1761" t="s">
        <v>2296</v>
      </c>
      <c r="AK1499" s="1761">
        <v>1138</v>
      </c>
      <c r="AL1499" s="1761" t="s">
        <v>563</v>
      </c>
      <c r="AM1499" s="1761">
        <v>511</v>
      </c>
      <c r="AN1499" s="1761" t="s">
        <v>1695</v>
      </c>
      <c r="AO1499" s="1764"/>
      <c r="AP1499" s="1761" t="s">
        <v>5385</v>
      </c>
      <c r="AQ1499" s="1761" t="s">
        <v>5386</v>
      </c>
      <c r="AR1499" s="1761" t="s">
        <v>2780</v>
      </c>
      <c r="AS1499" s="1761" t="s">
        <v>426</v>
      </c>
      <c r="AT1499" s="1761" t="s">
        <v>327</v>
      </c>
      <c r="AU1499" s="1763"/>
      <c r="AV1499" s="1763"/>
    </row>
    <row r="1500" spans="1:48" ht="25" hidden="1">
      <c r="A1500" s="1785" t="str">
        <f t="shared" si="253"/>
        <v>גמל</v>
      </c>
      <c r="B1500" s="1786">
        <f t="shared" si="254"/>
        <v>510</v>
      </c>
      <c r="C1500" s="1787">
        <v>28946</v>
      </c>
      <c r="D1500" s="1786" t="str">
        <f t="shared" si="255"/>
        <v>יובלים - קופת גמל לחגים והבראה</v>
      </c>
      <c r="E1500" s="1786" t="s">
        <v>3929</v>
      </c>
      <c r="F1500" s="1786" t="s">
        <v>2958</v>
      </c>
      <c r="G1500" s="1786" t="s">
        <v>2959</v>
      </c>
      <c r="H1500" s="1786" t="str">
        <f t="shared" si="256"/>
        <v>לא פעיל</v>
      </c>
      <c r="I1500" s="1788">
        <f t="shared" si="257"/>
        <v>32143</v>
      </c>
      <c r="J1500" s="1788">
        <f t="shared" si="258"/>
        <v>43207.536863425899</v>
      </c>
      <c r="K1500" s="1786">
        <v>0</v>
      </c>
      <c r="L1500" s="1786" t="s">
        <v>1594</v>
      </c>
      <c r="M1500" s="1786" t="s">
        <v>1653</v>
      </c>
      <c r="N1500" s="1786" t="s">
        <v>1653</v>
      </c>
      <c r="O1500" s="1786">
        <v>0</v>
      </c>
      <c r="P1500" s="1786"/>
      <c r="Q1500" s="1786">
        <v>0</v>
      </c>
      <c r="R1500" s="1788"/>
      <c r="S1500" s="1786">
        <f t="shared" si="259"/>
        <v>510</v>
      </c>
      <c r="T1500" s="1786" t="str">
        <f t="shared" si="260"/>
        <v>בנק הפועלים בע"מ</v>
      </c>
      <c r="U1500" s="1786" t="str">
        <f t="shared" si="261"/>
        <v>יובלים - קופת גמל לחגים והבראה</v>
      </c>
      <c r="V1500" s="1786" t="str">
        <f t="shared" si="262"/>
        <v>520043795</v>
      </c>
      <c r="W1500" s="1789" t="str">
        <f t="shared" si="263"/>
        <v>מיטב דש גמל ופנסיה בע"מ</v>
      </c>
      <c r="AC1500" s="1759" t="s">
        <v>1586</v>
      </c>
      <c r="AD1500" s="1760">
        <v>43207.536863425899</v>
      </c>
      <c r="AE1500" s="1760">
        <v>32143</v>
      </c>
      <c r="AF1500" s="1759" t="s">
        <v>1583</v>
      </c>
      <c r="AG1500" s="1759" t="s">
        <v>1583</v>
      </c>
      <c r="AH1500" s="1759" t="s">
        <v>1583</v>
      </c>
      <c r="AI1500" s="1759" t="s">
        <v>3148</v>
      </c>
      <c r="AJ1500" s="1759" t="s">
        <v>562</v>
      </c>
      <c r="AK1500" s="1759">
        <v>510</v>
      </c>
      <c r="AL1500" s="1759" t="s">
        <v>562</v>
      </c>
      <c r="AM1500" s="1759">
        <v>510</v>
      </c>
      <c r="AN1500" s="1759" t="s">
        <v>1695</v>
      </c>
      <c r="AO1500" s="1764"/>
      <c r="AP1500" s="1759" t="s">
        <v>5373</v>
      </c>
      <c r="AQ1500" s="1759" t="s">
        <v>5374</v>
      </c>
      <c r="AR1500" s="1759" t="s">
        <v>2899</v>
      </c>
      <c r="AS1500" s="1759" t="s">
        <v>349</v>
      </c>
      <c r="AT1500" s="1759" t="s">
        <v>327</v>
      </c>
      <c r="AU1500" s="1763"/>
      <c r="AV1500" s="1763"/>
    </row>
    <row r="1501" spans="1:48" ht="25" hidden="1">
      <c r="A1501" s="1785" t="str">
        <f t="shared" si="253"/>
        <v>גמל</v>
      </c>
      <c r="B1501" s="1786">
        <f t="shared" si="254"/>
        <v>510</v>
      </c>
      <c r="C1501" s="1787">
        <v>28946</v>
      </c>
      <c r="D1501" s="1786" t="str">
        <f t="shared" si="255"/>
        <v>יובלים - קופת גמל לחגים והבראה</v>
      </c>
      <c r="E1501" s="1786" t="s">
        <v>3929</v>
      </c>
      <c r="F1501" s="1786" t="s">
        <v>2958</v>
      </c>
      <c r="G1501" s="1786" t="s">
        <v>2959</v>
      </c>
      <c r="H1501" s="1786" t="str">
        <f t="shared" si="256"/>
        <v>לא פעיל</v>
      </c>
      <c r="I1501" s="1788">
        <f t="shared" si="257"/>
        <v>32143</v>
      </c>
      <c r="J1501" s="1788">
        <f t="shared" si="258"/>
        <v>43207.536863425899</v>
      </c>
      <c r="K1501" s="1786">
        <v>0</v>
      </c>
      <c r="L1501" s="1786" t="s">
        <v>1594</v>
      </c>
      <c r="M1501" s="1786" t="s">
        <v>1653</v>
      </c>
      <c r="N1501" s="1786" t="s">
        <v>1653</v>
      </c>
      <c r="O1501" s="1786">
        <v>0</v>
      </c>
      <c r="P1501" s="1786"/>
      <c r="Q1501" s="1786">
        <v>0</v>
      </c>
      <c r="R1501" s="1788"/>
      <c r="S1501" s="1786">
        <f t="shared" si="259"/>
        <v>510</v>
      </c>
      <c r="T1501" s="1786" t="str">
        <f t="shared" si="260"/>
        <v>בנק הפועלים בע"מ</v>
      </c>
      <c r="U1501" s="1786" t="str">
        <f t="shared" si="261"/>
        <v>יובלים - קופת גמל לחגים והבראה</v>
      </c>
      <c r="V1501" s="1786" t="str">
        <f t="shared" si="262"/>
        <v>520043795</v>
      </c>
      <c r="W1501" s="1789" t="str">
        <f t="shared" si="263"/>
        <v>מיטב דש גמל ופנסיה בע"מ</v>
      </c>
      <c r="AC1501" s="1761" t="s">
        <v>1586</v>
      </c>
      <c r="AD1501" s="1762">
        <v>43207.536863425899</v>
      </c>
      <c r="AE1501" s="1762">
        <v>32143</v>
      </c>
      <c r="AF1501" s="1761" t="s">
        <v>1583</v>
      </c>
      <c r="AG1501" s="1761" t="s">
        <v>1583</v>
      </c>
      <c r="AH1501" s="1761" t="s">
        <v>1583</v>
      </c>
      <c r="AI1501" s="1761" t="s">
        <v>3148</v>
      </c>
      <c r="AJ1501" s="1761" t="s">
        <v>562</v>
      </c>
      <c r="AK1501" s="1761">
        <v>510</v>
      </c>
      <c r="AL1501" s="1761" t="s">
        <v>562</v>
      </c>
      <c r="AM1501" s="1761">
        <v>510</v>
      </c>
      <c r="AN1501" s="1761" t="s">
        <v>1695</v>
      </c>
      <c r="AO1501" s="1764"/>
      <c r="AP1501" s="1761" t="s">
        <v>5373</v>
      </c>
      <c r="AQ1501" s="1761" t="s">
        <v>5374</v>
      </c>
      <c r="AR1501" s="1761" t="s">
        <v>2899</v>
      </c>
      <c r="AS1501" s="1761" t="s">
        <v>349</v>
      </c>
      <c r="AT1501" s="1761" t="s">
        <v>327</v>
      </c>
      <c r="AU1501" s="1763"/>
      <c r="AV1501" s="1763"/>
    </row>
    <row r="1502" spans="1:48" ht="37.5" hidden="1">
      <c r="A1502" s="1785" t="str">
        <f t="shared" si="253"/>
        <v>גמל</v>
      </c>
      <c r="B1502" s="1786">
        <f t="shared" si="254"/>
        <v>509</v>
      </c>
      <c r="C1502" s="1787">
        <v>28946</v>
      </c>
      <c r="D1502" s="1786" t="str">
        <f t="shared" si="255"/>
        <v>דן מרכזית</v>
      </c>
      <c r="E1502" s="1786" t="s">
        <v>3929</v>
      </c>
      <c r="F1502" s="1786" t="s">
        <v>2958</v>
      </c>
      <c r="G1502" s="1786" t="s">
        <v>2959</v>
      </c>
      <c r="H1502" s="1786" t="str">
        <f t="shared" si="256"/>
        <v>לא פעיל</v>
      </c>
      <c r="I1502" s="1788">
        <f t="shared" si="257"/>
        <v>25569</v>
      </c>
      <c r="J1502" s="1788">
        <f t="shared" si="258"/>
        <v>25569</v>
      </c>
      <c r="K1502" s="1786">
        <v>0</v>
      </c>
      <c r="L1502" s="1786" t="s">
        <v>1594</v>
      </c>
      <c r="M1502" s="1786" t="s">
        <v>1653</v>
      </c>
      <c r="N1502" s="1786" t="s">
        <v>1653</v>
      </c>
      <c r="O1502" s="1786">
        <v>0</v>
      </c>
      <c r="P1502" s="1786"/>
      <c r="Q1502" s="1786">
        <v>0</v>
      </c>
      <c r="R1502" s="1788"/>
      <c r="S1502" s="1786">
        <f t="shared" si="259"/>
        <v>509</v>
      </c>
      <c r="T1502" s="1786" t="str">
        <f t="shared" si="260"/>
        <v>בנק לאומי בע"מ</v>
      </c>
      <c r="U1502" s="1786" t="str">
        <f t="shared" si="261"/>
        <v>דן מרכזית</v>
      </c>
      <c r="V1502" s="1786">
        <f t="shared" si="262"/>
        <v>0</v>
      </c>
      <c r="W1502" s="1789" t="str">
        <f t="shared" si="263"/>
        <v>קופת התגמולים לעצמאים "עצמה" ליד בל"ל בע"מ</v>
      </c>
      <c r="AC1502" s="1759" t="s">
        <v>1586</v>
      </c>
      <c r="AD1502" s="1760">
        <v>25569</v>
      </c>
      <c r="AE1502" s="1760">
        <v>25569</v>
      </c>
      <c r="AF1502" s="1759" t="s">
        <v>1583</v>
      </c>
      <c r="AG1502" s="1759" t="s">
        <v>1583</v>
      </c>
      <c r="AH1502" s="1759" t="s">
        <v>1583</v>
      </c>
      <c r="AI1502" s="1759" t="s">
        <v>1854</v>
      </c>
      <c r="AJ1502" s="1759" t="s">
        <v>1854</v>
      </c>
      <c r="AK1502" s="1759">
        <v>509</v>
      </c>
      <c r="AL1502" s="1759" t="s">
        <v>1854</v>
      </c>
      <c r="AM1502" s="1759">
        <v>509</v>
      </c>
      <c r="AN1502" s="1759" t="s">
        <v>5470</v>
      </c>
      <c r="AO1502" s="1764"/>
      <c r="AP1502" s="1759"/>
      <c r="AQ1502" s="1759"/>
      <c r="AR1502" s="1759" t="s">
        <v>1661</v>
      </c>
      <c r="AS1502" s="1759" t="s">
        <v>1660</v>
      </c>
      <c r="AT1502" s="1759" t="s">
        <v>327</v>
      </c>
      <c r="AU1502" s="1763"/>
      <c r="AV1502" s="1763"/>
    </row>
    <row r="1503" spans="1:48" ht="25" hidden="1">
      <c r="A1503" s="1785" t="str">
        <f t="shared" si="253"/>
        <v>גמל</v>
      </c>
      <c r="B1503" s="1786">
        <f t="shared" si="254"/>
        <v>508</v>
      </c>
      <c r="C1503" s="1787">
        <v>28946</v>
      </c>
      <c r="D1503" s="1786" t="str">
        <f t="shared" si="255"/>
        <v>יובלים - קופת גמל לתגמולים ופיצויים</v>
      </c>
      <c r="E1503" s="1786" t="s">
        <v>3929</v>
      </c>
      <c r="F1503" s="1786" t="s">
        <v>2958</v>
      </c>
      <c r="G1503" s="1786" t="s">
        <v>2959</v>
      </c>
      <c r="H1503" s="1786" t="str">
        <f t="shared" si="256"/>
        <v>לא פעיל</v>
      </c>
      <c r="I1503" s="1788">
        <f t="shared" si="257"/>
        <v>32143</v>
      </c>
      <c r="J1503" s="1788">
        <f t="shared" si="258"/>
        <v>40148</v>
      </c>
      <c r="K1503" s="1786">
        <v>0</v>
      </c>
      <c r="L1503" s="1786" t="s">
        <v>1594</v>
      </c>
      <c r="M1503" s="1786" t="s">
        <v>1653</v>
      </c>
      <c r="N1503" s="1786" t="s">
        <v>1653</v>
      </c>
      <c r="O1503" s="1786">
        <v>0</v>
      </c>
      <c r="P1503" s="1786"/>
      <c r="Q1503" s="1786">
        <v>0</v>
      </c>
      <c r="R1503" s="1788"/>
      <c r="S1503" s="1786">
        <f t="shared" si="259"/>
        <v>508</v>
      </c>
      <c r="T1503" s="1786" t="str">
        <f t="shared" si="260"/>
        <v>בנק הפועלים בע"מ</v>
      </c>
      <c r="U1503" s="1786" t="str">
        <f t="shared" si="261"/>
        <v>יובלים - קופת גמל לתגמולים ופיצויים</v>
      </c>
      <c r="V1503" s="1786">
        <f t="shared" si="262"/>
        <v>0</v>
      </c>
      <c r="W1503" s="1789" t="str">
        <f t="shared" si="263"/>
        <v>איפקס ניהול קופות גמל בע"מ</v>
      </c>
      <c r="AC1503" s="1761" t="s">
        <v>1586</v>
      </c>
      <c r="AD1503" s="1762">
        <v>40148</v>
      </c>
      <c r="AE1503" s="1762">
        <v>32143</v>
      </c>
      <c r="AF1503" s="1761" t="s">
        <v>1583</v>
      </c>
      <c r="AG1503" s="1761" t="s">
        <v>1583</v>
      </c>
      <c r="AH1503" s="1761" t="s">
        <v>1583</v>
      </c>
      <c r="AI1503" s="1761" t="s">
        <v>3147</v>
      </c>
      <c r="AJ1503" s="1761" t="s">
        <v>1853</v>
      </c>
      <c r="AK1503" s="1761">
        <v>508</v>
      </c>
      <c r="AL1503" s="1761" t="s">
        <v>1853</v>
      </c>
      <c r="AM1503" s="1761">
        <v>508</v>
      </c>
      <c r="AN1503" s="1761" t="s">
        <v>1695</v>
      </c>
      <c r="AO1503" s="1764"/>
      <c r="AP1503" s="1761"/>
      <c r="AQ1503" s="1761"/>
      <c r="AR1503" s="1761" t="s">
        <v>560</v>
      </c>
      <c r="AS1503" s="1761" t="s">
        <v>561</v>
      </c>
      <c r="AT1503" s="1761" t="s">
        <v>327</v>
      </c>
      <c r="AU1503" s="1763"/>
      <c r="AV1503" s="1763"/>
    </row>
    <row r="1504" spans="1:48" ht="62.5" hidden="1">
      <c r="A1504" s="1785" t="str">
        <f t="shared" si="253"/>
        <v>גמל</v>
      </c>
      <c r="B1504" s="1786">
        <f t="shared" si="254"/>
        <v>507</v>
      </c>
      <c r="C1504" s="1787">
        <v>28946</v>
      </c>
      <c r="D1504" s="1786" t="str">
        <f t="shared" si="255"/>
        <v>קרן בטוח ופנסיה לפועלים חקלאים  ובלתי מקצועיים בישראל א.ש. בע"מ</v>
      </c>
      <c r="E1504" s="1786" t="s">
        <v>3929</v>
      </c>
      <c r="F1504" s="1786" t="s">
        <v>2958</v>
      </c>
      <c r="G1504" s="1786" t="s">
        <v>2959</v>
      </c>
      <c r="H1504" s="1786" t="str">
        <f t="shared" si="256"/>
        <v>פעיל</v>
      </c>
      <c r="I1504" s="1788">
        <f t="shared" si="257"/>
        <v>32143</v>
      </c>
      <c r="J1504" s="1788" t="str">
        <f t="shared" si="258"/>
        <v/>
      </c>
      <c r="K1504" s="1786">
        <v>0</v>
      </c>
      <c r="L1504" s="1786" t="s">
        <v>1594</v>
      </c>
      <c r="M1504" s="1786" t="s">
        <v>1653</v>
      </c>
      <c r="N1504" s="1786" t="s">
        <v>1653</v>
      </c>
      <c r="O1504" s="1786">
        <v>0</v>
      </c>
      <c r="P1504" s="1786"/>
      <c r="Q1504" s="1786">
        <v>0</v>
      </c>
      <c r="R1504" s="1788"/>
      <c r="S1504" s="1786">
        <f t="shared" si="259"/>
        <v>507</v>
      </c>
      <c r="T1504" s="1786" t="str">
        <f t="shared" si="260"/>
        <v>ניהול  עצמי</v>
      </c>
      <c r="U1504" s="1786" t="str">
        <f t="shared" si="261"/>
        <v>קרן בטוח ופנסיה לפועלים חקלאים  ובלתי מקצועיים בישראל א.ש. בע"מ</v>
      </c>
      <c r="V1504" s="1786">
        <f t="shared" si="262"/>
        <v>0</v>
      </c>
      <c r="W1504" s="1789" t="str">
        <f t="shared" si="263"/>
        <v>קרן ביטוח ופנסיה לפועלים חקלאים ובלתי מקצועיים בישראל אגודה שיתופית בע"מ</v>
      </c>
      <c r="AC1504" s="1759" t="s">
        <v>346</v>
      </c>
      <c r="AD1504" s="1759"/>
      <c r="AE1504" s="1760">
        <v>32143</v>
      </c>
      <c r="AF1504" s="1759" t="s">
        <v>1583</v>
      </c>
      <c r="AG1504" s="1759" t="s">
        <v>1583</v>
      </c>
      <c r="AH1504" s="1759" t="s">
        <v>1583</v>
      </c>
      <c r="AI1504" s="1759" t="s">
        <v>3146</v>
      </c>
      <c r="AJ1504" s="1759" t="s">
        <v>559</v>
      </c>
      <c r="AK1504" s="1759">
        <v>507</v>
      </c>
      <c r="AL1504" s="1759" t="s">
        <v>559</v>
      </c>
      <c r="AM1504" s="1759">
        <v>507</v>
      </c>
      <c r="AN1504" s="1759" t="s">
        <v>5524</v>
      </c>
      <c r="AO1504" s="1764"/>
      <c r="AP1504" s="1759"/>
      <c r="AQ1504" s="1759"/>
      <c r="AR1504" s="1759" t="s">
        <v>1738</v>
      </c>
      <c r="AS1504" s="1759" t="s">
        <v>477</v>
      </c>
      <c r="AT1504" s="1759" t="s">
        <v>327</v>
      </c>
      <c r="AU1504" s="1763"/>
      <c r="AV1504" s="1763"/>
    </row>
    <row r="1505" spans="1:48" ht="50" hidden="1">
      <c r="A1505" s="1785" t="str">
        <f t="shared" si="253"/>
        <v>גמל</v>
      </c>
      <c r="B1505" s="1786">
        <f t="shared" si="254"/>
        <v>506</v>
      </c>
      <c r="C1505" s="1787">
        <v>28946</v>
      </c>
      <c r="D1505" s="1786" t="str">
        <f t="shared" si="255"/>
        <v>קופת הגמל לתגמולים ולפיצויים של קרן הגימלאות המרכזית של עובדי ההסתדרות</v>
      </c>
      <c r="E1505" s="1786" t="s">
        <v>3929</v>
      </c>
      <c r="F1505" s="1786" t="s">
        <v>2958</v>
      </c>
      <c r="G1505" s="1786" t="s">
        <v>2959</v>
      </c>
      <c r="H1505" s="1786" t="str">
        <f t="shared" si="256"/>
        <v>לא פעיל</v>
      </c>
      <c r="I1505" s="1788">
        <f t="shared" si="257"/>
        <v>32143</v>
      </c>
      <c r="J1505" s="1788">
        <f t="shared" si="258"/>
        <v>40148</v>
      </c>
      <c r="K1505" s="1786">
        <v>0</v>
      </c>
      <c r="L1505" s="1786" t="s">
        <v>1594</v>
      </c>
      <c r="M1505" s="1786" t="s">
        <v>1653</v>
      </c>
      <c r="N1505" s="1786" t="s">
        <v>1653</v>
      </c>
      <c r="O1505" s="1786">
        <v>0</v>
      </c>
      <c r="P1505" s="1786"/>
      <c r="Q1505" s="1786">
        <v>0</v>
      </c>
      <c r="R1505" s="1788"/>
      <c r="S1505" s="1786">
        <f t="shared" si="259"/>
        <v>506</v>
      </c>
      <c r="T1505" s="1786" t="str">
        <f t="shared" si="260"/>
        <v>ניהול  עצמי</v>
      </c>
      <c r="U1505" s="1786" t="str">
        <f t="shared" si="261"/>
        <v>קופת הגמל לתגמולים ולפיצויים של קרן הגימלאות המרכזית של עובדי ההסתדרות</v>
      </c>
      <c r="V1505" s="1786">
        <f t="shared" si="262"/>
        <v>0</v>
      </c>
      <c r="W1505" s="1789" t="str">
        <f t="shared" si="263"/>
        <v>איפקס ניהול קופות גמל בע"מ</v>
      </c>
      <c r="AC1505" s="1761" t="s">
        <v>1586</v>
      </c>
      <c r="AD1505" s="1762">
        <v>40148</v>
      </c>
      <c r="AE1505" s="1762">
        <v>32143</v>
      </c>
      <c r="AF1505" s="1761" t="s">
        <v>1583</v>
      </c>
      <c r="AG1505" s="1761" t="s">
        <v>1583</v>
      </c>
      <c r="AH1505" s="1761" t="s">
        <v>1583</v>
      </c>
      <c r="AI1505" s="1761" t="s">
        <v>3145</v>
      </c>
      <c r="AJ1505" s="1761" t="s">
        <v>1852</v>
      </c>
      <c r="AK1505" s="1761">
        <v>506</v>
      </c>
      <c r="AL1505" s="1761" t="s">
        <v>1852</v>
      </c>
      <c r="AM1505" s="1761">
        <v>506</v>
      </c>
      <c r="AN1505" s="1761" t="s">
        <v>5524</v>
      </c>
      <c r="AO1505" s="1764"/>
      <c r="AP1505" s="1761"/>
      <c r="AQ1505" s="1761"/>
      <c r="AR1505" s="1761" t="s">
        <v>560</v>
      </c>
      <c r="AS1505" s="1761" t="s">
        <v>561</v>
      </c>
      <c r="AT1505" s="1761" t="s">
        <v>327</v>
      </c>
      <c r="AU1505" s="1763"/>
      <c r="AV1505" s="1763"/>
    </row>
    <row r="1506" spans="1:48" ht="62.5" hidden="1">
      <c r="A1506" s="1785" t="str">
        <f t="shared" si="253"/>
        <v>גמל</v>
      </c>
      <c r="B1506" s="1786">
        <f t="shared" si="254"/>
        <v>505</v>
      </c>
      <c r="C1506" s="1787">
        <v>28946</v>
      </c>
      <c r="D1506" s="1786" t="str">
        <f t="shared" si="255"/>
        <v>קופה לתגמולים ופנסיה של עובדי הסוכנות היהודית לא"י בע"מ</v>
      </c>
      <c r="E1506" s="1786" t="s">
        <v>3929</v>
      </c>
      <c r="F1506" s="1786" t="s">
        <v>2958</v>
      </c>
      <c r="G1506" s="1786" t="s">
        <v>2959</v>
      </c>
      <c r="H1506" s="1786" t="str">
        <f t="shared" si="256"/>
        <v>פעיל</v>
      </c>
      <c r="I1506" s="1788">
        <f t="shared" si="257"/>
        <v>32143</v>
      </c>
      <c r="J1506" s="1788" t="str">
        <f t="shared" si="258"/>
        <v/>
      </c>
      <c r="K1506" s="1786">
        <v>0</v>
      </c>
      <c r="L1506" s="1786" t="s">
        <v>1594</v>
      </c>
      <c r="M1506" s="1786" t="s">
        <v>1653</v>
      </c>
      <c r="N1506" s="1786" t="s">
        <v>1653</v>
      </c>
      <c r="O1506" s="1786">
        <v>0</v>
      </c>
      <c r="P1506" s="1786"/>
      <c r="Q1506" s="1786">
        <v>0</v>
      </c>
      <c r="R1506" s="1788"/>
      <c r="S1506" s="1786">
        <f t="shared" si="259"/>
        <v>505</v>
      </c>
      <c r="T1506" s="1786" t="str">
        <f t="shared" si="260"/>
        <v>ניהול  עצמי</v>
      </c>
      <c r="U1506" s="1786" t="str">
        <f t="shared" si="261"/>
        <v>קופת התגמולים של עובדי הסוכנות היהודית לא"י</v>
      </c>
      <c r="V1506" s="1786" t="str">
        <f t="shared" si="262"/>
        <v>500500046</v>
      </c>
      <c r="W1506" s="1789" t="str">
        <f t="shared" si="263"/>
        <v>החברה לניהול קופת התגמולים והפנסיה של עובדי הסוכנות היהודית לארץ ישראל בע"מ</v>
      </c>
      <c r="AC1506" s="1759" t="s">
        <v>346</v>
      </c>
      <c r="AD1506" s="1759"/>
      <c r="AE1506" s="1760">
        <v>32143</v>
      </c>
      <c r="AF1506" s="1759" t="s">
        <v>1583</v>
      </c>
      <c r="AG1506" s="1759" t="s">
        <v>1583</v>
      </c>
      <c r="AH1506" s="1759" t="s">
        <v>1583</v>
      </c>
      <c r="AI1506" s="1759" t="s">
        <v>3142</v>
      </c>
      <c r="AJ1506" s="1759" t="s">
        <v>437</v>
      </c>
      <c r="AK1506" s="1759">
        <v>505</v>
      </c>
      <c r="AL1506" s="1759" t="s">
        <v>3143</v>
      </c>
      <c r="AM1506" s="1759">
        <v>505</v>
      </c>
      <c r="AN1506" s="1759" t="s">
        <v>5524</v>
      </c>
      <c r="AO1506" s="1764"/>
      <c r="AP1506" s="1759" t="s">
        <v>5623</v>
      </c>
      <c r="AQ1506" s="1759" t="s">
        <v>5624</v>
      </c>
      <c r="AR1506" s="1759" t="s">
        <v>4598</v>
      </c>
      <c r="AS1506" s="1759" t="s">
        <v>3786</v>
      </c>
      <c r="AT1506" s="1759" t="s">
        <v>327</v>
      </c>
      <c r="AU1506" s="1763"/>
      <c r="AV1506" s="1763"/>
    </row>
    <row r="1507" spans="1:48" ht="25" hidden="1">
      <c r="A1507" s="1785" t="str">
        <f t="shared" si="253"/>
        <v>גמל</v>
      </c>
      <c r="B1507" s="1786">
        <f t="shared" si="254"/>
        <v>504</v>
      </c>
      <c r="C1507" s="1787">
        <v>28946</v>
      </c>
      <c r="D1507" s="1786" t="str">
        <f t="shared" si="255"/>
        <v>גילעד קופה מרכזית לפיצויים</v>
      </c>
      <c r="E1507" s="1786" t="s">
        <v>3929</v>
      </c>
      <c r="F1507" s="1786" t="s">
        <v>2958</v>
      </c>
      <c r="G1507" s="1786" t="s">
        <v>2959</v>
      </c>
      <c r="H1507" s="1786" t="str">
        <f t="shared" si="256"/>
        <v>לא פעיל</v>
      </c>
      <c r="I1507" s="1788">
        <f t="shared" si="257"/>
        <v>32143</v>
      </c>
      <c r="J1507" s="1788">
        <f t="shared" si="258"/>
        <v>40179</v>
      </c>
      <c r="K1507" s="1786">
        <v>0</v>
      </c>
      <c r="L1507" s="1786" t="s">
        <v>1594</v>
      </c>
      <c r="M1507" s="1786" t="s">
        <v>1653</v>
      </c>
      <c r="N1507" s="1786" t="s">
        <v>1653</v>
      </c>
      <c r="O1507" s="1786">
        <v>0</v>
      </c>
      <c r="P1507" s="1786"/>
      <c r="Q1507" s="1786">
        <v>0</v>
      </c>
      <c r="R1507" s="1788"/>
      <c r="S1507" s="1786">
        <f t="shared" si="259"/>
        <v>504</v>
      </c>
      <c r="T1507" s="1786" t="str">
        <f t="shared" si="260"/>
        <v>ניהול  עצמי</v>
      </c>
      <c r="U1507" s="1786" t="str">
        <f t="shared" si="261"/>
        <v>גילעד קופה מרכזית לפיצויים</v>
      </c>
      <c r="V1507" s="1786">
        <f t="shared" si="262"/>
        <v>0</v>
      </c>
      <c r="W1507" s="1789" t="str">
        <f t="shared" si="263"/>
        <v>הראל עתידית קופות גמל בע"מ</v>
      </c>
      <c r="AC1507" s="1761" t="s">
        <v>1586</v>
      </c>
      <c r="AD1507" s="1762">
        <v>40179</v>
      </c>
      <c r="AE1507" s="1762">
        <v>32143</v>
      </c>
      <c r="AF1507" s="1761" t="s">
        <v>1583</v>
      </c>
      <c r="AG1507" s="1761" t="s">
        <v>1583</v>
      </c>
      <c r="AH1507" s="1761" t="s">
        <v>1583</v>
      </c>
      <c r="AI1507" s="1761" t="s">
        <v>3141</v>
      </c>
      <c r="AJ1507" s="1761" t="s">
        <v>1851</v>
      </c>
      <c r="AK1507" s="1761">
        <v>504</v>
      </c>
      <c r="AL1507" s="1761" t="s">
        <v>1851</v>
      </c>
      <c r="AM1507" s="1761">
        <v>504</v>
      </c>
      <c r="AN1507" s="1761" t="s">
        <v>5524</v>
      </c>
      <c r="AO1507" s="1764"/>
      <c r="AP1507" s="1761"/>
      <c r="AQ1507" s="1761"/>
      <c r="AR1507" s="1761" t="s">
        <v>530</v>
      </c>
      <c r="AS1507" s="1761" t="s">
        <v>531</v>
      </c>
      <c r="AT1507" s="1761" t="s">
        <v>327</v>
      </c>
      <c r="AU1507" s="1763"/>
      <c r="AV1507" s="1763"/>
    </row>
    <row r="1508" spans="1:48" ht="25" hidden="1">
      <c r="A1508" s="1785" t="str">
        <f t="shared" si="253"/>
        <v>גמל</v>
      </c>
      <c r="B1508" s="1786">
        <f t="shared" si="254"/>
        <v>871</v>
      </c>
      <c r="C1508" s="1787">
        <v>28946</v>
      </c>
      <c r="D1508" s="1786" t="str">
        <f t="shared" si="255"/>
        <v xml:space="preserve">הראל גמל לגילאי 60 ומעלה </v>
      </c>
      <c r="E1508" s="1786" t="s">
        <v>3929</v>
      </c>
      <c r="F1508" s="1786" t="s">
        <v>2958</v>
      </c>
      <c r="G1508" s="1786" t="s">
        <v>2959</v>
      </c>
      <c r="H1508" s="1786" t="str">
        <f t="shared" si="256"/>
        <v>לא פעיל</v>
      </c>
      <c r="I1508" s="1788">
        <f t="shared" si="257"/>
        <v>32143</v>
      </c>
      <c r="J1508" s="1788">
        <f t="shared" si="258"/>
        <v>42373.553009259304</v>
      </c>
      <c r="K1508" s="1786">
        <v>0</v>
      </c>
      <c r="L1508" s="1786" t="s">
        <v>1594</v>
      </c>
      <c r="M1508" s="1786" t="s">
        <v>1653</v>
      </c>
      <c r="N1508" s="1786" t="s">
        <v>1653</v>
      </c>
      <c r="O1508" s="1786">
        <v>0</v>
      </c>
      <c r="P1508" s="1786"/>
      <c r="Q1508" s="1786">
        <v>0</v>
      </c>
      <c r="R1508" s="1788"/>
      <c r="S1508" s="1786">
        <f t="shared" si="259"/>
        <v>502</v>
      </c>
      <c r="T1508" s="1786" t="str">
        <f t="shared" si="260"/>
        <v>לאומי</v>
      </c>
      <c r="U1508" s="1786" t="str">
        <f t="shared" si="261"/>
        <v>הראל גילעד גמל</v>
      </c>
      <c r="V1508" s="1786">
        <f t="shared" si="262"/>
        <v>0</v>
      </c>
      <c r="W1508" s="1789" t="str">
        <f t="shared" si="263"/>
        <v>הראל גמל והשתלמות בע"מ</v>
      </c>
      <c r="AC1508" s="1759" t="s">
        <v>1586</v>
      </c>
      <c r="AD1508" s="1760">
        <v>42373.553009259304</v>
      </c>
      <c r="AE1508" s="1760">
        <v>32143</v>
      </c>
      <c r="AF1508" s="1759" t="s">
        <v>3963</v>
      </c>
      <c r="AG1508" s="1759" t="s">
        <v>3931</v>
      </c>
      <c r="AH1508" s="1759" t="s">
        <v>3658</v>
      </c>
      <c r="AI1508" s="1759" t="s">
        <v>4524</v>
      </c>
      <c r="AJ1508" s="1759" t="s">
        <v>4524</v>
      </c>
      <c r="AK1508" s="1759">
        <v>871</v>
      </c>
      <c r="AL1508" s="1759" t="s">
        <v>2813</v>
      </c>
      <c r="AM1508" s="1759">
        <v>502</v>
      </c>
      <c r="AN1508" s="1759" t="s">
        <v>5305</v>
      </c>
      <c r="AO1508" s="1764"/>
      <c r="AP1508" s="1759"/>
      <c r="AQ1508" s="1759"/>
      <c r="AR1508" s="1759" t="s">
        <v>344</v>
      </c>
      <c r="AS1508" s="1759" t="s">
        <v>345</v>
      </c>
      <c r="AT1508" s="1759" t="s">
        <v>327</v>
      </c>
      <c r="AU1508" s="1763"/>
      <c r="AV1508" s="1763"/>
    </row>
    <row r="1509" spans="1:48" ht="25" hidden="1">
      <c r="A1509" s="1785" t="str">
        <f t="shared" si="253"/>
        <v>גמל</v>
      </c>
      <c r="B1509" s="1786">
        <f t="shared" si="254"/>
        <v>567</v>
      </c>
      <c r="C1509" s="1787">
        <v>28946</v>
      </c>
      <c r="D1509" s="1786" t="str">
        <f t="shared" si="255"/>
        <v>הראל גמל לגילאי 50 ומטה</v>
      </c>
      <c r="E1509" s="1786" t="s">
        <v>3929</v>
      </c>
      <c r="F1509" s="1786" t="s">
        <v>2958</v>
      </c>
      <c r="G1509" s="1786" t="s">
        <v>2959</v>
      </c>
      <c r="H1509" s="1786" t="str">
        <f t="shared" si="256"/>
        <v>לא פעיל</v>
      </c>
      <c r="I1509" s="1788">
        <f t="shared" si="257"/>
        <v>32143</v>
      </c>
      <c r="J1509" s="1788">
        <f t="shared" si="258"/>
        <v>42373.553009259304</v>
      </c>
      <c r="K1509" s="1786">
        <v>0</v>
      </c>
      <c r="L1509" s="1786" t="s">
        <v>1594</v>
      </c>
      <c r="M1509" s="1786" t="s">
        <v>1653</v>
      </c>
      <c r="N1509" s="1786" t="s">
        <v>1653</v>
      </c>
      <c r="O1509" s="1786">
        <v>0</v>
      </c>
      <c r="P1509" s="1786"/>
      <c r="Q1509" s="1786">
        <v>0</v>
      </c>
      <c r="R1509" s="1788"/>
      <c r="S1509" s="1786">
        <f t="shared" si="259"/>
        <v>502</v>
      </c>
      <c r="T1509" s="1786" t="str">
        <f t="shared" si="260"/>
        <v>לאומי</v>
      </c>
      <c r="U1509" s="1786" t="str">
        <f t="shared" si="261"/>
        <v>הראל גילעד גמל</v>
      </c>
      <c r="V1509" s="1786">
        <f t="shared" si="262"/>
        <v>0</v>
      </c>
      <c r="W1509" s="1789" t="str">
        <f t="shared" si="263"/>
        <v>הראל גמל והשתלמות בע"מ</v>
      </c>
      <c r="AC1509" s="1761" t="s">
        <v>1586</v>
      </c>
      <c r="AD1509" s="1762">
        <v>42373.553009259304</v>
      </c>
      <c r="AE1509" s="1762">
        <v>32143</v>
      </c>
      <c r="AF1509" s="1761" t="s">
        <v>4151</v>
      </c>
      <c r="AG1509" s="1761" t="s">
        <v>3931</v>
      </c>
      <c r="AH1509" s="1761" t="s">
        <v>3658</v>
      </c>
      <c r="AI1509" s="1761" t="s">
        <v>4521</v>
      </c>
      <c r="AJ1509" s="1761" t="s">
        <v>4521</v>
      </c>
      <c r="AK1509" s="1761">
        <v>567</v>
      </c>
      <c r="AL1509" s="1761" t="s">
        <v>2813</v>
      </c>
      <c r="AM1509" s="1761">
        <v>502</v>
      </c>
      <c r="AN1509" s="1761" t="s">
        <v>5305</v>
      </c>
      <c r="AO1509" s="1764"/>
      <c r="AP1509" s="1761"/>
      <c r="AQ1509" s="1761"/>
      <c r="AR1509" s="1761" t="s">
        <v>344</v>
      </c>
      <c r="AS1509" s="1761" t="s">
        <v>345</v>
      </c>
      <c r="AT1509" s="1761" t="s">
        <v>327</v>
      </c>
      <c r="AU1509" s="1763"/>
      <c r="AV1509" s="1763"/>
    </row>
    <row r="1510" spans="1:48" ht="25" hidden="1">
      <c r="A1510" s="1785" t="str">
        <f t="shared" si="253"/>
        <v>גמל</v>
      </c>
      <c r="B1510" s="1786">
        <f t="shared" si="254"/>
        <v>501</v>
      </c>
      <c r="C1510" s="1787">
        <v>28946</v>
      </c>
      <c r="D1510" s="1786" t="str">
        <f t="shared" si="255"/>
        <v>דש דור ברגר - קופת תגמולים ופיצויים</v>
      </c>
      <c r="E1510" s="1786" t="s">
        <v>3929</v>
      </c>
      <c r="F1510" s="1786" t="s">
        <v>2958</v>
      </c>
      <c r="G1510" s="1786" t="s">
        <v>2959</v>
      </c>
      <c r="H1510" s="1786" t="str">
        <f t="shared" si="256"/>
        <v>לא פעיל</v>
      </c>
      <c r="I1510" s="1788">
        <f t="shared" si="257"/>
        <v>34516</v>
      </c>
      <c r="J1510" s="1788">
        <f t="shared" si="258"/>
        <v>40917.768344907403</v>
      </c>
      <c r="K1510" s="1786">
        <v>0</v>
      </c>
      <c r="L1510" s="1786" t="s">
        <v>1594</v>
      </c>
      <c r="M1510" s="1786" t="s">
        <v>1653</v>
      </c>
      <c r="N1510" s="1786" t="s">
        <v>1653</v>
      </c>
      <c r="O1510" s="1786">
        <v>0</v>
      </c>
      <c r="P1510" s="1786"/>
      <c r="Q1510" s="1786">
        <v>0</v>
      </c>
      <c r="R1510" s="1788"/>
      <c r="S1510" s="1786">
        <f t="shared" si="259"/>
        <v>501</v>
      </c>
      <c r="T1510" s="1786" t="str">
        <f t="shared" si="260"/>
        <v>בנק מזרחי טפחות בע"מ</v>
      </c>
      <c r="U1510" s="1786" t="str">
        <f t="shared" si="261"/>
        <v>דש דור ברגר - קופת תגמולים ופיצויים</v>
      </c>
      <c r="V1510" s="1786" t="str">
        <f t="shared" si="262"/>
        <v>520043795</v>
      </c>
      <c r="W1510" s="1789" t="str">
        <f t="shared" si="263"/>
        <v>מיטב דש גמל ופנסיה בע"מ</v>
      </c>
      <c r="AC1510" s="1759" t="s">
        <v>1586</v>
      </c>
      <c r="AD1510" s="1760">
        <v>40917.768344907403</v>
      </c>
      <c r="AE1510" s="1760">
        <v>34516</v>
      </c>
      <c r="AF1510" s="1759" t="s">
        <v>1583</v>
      </c>
      <c r="AG1510" s="1759" t="s">
        <v>1583</v>
      </c>
      <c r="AH1510" s="1759" t="s">
        <v>1583</v>
      </c>
      <c r="AI1510" s="1759" t="s">
        <v>3138</v>
      </c>
      <c r="AJ1510" s="1759" t="s">
        <v>1850</v>
      </c>
      <c r="AK1510" s="1759">
        <v>501</v>
      </c>
      <c r="AL1510" s="1759" t="s">
        <v>1850</v>
      </c>
      <c r="AM1510" s="1759">
        <v>501</v>
      </c>
      <c r="AN1510" s="1759" t="s">
        <v>5370</v>
      </c>
      <c r="AO1510" s="1764"/>
      <c r="AP1510" s="1759" t="s">
        <v>5373</v>
      </c>
      <c r="AQ1510" s="1759" t="s">
        <v>5374</v>
      </c>
      <c r="AR1510" s="1759" t="s">
        <v>2899</v>
      </c>
      <c r="AS1510" s="1759" t="s">
        <v>349</v>
      </c>
      <c r="AT1510" s="1759" t="s">
        <v>327</v>
      </c>
      <c r="AU1510" s="1763"/>
      <c r="AV1510" s="1763"/>
    </row>
    <row r="1511" spans="1:48" ht="25" hidden="1">
      <c r="A1511" s="1785" t="str">
        <f t="shared" si="253"/>
        <v>גמל</v>
      </c>
      <c r="B1511" s="1786">
        <f t="shared" si="254"/>
        <v>501</v>
      </c>
      <c r="C1511" s="1787">
        <v>28946</v>
      </c>
      <c r="D1511" s="1786" t="str">
        <f t="shared" si="255"/>
        <v>דש דור ברגר - קופת תגמולים ופיצויים</v>
      </c>
      <c r="E1511" s="1786" t="s">
        <v>3929</v>
      </c>
      <c r="F1511" s="1786" t="s">
        <v>2958</v>
      </c>
      <c r="G1511" s="1786" t="s">
        <v>2959</v>
      </c>
      <c r="H1511" s="1786" t="str">
        <f t="shared" si="256"/>
        <v>לא פעיל</v>
      </c>
      <c r="I1511" s="1788">
        <f t="shared" si="257"/>
        <v>34516</v>
      </c>
      <c r="J1511" s="1788">
        <f t="shared" si="258"/>
        <v>40917.768344907403</v>
      </c>
      <c r="K1511" s="1786">
        <v>0</v>
      </c>
      <c r="L1511" s="1786" t="s">
        <v>1594</v>
      </c>
      <c r="M1511" s="1786" t="s">
        <v>1653</v>
      </c>
      <c r="N1511" s="1786" t="s">
        <v>1653</v>
      </c>
      <c r="O1511" s="1786">
        <v>0</v>
      </c>
      <c r="P1511" s="1786"/>
      <c r="Q1511" s="1786">
        <v>0</v>
      </c>
      <c r="R1511" s="1788"/>
      <c r="S1511" s="1786">
        <f t="shared" si="259"/>
        <v>501</v>
      </c>
      <c r="T1511" s="1786" t="str">
        <f t="shared" si="260"/>
        <v>בנק מזרחי טפחות בע"מ</v>
      </c>
      <c r="U1511" s="1786" t="str">
        <f t="shared" si="261"/>
        <v>דש דור ברגר - קופת תגמולים ופיצויים</v>
      </c>
      <c r="V1511" s="1786" t="str">
        <f t="shared" si="262"/>
        <v>520043795</v>
      </c>
      <c r="W1511" s="1789" t="str">
        <f t="shared" si="263"/>
        <v>מיטב דש גמל ופנסיה בע"מ</v>
      </c>
      <c r="AC1511" s="1761" t="s">
        <v>1586</v>
      </c>
      <c r="AD1511" s="1762">
        <v>40917.768344907403</v>
      </c>
      <c r="AE1511" s="1762">
        <v>34516</v>
      </c>
      <c r="AF1511" s="1761" t="s">
        <v>1583</v>
      </c>
      <c r="AG1511" s="1761" t="s">
        <v>1583</v>
      </c>
      <c r="AH1511" s="1761" t="s">
        <v>1583</v>
      </c>
      <c r="AI1511" s="1761" t="s">
        <v>3138</v>
      </c>
      <c r="AJ1511" s="1761" t="s">
        <v>1850</v>
      </c>
      <c r="AK1511" s="1761">
        <v>501</v>
      </c>
      <c r="AL1511" s="1761" t="s">
        <v>1850</v>
      </c>
      <c r="AM1511" s="1761">
        <v>501</v>
      </c>
      <c r="AN1511" s="1761" t="s">
        <v>5370</v>
      </c>
      <c r="AO1511" s="1764"/>
      <c r="AP1511" s="1761" t="s">
        <v>5373</v>
      </c>
      <c r="AQ1511" s="1761" t="s">
        <v>5374</v>
      </c>
      <c r="AR1511" s="1761" t="s">
        <v>2899</v>
      </c>
      <c r="AS1511" s="1761" t="s">
        <v>349</v>
      </c>
      <c r="AT1511" s="1761" t="s">
        <v>327</v>
      </c>
      <c r="AU1511" s="1763"/>
      <c r="AV1511" s="1763"/>
    </row>
    <row r="1512" spans="1:48" ht="25" hidden="1">
      <c r="A1512" s="1785" t="str">
        <f t="shared" si="253"/>
        <v>גמל</v>
      </c>
      <c r="B1512" s="1786">
        <f t="shared" si="254"/>
        <v>488</v>
      </c>
      <c r="C1512" s="1787">
        <v>28946</v>
      </c>
      <c r="D1512" s="1786" t="str">
        <f t="shared" si="255"/>
        <v>לכיש - קרן השתלמות</v>
      </c>
      <c r="E1512" s="1786" t="s">
        <v>3929</v>
      </c>
      <c r="F1512" s="1786" t="s">
        <v>2958</v>
      </c>
      <c r="G1512" s="1786" t="s">
        <v>2959</v>
      </c>
      <c r="H1512" s="1786" t="str">
        <f t="shared" si="256"/>
        <v>לא פעיל</v>
      </c>
      <c r="I1512" s="1788">
        <f t="shared" si="257"/>
        <v>34533</v>
      </c>
      <c r="J1512" s="1788">
        <f t="shared" si="258"/>
        <v>37622</v>
      </c>
      <c r="K1512" s="1786">
        <v>0</v>
      </c>
      <c r="L1512" s="1786" t="s">
        <v>1594</v>
      </c>
      <c r="M1512" s="1786" t="s">
        <v>1653</v>
      </c>
      <c r="N1512" s="1786" t="s">
        <v>1653</v>
      </c>
      <c r="O1512" s="1786">
        <v>0</v>
      </c>
      <c r="P1512" s="1786"/>
      <c r="Q1512" s="1786">
        <v>0</v>
      </c>
      <c r="R1512" s="1788"/>
      <c r="S1512" s="1786">
        <f t="shared" si="259"/>
        <v>488</v>
      </c>
      <c r="T1512" s="1786" t="str">
        <f t="shared" si="260"/>
        <v>ד.ס.ש ייעוץ ושירותים בע"מ</v>
      </c>
      <c r="U1512" s="1786" t="str">
        <f t="shared" si="261"/>
        <v>לכיש - קרן השתלמות</v>
      </c>
      <c r="V1512" s="1786">
        <f t="shared" si="262"/>
        <v>0</v>
      </c>
      <c r="W1512" s="1789" t="str">
        <f t="shared" si="263"/>
        <v>גאון גמל בע"מ</v>
      </c>
      <c r="AC1512" s="1759" t="s">
        <v>1586</v>
      </c>
      <c r="AD1512" s="1760">
        <v>37622</v>
      </c>
      <c r="AE1512" s="1760">
        <v>34533</v>
      </c>
      <c r="AF1512" s="1759" t="s">
        <v>1583</v>
      </c>
      <c r="AG1512" s="1759" t="s">
        <v>1583</v>
      </c>
      <c r="AH1512" s="1759" t="s">
        <v>1583</v>
      </c>
      <c r="AI1512" s="1759" t="s">
        <v>3137</v>
      </c>
      <c r="AJ1512" s="1759" t="s">
        <v>1849</v>
      </c>
      <c r="AK1512" s="1759">
        <v>488</v>
      </c>
      <c r="AL1512" s="1759" t="s">
        <v>1849</v>
      </c>
      <c r="AM1512" s="1759">
        <v>488</v>
      </c>
      <c r="AN1512" s="1759" t="s">
        <v>5393</v>
      </c>
      <c r="AO1512" s="1764"/>
      <c r="AP1512" s="1759"/>
      <c r="AQ1512" s="1759"/>
      <c r="AR1512" s="1759" t="s">
        <v>1848</v>
      </c>
      <c r="AS1512" s="1759" t="s">
        <v>1847</v>
      </c>
      <c r="AT1512" s="1759" t="s">
        <v>327</v>
      </c>
      <c r="AU1512" s="1763"/>
      <c r="AV1512" s="1763"/>
    </row>
    <row r="1513" spans="1:48" ht="25" hidden="1">
      <c r="A1513" s="1785" t="str">
        <f t="shared" si="253"/>
        <v>גמל</v>
      </c>
      <c r="B1513" s="1786">
        <f t="shared" si="254"/>
        <v>487</v>
      </c>
      <c r="C1513" s="1787">
        <v>28946</v>
      </c>
      <c r="D1513" s="1786" t="str">
        <f t="shared" si="255"/>
        <v>בשור - קופת גמל מרכזית לפיצויי פיטורין</v>
      </c>
      <c r="E1513" s="1786" t="s">
        <v>3929</v>
      </c>
      <c r="F1513" s="1786" t="s">
        <v>2958</v>
      </c>
      <c r="G1513" s="1786" t="s">
        <v>2959</v>
      </c>
      <c r="H1513" s="1786" t="str">
        <f t="shared" si="256"/>
        <v>לא פעיל</v>
      </c>
      <c r="I1513" s="1788">
        <f t="shared" si="257"/>
        <v>34533</v>
      </c>
      <c r="J1513" s="1788">
        <f t="shared" si="258"/>
        <v>38717</v>
      </c>
      <c r="K1513" s="1786">
        <v>0</v>
      </c>
      <c r="L1513" s="1786" t="s">
        <v>1594</v>
      </c>
      <c r="M1513" s="1786" t="s">
        <v>1653</v>
      </c>
      <c r="N1513" s="1786" t="s">
        <v>1653</v>
      </c>
      <c r="O1513" s="1786">
        <v>0</v>
      </c>
      <c r="P1513" s="1786"/>
      <c r="Q1513" s="1786">
        <v>0</v>
      </c>
      <c r="R1513" s="1788"/>
      <c r="S1513" s="1786">
        <f t="shared" si="259"/>
        <v>487</v>
      </c>
      <c r="T1513" s="1786" t="str">
        <f t="shared" si="260"/>
        <v>ד.ס.ש ייעוץ ושירותים בע"מ</v>
      </c>
      <c r="U1513" s="1786" t="str">
        <f t="shared" si="261"/>
        <v>בשור - קופת גמל מרכזית לפיצויי פיטורין</v>
      </c>
      <c r="V1513" s="1786">
        <f t="shared" si="262"/>
        <v>0</v>
      </c>
      <c r="W1513" s="1789" t="str">
        <f t="shared" si="263"/>
        <v>גאון גמל בע"מ</v>
      </c>
      <c r="AC1513" s="1761" t="s">
        <v>1586</v>
      </c>
      <c r="AD1513" s="1762">
        <v>38717</v>
      </c>
      <c r="AE1513" s="1762">
        <v>34533</v>
      </c>
      <c r="AF1513" s="1761" t="s">
        <v>1583</v>
      </c>
      <c r="AG1513" s="1761" t="s">
        <v>1583</v>
      </c>
      <c r="AH1513" s="1761" t="s">
        <v>1583</v>
      </c>
      <c r="AI1513" s="1761" t="s">
        <v>3136</v>
      </c>
      <c r="AJ1513" s="1761" t="s">
        <v>1846</v>
      </c>
      <c r="AK1513" s="1761">
        <v>487</v>
      </c>
      <c r="AL1513" s="1761" t="s">
        <v>1846</v>
      </c>
      <c r="AM1513" s="1761">
        <v>487</v>
      </c>
      <c r="AN1513" s="1761" t="s">
        <v>5393</v>
      </c>
      <c r="AO1513" s="1764"/>
      <c r="AP1513" s="1761"/>
      <c r="AQ1513" s="1761"/>
      <c r="AR1513" s="1761" t="s">
        <v>1848</v>
      </c>
      <c r="AS1513" s="1761" t="s">
        <v>1847</v>
      </c>
      <c r="AT1513" s="1761" t="s">
        <v>327</v>
      </c>
      <c r="AU1513" s="1763"/>
      <c r="AV1513" s="1763"/>
    </row>
    <row r="1514" spans="1:48" ht="25" hidden="1">
      <c r="A1514" s="1785" t="str">
        <f t="shared" si="253"/>
        <v>גמל</v>
      </c>
      <c r="B1514" s="1786">
        <f t="shared" si="254"/>
        <v>486</v>
      </c>
      <c r="C1514" s="1787">
        <v>28946</v>
      </c>
      <c r="D1514" s="1786" t="str">
        <f t="shared" si="255"/>
        <v>מיטב גאון גמל-מסלול כללי</v>
      </c>
      <c r="E1514" s="1786" t="s">
        <v>3929</v>
      </c>
      <c r="F1514" s="1786" t="s">
        <v>2958</v>
      </c>
      <c r="G1514" s="1786" t="s">
        <v>2959</v>
      </c>
      <c r="H1514" s="1786" t="str">
        <f t="shared" si="256"/>
        <v>לא פעיל</v>
      </c>
      <c r="I1514" s="1788">
        <f t="shared" si="257"/>
        <v>27228</v>
      </c>
      <c r="J1514" s="1788">
        <f t="shared" si="258"/>
        <v>40371.724918981497</v>
      </c>
      <c r="K1514" s="1786">
        <v>0</v>
      </c>
      <c r="L1514" s="1786" t="s">
        <v>1594</v>
      </c>
      <c r="M1514" s="1786" t="s">
        <v>1653</v>
      </c>
      <c r="N1514" s="1786" t="s">
        <v>1653</v>
      </c>
      <c r="O1514" s="1786">
        <v>0</v>
      </c>
      <c r="P1514" s="1786"/>
      <c r="Q1514" s="1786">
        <v>0</v>
      </c>
      <c r="R1514" s="1788"/>
      <c r="S1514" s="1786">
        <f t="shared" si="259"/>
        <v>486</v>
      </c>
      <c r="T1514" s="1786" t="str">
        <f t="shared" si="260"/>
        <v>בנק הפועלים בע"מ</v>
      </c>
      <c r="U1514" s="1786" t="str">
        <f t="shared" si="261"/>
        <v>מיטב גאון גמל-מסלול כללי</v>
      </c>
      <c r="V1514" s="1786">
        <f t="shared" si="262"/>
        <v>0</v>
      </c>
      <c r="W1514" s="1789" t="str">
        <f t="shared" si="263"/>
        <v>מיטב גמל ופנסיה בע"מ</v>
      </c>
      <c r="AC1514" s="1759" t="s">
        <v>1586</v>
      </c>
      <c r="AD1514" s="1760">
        <v>40371.724918981497</v>
      </c>
      <c r="AE1514" s="1760">
        <v>27228</v>
      </c>
      <c r="AF1514" s="1759" t="s">
        <v>1583</v>
      </c>
      <c r="AG1514" s="1759" t="s">
        <v>1583</v>
      </c>
      <c r="AH1514" s="1759" t="s">
        <v>1583</v>
      </c>
      <c r="AI1514" s="1759" t="s">
        <v>3135</v>
      </c>
      <c r="AJ1514" s="1759" t="s">
        <v>1845</v>
      </c>
      <c r="AK1514" s="1759">
        <v>486</v>
      </c>
      <c r="AL1514" s="1759" t="s">
        <v>1845</v>
      </c>
      <c r="AM1514" s="1759">
        <v>486</v>
      </c>
      <c r="AN1514" s="1759" t="s">
        <v>1695</v>
      </c>
      <c r="AO1514" s="1764"/>
      <c r="AP1514" s="1759"/>
      <c r="AQ1514" s="1759"/>
      <c r="AR1514" s="1759" t="s">
        <v>365</v>
      </c>
      <c r="AS1514" s="1759" t="s">
        <v>366</v>
      </c>
      <c r="AT1514" s="1759" t="s">
        <v>327</v>
      </c>
      <c r="AU1514" s="1763"/>
      <c r="AV1514" s="1763"/>
    </row>
    <row r="1515" spans="1:48" ht="50" hidden="1">
      <c r="A1515" s="1785" t="str">
        <f t="shared" si="253"/>
        <v>גמל</v>
      </c>
      <c r="B1515" s="1786">
        <f t="shared" si="254"/>
        <v>485</v>
      </c>
      <c r="C1515" s="1787">
        <v>28946</v>
      </c>
      <c r="D1515" s="1786" t="str">
        <f t="shared" si="255"/>
        <v>קרן השתלמות למורים תיכוניים מסלול רגיל- מסלול כללי</v>
      </c>
      <c r="E1515" s="1786" t="s">
        <v>3929</v>
      </c>
      <c r="F1515" s="1786" t="s">
        <v>2958</v>
      </c>
      <c r="G1515" s="1786" t="s">
        <v>2959</v>
      </c>
      <c r="H1515" s="1786" t="str">
        <f t="shared" si="256"/>
        <v>פעיל</v>
      </c>
      <c r="I1515" s="1788">
        <f t="shared" si="257"/>
        <v>31778</v>
      </c>
      <c r="J1515" s="1788" t="str">
        <f t="shared" si="258"/>
        <v/>
      </c>
      <c r="K1515" s="1786">
        <v>0</v>
      </c>
      <c r="L1515" s="1786" t="s">
        <v>1594</v>
      </c>
      <c r="M1515" s="1786" t="s">
        <v>1653</v>
      </c>
      <c r="N1515" s="1786" t="s">
        <v>1653</v>
      </c>
      <c r="O1515" s="1786">
        <v>0</v>
      </c>
      <c r="P1515" s="1786"/>
      <c r="Q1515" s="1786">
        <v>0</v>
      </c>
      <c r="R1515" s="1788"/>
      <c r="S1515" s="1786">
        <f t="shared" si="259"/>
        <v>485</v>
      </c>
      <c r="T1515" s="1786" t="str">
        <f t="shared" si="260"/>
        <v>הבנק הבינלאומי הראשון</v>
      </c>
      <c r="U1515" s="1786" t="str">
        <f t="shared" si="261"/>
        <v>קרן השתלמות למורים תיכוניים מורי סמינרים ומפקחים</v>
      </c>
      <c r="V1515" s="1786">
        <f t="shared" si="262"/>
        <v>0</v>
      </c>
      <c r="W1515" s="1789" t="str">
        <f t="shared" si="263"/>
        <v>קרנות השתלמות למורים תיכוניים, מורי סמינרים ומפקחים - חברה מנהלת בע"מ</v>
      </c>
      <c r="AC1515" s="1761" t="s">
        <v>346</v>
      </c>
      <c r="AD1515" s="1761"/>
      <c r="AE1515" s="1762">
        <v>31778</v>
      </c>
      <c r="AF1515" s="1761" t="s">
        <v>1583</v>
      </c>
      <c r="AG1515" s="1761" t="s">
        <v>1583</v>
      </c>
      <c r="AH1515" s="1761" t="s">
        <v>1583</v>
      </c>
      <c r="AI1515" s="1761" t="s">
        <v>3047</v>
      </c>
      <c r="AJ1515" s="1761" t="s">
        <v>1844</v>
      </c>
      <c r="AK1515" s="1761">
        <v>485</v>
      </c>
      <c r="AL1515" s="1761" t="s">
        <v>3048</v>
      </c>
      <c r="AM1515" s="1761">
        <v>485</v>
      </c>
      <c r="AN1515" s="1761" t="s">
        <v>5384</v>
      </c>
      <c r="AO1515" s="1764"/>
      <c r="AP1515" s="1761" t="s">
        <v>5516</v>
      </c>
      <c r="AQ1515" s="1761"/>
      <c r="AR1515" s="1761" t="s">
        <v>444</v>
      </c>
      <c r="AS1515" s="1761" t="s">
        <v>445</v>
      </c>
      <c r="AT1515" s="1761" t="s">
        <v>327</v>
      </c>
      <c r="AU1515" s="1763"/>
      <c r="AV1515" s="1763"/>
    </row>
    <row r="1516" spans="1:48" ht="50" hidden="1">
      <c r="A1516" s="1785" t="str">
        <f t="shared" si="253"/>
        <v>גמל</v>
      </c>
      <c r="B1516" s="1786">
        <f t="shared" si="254"/>
        <v>2038</v>
      </c>
      <c r="C1516" s="1787">
        <v>28946</v>
      </c>
      <c r="D1516" s="1786" t="str">
        <f t="shared" si="255"/>
        <v>קרן השתלמות למורים תיכוניים מסלול רגיל- מסלול אג"ח</v>
      </c>
      <c r="E1516" s="1786" t="s">
        <v>3929</v>
      </c>
      <c r="F1516" s="1786" t="s">
        <v>2958</v>
      </c>
      <c r="G1516" s="1786" t="s">
        <v>2959</v>
      </c>
      <c r="H1516" s="1786" t="str">
        <f t="shared" si="256"/>
        <v>פעיל</v>
      </c>
      <c r="I1516" s="1788">
        <f t="shared" si="257"/>
        <v>31778</v>
      </c>
      <c r="J1516" s="1788" t="str">
        <f t="shared" si="258"/>
        <v/>
      </c>
      <c r="K1516" s="1786">
        <v>0</v>
      </c>
      <c r="L1516" s="1786" t="s">
        <v>1594</v>
      </c>
      <c r="M1516" s="1786" t="s">
        <v>1653</v>
      </c>
      <c r="N1516" s="1786" t="s">
        <v>1653</v>
      </c>
      <c r="O1516" s="1786">
        <v>0</v>
      </c>
      <c r="P1516" s="1786"/>
      <c r="Q1516" s="1786">
        <v>0</v>
      </c>
      <c r="R1516" s="1788"/>
      <c r="S1516" s="1786">
        <f t="shared" si="259"/>
        <v>485</v>
      </c>
      <c r="T1516" s="1786" t="str">
        <f t="shared" si="260"/>
        <v>הבנק הבינלאומי הראשון</v>
      </c>
      <c r="U1516" s="1786" t="str">
        <f t="shared" si="261"/>
        <v>קרן השתלמות למורים תיכוניים מורי סמינרים ומפקחים</v>
      </c>
      <c r="V1516" s="1786">
        <f t="shared" si="262"/>
        <v>0</v>
      </c>
      <c r="W1516" s="1789" t="str">
        <f t="shared" si="263"/>
        <v>קרנות השתלמות למורים תיכוניים, מורי סמינרים ומפקחים - חברה מנהלת בע"מ</v>
      </c>
      <c r="AC1516" s="1759" t="s">
        <v>346</v>
      </c>
      <c r="AD1516" s="1759"/>
      <c r="AE1516" s="1760">
        <v>31778</v>
      </c>
      <c r="AF1516" s="1759" t="s">
        <v>1681</v>
      </c>
      <c r="AG1516" s="1759" t="s">
        <v>1653</v>
      </c>
      <c r="AH1516" s="1759" t="s">
        <v>1594</v>
      </c>
      <c r="AI1516" s="1759" t="s">
        <v>3689</v>
      </c>
      <c r="AJ1516" s="1759" t="s">
        <v>2525</v>
      </c>
      <c r="AK1516" s="1759">
        <v>2038</v>
      </c>
      <c r="AL1516" s="1759" t="s">
        <v>3048</v>
      </c>
      <c r="AM1516" s="1759">
        <v>485</v>
      </c>
      <c r="AN1516" s="1759" t="s">
        <v>5384</v>
      </c>
      <c r="AO1516" s="1764"/>
      <c r="AP1516" s="1759" t="s">
        <v>5516</v>
      </c>
      <c r="AQ1516" s="1759"/>
      <c r="AR1516" s="1759" t="s">
        <v>444</v>
      </c>
      <c r="AS1516" s="1759" t="s">
        <v>445</v>
      </c>
      <c r="AT1516" s="1759" t="s">
        <v>327</v>
      </c>
      <c r="AU1516" s="1763"/>
      <c r="AV1516" s="1763"/>
    </row>
    <row r="1517" spans="1:48" ht="50" hidden="1">
      <c r="A1517" s="1785" t="str">
        <f t="shared" si="253"/>
        <v>גמל</v>
      </c>
      <c r="B1517" s="1786">
        <f t="shared" si="254"/>
        <v>2037</v>
      </c>
      <c r="C1517" s="1787">
        <v>28946</v>
      </c>
      <c r="D1517" s="1786" t="str">
        <f t="shared" si="255"/>
        <v>קרן השתלמות למורים תיכוניים  מסלול רגיל- מסלול הלכה</v>
      </c>
      <c r="E1517" s="1786" t="s">
        <v>3929</v>
      </c>
      <c r="F1517" s="1786" t="s">
        <v>2958</v>
      </c>
      <c r="G1517" s="1786" t="s">
        <v>2959</v>
      </c>
      <c r="H1517" s="1786" t="str">
        <f t="shared" si="256"/>
        <v>פעיל</v>
      </c>
      <c r="I1517" s="1788">
        <f t="shared" si="257"/>
        <v>31778</v>
      </c>
      <c r="J1517" s="1788" t="str">
        <f t="shared" si="258"/>
        <v/>
      </c>
      <c r="K1517" s="1786">
        <v>0</v>
      </c>
      <c r="L1517" s="1786" t="s">
        <v>1594</v>
      </c>
      <c r="M1517" s="1786" t="s">
        <v>1653</v>
      </c>
      <c r="N1517" s="1786" t="s">
        <v>1653</v>
      </c>
      <c r="O1517" s="1786">
        <v>0</v>
      </c>
      <c r="P1517" s="1786"/>
      <c r="Q1517" s="1786">
        <v>0</v>
      </c>
      <c r="R1517" s="1788"/>
      <c r="S1517" s="1786">
        <f t="shared" si="259"/>
        <v>485</v>
      </c>
      <c r="T1517" s="1786" t="str">
        <f t="shared" si="260"/>
        <v>הבנק הבינלאומי הראשון</v>
      </c>
      <c r="U1517" s="1786" t="str">
        <f t="shared" si="261"/>
        <v>קרן השתלמות למורים תיכוניים מורי סמינרים ומפקחים</v>
      </c>
      <c r="V1517" s="1786">
        <f t="shared" si="262"/>
        <v>0</v>
      </c>
      <c r="W1517" s="1789" t="str">
        <f t="shared" si="263"/>
        <v>קרנות השתלמות למורים תיכוניים, מורי סמינרים ומפקחים - חברה מנהלת בע"מ</v>
      </c>
      <c r="AC1517" s="1761" t="s">
        <v>346</v>
      </c>
      <c r="AD1517" s="1761"/>
      <c r="AE1517" s="1762">
        <v>31778</v>
      </c>
      <c r="AF1517" s="1761" t="s">
        <v>4603</v>
      </c>
      <c r="AG1517" s="1761" t="s">
        <v>2029</v>
      </c>
      <c r="AH1517" s="1761" t="s">
        <v>2028</v>
      </c>
      <c r="AI1517" s="1761" t="s">
        <v>4143</v>
      </c>
      <c r="AJ1517" s="1761" t="s">
        <v>4142</v>
      </c>
      <c r="AK1517" s="1761">
        <v>2037</v>
      </c>
      <c r="AL1517" s="1761" t="s">
        <v>3048</v>
      </c>
      <c r="AM1517" s="1761">
        <v>485</v>
      </c>
      <c r="AN1517" s="1761" t="s">
        <v>5384</v>
      </c>
      <c r="AO1517" s="1764"/>
      <c r="AP1517" s="1761" t="s">
        <v>5516</v>
      </c>
      <c r="AQ1517" s="1761"/>
      <c r="AR1517" s="1761" t="s">
        <v>444</v>
      </c>
      <c r="AS1517" s="1761" t="s">
        <v>445</v>
      </c>
      <c r="AT1517" s="1761" t="s">
        <v>327</v>
      </c>
      <c r="AU1517" s="1763"/>
      <c r="AV1517" s="1763"/>
    </row>
    <row r="1518" spans="1:48" ht="37.5" hidden="1">
      <c r="A1518" s="1785" t="str">
        <f t="shared" si="253"/>
        <v>גמל</v>
      </c>
      <c r="B1518" s="1786">
        <f t="shared" si="254"/>
        <v>484</v>
      </c>
      <c r="C1518" s="1787">
        <v>28946</v>
      </c>
      <c r="D1518" s="1786" t="str">
        <f t="shared" si="255"/>
        <v>קרן השתלמות מורים וגננות המסלול הרגיל - מסלול כללי</v>
      </c>
      <c r="E1518" s="1786" t="s">
        <v>3929</v>
      </c>
      <c r="F1518" s="1786" t="s">
        <v>2958</v>
      </c>
      <c r="G1518" s="1786" t="s">
        <v>2959</v>
      </c>
      <c r="H1518" s="1786" t="str">
        <f t="shared" si="256"/>
        <v>פעיל</v>
      </c>
      <c r="I1518" s="1788">
        <f t="shared" si="257"/>
        <v>24108</v>
      </c>
      <c r="J1518" s="1788" t="str">
        <f t="shared" si="258"/>
        <v/>
      </c>
      <c r="K1518" s="1786">
        <v>0</v>
      </c>
      <c r="L1518" s="1786" t="s">
        <v>1594</v>
      </c>
      <c r="M1518" s="1786" t="s">
        <v>1653</v>
      </c>
      <c r="N1518" s="1786" t="s">
        <v>1653</v>
      </c>
      <c r="O1518" s="1786">
        <v>0</v>
      </c>
      <c r="P1518" s="1786"/>
      <c r="Q1518" s="1786">
        <v>0</v>
      </c>
      <c r="R1518" s="1788"/>
      <c r="S1518" s="1786">
        <f t="shared" si="259"/>
        <v>484</v>
      </c>
      <c r="T1518" s="1786" t="str">
        <f t="shared" si="260"/>
        <v>הבנק הבינלאומי הראשון</v>
      </c>
      <c r="U1518" s="1786" t="str">
        <f t="shared" si="261"/>
        <v>קרן השתלמות למורים וגננות - המסלול הרגיל</v>
      </c>
      <c r="V1518" s="1786">
        <f t="shared" si="262"/>
        <v>0</v>
      </c>
      <c r="W1518" s="1789" t="str">
        <f t="shared" si="263"/>
        <v>קרנות השתלמות למורים ולגננות - חברה מנהלת בע"מ</v>
      </c>
      <c r="AC1518" s="1759" t="s">
        <v>346</v>
      </c>
      <c r="AD1518" s="1759"/>
      <c r="AE1518" s="1760">
        <v>24108</v>
      </c>
      <c r="AF1518" s="1759" t="s">
        <v>1583</v>
      </c>
      <c r="AG1518" s="1759" t="s">
        <v>1583</v>
      </c>
      <c r="AH1518" s="1759" t="s">
        <v>1583</v>
      </c>
      <c r="AI1518" s="1759" t="s">
        <v>3046</v>
      </c>
      <c r="AJ1518" s="1759" t="s">
        <v>1843</v>
      </c>
      <c r="AK1518" s="1759">
        <v>484</v>
      </c>
      <c r="AL1518" s="1759" t="s">
        <v>558</v>
      </c>
      <c r="AM1518" s="1759">
        <v>484</v>
      </c>
      <c r="AN1518" s="1759" t="s">
        <v>5384</v>
      </c>
      <c r="AO1518" s="1764"/>
      <c r="AP1518" s="1759" t="s">
        <v>5516</v>
      </c>
      <c r="AQ1518" s="1759"/>
      <c r="AR1518" s="1759" t="s">
        <v>441</v>
      </c>
      <c r="AS1518" s="1759" t="s">
        <v>442</v>
      </c>
      <c r="AT1518" s="1759" t="s">
        <v>327</v>
      </c>
      <c r="AU1518" s="1763"/>
      <c r="AV1518" s="1763"/>
    </row>
    <row r="1519" spans="1:48" ht="37.5" hidden="1">
      <c r="A1519" s="1785" t="str">
        <f t="shared" si="253"/>
        <v>גמל</v>
      </c>
      <c r="B1519" s="1786">
        <f t="shared" si="254"/>
        <v>2036</v>
      </c>
      <c r="C1519" s="1787">
        <v>28946</v>
      </c>
      <c r="D1519" s="1786" t="str">
        <f t="shared" si="255"/>
        <v>קרן השתלמות למורים וגננות המסלול הרגיל - מסלו אג"ח</v>
      </c>
      <c r="E1519" s="1786" t="s">
        <v>3929</v>
      </c>
      <c r="F1519" s="1786" t="s">
        <v>2958</v>
      </c>
      <c r="G1519" s="1786" t="s">
        <v>2959</v>
      </c>
      <c r="H1519" s="1786" t="str">
        <f t="shared" si="256"/>
        <v>פעיל</v>
      </c>
      <c r="I1519" s="1788">
        <f t="shared" si="257"/>
        <v>24108</v>
      </c>
      <c r="J1519" s="1788" t="str">
        <f t="shared" si="258"/>
        <v/>
      </c>
      <c r="K1519" s="1786">
        <v>0</v>
      </c>
      <c r="L1519" s="1786" t="s">
        <v>1594</v>
      </c>
      <c r="M1519" s="1786" t="s">
        <v>1653</v>
      </c>
      <c r="N1519" s="1786" t="s">
        <v>1653</v>
      </c>
      <c r="O1519" s="1786">
        <v>0</v>
      </c>
      <c r="P1519" s="1786"/>
      <c r="Q1519" s="1786">
        <v>0</v>
      </c>
      <c r="R1519" s="1788"/>
      <c r="S1519" s="1786">
        <f t="shared" si="259"/>
        <v>484</v>
      </c>
      <c r="T1519" s="1786" t="str">
        <f t="shared" si="260"/>
        <v>הבנק הבינלאומי הראשון</v>
      </c>
      <c r="U1519" s="1786" t="str">
        <f t="shared" si="261"/>
        <v>קרן השתלמות למורים וגננות - המסלול הרגיל</v>
      </c>
      <c r="V1519" s="1786">
        <f t="shared" si="262"/>
        <v>0</v>
      </c>
      <c r="W1519" s="1789" t="str">
        <f t="shared" si="263"/>
        <v>קרנות השתלמות למורים ולגננות - חברה מנהלת בע"מ</v>
      </c>
      <c r="AC1519" s="1761" t="s">
        <v>346</v>
      </c>
      <c r="AD1519" s="1761"/>
      <c r="AE1519" s="1762">
        <v>24108</v>
      </c>
      <c r="AF1519" s="1761" t="s">
        <v>1681</v>
      </c>
      <c r="AG1519" s="1761" t="s">
        <v>1653</v>
      </c>
      <c r="AH1519" s="1761" t="s">
        <v>1594</v>
      </c>
      <c r="AI1519" s="1761" t="s">
        <v>3688</v>
      </c>
      <c r="AJ1519" s="1761" t="s">
        <v>2524</v>
      </c>
      <c r="AK1519" s="1761">
        <v>2036</v>
      </c>
      <c r="AL1519" s="1761" t="s">
        <v>558</v>
      </c>
      <c r="AM1519" s="1761">
        <v>484</v>
      </c>
      <c r="AN1519" s="1761" t="s">
        <v>5384</v>
      </c>
      <c r="AO1519" s="1764"/>
      <c r="AP1519" s="1761" t="s">
        <v>5516</v>
      </c>
      <c r="AQ1519" s="1761"/>
      <c r="AR1519" s="1761" t="s">
        <v>441</v>
      </c>
      <c r="AS1519" s="1761" t="s">
        <v>442</v>
      </c>
      <c r="AT1519" s="1761" t="s">
        <v>327</v>
      </c>
      <c r="AU1519" s="1763"/>
      <c r="AV1519" s="1763"/>
    </row>
    <row r="1520" spans="1:48" ht="37.5" hidden="1">
      <c r="A1520" s="1785" t="str">
        <f t="shared" si="253"/>
        <v>גמל</v>
      </c>
      <c r="B1520" s="1786">
        <f t="shared" si="254"/>
        <v>2035</v>
      </c>
      <c r="C1520" s="1787">
        <v>28946</v>
      </c>
      <c r="D1520" s="1786" t="str">
        <f t="shared" si="255"/>
        <v>קרן השתלמות מורים וגננות המסלול הרגיל - מסלול הלכה</v>
      </c>
      <c r="E1520" s="1786" t="s">
        <v>3929</v>
      </c>
      <c r="F1520" s="1786" t="s">
        <v>2958</v>
      </c>
      <c r="G1520" s="1786" t="s">
        <v>2959</v>
      </c>
      <c r="H1520" s="1786" t="str">
        <f t="shared" si="256"/>
        <v>פעיל</v>
      </c>
      <c r="I1520" s="1788">
        <f t="shared" si="257"/>
        <v>24108</v>
      </c>
      <c r="J1520" s="1788" t="str">
        <f t="shared" si="258"/>
        <v/>
      </c>
      <c r="K1520" s="1786">
        <v>0</v>
      </c>
      <c r="L1520" s="1786" t="s">
        <v>1594</v>
      </c>
      <c r="M1520" s="1786" t="s">
        <v>1653</v>
      </c>
      <c r="N1520" s="1786" t="s">
        <v>1653</v>
      </c>
      <c r="O1520" s="1786">
        <v>0</v>
      </c>
      <c r="P1520" s="1786"/>
      <c r="Q1520" s="1786">
        <v>0</v>
      </c>
      <c r="R1520" s="1788"/>
      <c r="S1520" s="1786">
        <f t="shared" si="259"/>
        <v>484</v>
      </c>
      <c r="T1520" s="1786" t="str">
        <f t="shared" si="260"/>
        <v>הבנק הבינלאומי הראשון</v>
      </c>
      <c r="U1520" s="1786" t="str">
        <f t="shared" si="261"/>
        <v>קרן השתלמות למורים וגננות - המסלול הרגיל</v>
      </c>
      <c r="V1520" s="1786">
        <f t="shared" si="262"/>
        <v>0</v>
      </c>
      <c r="W1520" s="1789" t="str">
        <f t="shared" si="263"/>
        <v>קרנות השתלמות למורים ולגננות - חברה מנהלת בע"מ</v>
      </c>
      <c r="AC1520" s="1759" t="s">
        <v>346</v>
      </c>
      <c r="AD1520" s="1759"/>
      <c r="AE1520" s="1760">
        <v>24108</v>
      </c>
      <c r="AF1520" s="1759" t="s">
        <v>4603</v>
      </c>
      <c r="AG1520" s="1759" t="s">
        <v>2029</v>
      </c>
      <c r="AH1520" s="1759" t="s">
        <v>2028</v>
      </c>
      <c r="AI1520" s="1759" t="s">
        <v>4141</v>
      </c>
      <c r="AJ1520" s="1759" t="s">
        <v>4140</v>
      </c>
      <c r="AK1520" s="1759">
        <v>2035</v>
      </c>
      <c r="AL1520" s="1759" t="s">
        <v>558</v>
      </c>
      <c r="AM1520" s="1759">
        <v>484</v>
      </c>
      <c r="AN1520" s="1759" t="s">
        <v>5384</v>
      </c>
      <c r="AO1520" s="1764"/>
      <c r="AP1520" s="1759" t="s">
        <v>5516</v>
      </c>
      <c r="AQ1520" s="1759"/>
      <c r="AR1520" s="1759" t="s">
        <v>441</v>
      </c>
      <c r="AS1520" s="1759" t="s">
        <v>442</v>
      </c>
      <c r="AT1520" s="1759" t="s">
        <v>327</v>
      </c>
      <c r="AU1520" s="1763"/>
      <c r="AV1520" s="1763"/>
    </row>
    <row r="1521" spans="1:48" ht="37.5" hidden="1">
      <c r="A1521" s="1785" t="str">
        <f t="shared" si="253"/>
        <v>גמל</v>
      </c>
      <c r="B1521" s="1786">
        <f t="shared" si="254"/>
        <v>482</v>
      </c>
      <c r="C1521" s="1787">
        <v>28946</v>
      </c>
      <c r="D1521" s="1786" t="str">
        <f t="shared" si="255"/>
        <v>קרן השתלמות למורים בבתיה"ס העי"ס במכללות ובסמינרים</v>
      </c>
      <c r="E1521" s="1786" t="s">
        <v>3929</v>
      </c>
      <c r="F1521" s="1786" t="s">
        <v>2958</v>
      </c>
      <c r="G1521" s="1786" t="s">
        <v>2959</v>
      </c>
      <c r="H1521" s="1786" t="str">
        <f t="shared" si="256"/>
        <v>פעיל</v>
      </c>
      <c r="I1521" s="1788">
        <f t="shared" si="257"/>
        <v>31778</v>
      </c>
      <c r="J1521" s="1788" t="str">
        <f t="shared" si="258"/>
        <v/>
      </c>
      <c r="K1521" s="1786">
        <v>0</v>
      </c>
      <c r="L1521" s="1786" t="s">
        <v>1594</v>
      </c>
      <c r="M1521" s="1786" t="s">
        <v>1653</v>
      </c>
      <c r="N1521" s="1786" t="s">
        <v>1653</v>
      </c>
      <c r="O1521" s="1786">
        <v>0</v>
      </c>
      <c r="P1521" s="1786"/>
      <c r="Q1521" s="1786">
        <v>0</v>
      </c>
      <c r="R1521" s="1788"/>
      <c r="S1521" s="1786">
        <f t="shared" si="259"/>
        <v>482</v>
      </c>
      <c r="T1521" s="1786" t="str">
        <f t="shared" si="260"/>
        <v>הבנק הבינלאומי הראשון</v>
      </c>
      <c r="U1521" s="1786" t="str">
        <f t="shared" si="261"/>
        <v>קרן השתלמות למורים בבתיה"ס העי"ס במכללות ובסמינרים</v>
      </c>
      <c r="V1521" s="1786" t="str">
        <f t="shared" si="262"/>
        <v>589922772</v>
      </c>
      <c r="W1521" s="1789" t="str">
        <f t="shared" si="263"/>
        <v>עגור חברה לניהול קופות גמל וקרנות השתלמות בע"מ</v>
      </c>
      <c r="AC1521" s="1761" t="s">
        <v>346</v>
      </c>
      <c r="AD1521" s="1761"/>
      <c r="AE1521" s="1762">
        <v>31778</v>
      </c>
      <c r="AF1521" s="1761" t="s">
        <v>1583</v>
      </c>
      <c r="AG1521" s="1761" t="s">
        <v>1583</v>
      </c>
      <c r="AH1521" s="1761" t="s">
        <v>1583</v>
      </c>
      <c r="AI1521" s="1761" t="s">
        <v>3134</v>
      </c>
      <c r="AJ1521" s="1761" t="s">
        <v>557</v>
      </c>
      <c r="AK1521" s="1761">
        <v>482</v>
      </c>
      <c r="AL1521" s="1761" t="s">
        <v>557</v>
      </c>
      <c r="AM1521" s="1761">
        <v>482</v>
      </c>
      <c r="AN1521" s="1761" t="s">
        <v>5384</v>
      </c>
      <c r="AO1521" s="1764"/>
      <c r="AP1521" s="1761" t="s">
        <v>5625</v>
      </c>
      <c r="AQ1521" s="1761" t="s">
        <v>5626</v>
      </c>
      <c r="AR1521" s="1761" t="s">
        <v>438</v>
      </c>
      <c r="AS1521" s="1761" t="s">
        <v>439</v>
      </c>
      <c r="AT1521" s="1761" t="s">
        <v>327</v>
      </c>
      <c r="AU1521" s="1763"/>
      <c r="AV1521" s="1763"/>
    </row>
    <row r="1522" spans="1:48" ht="37.5" hidden="1">
      <c r="A1522" s="1785" t="str">
        <f t="shared" si="253"/>
        <v>גמל</v>
      </c>
      <c r="B1522" s="1786">
        <f t="shared" si="254"/>
        <v>8339</v>
      </c>
      <c r="C1522" s="1787">
        <v>28946</v>
      </c>
      <c r="D1522" s="1786" t="str">
        <f t="shared" si="255"/>
        <v xml:space="preserve">קרן השתלמות למורים בבתיה"ס העי"ס במכללות ובסמינרים - אג"ח </v>
      </c>
      <c r="E1522" s="1786" t="s">
        <v>3929</v>
      </c>
      <c r="F1522" s="1786" t="s">
        <v>2958</v>
      </c>
      <c r="G1522" s="1786" t="s">
        <v>2959</v>
      </c>
      <c r="H1522" s="1786" t="str">
        <f t="shared" si="256"/>
        <v>פעיל</v>
      </c>
      <c r="I1522" s="1788">
        <f t="shared" si="257"/>
        <v>31778</v>
      </c>
      <c r="J1522" s="1788" t="str">
        <f t="shared" si="258"/>
        <v/>
      </c>
      <c r="K1522" s="1786">
        <v>0</v>
      </c>
      <c r="L1522" s="1786" t="s">
        <v>1594</v>
      </c>
      <c r="M1522" s="1786" t="s">
        <v>1653</v>
      </c>
      <c r="N1522" s="1786" t="s">
        <v>1653</v>
      </c>
      <c r="O1522" s="1786">
        <v>0</v>
      </c>
      <c r="P1522" s="1786"/>
      <c r="Q1522" s="1786">
        <v>0</v>
      </c>
      <c r="R1522" s="1788"/>
      <c r="S1522" s="1786">
        <f t="shared" si="259"/>
        <v>482</v>
      </c>
      <c r="T1522" s="1786" t="str">
        <f t="shared" si="260"/>
        <v>הבנק הבינלאומי הראשון</v>
      </c>
      <c r="U1522" s="1786" t="str">
        <f t="shared" si="261"/>
        <v>קרן השתלמות למורים בבתיה"ס העי"ס במכללות ובסמינרים</v>
      </c>
      <c r="V1522" s="1786" t="str">
        <f t="shared" si="262"/>
        <v>589922772</v>
      </c>
      <c r="W1522" s="1789" t="str">
        <f t="shared" si="263"/>
        <v>עגור חברה לניהול קופות גמל וקרנות השתלמות בע"מ</v>
      </c>
      <c r="AC1522" s="1759" t="s">
        <v>346</v>
      </c>
      <c r="AD1522" s="1759"/>
      <c r="AE1522" s="1760">
        <v>31778</v>
      </c>
      <c r="AF1522" s="1759" t="s">
        <v>1653</v>
      </c>
      <c r="AG1522" s="1759" t="s">
        <v>1653</v>
      </c>
      <c r="AH1522" s="1759" t="s">
        <v>1594</v>
      </c>
      <c r="AI1522" s="1759" t="s">
        <v>2930</v>
      </c>
      <c r="AJ1522" s="1759" t="s">
        <v>3731</v>
      </c>
      <c r="AK1522" s="1759">
        <v>8339</v>
      </c>
      <c r="AL1522" s="1759" t="s">
        <v>557</v>
      </c>
      <c r="AM1522" s="1759">
        <v>482</v>
      </c>
      <c r="AN1522" s="1759" t="s">
        <v>5384</v>
      </c>
      <c r="AO1522" s="1764"/>
      <c r="AP1522" s="1759" t="s">
        <v>5625</v>
      </c>
      <c r="AQ1522" s="1759" t="s">
        <v>5626</v>
      </c>
      <c r="AR1522" s="1759" t="s">
        <v>438</v>
      </c>
      <c r="AS1522" s="1759" t="s">
        <v>439</v>
      </c>
      <c r="AT1522" s="1759" t="s">
        <v>327</v>
      </c>
      <c r="AU1522" s="1763"/>
      <c r="AV1522" s="1763"/>
    </row>
    <row r="1523" spans="1:48" ht="37.5" hidden="1">
      <c r="A1523" s="1785" t="str">
        <f t="shared" si="253"/>
        <v>גמל</v>
      </c>
      <c r="B1523" s="1786">
        <f t="shared" si="254"/>
        <v>8394</v>
      </c>
      <c r="C1523" s="1787">
        <v>28946</v>
      </c>
      <c r="D1523" s="1786" t="str">
        <f t="shared" si="255"/>
        <v xml:space="preserve">קרן השתלמות למורים בבתיה"ס העי"ס במכללות ובסמינרים מסלול הלכה </v>
      </c>
      <c r="E1523" s="1786" t="s">
        <v>3929</v>
      </c>
      <c r="F1523" s="1786" t="s">
        <v>2958</v>
      </c>
      <c r="G1523" s="1786" t="s">
        <v>2959</v>
      </c>
      <c r="H1523" s="1786" t="str">
        <f t="shared" si="256"/>
        <v>פעיל</v>
      </c>
      <c r="I1523" s="1788">
        <f t="shared" si="257"/>
        <v>31778</v>
      </c>
      <c r="J1523" s="1788" t="str">
        <f t="shared" si="258"/>
        <v/>
      </c>
      <c r="K1523" s="1786">
        <v>0</v>
      </c>
      <c r="L1523" s="1786" t="s">
        <v>1594</v>
      </c>
      <c r="M1523" s="1786" t="s">
        <v>1653</v>
      </c>
      <c r="N1523" s="1786" t="s">
        <v>1653</v>
      </c>
      <c r="O1523" s="1786">
        <v>0</v>
      </c>
      <c r="P1523" s="1786"/>
      <c r="Q1523" s="1786">
        <v>0</v>
      </c>
      <c r="R1523" s="1788"/>
      <c r="S1523" s="1786">
        <f t="shared" si="259"/>
        <v>482</v>
      </c>
      <c r="T1523" s="1786" t="str">
        <f t="shared" si="260"/>
        <v>הבנק הבינלאומי הראשון</v>
      </c>
      <c r="U1523" s="1786" t="str">
        <f t="shared" si="261"/>
        <v>קרן השתלמות למורים בבתיה"ס העי"ס במכללות ובסמינרים</v>
      </c>
      <c r="V1523" s="1786" t="str">
        <f t="shared" si="262"/>
        <v>589922772</v>
      </c>
      <c r="W1523" s="1789" t="str">
        <f t="shared" si="263"/>
        <v>עגור חברה לניהול קופות גמל וקרנות השתלמות בע"מ</v>
      </c>
      <c r="AC1523" s="1761" t="s">
        <v>346</v>
      </c>
      <c r="AD1523" s="1761"/>
      <c r="AE1523" s="1762">
        <v>31778</v>
      </c>
      <c r="AF1523" s="1761" t="s">
        <v>4603</v>
      </c>
      <c r="AG1523" s="1761" t="s">
        <v>2029</v>
      </c>
      <c r="AH1523" s="1761" t="s">
        <v>2028</v>
      </c>
      <c r="AI1523" s="1761" t="s">
        <v>4751</v>
      </c>
      <c r="AJ1523" s="1761" t="s">
        <v>4750</v>
      </c>
      <c r="AK1523" s="1761">
        <v>8394</v>
      </c>
      <c r="AL1523" s="1761" t="s">
        <v>557</v>
      </c>
      <c r="AM1523" s="1761">
        <v>482</v>
      </c>
      <c r="AN1523" s="1761" t="s">
        <v>5384</v>
      </c>
      <c r="AO1523" s="1764"/>
      <c r="AP1523" s="1761" t="s">
        <v>5625</v>
      </c>
      <c r="AQ1523" s="1761" t="s">
        <v>5626</v>
      </c>
      <c r="AR1523" s="1761" t="s">
        <v>438</v>
      </c>
      <c r="AS1523" s="1761" t="s">
        <v>439</v>
      </c>
      <c r="AT1523" s="1761" t="s">
        <v>327</v>
      </c>
      <c r="AU1523" s="1763"/>
      <c r="AV1523" s="1763"/>
    </row>
    <row r="1524" spans="1:48" ht="25" hidden="1">
      <c r="A1524" s="1785" t="str">
        <f t="shared" si="253"/>
        <v>גמל</v>
      </c>
      <c r="B1524" s="1786">
        <f t="shared" si="254"/>
        <v>463</v>
      </c>
      <c r="C1524" s="1787">
        <v>28946</v>
      </c>
      <c r="D1524" s="1786" t="str">
        <f t="shared" si="255"/>
        <v>דש נועם - קרן השתלמות לשכירים ועצמאים</v>
      </c>
      <c r="E1524" s="1786" t="s">
        <v>3929</v>
      </c>
      <c r="F1524" s="1786" t="s">
        <v>2958</v>
      </c>
      <c r="G1524" s="1786" t="s">
        <v>2959</v>
      </c>
      <c r="H1524" s="1786" t="str">
        <f t="shared" si="256"/>
        <v>לא פעיל</v>
      </c>
      <c r="I1524" s="1788">
        <f t="shared" si="257"/>
        <v>34689</v>
      </c>
      <c r="J1524" s="1788">
        <f t="shared" si="258"/>
        <v>40917.786354166703</v>
      </c>
      <c r="K1524" s="1786">
        <v>0</v>
      </c>
      <c r="L1524" s="1786" t="s">
        <v>1594</v>
      </c>
      <c r="M1524" s="1786" t="s">
        <v>1653</v>
      </c>
      <c r="N1524" s="1786" t="s">
        <v>1653</v>
      </c>
      <c r="O1524" s="1786">
        <v>0</v>
      </c>
      <c r="P1524" s="1786"/>
      <c r="Q1524" s="1786">
        <v>0</v>
      </c>
      <c r="R1524" s="1788"/>
      <c r="S1524" s="1786">
        <f t="shared" si="259"/>
        <v>463</v>
      </c>
      <c r="T1524" s="1786" t="str">
        <f t="shared" si="260"/>
        <v>בנק מזרחי טפחות בע"מ</v>
      </c>
      <c r="U1524" s="1786" t="str">
        <f t="shared" si="261"/>
        <v>דש נועם - קרן השתלמות לשכירים ועצמאים</v>
      </c>
      <c r="V1524" s="1786" t="str">
        <f t="shared" si="262"/>
        <v>520043795</v>
      </c>
      <c r="W1524" s="1789" t="str">
        <f t="shared" si="263"/>
        <v>מיטב דש גמל ופנסיה בע"מ</v>
      </c>
      <c r="AC1524" s="1759" t="s">
        <v>1586</v>
      </c>
      <c r="AD1524" s="1760">
        <v>40917.786354166703</v>
      </c>
      <c r="AE1524" s="1760">
        <v>34689</v>
      </c>
      <c r="AF1524" s="1759" t="s">
        <v>1583</v>
      </c>
      <c r="AG1524" s="1759" t="s">
        <v>1583</v>
      </c>
      <c r="AH1524" s="1759" t="s">
        <v>1583</v>
      </c>
      <c r="AI1524" s="1759" t="s">
        <v>3133</v>
      </c>
      <c r="AJ1524" s="1759" t="s">
        <v>1842</v>
      </c>
      <c r="AK1524" s="1759">
        <v>463</v>
      </c>
      <c r="AL1524" s="1759" t="s">
        <v>1842</v>
      </c>
      <c r="AM1524" s="1759">
        <v>463</v>
      </c>
      <c r="AN1524" s="1759" t="s">
        <v>5370</v>
      </c>
      <c r="AO1524" s="1764"/>
      <c r="AP1524" s="1759" t="s">
        <v>5373</v>
      </c>
      <c r="AQ1524" s="1759" t="s">
        <v>5374</v>
      </c>
      <c r="AR1524" s="1759" t="s">
        <v>2899</v>
      </c>
      <c r="AS1524" s="1759" t="s">
        <v>349</v>
      </c>
      <c r="AT1524" s="1759" t="s">
        <v>327</v>
      </c>
      <c r="AU1524" s="1763"/>
      <c r="AV1524" s="1763"/>
    </row>
    <row r="1525" spans="1:48" ht="25" hidden="1">
      <c r="A1525" s="1785" t="str">
        <f t="shared" si="253"/>
        <v>גמל</v>
      </c>
      <c r="B1525" s="1786">
        <f t="shared" si="254"/>
        <v>463</v>
      </c>
      <c r="C1525" s="1787">
        <v>28946</v>
      </c>
      <c r="D1525" s="1786" t="str">
        <f t="shared" si="255"/>
        <v>דש נועם - קרן השתלמות לשכירים ועצמאים</v>
      </c>
      <c r="E1525" s="1786" t="s">
        <v>3929</v>
      </c>
      <c r="F1525" s="1786" t="s">
        <v>2958</v>
      </c>
      <c r="G1525" s="1786" t="s">
        <v>2959</v>
      </c>
      <c r="H1525" s="1786" t="str">
        <f t="shared" si="256"/>
        <v>לא פעיל</v>
      </c>
      <c r="I1525" s="1788">
        <f t="shared" si="257"/>
        <v>34689</v>
      </c>
      <c r="J1525" s="1788">
        <f t="shared" si="258"/>
        <v>40917.786354166703</v>
      </c>
      <c r="K1525" s="1786">
        <v>0</v>
      </c>
      <c r="L1525" s="1786" t="s">
        <v>1594</v>
      </c>
      <c r="M1525" s="1786" t="s">
        <v>1653</v>
      </c>
      <c r="N1525" s="1786" t="s">
        <v>1653</v>
      </c>
      <c r="O1525" s="1786">
        <v>0</v>
      </c>
      <c r="P1525" s="1786"/>
      <c r="Q1525" s="1786">
        <v>0</v>
      </c>
      <c r="R1525" s="1788"/>
      <c r="S1525" s="1786">
        <f t="shared" si="259"/>
        <v>463</v>
      </c>
      <c r="T1525" s="1786" t="str">
        <f t="shared" si="260"/>
        <v>בנק מזרחי טפחות בע"מ</v>
      </c>
      <c r="U1525" s="1786" t="str">
        <f t="shared" si="261"/>
        <v>דש נועם - קרן השתלמות לשכירים ועצמאים</v>
      </c>
      <c r="V1525" s="1786" t="str">
        <f t="shared" si="262"/>
        <v>520043795</v>
      </c>
      <c r="W1525" s="1789" t="str">
        <f t="shared" si="263"/>
        <v>מיטב דש גמל ופנסיה בע"מ</v>
      </c>
      <c r="AC1525" s="1761" t="s">
        <v>1586</v>
      </c>
      <c r="AD1525" s="1762">
        <v>40917.786354166703</v>
      </c>
      <c r="AE1525" s="1762">
        <v>34689</v>
      </c>
      <c r="AF1525" s="1761" t="s">
        <v>1583</v>
      </c>
      <c r="AG1525" s="1761" t="s">
        <v>1583</v>
      </c>
      <c r="AH1525" s="1761" t="s">
        <v>1583</v>
      </c>
      <c r="AI1525" s="1761" t="s">
        <v>3133</v>
      </c>
      <c r="AJ1525" s="1761" t="s">
        <v>1842</v>
      </c>
      <c r="AK1525" s="1761">
        <v>463</v>
      </c>
      <c r="AL1525" s="1761" t="s">
        <v>1842</v>
      </c>
      <c r="AM1525" s="1761">
        <v>463</v>
      </c>
      <c r="AN1525" s="1761" t="s">
        <v>5370</v>
      </c>
      <c r="AO1525" s="1764"/>
      <c r="AP1525" s="1761" t="s">
        <v>5373</v>
      </c>
      <c r="AQ1525" s="1761" t="s">
        <v>5374</v>
      </c>
      <c r="AR1525" s="1761" t="s">
        <v>2899</v>
      </c>
      <c r="AS1525" s="1761" t="s">
        <v>349</v>
      </c>
      <c r="AT1525" s="1761" t="s">
        <v>327</v>
      </c>
      <c r="AU1525" s="1763"/>
      <c r="AV1525" s="1763"/>
    </row>
    <row r="1526" spans="1:48" ht="37.5" hidden="1">
      <c r="A1526" s="1785" t="str">
        <f t="shared" si="253"/>
        <v>גמל</v>
      </c>
      <c r="B1526" s="1786">
        <f t="shared" si="254"/>
        <v>462</v>
      </c>
      <c r="C1526" s="1787">
        <v>28946</v>
      </c>
      <c r="D1526" s="1786" t="str">
        <f t="shared" si="255"/>
        <v>דור ברגר גמישה</v>
      </c>
      <c r="E1526" s="1786" t="s">
        <v>3929</v>
      </c>
      <c r="F1526" s="1786" t="s">
        <v>2958</v>
      </c>
      <c r="G1526" s="1786" t="s">
        <v>2959</v>
      </c>
      <c r="H1526" s="1786" t="str">
        <f t="shared" si="256"/>
        <v>לא פעיל</v>
      </c>
      <c r="I1526" s="1788">
        <f t="shared" si="257"/>
        <v>25569</v>
      </c>
      <c r="J1526" s="1788">
        <f t="shared" si="258"/>
        <v>25569</v>
      </c>
      <c r="K1526" s="1786">
        <v>0</v>
      </c>
      <c r="L1526" s="1786" t="s">
        <v>1594</v>
      </c>
      <c r="M1526" s="1786" t="s">
        <v>1653</v>
      </c>
      <c r="N1526" s="1786" t="s">
        <v>1653</v>
      </c>
      <c r="O1526" s="1786">
        <v>0</v>
      </c>
      <c r="P1526" s="1786"/>
      <c r="Q1526" s="1786">
        <v>0</v>
      </c>
      <c r="R1526" s="1788"/>
      <c r="S1526" s="1786">
        <f t="shared" si="259"/>
        <v>462</v>
      </c>
      <c r="T1526" s="1786" t="str">
        <f t="shared" si="260"/>
        <v>בנק לאומי בע"מ</v>
      </c>
      <c r="U1526" s="1786" t="str">
        <f t="shared" si="261"/>
        <v>דור ברגר גמישה</v>
      </c>
      <c r="V1526" s="1786">
        <f t="shared" si="262"/>
        <v>0</v>
      </c>
      <c r="W1526" s="1789" t="str">
        <f t="shared" si="263"/>
        <v>קופת התגמולים לעצמאים "עצמה" ליד בל"ל בע"מ</v>
      </c>
      <c r="AC1526" s="1759" t="s">
        <v>1586</v>
      </c>
      <c r="AD1526" s="1760">
        <v>25569</v>
      </c>
      <c r="AE1526" s="1760">
        <v>25569</v>
      </c>
      <c r="AF1526" s="1759" t="s">
        <v>1583</v>
      </c>
      <c r="AG1526" s="1759" t="s">
        <v>1583</v>
      </c>
      <c r="AH1526" s="1759" t="s">
        <v>1583</v>
      </c>
      <c r="AI1526" s="1759" t="s">
        <v>1841</v>
      </c>
      <c r="AJ1526" s="1759" t="s">
        <v>1841</v>
      </c>
      <c r="AK1526" s="1759">
        <v>462</v>
      </c>
      <c r="AL1526" s="1759" t="s">
        <v>1841</v>
      </c>
      <c r="AM1526" s="1759">
        <v>462</v>
      </c>
      <c r="AN1526" s="1759" t="s">
        <v>5470</v>
      </c>
      <c r="AO1526" s="1764"/>
      <c r="AP1526" s="1759"/>
      <c r="AQ1526" s="1759"/>
      <c r="AR1526" s="1759" t="s">
        <v>1661</v>
      </c>
      <c r="AS1526" s="1759" t="s">
        <v>1660</v>
      </c>
      <c r="AT1526" s="1759" t="s">
        <v>327</v>
      </c>
      <c r="AU1526" s="1763"/>
      <c r="AV1526" s="1763"/>
    </row>
    <row r="1527" spans="1:48" ht="25" hidden="1">
      <c r="A1527" s="1785" t="str">
        <f t="shared" si="253"/>
        <v>גמל</v>
      </c>
      <c r="B1527" s="1786">
        <f t="shared" si="254"/>
        <v>461</v>
      </c>
      <c r="C1527" s="1787">
        <v>28946</v>
      </c>
      <c r="D1527" s="1786" t="str">
        <f t="shared" si="255"/>
        <v>דש דור ברגר קופת פיצויים</v>
      </c>
      <c r="E1527" s="1786" t="s">
        <v>3929</v>
      </c>
      <c r="F1527" s="1786" t="s">
        <v>2958</v>
      </c>
      <c r="G1527" s="1786" t="s">
        <v>2959</v>
      </c>
      <c r="H1527" s="1786" t="str">
        <f t="shared" si="256"/>
        <v>לא פעיל</v>
      </c>
      <c r="I1527" s="1788">
        <f t="shared" si="257"/>
        <v>34618</v>
      </c>
      <c r="J1527" s="1788">
        <f t="shared" si="258"/>
        <v>41863.412812499999</v>
      </c>
      <c r="K1527" s="1786">
        <v>0</v>
      </c>
      <c r="L1527" s="1786" t="s">
        <v>1594</v>
      </c>
      <c r="M1527" s="1786" t="s">
        <v>1653</v>
      </c>
      <c r="N1527" s="1786" t="s">
        <v>1653</v>
      </c>
      <c r="O1527" s="1786">
        <v>0</v>
      </c>
      <c r="P1527" s="1786"/>
      <c r="Q1527" s="1786">
        <v>0</v>
      </c>
      <c r="R1527" s="1788"/>
      <c r="S1527" s="1786">
        <f t="shared" si="259"/>
        <v>461</v>
      </c>
      <c r="T1527" s="1786" t="str">
        <f t="shared" si="260"/>
        <v>בנק הפועלים בע"מ</v>
      </c>
      <c r="U1527" s="1786" t="str">
        <f t="shared" si="261"/>
        <v>דש דור ברגר קופת פיצויים</v>
      </c>
      <c r="V1527" s="1786" t="str">
        <f t="shared" si="262"/>
        <v>520043795</v>
      </c>
      <c r="W1527" s="1789" t="str">
        <f t="shared" si="263"/>
        <v>מיטב דש גמל ופנסיה בע"מ</v>
      </c>
      <c r="AC1527" s="1761" t="s">
        <v>1586</v>
      </c>
      <c r="AD1527" s="1762">
        <v>41863.412812499999</v>
      </c>
      <c r="AE1527" s="1762">
        <v>34618</v>
      </c>
      <c r="AF1527" s="1761" t="s">
        <v>1583</v>
      </c>
      <c r="AG1527" s="1761" t="s">
        <v>1583</v>
      </c>
      <c r="AH1527" s="1761" t="s">
        <v>1583</v>
      </c>
      <c r="AI1527" s="1761" t="s">
        <v>3132</v>
      </c>
      <c r="AJ1527" s="1761" t="s">
        <v>556</v>
      </c>
      <c r="AK1527" s="1761">
        <v>461</v>
      </c>
      <c r="AL1527" s="1761" t="s">
        <v>556</v>
      </c>
      <c r="AM1527" s="1761">
        <v>461</v>
      </c>
      <c r="AN1527" s="1761" t="s">
        <v>1695</v>
      </c>
      <c r="AO1527" s="1764"/>
      <c r="AP1527" s="1761" t="s">
        <v>5373</v>
      </c>
      <c r="AQ1527" s="1761" t="s">
        <v>5374</v>
      </c>
      <c r="AR1527" s="1761" t="s">
        <v>2899</v>
      </c>
      <c r="AS1527" s="1761" t="s">
        <v>349</v>
      </c>
      <c r="AT1527" s="1761" t="s">
        <v>327</v>
      </c>
      <c r="AU1527" s="1763"/>
      <c r="AV1527" s="1763"/>
    </row>
    <row r="1528" spans="1:48" ht="25" hidden="1">
      <c r="A1528" s="1785" t="str">
        <f t="shared" si="253"/>
        <v>גמל</v>
      </c>
      <c r="B1528" s="1786">
        <f t="shared" si="254"/>
        <v>461</v>
      </c>
      <c r="C1528" s="1787">
        <v>28946</v>
      </c>
      <c r="D1528" s="1786" t="str">
        <f t="shared" si="255"/>
        <v>דש דור ברגר קופת פיצויים</v>
      </c>
      <c r="E1528" s="1786" t="s">
        <v>3929</v>
      </c>
      <c r="F1528" s="1786" t="s">
        <v>2958</v>
      </c>
      <c r="G1528" s="1786" t="s">
        <v>2959</v>
      </c>
      <c r="H1528" s="1786" t="str">
        <f t="shared" si="256"/>
        <v>לא פעיל</v>
      </c>
      <c r="I1528" s="1788">
        <f t="shared" si="257"/>
        <v>34618</v>
      </c>
      <c r="J1528" s="1788">
        <f t="shared" si="258"/>
        <v>41863.412812499999</v>
      </c>
      <c r="K1528" s="1786">
        <v>0</v>
      </c>
      <c r="L1528" s="1786" t="s">
        <v>1594</v>
      </c>
      <c r="M1528" s="1786" t="s">
        <v>1653</v>
      </c>
      <c r="N1528" s="1786" t="s">
        <v>1653</v>
      </c>
      <c r="O1528" s="1786">
        <v>0</v>
      </c>
      <c r="P1528" s="1786"/>
      <c r="Q1528" s="1786">
        <v>0</v>
      </c>
      <c r="R1528" s="1788"/>
      <c r="S1528" s="1786">
        <f t="shared" si="259"/>
        <v>461</v>
      </c>
      <c r="T1528" s="1786" t="str">
        <f t="shared" si="260"/>
        <v>בנק הפועלים בע"מ</v>
      </c>
      <c r="U1528" s="1786" t="str">
        <f t="shared" si="261"/>
        <v>דש דור ברגר קופת פיצויים</v>
      </c>
      <c r="V1528" s="1786" t="str">
        <f t="shared" si="262"/>
        <v>520043795</v>
      </c>
      <c r="W1528" s="1789" t="str">
        <f t="shared" si="263"/>
        <v>מיטב דש גמל ופנסיה בע"מ</v>
      </c>
      <c r="AC1528" s="1759" t="s">
        <v>1586</v>
      </c>
      <c r="AD1528" s="1760">
        <v>41863.412812499999</v>
      </c>
      <c r="AE1528" s="1760">
        <v>34618</v>
      </c>
      <c r="AF1528" s="1759" t="s">
        <v>1583</v>
      </c>
      <c r="AG1528" s="1759" t="s">
        <v>1583</v>
      </c>
      <c r="AH1528" s="1759" t="s">
        <v>1583</v>
      </c>
      <c r="AI1528" s="1759" t="s">
        <v>3132</v>
      </c>
      <c r="AJ1528" s="1759" t="s">
        <v>556</v>
      </c>
      <c r="AK1528" s="1759">
        <v>461</v>
      </c>
      <c r="AL1528" s="1759" t="s">
        <v>556</v>
      </c>
      <c r="AM1528" s="1759">
        <v>461</v>
      </c>
      <c r="AN1528" s="1759" t="s">
        <v>1695</v>
      </c>
      <c r="AO1528" s="1764"/>
      <c r="AP1528" s="1759" t="s">
        <v>5373</v>
      </c>
      <c r="AQ1528" s="1759" t="s">
        <v>5374</v>
      </c>
      <c r="AR1528" s="1759" t="s">
        <v>2899</v>
      </c>
      <c r="AS1528" s="1759" t="s">
        <v>349</v>
      </c>
      <c r="AT1528" s="1759" t="s">
        <v>327</v>
      </c>
      <c r="AU1528" s="1763"/>
      <c r="AV1528" s="1763"/>
    </row>
    <row r="1529" spans="1:48" ht="25" hidden="1">
      <c r="A1529" s="1785" t="str">
        <f t="shared" si="253"/>
        <v>גמל</v>
      </c>
      <c r="B1529" s="1786">
        <f t="shared" si="254"/>
        <v>2060</v>
      </c>
      <c r="C1529" s="1787">
        <v>28946</v>
      </c>
      <c r="D1529" s="1786" t="str">
        <f t="shared" si="255"/>
        <v>דש דור ברגר פיצויים צמוד מדד</v>
      </c>
      <c r="E1529" s="1786" t="s">
        <v>3929</v>
      </c>
      <c r="F1529" s="1786" t="s">
        <v>2958</v>
      </c>
      <c r="G1529" s="1786" t="s">
        <v>2959</v>
      </c>
      <c r="H1529" s="1786" t="str">
        <f t="shared" si="256"/>
        <v>לא פעיל</v>
      </c>
      <c r="I1529" s="1788">
        <f t="shared" si="257"/>
        <v>34618</v>
      </c>
      <c r="J1529" s="1788">
        <f t="shared" si="258"/>
        <v>41815.504548611098</v>
      </c>
      <c r="K1529" s="1786">
        <v>0</v>
      </c>
      <c r="L1529" s="1786" t="s">
        <v>1594</v>
      </c>
      <c r="M1529" s="1786" t="s">
        <v>1653</v>
      </c>
      <c r="N1529" s="1786" t="s">
        <v>1653</v>
      </c>
      <c r="O1529" s="1786">
        <v>0</v>
      </c>
      <c r="P1529" s="1786"/>
      <c r="Q1529" s="1786">
        <v>0</v>
      </c>
      <c r="R1529" s="1788"/>
      <c r="S1529" s="1786">
        <f t="shared" si="259"/>
        <v>461</v>
      </c>
      <c r="T1529" s="1786" t="str">
        <f t="shared" si="260"/>
        <v>בנק הפועלים בע"מ</v>
      </c>
      <c r="U1529" s="1786" t="str">
        <f t="shared" si="261"/>
        <v>דש דור ברגר קופת פיצויים</v>
      </c>
      <c r="V1529" s="1786" t="str">
        <f t="shared" si="262"/>
        <v>520043795</v>
      </c>
      <c r="W1529" s="1789" t="str">
        <f t="shared" si="263"/>
        <v>מיטב דש גמל ופנסיה בע"מ</v>
      </c>
      <c r="AC1529" s="1761" t="s">
        <v>1586</v>
      </c>
      <c r="AD1529" s="1762">
        <v>41815.504548611098</v>
      </c>
      <c r="AE1529" s="1762">
        <v>34618</v>
      </c>
      <c r="AF1529" s="1761" t="s">
        <v>1094</v>
      </c>
      <c r="AG1529" s="1761" t="s">
        <v>1094</v>
      </c>
      <c r="AH1529" s="1761" t="s">
        <v>1594</v>
      </c>
      <c r="AI1529" s="1761" t="s">
        <v>3694</v>
      </c>
      <c r="AJ1529" s="1761" t="s">
        <v>2538</v>
      </c>
      <c r="AK1529" s="1761">
        <v>2060</v>
      </c>
      <c r="AL1529" s="1761" t="s">
        <v>556</v>
      </c>
      <c r="AM1529" s="1761">
        <v>461</v>
      </c>
      <c r="AN1529" s="1761" t="s">
        <v>1695</v>
      </c>
      <c r="AO1529" s="1764"/>
      <c r="AP1529" s="1761" t="s">
        <v>5373</v>
      </c>
      <c r="AQ1529" s="1761" t="s">
        <v>5374</v>
      </c>
      <c r="AR1529" s="1761" t="s">
        <v>2899</v>
      </c>
      <c r="AS1529" s="1761" t="s">
        <v>349</v>
      </c>
      <c r="AT1529" s="1761" t="s">
        <v>327</v>
      </c>
      <c r="AU1529" s="1763"/>
      <c r="AV1529" s="1763"/>
    </row>
    <row r="1530" spans="1:48" ht="25" hidden="1">
      <c r="A1530" s="1785" t="str">
        <f t="shared" si="253"/>
        <v>גמל</v>
      </c>
      <c r="B1530" s="1786">
        <f t="shared" si="254"/>
        <v>2059</v>
      </c>
      <c r="C1530" s="1787">
        <v>28946</v>
      </c>
      <c r="D1530" s="1786" t="str">
        <f t="shared" si="255"/>
        <v>דש דור ברגר פיצויים אג"ח ממשלתי</v>
      </c>
      <c r="E1530" s="1786" t="s">
        <v>3929</v>
      </c>
      <c r="F1530" s="1786" t="s">
        <v>2958</v>
      </c>
      <c r="G1530" s="1786" t="s">
        <v>2959</v>
      </c>
      <c r="H1530" s="1786" t="str">
        <f t="shared" si="256"/>
        <v>לא פעיל</v>
      </c>
      <c r="I1530" s="1788">
        <f t="shared" si="257"/>
        <v>34618</v>
      </c>
      <c r="J1530" s="1788">
        <f t="shared" si="258"/>
        <v>41815.504548611098</v>
      </c>
      <c r="K1530" s="1786">
        <v>0</v>
      </c>
      <c r="L1530" s="1786" t="s">
        <v>1594</v>
      </c>
      <c r="M1530" s="1786" t="s">
        <v>1653</v>
      </c>
      <c r="N1530" s="1786" t="s">
        <v>1653</v>
      </c>
      <c r="O1530" s="1786">
        <v>0</v>
      </c>
      <c r="P1530" s="1786"/>
      <c r="Q1530" s="1786">
        <v>0</v>
      </c>
      <c r="R1530" s="1788"/>
      <c r="S1530" s="1786">
        <f t="shared" si="259"/>
        <v>461</v>
      </c>
      <c r="T1530" s="1786" t="str">
        <f t="shared" si="260"/>
        <v>בנק הפועלים בע"מ</v>
      </c>
      <c r="U1530" s="1786" t="str">
        <f t="shared" si="261"/>
        <v>דש דור ברגר קופת פיצויים</v>
      </c>
      <c r="V1530" s="1786" t="str">
        <f t="shared" si="262"/>
        <v>520043795</v>
      </c>
      <c r="W1530" s="1789" t="str">
        <f t="shared" si="263"/>
        <v>מיטב דש גמל ופנסיה בע"מ</v>
      </c>
      <c r="AC1530" s="1759" t="s">
        <v>1586</v>
      </c>
      <c r="AD1530" s="1760">
        <v>41815.504548611098</v>
      </c>
      <c r="AE1530" s="1760">
        <v>34618</v>
      </c>
      <c r="AF1530" s="1759" t="s">
        <v>2009</v>
      </c>
      <c r="AG1530" s="1759" t="s">
        <v>1653</v>
      </c>
      <c r="AH1530" s="1759" t="s">
        <v>1594</v>
      </c>
      <c r="AI1530" s="1759" t="s">
        <v>3693</v>
      </c>
      <c r="AJ1530" s="1759" t="s">
        <v>2537</v>
      </c>
      <c r="AK1530" s="1759">
        <v>2059</v>
      </c>
      <c r="AL1530" s="1759" t="s">
        <v>556</v>
      </c>
      <c r="AM1530" s="1759">
        <v>461</v>
      </c>
      <c r="AN1530" s="1759" t="s">
        <v>1695</v>
      </c>
      <c r="AO1530" s="1764"/>
      <c r="AP1530" s="1759" t="s">
        <v>5373</v>
      </c>
      <c r="AQ1530" s="1759" t="s">
        <v>5374</v>
      </c>
      <c r="AR1530" s="1759" t="s">
        <v>2899</v>
      </c>
      <c r="AS1530" s="1759" t="s">
        <v>349</v>
      </c>
      <c r="AT1530" s="1759" t="s">
        <v>327</v>
      </c>
      <c r="AU1530" s="1763"/>
      <c r="AV1530" s="1763"/>
    </row>
    <row r="1531" spans="1:48" ht="25" hidden="1">
      <c r="A1531" s="1785" t="str">
        <f t="shared" si="253"/>
        <v>גמל</v>
      </c>
      <c r="B1531" s="1786">
        <f t="shared" si="254"/>
        <v>2060</v>
      </c>
      <c r="C1531" s="1787">
        <v>28946</v>
      </c>
      <c r="D1531" s="1786" t="str">
        <f t="shared" si="255"/>
        <v>דש דור ברגר פיצויים צמוד מדד</v>
      </c>
      <c r="E1531" s="1786" t="s">
        <v>3929</v>
      </c>
      <c r="F1531" s="1786" t="s">
        <v>2958</v>
      </c>
      <c r="G1531" s="1786" t="s">
        <v>2959</v>
      </c>
      <c r="H1531" s="1786" t="str">
        <f t="shared" si="256"/>
        <v>לא פעיל</v>
      </c>
      <c r="I1531" s="1788">
        <f t="shared" si="257"/>
        <v>34618</v>
      </c>
      <c r="J1531" s="1788">
        <f t="shared" si="258"/>
        <v>41815.504548611098</v>
      </c>
      <c r="K1531" s="1786">
        <v>0</v>
      </c>
      <c r="L1531" s="1786" t="s">
        <v>1594</v>
      </c>
      <c r="M1531" s="1786" t="s">
        <v>1653</v>
      </c>
      <c r="N1531" s="1786" t="s">
        <v>1653</v>
      </c>
      <c r="O1531" s="1786">
        <v>0</v>
      </c>
      <c r="P1531" s="1786"/>
      <c r="Q1531" s="1786">
        <v>0</v>
      </c>
      <c r="R1531" s="1788"/>
      <c r="S1531" s="1786">
        <f t="shared" si="259"/>
        <v>461</v>
      </c>
      <c r="T1531" s="1786" t="str">
        <f t="shared" si="260"/>
        <v>בנק הפועלים בע"מ</v>
      </c>
      <c r="U1531" s="1786" t="str">
        <f t="shared" si="261"/>
        <v>דש דור ברגר קופת פיצויים</v>
      </c>
      <c r="V1531" s="1786" t="str">
        <f t="shared" si="262"/>
        <v>520043795</v>
      </c>
      <c r="W1531" s="1789" t="str">
        <f t="shared" si="263"/>
        <v>מיטב דש גמל ופנסיה בע"מ</v>
      </c>
      <c r="AC1531" s="1761" t="s">
        <v>1586</v>
      </c>
      <c r="AD1531" s="1762">
        <v>41815.504548611098</v>
      </c>
      <c r="AE1531" s="1762">
        <v>34618</v>
      </c>
      <c r="AF1531" s="1761" t="s">
        <v>1094</v>
      </c>
      <c r="AG1531" s="1761" t="s">
        <v>1094</v>
      </c>
      <c r="AH1531" s="1761" t="s">
        <v>1594</v>
      </c>
      <c r="AI1531" s="1761" t="s">
        <v>3694</v>
      </c>
      <c r="AJ1531" s="1761" t="s">
        <v>2538</v>
      </c>
      <c r="AK1531" s="1761">
        <v>2060</v>
      </c>
      <c r="AL1531" s="1761" t="s">
        <v>556</v>
      </c>
      <c r="AM1531" s="1761">
        <v>461</v>
      </c>
      <c r="AN1531" s="1761" t="s">
        <v>1695</v>
      </c>
      <c r="AO1531" s="1764"/>
      <c r="AP1531" s="1761" t="s">
        <v>5373</v>
      </c>
      <c r="AQ1531" s="1761" t="s">
        <v>5374</v>
      </c>
      <c r="AR1531" s="1761" t="s">
        <v>2899</v>
      </c>
      <c r="AS1531" s="1761" t="s">
        <v>349</v>
      </c>
      <c r="AT1531" s="1761" t="s">
        <v>327</v>
      </c>
      <c r="AU1531" s="1763"/>
      <c r="AV1531" s="1763"/>
    </row>
    <row r="1532" spans="1:48" ht="25" hidden="1">
      <c r="A1532" s="1785" t="str">
        <f t="shared" si="253"/>
        <v>גמל</v>
      </c>
      <c r="B1532" s="1786">
        <f t="shared" si="254"/>
        <v>2059</v>
      </c>
      <c r="C1532" s="1787">
        <v>28946</v>
      </c>
      <c r="D1532" s="1786" t="str">
        <f t="shared" si="255"/>
        <v>דש דור ברגר פיצויים אג"ח ממשלתי</v>
      </c>
      <c r="E1532" s="1786" t="s">
        <v>3929</v>
      </c>
      <c r="F1532" s="1786" t="s">
        <v>2958</v>
      </c>
      <c r="G1532" s="1786" t="s">
        <v>2959</v>
      </c>
      <c r="H1532" s="1786" t="str">
        <f t="shared" si="256"/>
        <v>לא פעיל</v>
      </c>
      <c r="I1532" s="1788">
        <f t="shared" si="257"/>
        <v>34618</v>
      </c>
      <c r="J1532" s="1788">
        <f t="shared" si="258"/>
        <v>41815.504548611098</v>
      </c>
      <c r="K1532" s="1786">
        <v>0</v>
      </c>
      <c r="L1532" s="1786" t="s">
        <v>1594</v>
      </c>
      <c r="M1532" s="1786" t="s">
        <v>1653</v>
      </c>
      <c r="N1532" s="1786" t="s">
        <v>1653</v>
      </c>
      <c r="O1532" s="1786">
        <v>0</v>
      </c>
      <c r="P1532" s="1786"/>
      <c r="Q1532" s="1786">
        <v>0</v>
      </c>
      <c r="R1532" s="1788"/>
      <c r="S1532" s="1786">
        <f t="shared" si="259"/>
        <v>461</v>
      </c>
      <c r="T1532" s="1786" t="str">
        <f t="shared" si="260"/>
        <v>בנק הפועלים בע"מ</v>
      </c>
      <c r="U1532" s="1786" t="str">
        <f t="shared" si="261"/>
        <v>דש דור ברגר קופת פיצויים</v>
      </c>
      <c r="V1532" s="1786" t="str">
        <f t="shared" si="262"/>
        <v>520043795</v>
      </c>
      <c r="W1532" s="1789" t="str">
        <f t="shared" si="263"/>
        <v>מיטב דש גמל ופנסיה בע"מ</v>
      </c>
      <c r="AC1532" s="1759" t="s">
        <v>1586</v>
      </c>
      <c r="AD1532" s="1760">
        <v>41815.504548611098</v>
      </c>
      <c r="AE1532" s="1760">
        <v>34618</v>
      </c>
      <c r="AF1532" s="1759" t="s">
        <v>2009</v>
      </c>
      <c r="AG1532" s="1759" t="s">
        <v>1653</v>
      </c>
      <c r="AH1532" s="1759" t="s">
        <v>1594</v>
      </c>
      <c r="AI1532" s="1759" t="s">
        <v>3693</v>
      </c>
      <c r="AJ1532" s="1759" t="s">
        <v>2537</v>
      </c>
      <c r="AK1532" s="1759">
        <v>2059</v>
      </c>
      <c r="AL1532" s="1759" t="s">
        <v>556</v>
      </c>
      <c r="AM1532" s="1759">
        <v>461</v>
      </c>
      <c r="AN1532" s="1759" t="s">
        <v>1695</v>
      </c>
      <c r="AO1532" s="1764"/>
      <c r="AP1532" s="1759" t="s">
        <v>5373</v>
      </c>
      <c r="AQ1532" s="1759" t="s">
        <v>5374</v>
      </c>
      <c r="AR1532" s="1759" t="s">
        <v>2899</v>
      </c>
      <c r="AS1532" s="1759" t="s">
        <v>349</v>
      </c>
      <c r="AT1532" s="1759" t="s">
        <v>327</v>
      </c>
      <c r="AU1532" s="1763"/>
      <c r="AV1532" s="1763"/>
    </row>
    <row r="1533" spans="1:48" ht="37.5" hidden="1">
      <c r="A1533" s="1785" t="str">
        <f t="shared" si="253"/>
        <v>גמל</v>
      </c>
      <c r="B1533" s="1786">
        <f t="shared" si="254"/>
        <v>459</v>
      </c>
      <c r="C1533" s="1787">
        <v>28946</v>
      </c>
      <c r="D1533" s="1786" t="str">
        <f t="shared" si="255"/>
        <v>אנליסט גמל גמישה</v>
      </c>
      <c r="E1533" s="1786" t="s">
        <v>3929</v>
      </c>
      <c r="F1533" s="1786" t="s">
        <v>2958</v>
      </c>
      <c r="G1533" s="1786" t="s">
        <v>2959</v>
      </c>
      <c r="H1533" s="1786" t="str">
        <f t="shared" si="256"/>
        <v>לא פעיל</v>
      </c>
      <c r="I1533" s="1788">
        <f t="shared" si="257"/>
        <v>34283</v>
      </c>
      <c r="J1533" s="1788">
        <f t="shared" si="258"/>
        <v>37773.4696527778</v>
      </c>
      <c r="K1533" s="1786">
        <v>0</v>
      </c>
      <c r="L1533" s="1786" t="s">
        <v>1594</v>
      </c>
      <c r="M1533" s="1786" t="s">
        <v>1653</v>
      </c>
      <c r="N1533" s="1786" t="s">
        <v>1653</v>
      </c>
      <c r="O1533" s="1786">
        <v>0</v>
      </c>
      <c r="P1533" s="1786"/>
      <c r="Q1533" s="1786">
        <v>0</v>
      </c>
      <c r="R1533" s="1788"/>
      <c r="S1533" s="1786">
        <f t="shared" si="259"/>
        <v>459</v>
      </c>
      <c r="T1533" s="1786" t="str">
        <f t="shared" si="260"/>
        <v>בנק מזרחי טפחות בע"מ</v>
      </c>
      <c r="U1533" s="1786" t="str">
        <f t="shared" si="261"/>
        <v>אנליסט גמל גמישה</v>
      </c>
      <c r="V1533" s="1786" t="str">
        <f t="shared" si="262"/>
        <v>520041963</v>
      </c>
      <c r="W1533" s="1789" t="str">
        <f t="shared" si="263"/>
        <v>אנליסט קופות גמל בע"מ</v>
      </c>
      <c r="AC1533" s="1761" t="s">
        <v>1586</v>
      </c>
      <c r="AD1533" s="1762">
        <v>37773.4696527778</v>
      </c>
      <c r="AE1533" s="1762">
        <v>34283</v>
      </c>
      <c r="AF1533" s="1761" t="s">
        <v>1583</v>
      </c>
      <c r="AG1533" s="1761" t="s">
        <v>1583</v>
      </c>
      <c r="AH1533" s="1761" t="s">
        <v>1583</v>
      </c>
      <c r="AI1533" s="1761" t="s">
        <v>3131</v>
      </c>
      <c r="AJ1533" s="1761" t="s">
        <v>1839</v>
      </c>
      <c r="AK1533" s="1761">
        <v>459</v>
      </c>
      <c r="AL1533" s="1761" t="s">
        <v>1839</v>
      </c>
      <c r="AM1533" s="1761">
        <v>459</v>
      </c>
      <c r="AN1533" s="1761" t="s">
        <v>5370</v>
      </c>
      <c r="AO1533" s="1764"/>
      <c r="AP1533" s="1761" t="s">
        <v>5387</v>
      </c>
      <c r="AQ1533" s="1761" t="s">
        <v>5388</v>
      </c>
      <c r="AR1533" s="1761" t="s">
        <v>360</v>
      </c>
      <c r="AS1533" s="1761" t="s">
        <v>361</v>
      </c>
      <c r="AT1533" s="1761" t="s">
        <v>327</v>
      </c>
      <c r="AU1533" s="1763"/>
      <c r="AV1533" s="1763"/>
    </row>
    <row r="1534" spans="1:48" ht="37.5" hidden="1">
      <c r="A1534" s="1785" t="str">
        <f t="shared" si="253"/>
        <v>גמל</v>
      </c>
      <c r="B1534" s="1786">
        <f t="shared" si="254"/>
        <v>458</v>
      </c>
      <c r="C1534" s="1787">
        <v>28946</v>
      </c>
      <c r="D1534" s="1786" t="str">
        <f t="shared" si="255"/>
        <v>אנליסט קופת גמל</v>
      </c>
      <c r="E1534" s="1786" t="s">
        <v>3929</v>
      </c>
      <c r="F1534" s="1786" t="s">
        <v>2958</v>
      </c>
      <c r="G1534" s="1786" t="s">
        <v>2959</v>
      </c>
      <c r="H1534" s="1786" t="str">
        <f t="shared" si="256"/>
        <v>לא פעיל</v>
      </c>
      <c r="I1534" s="1788">
        <f t="shared" si="257"/>
        <v>34283</v>
      </c>
      <c r="J1534" s="1788">
        <f t="shared" si="258"/>
        <v>37773.469479166699</v>
      </c>
      <c r="K1534" s="1786">
        <v>0</v>
      </c>
      <c r="L1534" s="1786" t="s">
        <v>1594</v>
      </c>
      <c r="M1534" s="1786" t="s">
        <v>1653</v>
      </c>
      <c r="N1534" s="1786" t="s">
        <v>1653</v>
      </c>
      <c r="O1534" s="1786">
        <v>0</v>
      </c>
      <c r="P1534" s="1786"/>
      <c r="Q1534" s="1786">
        <v>0</v>
      </c>
      <c r="R1534" s="1788"/>
      <c r="S1534" s="1786">
        <f t="shared" si="259"/>
        <v>458</v>
      </c>
      <c r="T1534" s="1786" t="str">
        <f t="shared" si="260"/>
        <v>בנק מזרחי טפחות בע"מ</v>
      </c>
      <c r="U1534" s="1786" t="str">
        <f t="shared" si="261"/>
        <v>אנליסט קופת גמל</v>
      </c>
      <c r="V1534" s="1786" t="str">
        <f t="shared" si="262"/>
        <v>520041963</v>
      </c>
      <c r="W1534" s="1789" t="str">
        <f t="shared" si="263"/>
        <v>אנליסט קופות גמל בע"מ</v>
      </c>
      <c r="AC1534" s="1759" t="s">
        <v>1586</v>
      </c>
      <c r="AD1534" s="1760">
        <v>37773.469479166699</v>
      </c>
      <c r="AE1534" s="1760">
        <v>34283</v>
      </c>
      <c r="AF1534" s="1759" t="s">
        <v>1583</v>
      </c>
      <c r="AG1534" s="1759" t="s">
        <v>1583</v>
      </c>
      <c r="AH1534" s="1759" t="s">
        <v>1583</v>
      </c>
      <c r="AI1534" s="1759" t="s">
        <v>3130</v>
      </c>
      <c r="AJ1534" s="1759" t="s">
        <v>1838</v>
      </c>
      <c r="AK1534" s="1759">
        <v>458</v>
      </c>
      <c r="AL1534" s="1759" t="s">
        <v>1838</v>
      </c>
      <c r="AM1534" s="1759">
        <v>458</v>
      </c>
      <c r="AN1534" s="1759" t="s">
        <v>5370</v>
      </c>
      <c r="AO1534" s="1764"/>
      <c r="AP1534" s="1759" t="s">
        <v>5387</v>
      </c>
      <c r="AQ1534" s="1759" t="s">
        <v>5388</v>
      </c>
      <c r="AR1534" s="1759" t="s">
        <v>360</v>
      </c>
      <c r="AS1534" s="1759" t="s">
        <v>361</v>
      </c>
      <c r="AT1534" s="1759" t="s">
        <v>327</v>
      </c>
      <c r="AU1534" s="1763"/>
      <c r="AV1534" s="1763"/>
    </row>
    <row r="1535" spans="1:48" ht="25" hidden="1">
      <c r="A1535" s="1785" t="str">
        <f t="shared" si="253"/>
        <v>גמל</v>
      </c>
      <c r="B1535" s="1786">
        <f t="shared" si="254"/>
        <v>457</v>
      </c>
      <c r="C1535" s="1787">
        <v>28946</v>
      </c>
      <c r="D1535" s="1786" t="str">
        <f t="shared" si="255"/>
        <v>חיננית קופת תגמולים בע"מ</v>
      </c>
      <c r="E1535" s="1786" t="s">
        <v>3929</v>
      </c>
      <c r="F1535" s="1786" t="s">
        <v>2958</v>
      </c>
      <c r="G1535" s="1786" t="s">
        <v>2959</v>
      </c>
      <c r="H1535" s="1786" t="str">
        <f t="shared" si="256"/>
        <v>לא פעיל</v>
      </c>
      <c r="I1535" s="1788">
        <f t="shared" si="257"/>
        <v>35431</v>
      </c>
      <c r="J1535" s="1788">
        <f t="shared" si="258"/>
        <v>36745.508784722202</v>
      </c>
      <c r="K1535" s="1786">
        <v>0</v>
      </c>
      <c r="L1535" s="1786" t="s">
        <v>1594</v>
      </c>
      <c r="M1535" s="1786" t="s">
        <v>1653</v>
      </c>
      <c r="N1535" s="1786" t="s">
        <v>1653</v>
      </c>
      <c r="O1535" s="1786">
        <v>0</v>
      </c>
      <c r="P1535" s="1786"/>
      <c r="Q1535" s="1786">
        <v>0</v>
      </c>
      <c r="R1535" s="1788"/>
      <c r="S1535" s="1786">
        <f t="shared" si="259"/>
        <v>457</v>
      </c>
      <c r="T1535" s="1786" t="str">
        <f t="shared" si="260"/>
        <v>בנק מזרחי טפחות בע"מ</v>
      </c>
      <c r="U1535" s="1786" t="str">
        <f t="shared" si="261"/>
        <v>חיננית קופת תגמולים בע"מ</v>
      </c>
      <c r="V1535" s="1786">
        <f t="shared" si="262"/>
        <v>0</v>
      </c>
      <c r="W1535" s="1789" t="str">
        <f t="shared" si="263"/>
        <v>חיננית קופת תגמולים בע"מ</v>
      </c>
      <c r="AC1535" s="1761" t="s">
        <v>1586</v>
      </c>
      <c r="AD1535" s="1762">
        <v>36745.508784722202</v>
      </c>
      <c r="AE1535" s="1762">
        <v>35431</v>
      </c>
      <c r="AF1535" s="1761" t="s">
        <v>1583</v>
      </c>
      <c r="AG1535" s="1761" t="s">
        <v>1583</v>
      </c>
      <c r="AH1535" s="1761" t="s">
        <v>1583</v>
      </c>
      <c r="AI1535" s="1761" t="s">
        <v>3129</v>
      </c>
      <c r="AJ1535" s="1761" t="s">
        <v>1836</v>
      </c>
      <c r="AK1535" s="1761">
        <v>457</v>
      </c>
      <c r="AL1535" s="1761" t="s">
        <v>1836</v>
      </c>
      <c r="AM1535" s="1761">
        <v>457</v>
      </c>
      <c r="AN1535" s="1761" t="s">
        <v>5370</v>
      </c>
      <c r="AO1535" s="1764"/>
      <c r="AP1535" s="1761"/>
      <c r="AQ1535" s="1761"/>
      <c r="AR1535" s="1761" t="s">
        <v>1836</v>
      </c>
      <c r="AS1535" s="1761" t="s">
        <v>1837</v>
      </c>
      <c r="AT1535" s="1761" t="s">
        <v>327</v>
      </c>
      <c r="AU1535" s="1763"/>
      <c r="AV1535" s="1763"/>
    </row>
    <row r="1536" spans="1:48" ht="14" hidden="1">
      <c r="A1536" s="1785" t="str">
        <f t="shared" si="253"/>
        <v>גמל</v>
      </c>
      <c r="B1536" s="1786">
        <f t="shared" si="254"/>
        <v>456</v>
      </c>
      <c r="C1536" s="1787">
        <v>28946</v>
      </c>
      <c r="D1536" s="1786" t="str">
        <f t="shared" si="255"/>
        <v>כלל השתלמות כללי</v>
      </c>
      <c r="E1536" s="1786" t="s">
        <v>3929</v>
      </c>
      <c r="F1536" s="1786" t="s">
        <v>2958</v>
      </c>
      <c r="G1536" s="1786" t="s">
        <v>2959</v>
      </c>
      <c r="H1536" s="1786" t="str">
        <f t="shared" si="256"/>
        <v>פעיל</v>
      </c>
      <c r="I1536" s="1788">
        <f t="shared" si="257"/>
        <v>33259</v>
      </c>
      <c r="J1536" s="1788" t="str">
        <f t="shared" si="258"/>
        <v/>
      </c>
      <c r="K1536" s="1786">
        <v>0</v>
      </c>
      <c r="L1536" s="1786" t="s">
        <v>1594</v>
      </c>
      <c r="M1536" s="1786" t="s">
        <v>1653</v>
      </c>
      <c r="N1536" s="1786" t="s">
        <v>1653</v>
      </c>
      <c r="O1536" s="1786">
        <v>0</v>
      </c>
      <c r="P1536" s="1786"/>
      <c r="Q1536" s="1786">
        <v>0</v>
      </c>
      <c r="R1536" s="1788"/>
      <c r="S1536" s="1786">
        <f t="shared" si="259"/>
        <v>456</v>
      </c>
      <c r="T1536" s="1786" t="str">
        <f t="shared" si="260"/>
        <v>בנק לאומי בע"מ</v>
      </c>
      <c r="U1536" s="1786" t="str">
        <f t="shared" si="261"/>
        <v>כלל השתלמות</v>
      </c>
      <c r="V1536" s="1786">
        <f t="shared" si="262"/>
        <v>0</v>
      </c>
      <c r="W1536" s="1789" t="str">
        <f t="shared" si="263"/>
        <v>כלל פנסיה וגמל בע"מ</v>
      </c>
      <c r="AC1536" s="1759" t="s">
        <v>346</v>
      </c>
      <c r="AD1536" s="1759"/>
      <c r="AE1536" s="1760">
        <v>33259</v>
      </c>
      <c r="AF1536" s="1759" t="s">
        <v>1583</v>
      </c>
      <c r="AG1536" s="1759" t="s">
        <v>1583</v>
      </c>
      <c r="AH1536" s="1759" t="s">
        <v>1583</v>
      </c>
      <c r="AI1536" s="1759" t="s">
        <v>1835</v>
      </c>
      <c r="AJ1536" s="1759" t="s">
        <v>1835</v>
      </c>
      <c r="AK1536" s="1759">
        <v>456</v>
      </c>
      <c r="AL1536" s="1759" t="s">
        <v>555</v>
      </c>
      <c r="AM1536" s="1759">
        <v>456</v>
      </c>
      <c r="AN1536" s="1759" t="s">
        <v>5470</v>
      </c>
      <c r="AO1536" s="1764"/>
      <c r="AP1536" s="1759"/>
      <c r="AQ1536" s="1759"/>
      <c r="AR1536" s="1759" t="s">
        <v>378</v>
      </c>
      <c r="AS1536" s="1759" t="s">
        <v>379</v>
      </c>
      <c r="AT1536" s="1759" t="s">
        <v>327</v>
      </c>
      <c r="AU1536" s="1763"/>
      <c r="AV1536" s="1763"/>
    </row>
    <row r="1537" spans="1:48" ht="14" hidden="1">
      <c r="A1537" s="1785" t="str">
        <f t="shared" si="253"/>
        <v>גמל</v>
      </c>
      <c r="B1537" s="1786">
        <f t="shared" si="254"/>
        <v>12599</v>
      </c>
      <c r="C1537" s="1787">
        <v>28946</v>
      </c>
      <c r="D1537" s="1786" t="str">
        <f t="shared" si="255"/>
        <v xml:space="preserve">כלל השתלמות אג"ח עד 15% מניות </v>
      </c>
      <c r="E1537" s="1786" t="s">
        <v>3929</v>
      </c>
      <c r="F1537" s="1786" t="s">
        <v>2958</v>
      </c>
      <c r="G1537" s="1786" t="s">
        <v>2959</v>
      </c>
      <c r="H1537" s="1786" t="str">
        <f t="shared" si="256"/>
        <v>פעיל</v>
      </c>
      <c r="I1537" s="1788">
        <f t="shared" si="257"/>
        <v>33259</v>
      </c>
      <c r="J1537" s="1788" t="str">
        <f t="shared" si="258"/>
        <v/>
      </c>
      <c r="K1537" s="1786">
        <v>0</v>
      </c>
      <c r="L1537" s="1786" t="s">
        <v>1594</v>
      </c>
      <c r="M1537" s="1786" t="s">
        <v>1653</v>
      </c>
      <c r="N1537" s="1786" t="s">
        <v>1653</v>
      </c>
      <c r="O1537" s="1786">
        <v>0</v>
      </c>
      <c r="P1537" s="1786"/>
      <c r="Q1537" s="1786">
        <v>0</v>
      </c>
      <c r="R1537" s="1788"/>
      <c r="S1537" s="1786">
        <f t="shared" si="259"/>
        <v>456</v>
      </c>
      <c r="T1537" s="1786" t="str">
        <f t="shared" si="260"/>
        <v>בנק לאומי בע"מ</v>
      </c>
      <c r="U1537" s="1786" t="str">
        <f t="shared" si="261"/>
        <v>כלל השתלמות</v>
      </c>
      <c r="V1537" s="1786">
        <f t="shared" si="262"/>
        <v>0</v>
      </c>
      <c r="W1537" s="1789" t="str">
        <f t="shared" si="263"/>
        <v>כלל פנסיה וגמל בע"מ</v>
      </c>
      <c r="AC1537" s="1761" t="s">
        <v>346</v>
      </c>
      <c r="AD1537" s="1759"/>
      <c r="AE1537" s="1762">
        <v>33259</v>
      </c>
      <c r="AF1537" s="1761" t="s">
        <v>3934</v>
      </c>
      <c r="AG1537" s="1761" t="s">
        <v>1653</v>
      </c>
      <c r="AH1537" s="1761" t="s">
        <v>1594</v>
      </c>
      <c r="AI1537" s="1761" t="s">
        <v>5627</v>
      </c>
      <c r="AJ1537" s="1761" t="s">
        <v>5627</v>
      </c>
      <c r="AK1537" s="1761">
        <v>12599</v>
      </c>
      <c r="AL1537" s="1761" t="s">
        <v>555</v>
      </c>
      <c r="AM1537" s="1761">
        <v>456</v>
      </c>
      <c r="AN1537" s="1761" t="s">
        <v>5470</v>
      </c>
      <c r="AO1537" s="1764"/>
      <c r="AP1537" s="1761"/>
      <c r="AQ1537" s="1761"/>
      <c r="AR1537" s="1761" t="s">
        <v>378</v>
      </c>
      <c r="AS1537" s="1761" t="s">
        <v>379</v>
      </c>
      <c r="AT1537" s="1761" t="s">
        <v>327</v>
      </c>
      <c r="AU1537" s="1763"/>
      <c r="AV1537" s="1763"/>
    </row>
    <row r="1538" spans="1:48" ht="14" hidden="1">
      <c r="A1538" s="1785" t="str">
        <f t="shared" si="253"/>
        <v>גמל</v>
      </c>
      <c r="B1538" s="1786">
        <f t="shared" si="254"/>
        <v>2115</v>
      </c>
      <c r="C1538" s="1787">
        <v>28946</v>
      </c>
      <c r="D1538" s="1786" t="str">
        <f t="shared" si="255"/>
        <v>כלל השתלמות אג"ח</v>
      </c>
      <c r="E1538" s="1786" t="s">
        <v>3929</v>
      </c>
      <c r="F1538" s="1786" t="s">
        <v>2958</v>
      </c>
      <c r="G1538" s="1786" t="s">
        <v>2959</v>
      </c>
      <c r="H1538" s="1786" t="str">
        <f t="shared" si="256"/>
        <v>פעיל</v>
      </c>
      <c r="I1538" s="1788">
        <f t="shared" si="257"/>
        <v>33259</v>
      </c>
      <c r="J1538" s="1788" t="str">
        <f t="shared" si="258"/>
        <v/>
      </c>
      <c r="K1538" s="1786">
        <v>0</v>
      </c>
      <c r="L1538" s="1786" t="s">
        <v>1594</v>
      </c>
      <c r="M1538" s="1786" t="s">
        <v>1653</v>
      </c>
      <c r="N1538" s="1786" t="s">
        <v>1653</v>
      </c>
      <c r="O1538" s="1786">
        <v>0</v>
      </c>
      <c r="P1538" s="1786"/>
      <c r="Q1538" s="1786">
        <v>0</v>
      </c>
      <c r="R1538" s="1788"/>
      <c r="S1538" s="1786">
        <f t="shared" si="259"/>
        <v>456</v>
      </c>
      <c r="T1538" s="1786" t="str">
        <f t="shared" si="260"/>
        <v>בנק לאומי בע"מ</v>
      </c>
      <c r="U1538" s="1786" t="str">
        <f t="shared" si="261"/>
        <v>כלל השתלמות</v>
      </c>
      <c r="V1538" s="1786">
        <f t="shared" si="262"/>
        <v>0</v>
      </c>
      <c r="W1538" s="1789" t="str">
        <f t="shared" si="263"/>
        <v>כלל פנסיה וגמל בע"מ</v>
      </c>
      <c r="AC1538" s="1759" t="s">
        <v>346</v>
      </c>
      <c r="AD1538" s="1759"/>
      <c r="AE1538" s="1760">
        <v>33259</v>
      </c>
      <c r="AF1538" s="1759" t="s">
        <v>1653</v>
      </c>
      <c r="AG1538" s="1759" t="s">
        <v>1653</v>
      </c>
      <c r="AH1538" s="1759" t="s">
        <v>1594</v>
      </c>
      <c r="AI1538" s="1759" t="s">
        <v>2566</v>
      </c>
      <c r="AJ1538" s="1759" t="s">
        <v>2566</v>
      </c>
      <c r="AK1538" s="1759">
        <v>2115</v>
      </c>
      <c r="AL1538" s="1759" t="s">
        <v>555</v>
      </c>
      <c r="AM1538" s="1759">
        <v>456</v>
      </c>
      <c r="AN1538" s="1759" t="s">
        <v>5470</v>
      </c>
      <c r="AO1538" s="1764"/>
      <c r="AP1538" s="1759"/>
      <c r="AQ1538" s="1759"/>
      <c r="AR1538" s="1759" t="s">
        <v>378</v>
      </c>
      <c r="AS1538" s="1759" t="s">
        <v>379</v>
      </c>
      <c r="AT1538" s="1759" t="s">
        <v>327</v>
      </c>
      <c r="AU1538" s="1763"/>
      <c r="AV1538" s="1763"/>
    </row>
    <row r="1539" spans="1:48" ht="14" hidden="1">
      <c r="A1539" s="1785" t="str">
        <f t="shared" si="253"/>
        <v>גמל</v>
      </c>
      <c r="B1539" s="1786">
        <f t="shared" si="254"/>
        <v>1534</v>
      </c>
      <c r="C1539" s="1787">
        <v>28946</v>
      </c>
      <c r="D1539" s="1786" t="str">
        <f t="shared" si="255"/>
        <v>כלל השתלמות הלכה</v>
      </c>
      <c r="E1539" s="1786" t="s">
        <v>3929</v>
      </c>
      <c r="F1539" s="1786" t="s">
        <v>2958</v>
      </c>
      <c r="G1539" s="1786" t="s">
        <v>2959</v>
      </c>
      <c r="H1539" s="1786" t="str">
        <f t="shared" si="256"/>
        <v>פעיל</v>
      </c>
      <c r="I1539" s="1788">
        <f t="shared" si="257"/>
        <v>33259</v>
      </c>
      <c r="J1539" s="1788" t="str">
        <f t="shared" si="258"/>
        <v/>
      </c>
      <c r="K1539" s="1786">
        <v>0</v>
      </c>
      <c r="L1539" s="1786" t="s">
        <v>1594</v>
      </c>
      <c r="M1539" s="1786" t="s">
        <v>1653</v>
      </c>
      <c r="N1539" s="1786" t="s">
        <v>1653</v>
      </c>
      <c r="O1539" s="1786">
        <v>0</v>
      </c>
      <c r="P1539" s="1786"/>
      <c r="Q1539" s="1786">
        <v>0</v>
      </c>
      <c r="R1539" s="1788"/>
      <c r="S1539" s="1786">
        <f t="shared" si="259"/>
        <v>456</v>
      </c>
      <c r="T1539" s="1786" t="str">
        <f t="shared" si="260"/>
        <v>בנק לאומי בע"מ</v>
      </c>
      <c r="U1539" s="1786" t="str">
        <f t="shared" si="261"/>
        <v>כלל השתלמות</v>
      </c>
      <c r="V1539" s="1786">
        <f t="shared" si="262"/>
        <v>0</v>
      </c>
      <c r="W1539" s="1789" t="str">
        <f t="shared" si="263"/>
        <v>כלל פנסיה וגמל בע"מ</v>
      </c>
      <c r="AC1539" s="1761" t="s">
        <v>346</v>
      </c>
      <c r="AD1539" s="1761"/>
      <c r="AE1539" s="1762">
        <v>33259</v>
      </c>
      <c r="AF1539" s="1761" t="s">
        <v>4603</v>
      </c>
      <c r="AG1539" s="1761" t="s">
        <v>2029</v>
      </c>
      <c r="AH1539" s="1761" t="s">
        <v>2028</v>
      </c>
      <c r="AI1539" s="1761" t="s">
        <v>4123</v>
      </c>
      <c r="AJ1539" s="1761" t="s">
        <v>4123</v>
      </c>
      <c r="AK1539" s="1761">
        <v>1534</v>
      </c>
      <c r="AL1539" s="1761" t="s">
        <v>555</v>
      </c>
      <c r="AM1539" s="1761">
        <v>456</v>
      </c>
      <c r="AN1539" s="1761" t="s">
        <v>5470</v>
      </c>
      <c r="AO1539" s="1764"/>
      <c r="AP1539" s="1761"/>
      <c r="AQ1539" s="1761"/>
      <c r="AR1539" s="1761" t="s">
        <v>378</v>
      </c>
      <c r="AS1539" s="1761" t="s">
        <v>379</v>
      </c>
      <c r="AT1539" s="1761" t="s">
        <v>327</v>
      </c>
      <c r="AU1539" s="1763"/>
      <c r="AV1539" s="1763"/>
    </row>
    <row r="1540" spans="1:48" ht="14" hidden="1">
      <c r="A1540" s="1785" t="str">
        <f t="shared" si="253"/>
        <v>גמל</v>
      </c>
      <c r="B1540" s="1786">
        <f t="shared" si="254"/>
        <v>1352</v>
      </c>
      <c r="C1540" s="1787">
        <v>28946</v>
      </c>
      <c r="D1540" s="1786" t="str">
        <f t="shared" si="255"/>
        <v>כלל השתלמות שקלים</v>
      </c>
      <c r="E1540" s="1786" t="s">
        <v>3929</v>
      </c>
      <c r="F1540" s="1786" t="s">
        <v>2958</v>
      </c>
      <c r="G1540" s="1786" t="s">
        <v>2959</v>
      </c>
      <c r="H1540" s="1786" t="str">
        <f t="shared" si="256"/>
        <v>לא פעיל</v>
      </c>
      <c r="I1540" s="1788">
        <f t="shared" si="257"/>
        <v>33259</v>
      </c>
      <c r="J1540" s="1788">
        <f t="shared" si="258"/>
        <v>42306.366793981499</v>
      </c>
      <c r="K1540" s="1786">
        <v>0</v>
      </c>
      <c r="L1540" s="1786" t="s">
        <v>1594</v>
      </c>
      <c r="M1540" s="1786" t="s">
        <v>1653</v>
      </c>
      <c r="N1540" s="1786" t="s">
        <v>1653</v>
      </c>
      <c r="O1540" s="1786">
        <v>0</v>
      </c>
      <c r="P1540" s="1786"/>
      <c r="Q1540" s="1786">
        <v>0</v>
      </c>
      <c r="R1540" s="1788"/>
      <c r="S1540" s="1786">
        <f t="shared" si="259"/>
        <v>456</v>
      </c>
      <c r="T1540" s="1786" t="str">
        <f t="shared" si="260"/>
        <v>בנק לאומי בע"מ</v>
      </c>
      <c r="U1540" s="1786" t="str">
        <f t="shared" si="261"/>
        <v>כלל השתלמות</v>
      </c>
      <c r="V1540" s="1786">
        <f t="shared" si="262"/>
        <v>0</v>
      </c>
      <c r="W1540" s="1789" t="str">
        <f t="shared" si="263"/>
        <v>כלל פנסיה וגמל בע"מ</v>
      </c>
      <c r="AC1540" s="1759" t="s">
        <v>1586</v>
      </c>
      <c r="AD1540" s="1760">
        <v>42306.366793981499</v>
      </c>
      <c r="AE1540" s="1760">
        <v>33259</v>
      </c>
      <c r="AF1540" s="1759" t="s">
        <v>1076</v>
      </c>
      <c r="AG1540" s="1759" t="s">
        <v>1614</v>
      </c>
      <c r="AH1540" s="1759" t="s">
        <v>1594</v>
      </c>
      <c r="AI1540" s="1759" t="s">
        <v>2421</v>
      </c>
      <c r="AJ1540" s="1759" t="s">
        <v>2421</v>
      </c>
      <c r="AK1540" s="1759">
        <v>1352</v>
      </c>
      <c r="AL1540" s="1759" t="s">
        <v>555</v>
      </c>
      <c r="AM1540" s="1759">
        <v>456</v>
      </c>
      <c r="AN1540" s="1759" t="s">
        <v>5470</v>
      </c>
      <c r="AO1540" s="1764"/>
      <c r="AP1540" s="1759"/>
      <c r="AQ1540" s="1759"/>
      <c r="AR1540" s="1759" t="s">
        <v>378</v>
      </c>
      <c r="AS1540" s="1759" t="s">
        <v>379</v>
      </c>
      <c r="AT1540" s="1759" t="s">
        <v>327</v>
      </c>
      <c r="AU1540" s="1763"/>
      <c r="AV1540" s="1763"/>
    </row>
    <row r="1541" spans="1:48" ht="14" hidden="1">
      <c r="A1541" s="1785" t="str">
        <f t="shared" si="253"/>
        <v>גמל</v>
      </c>
      <c r="B1541" s="1786">
        <f t="shared" si="254"/>
        <v>1349</v>
      </c>
      <c r="C1541" s="1787">
        <v>28946</v>
      </c>
      <c r="D1541" s="1786" t="str">
        <f t="shared" si="255"/>
        <v>כלל השתלמות מט"ח</v>
      </c>
      <c r="E1541" s="1786" t="s">
        <v>3929</v>
      </c>
      <c r="F1541" s="1786" t="s">
        <v>2958</v>
      </c>
      <c r="G1541" s="1786" t="s">
        <v>2959</v>
      </c>
      <c r="H1541" s="1786" t="str">
        <f t="shared" si="256"/>
        <v>לא פעיל</v>
      </c>
      <c r="I1541" s="1788">
        <f t="shared" si="257"/>
        <v>33259</v>
      </c>
      <c r="J1541" s="1788">
        <f t="shared" si="258"/>
        <v>42306.366793981499</v>
      </c>
      <c r="K1541" s="1786">
        <v>0</v>
      </c>
      <c r="L1541" s="1786" t="s">
        <v>1594</v>
      </c>
      <c r="M1541" s="1786" t="s">
        <v>1653</v>
      </c>
      <c r="N1541" s="1786" t="s">
        <v>1653</v>
      </c>
      <c r="O1541" s="1786">
        <v>0</v>
      </c>
      <c r="P1541" s="1786"/>
      <c r="Q1541" s="1786">
        <v>0</v>
      </c>
      <c r="R1541" s="1788"/>
      <c r="S1541" s="1786">
        <f t="shared" si="259"/>
        <v>456</v>
      </c>
      <c r="T1541" s="1786" t="str">
        <f t="shared" si="260"/>
        <v>בנק לאומי בע"מ</v>
      </c>
      <c r="U1541" s="1786" t="str">
        <f t="shared" si="261"/>
        <v>כלל השתלמות</v>
      </c>
      <c r="V1541" s="1786">
        <f t="shared" si="262"/>
        <v>0</v>
      </c>
      <c r="W1541" s="1789" t="str">
        <f t="shared" si="263"/>
        <v>כלל פנסיה וגמל בע"מ</v>
      </c>
      <c r="AC1541" s="1761" t="s">
        <v>1586</v>
      </c>
      <c r="AD1541" s="1762">
        <v>42306.366793981499</v>
      </c>
      <c r="AE1541" s="1762">
        <v>33259</v>
      </c>
      <c r="AF1541" s="1761" t="s">
        <v>1611</v>
      </c>
      <c r="AG1541" s="1761" t="s">
        <v>1611</v>
      </c>
      <c r="AH1541" s="1761" t="s">
        <v>1594</v>
      </c>
      <c r="AI1541" s="1761" t="s">
        <v>2418</v>
      </c>
      <c r="AJ1541" s="1761" t="s">
        <v>2418</v>
      </c>
      <c r="AK1541" s="1761">
        <v>1349</v>
      </c>
      <c r="AL1541" s="1761" t="s">
        <v>555</v>
      </c>
      <c r="AM1541" s="1761">
        <v>456</v>
      </c>
      <c r="AN1541" s="1761" t="s">
        <v>5470</v>
      </c>
      <c r="AO1541" s="1764"/>
      <c r="AP1541" s="1761"/>
      <c r="AQ1541" s="1761"/>
      <c r="AR1541" s="1761" t="s">
        <v>378</v>
      </c>
      <c r="AS1541" s="1761" t="s">
        <v>379</v>
      </c>
      <c r="AT1541" s="1761" t="s">
        <v>327</v>
      </c>
      <c r="AU1541" s="1763"/>
      <c r="AV1541" s="1763"/>
    </row>
    <row r="1542" spans="1:48" ht="14" hidden="1">
      <c r="A1542" s="1785" t="str">
        <f t="shared" si="253"/>
        <v>גמל</v>
      </c>
      <c r="B1542" s="1786">
        <f t="shared" si="254"/>
        <v>1350</v>
      </c>
      <c r="C1542" s="1787">
        <v>28946</v>
      </c>
      <c r="D1542" s="1786" t="str">
        <f t="shared" si="255"/>
        <v>כלל השתלמות מניות</v>
      </c>
      <c r="E1542" s="1786" t="s">
        <v>3929</v>
      </c>
      <c r="F1542" s="1786" t="s">
        <v>2958</v>
      </c>
      <c r="G1542" s="1786" t="s">
        <v>2959</v>
      </c>
      <c r="H1542" s="1786" t="str">
        <f t="shared" si="256"/>
        <v>פעיל</v>
      </c>
      <c r="I1542" s="1788">
        <f t="shared" si="257"/>
        <v>33259</v>
      </c>
      <c r="J1542" s="1788" t="str">
        <f t="shared" si="258"/>
        <v/>
      </c>
      <c r="K1542" s="1786">
        <v>0</v>
      </c>
      <c r="L1542" s="1786" t="s">
        <v>1594</v>
      </c>
      <c r="M1542" s="1786" t="s">
        <v>1653</v>
      </c>
      <c r="N1542" s="1786" t="s">
        <v>1653</v>
      </c>
      <c r="O1542" s="1786">
        <v>0</v>
      </c>
      <c r="P1542" s="1786"/>
      <c r="Q1542" s="1786">
        <v>0</v>
      </c>
      <c r="R1542" s="1788"/>
      <c r="S1542" s="1786">
        <f t="shared" si="259"/>
        <v>456</v>
      </c>
      <c r="T1542" s="1786" t="str">
        <f t="shared" si="260"/>
        <v>בנק לאומי בע"מ</v>
      </c>
      <c r="U1542" s="1786" t="str">
        <f t="shared" si="261"/>
        <v>כלל השתלמות</v>
      </c>
      <c r="V1542" s="1786">
        <f t="shared" si="262"/>
        <v>0</v>
      </c>
      <c r="W1542" s="1789" t="str">
        <f t="shared" si="263"/>
        <v>כלל פנסיה וגמל בע"מ</v>
      </c>
      <c r="AC1542" s="1759" t="s">
        <v>346</v>
      </c>
      <c r="AD1542" s="1759"/>
      <c r="AE1542" s="1760">
        <v>33259</v>
      </c>
      <c r="AF1542" s="1759" t="s">
        <v>1595</v>
      </c>
      <c r="AG1542" s="1759" t="s">
        <v>75</v>
      </c>
      <c r="AH1542" s="1759" t="s">
        <v>1594</v>
      </c>
      <c r="AI1542" s="1759" t="s">
        <v>2419</v>
      </c>
      <c r="AJ1542" s="1759" t="s">
        <v>2419</v>
      </c>
      <c r="AK1542" s="1759">
        <v>1350</v>
      </c>
      <c r="AL1542" s="1759" t="s">
        <v>555</v>
      </c>
      <c r="AM1542" s="1759">
        <v>456</v>
      </c>
      <c r="AN1542" s="1759" t="s">
        <v>5470</v>
      </c>
      <c r="AO1542" s="1764"/>
      <c r="AP1542" s="1759"/>
      <c r="AQ1542" s="1759"/>
      <c r="AR1542" s="1759" t="s">
        <v>378</v>
      </c>
      <c r="AS1542" s="1759" t="s">
        <v>379</v>
      </c>
      <c r="AT1542" s="1759" t="s">
        <v>327</v>
      </c>
      <c r="AU1542" s="1763"/>
      <c r="AV1542" s="1763"/>
    </row>
    <row r="1543" spans="1:48" ht="14" hidden="1">
      <c r="A1543" s="1785" t="str">
        <f t="shared" si="253"/>
        <v>גמל</v>
      </c>
      <c r="B1543" s="1786">
        <f t="shared" si="254"/>
        <v>1351</v>
      </c>
      <c r="C1543" s="1787">
        <v>28946</v>
      </c>
      <c r="D1543" s="1786" t="str">
        <f t="shared" si="255"/>
        <v>כלל השתלמות שקלי טווח קצר</v>
      </c>
      <c r="E1543" s="1786" t="s">
        <v>3929</v>
      </c>
      <c r="F1543" s="1786" t="s">
        <v>2958</v>
      </c>
      <c r="G1543" s="1786" t="s">
        <v>2959</v>
      </c>
      <c r="H1543" s="1786" t="str">
        <f t="shared" si="256"/>
        <v>פעיל</v>
      </c>
      <c r="I1543" s="1788">
        <f t="shared" si="257"/>
        <v>33259</v>
      </c>
      <c r="J1543" s="1788" t="str">
        <f t="shared" si="258"/>
        <v/>
      </c>
      <c r="K1543" s="1786">
        <v>0</v>
      </c>
      <c r="L1543" s="1786" t="s">
        <v>1594</v>
      </c>
      <c r="M1543" s="1786" t="s">
        <v>1653</v>
      </c>
      <c r="N1543" s="1786" t="s">
        <v>1653</v>
      </c>
      <c r="O1543" s="1786">
        <v>0</v>
      </c>
      <c r="P1543" s="1786"/>
      <c r="Q1543" s="1786">
        <v>0</v>
      </c>
      <c r="R1543" s="1788"/>
      <c r="S1543" s="1786">
        <f t="shared" si="259"/>
        <v>456</v>
      </c>
      <c r="T1543" s="1786" t="str">
        <f t="shared" si="260"/>
        <v>בנק לאומי בע"מ</v>
      </c>
      <c r="U1543" s="1786" t="str">
        <f t="shared" si="261"/>
        <v>כלל השתלמות</v>
      </c>
      <c r="V1543" s="1786">
        <f t="shared" si="262"/>
        <v>0</v>
      </c>
      <c r="W1543" s="1789" t="str">
        <f t="shared" si="263"/>
        <v>כלל פנסיה וגמל בע"מ</v>
      </c>
      <c r="AC1543" s="1761" t="s">
        <v>346</v>
      </c>
      <c r="AD1543" s="1759"/>
      <c r="AE1543" s="1762">
        <v>33259</v>
      </c>
      <c r="AF1543" s="1761" t="s">
        <v>1673</v>
      </c>
      <c r="AG1543" s="1761" t="s">
        <v>1614</v>
      </c>
      <c r="AH1543" s="1761" t="s">
        <v>1594</v>
      </c>
      <c r="AI1543" s="1761" t="s">
        <v>2420</v>
      </c>
      <c r="AJ1543" s="1761" t="s">
        <v>2420</v>
      </c>
      <c r="AK1543" s="1761">
        <v>1351</v>
      </c>
      <c r="AL1543" s="1761" t="s">
        <v>555</v>
      </c>
      <c r="AM1543" s="1761">
        <v>456</v>
      </c>
      <c r="AN1543" s="1761" t="s">
        <v>5470</v>
      </c>
      <c r="AO1543" s="1764"/>
      <c r="AP1543" s="1761"/>
      <c r="AQ1543" s="1761"/>
      <c r="AR1543" s="1761" t="s">
        <v>378</v>
      </c>
      <c r="AS1543" s="1761" t="s">
        <v>379</v>
      </c>
      <c r="AT1543" s="1761" t="s">
        <v>327</v>
      </c>
      <c r="AU1543" s="1763"/>
      <c r="AV1543" s="1763"/>
    </row>
    <row r="1544" spans="1:48" ht="14" hidden="1">
      <c r="A1544" s="1785" t="str">
        <f t="shared" si="253"/>
        <v>גמל</v>
      </c>
      <c r="B1544" s="1786">
        <f t="shared" si="254"/>
        <v>1348</v>
      </c>
      <c r="C1544" s="1787">
        <v>28946</v>
      </c>
      <c r="D1544" s="1786" t="str">
        <f t="shared" si="255"/>
        <v>כלל השתלמות אג"ח צמוד מדד</v>
      </c>
      <c r="E1544" s="1786" t="s">
        <v>3929</v>
      </c>
      <c r="F1544" s="1786" t="s">
        <v>2958</v>
      </c>
      <c r="G1544" s="1786" t="s">
        <v>2959</v>
      </c>
      <c r="H1544" s="1786" t="str">
        <f t="shared" si="256"/>
        <v>פעיל</v>
      </c>
      <c r="I1544" s="1788">
        <f t="shared" si="257"/>
        <v>33259</v>
      </c>
      <c r="J1544" s="1788" t="str">
        <f t="shared" si="258"/>
        <v/>
      </c>
      <c r="K1544" s="1786">
        <v>0</v>
      </c>
      <c r="L1544" s="1786" t="s">
        <v>1594</v>
      </c>
      <c r="M1544" s="1786" t="s">
        <v>1653</v>
      </c>
      <c r="N1544" s="1786" t="s">
        <v>1653</v>
      </c>
      <c r="O1544" s="1786">
        <v>0</v>
      </c>
      <c r="P1544" s="1786"/>
      <c r="Q1544" s="1786">
        <v>0</v>
      </c>
      <c r="R1544" s="1788"/>
      <c r="S1544" s="1786">
        <f t="shared" si="259"/>
        <v>456</v>
      </c>
      <c r="T1544" s="1786" t="str">
        <f t="shared" si="260"/>
        <v>בנק לאומי בע"מ</v>
      </c>
      <c r="U1544" s="1786" t="str">
        <f t="shared" si="261"/>
        <v>כלל השתלמות</v>
      </c>
      <c r="V1544" s="1786">
        <f t="shared" si="262"/>
        <v>0</v>
      </c>
      <c r="W1544" s="1789" t="str">
        <f t="shared" si="263"/>
        <v>כלל פנסיה וגמל בע"מ</v>
      </c>
      <c r="AC1544" s="1759" t="s">
        <v>346</v>
      </c>
      <c r="AD1544" s="1759"/>
      <c r="AE1544" s="1760">
        <v>33259</v>
      </c>
      <c r="AF1544" s="1759" t="s">
        <v>1094</v>
      </c>
      <c r="AG1544" s="1759" t="s">
        <v>1094</v>
      </c>
      <c r="AH1544" s="1759" t="s">
        <v>1594</v>
      </c>
      <c r="AI1544" s="1759" t="s">
        <v>4065</v>
      </c>
      <c r="AJ1544" s="1759" t="s">
        <v>4065</v>
      </c>
      <c r="AK1544" s="1759">
        <v>1348</v>
      </c>
      <c r="AL1544" s="1759" t="s">
        <v>555</v>
      </c>
      <c r="AM1544" s="1759">
        <v>456</v>
      </c>
      <c r="AN1544" s="1759" t="s">
        <v>5470</v>
      </c>
      <c r="AO1544" s="1764"/>
      <c r="AP1544" s="1759"/>
      <c r="AQ1544" s="1759"/>
      <c r="AR1544" s="1759" t="s">
        <v>378</v>
      </c>
      <c r="AS1544" s="1759" t="s">
        <v>379</v>
      </c>
      <c r="AT1544" s="1759" t="s">
        <v>327</v>
      </c>
      <c r="AU1544" s="1763"/>
      <c r="AV1544" s="1763"/>
    </row>
    <row r="1545" spans="1:48" ht="37.5" hidden="1">
      <c r="A1545" s="1785" t="str">
        <f t="shared" si="253"/>
        <v>גמל</v>
      </c>
      <c r="B1545" s="1786">
        <f t="shared" si="254"/>
        <v>455</v>
      </c>
      <c r="C1545" s="1787">
        <v>28946</v>
      </c>
      <c r="D1545" s="1786" t="str">
        <f t="shared" si="255"/>
        <v>גמולה ג</v>
      </c>
      <c r="E1545" s="1786" t="s">
        <v>3929</v>
      </c>
      <c r="F1545" s="1786" t="s">
        <v>2958</v>
      </c>
      <c r="G1545" s="1786" t="s">
        <v>2959</v>
      </c>
      <c r="H1545" s="1786" t="str">
        <f t="shared" si="256"/>
        <v>לא פעיל</v>
      </c>
      <c r="I1545" s="1788">
        <f t="shared" si="257"/>
        <v>25569</v>
      </c>
      <c r="J1545" s="1788">
        <f t="shared" si="258"/>
        <v>25569</v>
      </c>
      <c r="K1545" s="1786">
        <v>0</v>
      </c>
      <c r="L1545" s="1786" t="s">
        <v>1594</v>
      </c>
      <c r="M1545" s="1786" t="s">
        <v>1653</v>
      </c>
      <c r="N1545" s="1786" t="s">
        <v>1653</v>
      </c>
      <c r="O1545" s="1786">
        <v>0</v>
      </c>
      <c r="P1545" s="1786"/>
      <c r="Q1545" s="1786">
        <v>0</v>
      </c>
      <c r="R1545" s="1788"/>
      <c r="S1545" s="1786">
        <f t="shared" si="259"/>
        <v>455</v>
      </c>
      <c r="T1545" s="1786" t="str">
        <f t="shared" si="260"/>
        <v>בנק לאומי בע"מ</v>
      </c>
      <c r="U1545" s="1786" t="str">
        <f t="shared" si="261"/>
        <v>גמולה ג</v>
      </c>
      <c r="V1545" s="1786">
        <f t="shared" si="262"/>
        <v>0</v>
      </c>
      <c r="W1545" s="1789" t="str">
        <f t="shared" si="263"/>
        <v>קופת התגמולים לעצמאים "עצמה" ליד בל"ל בע"מ</v>
      </c>
      <c r="AC1545" s="1761" t="s">
        <v>1586</v>
      </c>
      <c r="AD1545" s="1762">
        <v>25569</v>
      </c>
      <c r="AE1545" s="1762">
        <v>25569</v>
      </c>
      <c r="AF1545" s="1761" t="s">
        <v>1583</v>
      </c>
      <c r="AG1545" s="1761" t="s">
        <v>1583</v>
      </c>
      <c r="AH1545" s="1761" t="s">
        <v>1583</v>
      </c>
      <c r="AI1545" s="1761" t="s">
        <v>3128</v>
      </c>
      <c r="AJ1545" s="1761" t="s">
        <v>1834</v>
      </c>
      <c r="AK1545" s="1761">
        <v>455</v>
      </c>
      <c r="AL1545" s="1761" t="s">
        <v>1834</v>
      </c>
      <c r="AM1545" s="1761">
        <v>455</v>
      </c>
      <c r="AN1545" s="1761" t="s">
        <v>5470</v>
      </c>
      <c r="AO1545" s="1764"/>
      <c r="AP1545" s="1761"/>
      <c r="AQ1545" s="1761"/>
      <c r="AR1545" s="1761" t="s">
        <v>1661</v>
      </c>
      <c r="AS1545" s="1761" t="s">
        <v>1660</v>
      </c>
      <c r="AT1545" s="1761" t="s">
        <v>327</v>
      </c>
      <c r="AU1545" s="1763"/>
      <c r="AV1545" s="1763"/>
    </row>
    <row r="1546" spans="1:48" ht="37.5" hidden="1">
      <c r="A1546" s="1785" t="str">
        <f t="shared" si="253"/>
        <v>גמל</v>
      </c>
      <c r="B1546" s="1786">
        <f t="shared" si="254"/>
        <v>454</v>
      </c>
      <c r="C1546" s="1787">
        <v>28946</v>
      </c>
      <c r="D1546" s="1786" t="str">
        <f t="shared" si="255"/>
        <v>בר ג</v>
      </c>
      <c r="E1546" s="1786" t="s">
        <v>3929</v>
      </c>
      <c r="F1546" s="1786" t="s">
        <v>2958</v>
      </c>
      <c r="G1546" s="1786" t="s">
        <v>2959</v>
      </c>
      <c r="H1546" s="1786" t="str">
        <f t="shared" si="256"/>
        <v>לא פעיל</v>
      </c>
      <c r="I1546" s="1788">
        <f t="shared" si="257"/>
        <v>25569</v>
      </c>
      <c r="J1546" s="1788">
        <f t="shared" si="258"/>
        <v>25569</v>
      </c>
      <c r="K1546" s="1786">
        <v>0</v>
      </c>
      <c r="L1546" s="1786" t="s">
        <v>1594</v>
      </c>
      <c r="M1546" s="1786" t="s">
        <v>1653</v>
      </c>
      <c r="N1546" s="1786" t="s">
        <v>1653</v>
      </c>
      <c r="O1546" s="1786">
        <v>0</v>
      </c>
      <c r="P1546" s="1786"/>
      <c r="Q1546" s="1786">
        <v>0</v>
      </c>
      <c r="R1546" s="1788"/>
      <c r="S1546" s="1786">
        <f t="shared" si="259"/>
        <v>454</v>
      </c>
      <c r="T1546" s="1786" t="str">
        <f t="shared" si="260"/>
        <v>בנק לאומי בע"מ</v>
      </c>
      <c r="U1546" s="1786" t="str">
        <f t="shared" si="261"/>
        <v>בר ג</v>
      </c>
      <c r="V1546" s="1786">
        <f t="shared" si="262"/>
        <v>0</v>
      </c>
      <c r="W1546" s="1789" t="str">
        <f t="shared" si="263"/>
        <v>קופת התגמולים לעצמאים "עצמה" ליד בל"ל בע"מ</v>
      </c>
      <c r="AC1546" s="1759" t="s">
        <v>1586</v>
      </c>
      <c r="AD1546" s="1760">
        <v>25569</v>
      </c>
      <c r="AE1546" s="1760">
        <v>25569</v>
      </c>
      <c r="AF1546" s="1759" t="s">
        <v>1583</v>
      </c>
      <c r="AG1546" s="1759" t="s">
        <v>1583</v>
      </c>
      <c r="AH1546" s="1759" t="s">
        <v>1583</v>
      </c>
      <c r="AI1546" s="1759" t="s">
        <v>3127</v>
      </c>
      <c r="AJ1546" s="1759" t="s">
        <v>1833</v>
      </c>
      <c r="AK1546" s="1759">
        <v>454</v>
      </c>
      <c r="AL1546" s="1759" t="s">
        <v>1833</v>
      </c>
      <c r="AM1546" s="1759">
        <v>454</v>
      </c>
      <c r="AN1546" s="1759" t="s">
        <v>5470</v>
      </c>
      <c r="AO1546" s="1764"/>
      <c r="AP1546" s="1759"/>
      <c r="AQ1546" s="1759"/>
      <c r="AR1546" s="1759" t="s">
        <v>1661</v>
      </c>
      <c r="AS1546" s="1759" t="s">
        <v>1660</v>
      </c>
      <c r="AT1546" s="1759" t="s">
        <v>327</v>
      </c>
      <c r="AU1546" s="1763"/>
      <c r="AV1546" s="1763"/>
    </row>
    <row r="1547" spans="1:48" ht="37.5" hidden="1">
      <c r="A1547" s="1785" t="str">
        <f t="shared" si="253"/>
        <v>גמל</v>
      </c>
      <c r="B1547" s="1786">
        <f t="shared" si="254"/>
        <v>453</v>
      </c>
      <c r="C1547" s="1787">
        <v>28946</v>
      </c>
      <c r="D1547" s="1786" t="str">
        <f t="shared" si="255"/>
        <v>אמיר ד</v>
      </c>
      <c r="E1547" s="1786" t="s">
        <v>3929</v>
      </c>
      <c r="F1547" s="1786" t="s">
        <v>2958</v>
      </c>
      <c r="G1547" s="1786" t="s">
        <v>2959</v>
      </c>
      <c r="H1547" s="1786" t="str">
        <f t="shared" si="256"/>
        <v>לא פעיל</v>
      </c>
      <c r="I1547" s="1788">
        <f t="shared" si="257"/>
        <v>25569</v>
      </c>
      <c r="J1547" s="1788">
        <f t="shared" si="258"/>
        <v>25569</v>
      </c>
      <c r="K1547" s="1786">
        <v>0</v>
      </c>
      <c r="L1547" s="1786" t="s">
        <v>1594</v>
      </c>
      <c r="M1547" s="1786" t="s">
        <v>1653</v>
      </c>
      <c r="N1547" s="1786" t="s">
        <v>1653</v>
      </c>
      <c r="O1547" s="1786">
        <v>0</v>
      </c>
      <c r="P1547" s="1786"/>
      <c r="Q1547" s="1786">
        <v>0</v>
      </c>
      <c r="R1547" s="1788"/>
      <c r="S1547" s="1786">
        <f t="shared" si="259"/>
        <v>453</v>
      </c>
      <c r="T1547" s="1786" t="str">
        <f t="shared" si="260"/>
        <v>בנק לאומי בע"מ</v>
      </c>
      <c r="U1547" s="1786" t="str">
        <f t="shared" si="261"/>
        <v>אמיר ד</v>
      </c>
      <c r="V1547" s="1786">
        <f t="shared" si="262"/>
        <v>0</v>
      </c>
      <c r="W1547" s="1789" t="str">
        <f t="shared" si="263"/>
        <v>קופת התגמולים לעצמאים "עצמה" ליד בל"ל בע"מ</v>
      </c>
      <c r="AC1547" s="1761" t="s">
        <v>1586</v>
      </c>
      <c r="AD1547" s="1762">
        <v>25569</v>
      </c>
      <c r="AE1547" s="1762">
        <v>25569</v>
      </c>
      <c r="AF1547" s="1761" t="s">
        <v>1583</v>
      </c>
      <c r="AG1547" s="1761" t="s">
        <v>1583</v>
      </c>
      <c r="AH1547" s="1761" t="s">
        <v>1583</v>
      </c>
      <c r="AI1547" s="1761" t="s">
        <v>3126</v>
      </c>
      <c r="AJ1547" s="1761" t="s">
        <v>1832</v>
      </c>
      <c r="AK1547" s="1761">
        <v>453</v>
      </c>
      <c r="AL1547" s="1761" t="s">
        <v>1832</v>
      </c>
      <c r="AM1547" s="1761">
        <v>453</v>
      </c>
      <c r="AN1547" s="1761" t="s">
        <v>5470</v>
      </c>
      <c r="AO1547" s="1764"/>
      <c r="AP1547" s="1761"/>
      <c r="AQ1547" s="1761"/>
      <c r="AR1547" s="1761" t="s">
        <v>1661</v>
      </c>
      <c r="AS1547" s="1761" t="s">
        <v>1660</v>
      </c>
      <c r="AT1547" s="1761" t="s">
        <v>327</v>
      </c>
      <c r="AU1547" s="1763"/>
      <c r="AV1547" s="1763"/>
    </row>
    <row r="1548" spans="1:48" ht="37.5" hidden="1">
      <c r="A1548" s="1785" t="str">
        <f t="shared" si="253"/>
        <v>גמל</v>
      </c>
      <c r="B1548" s="1786">
        <f t="shared" si="254"/>
        <v>452</v>
      </c>
      <c r="C1548" s="1787">
        <v>28946</v>
      </c>
      <c r="D1548" s="1786" t="str">
        <f t="shared" si="255"/>
        <v>פלס ד</v>
      </c>
      <c r="E1548" s="1786" t="s">
        <v>3929</v>
      </c>
      <c r="F1548" s="1786" t="s">
        <v>2958</v>
      </c>
      <c r="G1548" s="1786" t="s">
        <v>2959</v>
      </c>
      <c r="H1548" s="1786" t="str">
        <f t="shared" si="256"/>
        <v>לא פעיל</v>
      </c>
      <c r="I1548" s="1788">
        <f t="shared" si="257"/>
        <v>25569</v>
      </c>
      <c r="J1548" s="1788">
        <f t="shared" si="258"/>
        <v>25569</v>
      </c>
      <c r="K1548" s="1786">
        <v>0</v>
      </c>
      <c r="L1548" s="1786" t="s">
        <v>1594</v>
      </c>
      <c r="M1548" s="1786" t="s">
        <v>1653</v>
      </c>
      <c r="N1548" s="1786" t="s">
        <v>1653</v>
      </c>
      <c r="O1548" s="1786">
        <v>0</v>
      </c>
      <c r="P1548" s="1786"/>
      <c r="Q1548" s="1786">
        <v>0</v>
      </c>
      <c r="R1548" s="1788"/>
      <c r="S1548" s="1786">
        <f t="shared" si="259"/>
        <v>452</v>
      </c>
      <c r="T1548" s="1786" t="str">
        <f t="shared" si="260"/>
        <v>בנק לאומי בע"מ</v>
      </c>
      <c r="U1548" s="1786" t="str">
        <f t="shared" si="261"/>
        <v>פלס ד</v>
      </c>
      <c r="V1548" s="1786">
        <f t="shared" si="262"/>
        <v>0</v>
      </c>
      <c r="W1548" s="1789" t="str">
        <f t="shared" si="263"/>
        <v>קופת התגמולים לעצמאים "עצמה" ליד בל"ל בע"מ</v>
      </c>
      <c r="AC1548" s="1759" t="s">
        <v>1586</v>
      </c>
      <c r="AD1548" s="1760">
        <v>25569</v>
      </c>
      <c r="AE1548" s="1760">
        <v>25569</v>
      </c>
      <c r="AF1548" s="1759" t="s">
        <v>1583</v>
      </c>
      <c r="AG1548" s="1759" t="s">
        <v>1583</v>
      </c>
      <c r="AH1548" s="1759" t="s">
        <v>1583</v>
      </c>
      <c r="AI1548" s="1759" t="s">
        <v>3125</v>
      </c>
      <c r="AJ1548" s="1759" t="s">
        <v>1831</v>
      </c>
      <c r="AK1548" s="1759">
        <v>452</v>
      </c>
      <c r="AL1548" s="1759" t="s">
        <v>1831</v>
      </c>
      <c r="AM1548" s="1759">
        <v>452</v>
      </c>
      <c r="AN1548" s="1759" t="s">
        <v>5470</v>
      </c>
      <c r="AO1548" s="1764"/>
      <c r="AP1548" s="1759"/>
      <c r="AQ1548" s="1759"/>
      <c r="AR1548" s="1759" t="s">
        <v>1661</v>
      </c>
      <c r="AS1548" s="1759" t="s">
        <v>1660</v>
      </c>
      <c r="AT1548" s="1759" t="s">
        <v>327</v>
      </c>
      <c r="AU1548" s="1763"/>
      <c r="AV1548" s="1763"/>
    </row>
    <row r="1549" spans="1:48" ht="37.5" hidden="1">
      <c r="A1549" s="1785" t="str">
        <f t="shared" si="253"/>
        <v>גמל</v>
      </c>
      <c r="B1549" s="1786">
        <f t="shared" si="254"/>
        <v>451</v>
      </c>
      <c r="C1549" s="1787">
        <v>28946</v>
      </c>
      <c r="D1549" s="1786" t="str">
        <f t="shared" si="255"/>
        <v>יתר ד</v>
      </c>
      <c r="E1549" s="1786" t="s">
        <v>3929</v>
      </c>
      <c r="F1549" s="1786" t="s">
        <v>2958</v>
      </c>
      <c r="G1549" s="1786" t="s">
        <v>2959</v>
      </c>
      <c r="H1549" s="1786" t="str">
        <f t="shared" si="256"/>
        <v>לא פעיל</v>
      </c>
      <c r="I1549" s="1788">
        <f t="shared" si="257"/>
        <v>25569</v>
      </c>
      <c r="J1549" s="1788">
        <f t="shared" si="258"/>
        <v>25569</v>
      </c>
      <c r="K1549" s="1786">
        <v>0</v>
      </c>
      <c r="L1549" s="1786" t="s">
        <v>1594</v>
      </c>
      <c r="M1549" s="1786" t="s">
        <v>1653</v>
      </c>
      <c r="N1549" s="1786" t="s">
        <v>1653</v>
      </c>
      <c r="O1549" s="1786">
        <v>0</v>
      </c>
      <c r="P1549" s="1786"/>
      <c r="Q1549" s="1786">
        <v>0</v>
      </c>
      <c r="R1549" s="1788"/>
      <c r="S1549" s="1786">
        <f t="shared" si="259"/>
        <v>451</v>
      </c>
      <c r="T1549" s="1786" t="str">
        <f t="shared" si="260"/>
        <v>בנק לאומי בע"מ</v>
      </c>
      <c r="U1549" s="1786" t="str">
        <f t="shared" si="261"/>
        <v>יתר ד</v>
      </c>
      <c r="V1549" s="1786">
        <f t="shared" si="262"/>
        <v>0</v>
      </c>
      <c r="W1549" s="1789" t="str">
        <f t="shared" si="263"/>
        <v>קופת התגמולים לעצמאים "עצמה" ליד בל"ל בע"מ</v>
      </c>
      <c r="AC1549" s="1761" t="s">
        <v>1586</v>
      </c>
      <c r="AD1549" s="1762">
        <v>25569</v>
      </c>
      <c r="AE1549" s="1762">
        <v>25569</v>
      </c>
      <c r="AF1549" s="1761" t="s">
        <v>1583</v>
      </c>
      <c r="AG1549" s="1761" t="s">
        <v>1583</v>
      </c>
      <c r="AH1549" s="1761" t="s">
        <v>1583</v>
      </c>
      <c r="AI1549" s="1761" t="s">
        <v>3124</v>
      </c>
      <c r="AJ1549" s="1761" t="s">
        <v>1830</v>
      </c>
      <c r="AK1549" s="1761">
        <v>451</v>
      </c>
      <c r="AL1549" s="1761" t="s">
        <v>1830</v>
      </c>
      <c r="AM1549" s="1761">
        <v>451</v>
      </c>
      <c r="AN1549" s="1761" t="s">
        <v>5470</v>
      </c>
      <c r="AO1549" s="1764"/>
      <c r="AP1549" s="1761"/>
      <c r="AQ1549" s="1761"/>
      <c r="AR1549" s="1761" t="s">
        <v>1661</v>
      </c>
      <c r="AS1549" s="1761" t="s">
        <v>1660</v>
      </c>
      <c r="AT1549" s="1761" t="s">
        <v>327</v>
      </c>
      <c r="AU1549" s="1763"/>
      <c r="AV1549" s="1763"/>
    </row>
    <row r="1550" spans="1:48" ht="25" hidden="1">
      <c r="A1550" s="1785" t="str">
        <f t="shared" si="253"/>
        <v>גמל</v>
      </c>
      <c r="B1550" s="1786">
        <f t="shared" si="254"/>
        <v>449</v>
      </c>
      <c r="C1550" s="1787">
        <v>28946</v>
      </c>
      <c r="D1550" s="1786" t="str">
        <f t="shared" si="255"/>
        <v>פסגות רקיע</v>
      </c>
      <c r="E1550" s="1786" t="s">
        <v>3929</v>
      </c>
      <c r="F1550" s="1786" t="s">
        <v>2958</v>
      </c>
      <c r="G1550" s="1786" t="s">
        <v>2959</v>
      </c>
      <c r="H1550" s="1786" t="str">
        <f t="shared" si="256"/>
        <v>לא פעיל</v>
      </c>
      <c r="I1550" s="1788">
        <f t="shared" si="257"/>
        <v>33025</v>
      </c>
      <c r="J1550" s="1788">
        <f t="shared" si="258"/>
        <v>40063</v>
      </c>
      <c r="K1550" s="1786">
        <v>0</v>
      </c>
      <c r="L1550" s="1786" t="s">
        <v>1594</v>
      </c>
      <c r="M1550" s="1786" t="s">
        <v>1653</v>
      </c>
      <c r="N1550" s="1786" t="s">
        <v>1653</v>
      </c>
      <c r="O1550" s="1786">
        <v>0</v>
      </c>
      <c r="P1550" s="1786"/>
      <c r="Q1550" s="1786">
        <v>0</v>
      </c>
      <c r="R1550" s="1788"/>
      <c r="S1550" s="1786">
        <f t="shared" si="259"/>
        <v>449</v>
      </c>
      <c r="T1550" s="1786" t="str">
        <f t="shared" si="260"/>
        <v>בנק לאומי בע"מ</v>
      </c>
      <c r="U1550" s="1786" t="str">
        <f t="shared" si="261"/>
        <v>פסגות רקיע</v>
      </c>
      <c r="V1550" s="1786" t="str">
        <f t="shared" si="262"/>
        <v>513767079</v>
      </c>
      <c r="W1550" s="1789" t="str">
        <f t="shared" si="263"/>
        <v>פסגות קופות גמל ופנסיה בע"מ</v>
      </c>
      <c r="AC1550" s="1759" t="s">
        <v>1586</v>
      </c>
      <c r="AD1550" s="1760">
        <v>40063</v>
      </c>
      <c r="AE1550" s="1760">
        <v>33025</v>
      </c>
      <c r="AF1550" s="1759" t="s">
        <v>1583</v>
      </c>
      <c r="AG1550" s="1759" t="s">
        <v>1583</v>
      </c>
      <c r="AH1550" s="1759" t="s">
        <v>1583</v>
      </c>
      <c r="AI1550" s="1759" t="s">
        <v>1828</v>
      </c>
      <c r="AJ1550" s="1759" t="s">
        <v>1828</v>
      </c>
      <c r="AK1550" s="1759">
        <v>449</v>
      </c>
      <c r="AL1550" s="1759" t="s">
        <v>1828</v>
      </c>
      <c r="AM1550" s="1759">
        <v>449</v>
      </c>
      <c r="AN1550" s="1759" t="s">
        <v>5470</v>
      </c>
      <c r="AO1550" s="1764"/>
      <c r="AP1550" s="1759" t="s">
        <v>5365</v>
      </c>
      <c r="AQ1550" s="1759" t="s">
        <v>5366</v>
      </c>
      <c r="AR1550" s="1759" t="s">
        <v>351</v>
      </c>
      <c r="AS1550" s="1759" t="s">
        <v>352</v>
      </c>
      <c r="AT1550" s="1759" t="s">
        <v>327</v>
      </c>
      <c r="AU1550" s="1763"/>
      <c r="AV1550" s="1763"/>
    </row>
    <row r="1551" spans="1:48" ht="25" hidden="1">
      <c r="A1551" s="1785" t="str">
        <f t="shared" si="253"/>
        <v>גמל</v>
      </c>
      <c r="B1551" s="1786">
        <f t="shared" si="254"/>
        <v>1006</v>
      </c>
      <c r="C1551" s="1787">
        <v>28946</v>
      </c>
      <c r="D1551" s="1786" t="str">
        <f t="shared" si="255"/>
        <v>להיט - חו"ל</v>
      </c>
      <c r="E1551" s="1786" t="s">
        <v>3929</v>
      </c>
      <c r="F1551" s="1786" t="s">
        <v>2958</v>
      </c>
      <c r="G1551" s="1786" t="s">
        <v>2959</v>
      </c>
      <c r="H1551" s="1786" t="str">
        <f t="shared" si="256"/>
        <v>לא פעיל</v>
      </c>
      <c r="I1551" s="1788">
        <f t="shared" si="257"/>
        <v>33036</v>
      </c>
      <c r="J1551" s="1788">
        <f t="shared" si="258"/>
        <v>39538</v>
      </c>
      <c r="K1551" s="1786">
        <v>0</v>
      </c>
      <c r="L1551" s="1786" t="s">
        <v>1594</v>
      </c>
      <c r="M1551" s="1786" t="s">
        <v>1653</v>
      </c>
      <c r="N1551" s="1786" t="s">
        <v>1653</v>
      </c>
      <c r="O1551" s="1786">
        <v>0</v>
      </c>
      <c r="P1551" s="1786"/>
      <c r="Q1551" s="1786">
        <v>0</v>
      </c>
      <c r="R1551" s="1788"/>
      <c r="S1551" s="1786">
        <f t="shared" si="259"/>
        <v>448</v>
      </c>
      <c r="T1551" s="1786" t="str">
        <f t="shared" si="260"/>
        <v>בנק מזרחי טפחות בע"מ</v>
      </c>
      <c r="U1551" s="1786" t="str">
        <f t="shared" si="261"/>
        <v>להיט קופה לתגמולים ופיצויים כללי</v>
      </c>
      <c r="V1551" s="1786" t="str">
        <f t="shared" si="262"/>
        <v>511446551</v>
      </c>
      <c r="W1551" s="1789" t="str">
        <f t="shared" si="263"/>
        <v>אלטשולר שחם גמל ופנסיה בע"מ</v>
      </c>
      <c r="AC1551" s="1761" t="s">
        <v>1586</v>
      </c>
      <c r="AD1551" s="1762">
        <v>39538</v>
      </c>
      <c r="AE1551" s="1762">
        <v>33036</v>
      </c>
      <c r="AF1551" s="1761" t="s">
        <v>1948</v>
      </c>
      <c r="AG1551" s="1761" t="s">
        <v>1947</v>
      </c>
      <c r="AH1551" s="1761" t="s">
        <v>1594</v>
      </c>
      <c r="AI1551" s="1761" t="s">
        <v>3459</v>
      </c>
      <c r="AJ1551" s="1761" t="s">
        <v>2201</v>
      </c>
      <c r="AK1551" s="1761">
        <v>1006</v>
      </c>
      <c r="AL1551" s="1761" t="s">
        <v>554</v>
      </c>
      <c r="AM1551" s="1761">
        <v>448</v>
      </c>
      <c r="AN1551" s="1761" t="s">
        <v>5370</v>
      </c>
      <c r="AO1551" s="1764"/>
      <c r="AP1551" s="1761" t="s">
        <v>5375</v>
      </c>
      <c r="AQ1551" s="1761" t="s">
        <v>5376</v>
      </c>
      <c r="AR1551" s="1761" t="s">
        <v>2963</v>
      </c>
      <c r="AS1551" s="1761" t="s">
        <v>523</v>
      </c>
      <c r="AT1551" s="1761" t="s">
        <v>327</v>
      </c>
      <c r="AU1551" s="1763"/>
      <c r="AV1551" s="1763"/>
    </row>
    <row r="1552" spans="1:48" ht="25" hidden="1">
      <c r="A1552" s="1785" t="str">
        <f t="shared" si="253"/>
        <v>גמל</v>
      </c>
      <c r="B1552" s="1786">
        <f t="shared" si="254"/>
        <v>645</v>
      </c>
      <c r="C1552" s="1787">
        <v>28946</v>
      </c>
      <c r="D1552" s="1786" t="str">
        <f t="shared" si="255"/>
        <v>להיט - שקלי</v>
      </c>
      <c r="E1552" s="1786" t="s">
        <v>3929</v>
      </c>
      <c r="F1552" s="1786" t="s">
        <v>2958</v>
      </c>
      <c r="G1552" s="1786" t="s">
        <v>2959</v>
      </c>
      <c r="H1552" s="1786" t="str">
        <f t="shared" si="256"/>
        <v>לא פעיל</v>
      </c>
      <c r="I1552" s="1788">
        <f t="shared" si="257"/>
        <v>33036</v>
      </c>
      <c r="J1552" s="1788">
        <f t="shared" si="258"/>
        <v>39538</v>
      </c>
      <c r="K1552" s="1786">
        <v>0</v>
      </c>
      <c r="L1552" s="1786" t="s">
        <v>1594</v>
      </c>
      <c r="M1552" s="1786" t="s">
        <v>1653</v>
      </c>
      <c r="N1552" s="1786" t="s">
        <v>1653</v>
      </c>
      <c r="O1552" s="1786">
        <v>0</v>
      </c>
      <c r="P1552" s="1786"/>
      <c r="Q1552" s="1786">
        <v>0</v>
      </c>
      <c r="R1552" s="1788"/>
      <c r="S1552" s="1786">
        <f t="shared" si="259"/>
        <v>448</v>
      </c>
      <c r="T1552" s="1786" t="str">
        <f t="shared" si="260"/>
        <v>בנק מזרחי טפחות בע"מ</v>
      </c>
      <c r="U1552" s="1786" t="str">
        <f t="shared" si="261"/>
        <v>להיט קופה לתגמולים ופיצויים כללי</v>
      </c>
      <c r="V1552" s="1786" t="str">
        <f t="shared" si="262"/>
        <v>511446551</v>
      </c>
      <c r="W1552" s="1789" t="str">
        <f t="shared" si="263"/>
        <v>אלטשולר שחם גמל ופנסיה בע"מ</v>
      </c>
      <c r="AC1552" s="1759" t="s">
        <v>1586</v>
      </c>
      <c r="AD1552" s="1760">
        <v>39538</v>
      </c>
      <c r="AE1552" s="1760">
        <v>33036</v>
      </c>
      <c r="AF1552" s="1759" t="s">
        <v>1076</v>
      </c>
      <c r="AG1552" s="1759" t="s">
        <v>1614</v>
      </c>
      <c r="AH1552" s="1759" t="s">
        <v>1594</v>
      </c>
      <c r="AI1552" s="1759" t="s">
        <v>1944</v>
      </c>
      <c r="AJ1552" s="1759" t="s">
        <v>1944</v>
      </c>
      <c r="AK1552" s="1759">
        <v>645</v>
      </c>
      <c r="AL1552" s="1759" t="s">
        <v>554</v>
      </c>
      <c r="AM1552" s="1759">
        <v>448</v>
      </c>
      <c r="AN1552" s="1759" t="s">
        <v>5370</v>
      </c>
      <c r="AO1552" s="1764"/>
      <c r="AP1552" s="1759" t="s">
        <v>5375</v>
      </c>
      <c r="AQ1552" s="1759" t="s">
        <v>5376</v>
      </c>
      <c r="AR1552" s="1759" t="s">
        <v>2963</v>
      </c>
      <c r="AS1552" s="1759" t="s">
        <v>523</v>
      </c>
      <c r="AT1552" s="1759" t="s">
        <v>327</v>
      </c>
      <c r="AU1552" s="1763"/>
      <c r="AV1552" s="1763"/>
    </row>
    <row r="1553" spans="1:48" ht="25" hidden="1">
      <c r="A1553" s="1785" t="str">
        <f t="shared" si="253"/>
        <v>גמל</v>
      </c>
      <c r="B1553" s="1786">
        <f t="shared" si="254"/>
        <v>646</v>
      </c>
      <c r="C1553" s="1787">
        <v>28946</v>
      </c>
      <c r="D1553" s="1786" t="str">
        <f t="shared" si="255"/>
        <v>להיט - מט"ח</v>
      </c>
      <c r="E1553" s="1786" t="s">
        <v>3929</v>
      </c>
      <c r="F1553" s="1786" t="s">
        <v>2958</v>
      </c>
      <c r="G1553" s="1786" t="s">
        <v>2959</v>
      </c>
      <c r="H1553" s="1786" t="str">
        <f t="shared" si="256"/>
        <v>לא פעיל</v>
      </c>
      <c r="I1553" s="1788">
        <f t="shared" si="257"/>
        <v>33036</v>
      </c>
      <c r="J1553" s="1788">
        <f t="shared" si="258"/>
        <v>39267.317476851902</v>
      </c>
      <c r="K1553" s="1786">
        <v>0</v>
      </c>
      <c r="L1553" s="1786" t="s">
        <v>1594</v>
      </c>
      <c r="M1553" s="1786" t="s">
        <v>1653</v>
      </c>
      <c r="N1553" s="1786" t="s">
        <v>1653</v>
      </c>
      <c r="O1553" s="1786">
        <v>0</v>
      </c>
      <c r="P1553" s="1786"/>
      <c r="Q1553" s="1786">
        <v>0</v>
      </c>
      <c r="R1553" s="1788"/>
      <c r="S1553" s="1786">
        <f t="shared" si="259"/>
        <v>448</v>
      </c>
      <c r="T1553" s="1786" t="str">
        <f t="shared" si="260"/>
        <v>בנק מזרחי טפחות בע"מ</v>
      </c>
      <c r="U1553" s="1786" t="str">
        <f t="shared" si="261"/>
        <v>להיט קופה לתגמולים ופיצויים כללי</v>
      </c>
      <c r="V1553" s="1786" t="str">
        <f t="shared" si="262"/>
        <v>511446551</v>
      </c>
      <c r="W1553" s="1789" t="str">
        <f t="shared" si="263"/>
        <v>אלטשולר שחם גמל ופנסיה בע"מ</v>
      </c>
      <c r="AC1553" s="1761" t="s">
        <v>1586</v>
      </c>
      <c r="AD1553" s="1762">
        <v>39267.317476851902</v>
      </c>
      <c r="AE1553" s="1762">
        <v>33036</v>
      </c>
      <c r="AF1553" s="1761" t="s">
        <v>1611</v>
      </c>
      <c r="AG1553" s="1761" t="s">
        <v>1611</v>
      </c>
      <c r="AH1553" s="1761" t="s">
        <v>1594</v>
      </c>
      <c r="AI1553" s="1761" t="s">
        <v>3231</v>
      </c>
      <c r="AJ1553" s="1761" t="s">
        <v>1945</v>
      </c>
      <c r="AK1553" s="1761">
        <v>646</v>
      </c>
      <c r="AL1553" s="1761" t="s">
        <v>554</v>
      </c>
      <c r="AM1553" s="1761">
        <v>448</v>
      </c>
      <c r="AN1553" s="1761" t="s">
        <v>5370</v>
      </c>
      <c r="AO1553" s="1764"/>
      <c r="AP1553" s="1761" t="s">
        <v>5375</v>
      </c>
      <c r="AQ1553" s="1761" t="s">
        <v>5376</v>
      </c>
      <c r="AR1553" s="1761" t="s">
        <v>2963</v>
      </c>
      <c r="AS1553" s="1761" t="s">
        <v>523</v>
      </c>
      <c r="AT1553" s="1761" t="s">
        <v>327</v>
      </c>
      <c r="AU1553" s="1763"/>
      <c r="AV1553" s="1763"/>
    </row>
    <row r="1554" spans="1:48" ht="25" hidden="1">
      <c r="A1554" s="1785" t="str">
        <f t="shared" si="253"/>
        <v>גמל</v>
      </c>
      <c r="B1554" s="1786">
        <f t="shared" si="254"/>
        <v>1153</v>
      </c>
      <c r="C1554" s="1787">
        <v>28946</v>
      </c>
      <c r="D1554" s="1786" t="str">
        <f t="shared" si="255"/>
        <v>להיט כללי ב'</v>
      </c>
      <c r="E1554" s="1786" t="s">
        <v>3929</v>
      </c>
      <c r="F1554" s="1786" t="s">
        <v>2958</v>
      </c>
      <c r="G1554" s="1786" t="s">
        <v>2959</v>
      </c>
      <c r="H1554" s="1786" t="str">
        <f t="shared" si="256"/>
        <v>לא פעיל</v>
      </c>
      <c r="I1554" s="1788">
        <f t="shared" si="257"/>
        <v>33036</v>
      </c>
      <c r="J1554" s="1788">
        <f t="shared" si="258"/>
        <v>39538</v>
      </c>
      <c r="K1554" s="1786">
        <v>0</v>
      </c>
      <c r="L1554" s="1786" t="s">
        <v>1594</v>
      </c>
      <c r="M1554" s="1786" t="s">
        <v>1653</v>
      </c>
      <c r="N1554" s="1786" t="s">
        <v>1653</v>
      </c>
      <c r="O1554" s="1786">
        <v>0</v>
      </c>
      <c r="P1554" s="1786"/>
      <c r="Q1554" s="1786">
        <v>0</v>
      </c>
      <c r="R1554" s="1788"/>
      <c r="S1554" s="1786">
        <f t="shared" si="259"/>
        <v>448</v>
      </c>
      <c r="T1554" s="1786" t="str">
        <f t="shared" si="260"/>
        <v>בנק מזרחי טפחות בע"מ</v>
      </c>
      <c r="U1554" s="1786" t="str">
        <f t="shared" si="261"/>
        <v>להיט קופה לתגמולים ופיצויים כללי</v>
      </c>
      <c r="V1554" s="1786" t="str">
        <f t="shared" si="262"/>
        <v>511446551</v>
      </c>
      <c r="W1554" s="1789" t="str">
        <f t="shared" si="263"/>
        <v>אלטשולר שחם גמל ופנסיה בע"מ</v>
      </c>
      <c r="AC1554" s="1759" t="s">
        <v>1586</v>
      </c>
      <c r="AD1554" s="1760">
        <v>39538</v>
      </c>
      <c r="AE1554" s="1760">
        <v>33036</v>
      </c>
      <c r="AF1554" s="1759" t="s">
        <v>1583</v>
      </c>
      <c r="AG1554" s="1759" t="s">
        <v>1583</v>
      </c>
      <c r="AH1554" s="1759" t="s">
        <v>1583</v>
      </c>
      <c r="AI1554" s="1759" t="s">
        <v>2302</v>
      </c>
      <c r="AJ1554" s="1759" t="s">
        <v>2302</v>
      </c>
      <c r="AK1554" s="1759">
        <v>1153</v>
      </c>
      <c r="AL1554" s="1759" t="s">
        <v>554</v>
      </c>
      <c r="AM1554" s="1759">
        <v>448</v>
      </c>
      <c r="AN1554" s="1759" t="s">
        <v>5370</v>
      </c>
      <c r="AO1554" s="1764"/>
      <c r="AP1554" s="1759" t="s">
        <v>5375</v>
      </c>
      <c r="AQ1554" s="1759" t="s">
        <v>5376</v>
      </c>
      <c r="AR1554" s="1759" t="s">
        <v>2963</v>
      </c>
      <c r="AS1554" s="1759" t="s">
        <v>523</v>
      </c>
      <c r="AT1554" s="1759" t="s">
        <v>327</v>
      </c>
      <c r="AU1554" s="1763"/>
      <c r="AV1554" s="1763"/>
    </row>
    <row r="1555" spans="1:48" ht="25" hidden="1">
      <c r="A1555" s="1785" t="str">
        <f t="shared" si="253"/>
        <v>גמל</v>
      </c>
      <c r="B1555" s="1786">
        <f t="shared" si="254"/>
        <v>109</v>
      </c>
      <c r="C1555" s="1787">
        <v>28946</v>
      </c>
      <c r="D1555" s="1786" t="str">
        <f t="shared" si="255"/>
        <v>להיט - מניות</v>
      </c>
      <c r="E1555" s="1786" t="s">
        <v>3929</v>
      </c>
      <c r="F1555" s="1786" t="s">
        <v>2958</v>
      </c>
      <c r="G1555" s="1786" t="s">
        <v>2959</v>
      </c>
      <c r="H1555" s="1786" t="str">
        <f t="shared" si="256"/>
        <v>לא פעיל</v>
      </c>
      <c r="I1555" s="1788">
        <f t="shared" si="257"/>
        <v>33036</v>
      </c>
      <c r="J1555" s="1788">
        <f t="shared" si="258"/>
        <v>41560.501944444397</v>
      </c>
      <c r="K1555" s="1786">
        <v>0</v>
      </c>
      <c r="L1555" s="1786" t="s">
        <v>1594</v>
      </c>
      <c r="M1555" s="1786" t="s">
        <v>1653</v>
      </c>
      <c r="N1555" s="1786" t="s">
        <v>1653</v>
      </c>
      <c r="O1555" s="1786">
        <v>0</v>
      </c>
      <c r="P1555" s="1786"/>
      <c r="Q1555" s="1786">
        <v>0</v>
      </c>
      <c r="R1555" s="1788"/>
      <c r="S1555" s="1786">
        <f t="shared" si="259"/>
        <v>448</v>
      </c>
      <c r="T1555" s="1786" t="str">
        <f t="shared" si="260"/>
        <v>בנק מזרחי טפחות בע"מ</v>
      </c>
      <c r="U1555" s="1786" t="str">
        <f t="shared" si="261"/>
        <v>להיט קופה לתגמולים ופיצויים כללי</v>
      </c>
      <c r="V1555" s="1786" t="str">
        <f t="shared" si="262"/>
        <v>511446551</v>
      </c>
      <c r="W1555" s="1789" t="str">
        <f t="shared" si="263"/>
        <v>אלטשולר שחם גמל ופנסיה בע"מ</v>
      </c>
      <c r="AC1555" s="1761" t="s">
        <v>1586</v>
      </c>
      <c r="AD1555" s="1762">
        <v>41560.501944444397</v>
      </c>
      <c r="AE1555" s="1762">
        <v>33036</v>
      </c>
      <c r="AF1555" s="1761" t="s">
        <v>1595</v>
      </c>
      <c r="AG1555" s="1761" t="s">
        <v>75</v>
      </c>
      <c r="AH1555" s="1761" t="s">
        <v>1594</v>
      </c>
      <c r="AI1555" s="1761" t="s">
        <v>2962</v>
      </c>
      <c r="AJ1555" s="1761" t="s">
        <v>1593</v>
      </c>
      <c r="AK1555" s="1761">
        <v>109</v>
      </c>
      <c r="AL1555" s="1761" t="s">
        <v>554</v>
      </c>
      <c r="AM1555" s="1761">
        <v>448</v>
      </c>
      <c r="AN1555" s="1761" t="s">
        <v>5370</v>
      </c>
      <c r="AO1555" s="1764"/>
      <c r="AP1555" s="1761" t="s">
        <v>5375</v>
      </c>
      <c r="AQ1555" s="1761" t="s">
        <v>5376</v>
      </c>
      <c r="AR1555" s="1761" t="s">
        <v>2963</v>
      </c>
      <c r="AS1555" s="1761" t="s">
        <v>523</v>
      </c>
      <c r="AT1555" s="1761" t="s">
        <v>327</v>
      </c>
      <c r="AU1555" s="1763"/>
      <c r="AV1555" s="1763"/>
    </row>
    <row r="1556" spans="1:48" ht="25" hidden="1">
      <c r="A1556" s="1785" t="str">
        <f t="shared" si="253"/>
        <v>גמל</v>
      </c>
      <c r="B1556" s="1786">
        <f t="shared" si="254"/>
        <v>1402</v>
      </c>
      <c r="C1556" s="1787">
        <v>28946</v>
      </c>
      <c r="D1556" s="1786" t="str">
        <f t="shared" si="255"/>
        <v>להיט קופה לתגמולים ופיצויים מסלול שקלי</v>
      </c>
      <c r="E1556" s="1786" t="s">
        <v>3929</v>
      </c>
      <c r="F1556" s="1786" t="s">
        <v>2958</v>
      </c>
      <c r="G1556" s="1786" t="s">
        <v>2959</v>
      </c>
      <c r="H1556" s="1786" t="str">
        <f t="shared" si="256"/>
        <v>לא פעיל</v>
      </c>
      <c r="I1556" s="1788">
        <f t="shared" si="257"/>
        <v>33036</v>
      </c>
      <c r="J1556" s="1788">
        <f t="shared" si="258"/>
        <v>41602.433391203696</v>
      </c>
      <c r="K1556" s="1786">
        <v>0</v>
      </c>
      <c r="L1556" s="1786" t="s">
        <v>1594</v>
      </c>
      <c r="M1556" s="1786" t="s">
        <v>1653</v>
      </c>
      <c r="N1556" s="1786" t="s">
        <v>1653</v>
      </c>
      <c r="O1556" s="1786">
        <v>0</v>
      </c>
      <c r="P1556" s="1786"/>
      <c r="Q1556" s="1786">
        <v>0</v>
      </c>
      <c r="R1556" s="1788"/>
      <c r="S1556" s="1786">
        <f t="shared" si="259"/>
        <v>448</v>
      </c>
      <c r="T1556" s="1786" t="str">
        <f t="shared" si="260"/>
        <v>בנק מזרחי טפחות בע"מ</v>
      </c>
      <c r="U1556" s="1786" t="str">
        <f t="shared" si="261"/>
        <v>להיט קופה לתגמולים ופיצויים כללי</v>
      </c>
      <c r="V1556" s="1786" t="str">
        <f t="shared" si="262"/>
        <v>511446551</v>
      </c>
      <c r="W1556" s="1789" t="str">
        <f t="shared" si="263"/>
        <v>אלטשולר שחם גמל ופנסיה בע"מ</v>
      </c>
      <c r="AC1556" s="1759" t="s">
        <v>1586</v>
      </c>
      <c r="AD1556" s="1760">
        <v>41602.433391203696</v>
      </c>
      <c r="AE1556" s="1760">
        <v>33036</v>
      </c>
      <c r="AF1556" s="1759" t="s">
        <v>1076</v>
      </c>
      <c r="AG1556" s="1759" t="s">
        <v>1614</v>
      </c>
      <c r="AH1556" s="1759" t="s">
        <v>1594</v>
      </c>
      <c r="AI1556" s="1759" t="s">
        <v>3626</v>
      </c>
      <c r="AJ1556" s="1759" t="s">
        <v>2445</v>
      </c>
      <c r="AK1556" s="1759">
        <v>1402</v>
      </c>
      <c r="AL1556" s="1759" t="s">
        <v>554</v>
      </c>
      <c r="AM1556" s="1759">
        <v>448</v>
      </c>
      <c r="AN1556" s="1759" t="s">
        <v>5370</v>
      </c>
      <c r="AO1556" s="1764"/>
      <c r="AP1556" s="1759" t="s">
        <v>5375</v>
      </c>
      <c r="AQ1556" s="1759" t="s">
        <v>5376</v>
      </c>
      <c r="AR1556" s="1759" t="s">
        <v>2963</v>
      </c>
      <c r="AS1556" s="1759" t="s">
        <v>523</v>
      </c>
      <c r="AT1556" s="1759" t="s">
        <v>327</v>
      </c>
      <c r="AU1556" s="1763"/>
      <c r="AV1556" s="1763"/>
    </row>
    <row r="1557" spans="1:48" ht="25" hidden="1">
      <c r="A1557" s="1785" t="str">
        <f t="shared" si="253"/>
        <v>גמל</v>
      </c>
      <c r="B1557" s="1786">
        <f t="shared" si="254"/>
        <v>1403</v>
      </c>
      <c r="C1557" s="1787">
        <v>28946</v>
      </c>
      <c r="D1557" s="1786" t="str">
        <f t="shared" si="255"/>
        <v>להיט קופה לתגמולים ופיצויים מסלול אג"ח ממשלתי</v>
      </c>
      <c r="E1557" s="1786" t="s">
        <v>3929</v>
      </c>
      <c r="F1557" s="1786" t="s">
        <v>2958</v>
      </c>
      <c r="G1557" s="1786" t="s">
        <v>2959</v>
      </c>
      <c r="H1557" s="1786" t="str">
        <f t="shared" si="256"/>
        <v>לא פעיל</v>
      </c>
      <c r="I1557" s="1788">
        <f t="shared" si="257"/>
        <v>33036</v>
      </c>
      <c r="J1557" s="1788">
        <f t="shared" si="258"/>
        <v>41602.433391203696</v>
      </c>
      <c r="K1557" s="1786">
        <v>0</v>
      </c>
      <c r="L1557" s="1786" t="s">
        <v>1594</v>
      </c>
      <c r="M1557" s="1786" t="s">
        <v>1653</v>
      </c>
      <c r="N1557" s="1786" t="s">
        <v>1653</v>
      </c>
      <c r="O1557" s="1786">
        <v>0</v>
      </c>
      <c r="P1557" s="1786"/>
      <c r="Q1557" s="1786">
        <v>0</v>
      </c>
      <c r="R1557" s="1788"/>
      <c r="S1557" s="1786">
        <f t="shared" si="259"/>
        <v>448</v>
      </c>
      <c r="T1557" s="1786" t="str">
        <f t="shared" si="260"/>
        <v>בנק מזרחי טפחות בע"מ</v>
      </c>
      <c r="U1557" s="1786" t="str">
        <f t="shared" si="261"/>
        <v>להיט קופה לתגמולים ופיצויים כללי</v>
      </c>
      <c r="V1557" s="1786" t="str">
        <f t="shared" si="262"/>
        <v>511446551</v>
      </c>
      <c r="W1557" s="1789" t="str">
        <f t="shared" si="263"/>
        <v>אלטשולר שחם גמל ופנסיה בע"מ</v>
      </c>
      <c r="AC1557" s="1761" t="s">
        <v>1586</v>
      </c>
      <c r="AD1557" s="1762">
        <v>41602.433391203696</v>
      </c>
      <c r="AE1557" s="1762">
        <v>33036</v>
      </c>
      <c r="AF1557" s="1761" t="s">
        <v>2009</v>
      </c>
      <c r="AG1557" s="1761" t="s">
        <v>1653</v>
      </c>
      <c r="AH1557" s="1761" t="s">
        <v>1594</v>
      </c>
      <c r="AI1557" s="1761" t="s">
        <v>3627</v>
      </c>
      <c r="AJ1557" s="1761" t="s">
        <v>2446</v>
      </c>
      <c r="AK1557" s="1761">
        <v>1403</v>
      </c>
      <c r="AL1557" s="1761" t="s">
        <v>554</v>
      </c>
      <c r="AM1557" s="1761">
        <v>448</v>
      </c>
      <c r="AN1557" s="1761" t="s">
        <v>5370</v>
      </c>
      <c r="AO1557" s="1764"/>
      <c r="AP1557" s="1761" t="s">
        <v>5375</v>
      </c>
      <c r="AQ1557" s="1761" t="s">
        <v>5376</v>
      </c>
      <c r="AR1557" s="1761" t="s">
        <v>2963</v>
      </c>
      <c r="AS1557" s="1761" t="s">
        <v>523</v>
      </c>
      <c r="AT1557" s="1761" t="s">
        <v>327</v>
      </c>
      <c r="AU1557" s="1763"/>
      <c r="AV1557" s="1763"/>
    </row>
    <row r="1558" spans="1:48" ht="25" hidden="1">
      <c r="A1558" s="1785" t="str">
        <f t="shared" si="253"/>
        <v>גמל</v>
      </c>
      <c r="B1558" s="1786">
        <f t="shared" si="254"/>
        <v>448</v>
      </c>
      <c r="C1558" s="1787">
        <v>28946</v>
      </c>
      <c r="D1558" s="1786" t="str">
        <f t="shared" si="255"/>
        <v>להיט קופה לתגמולים ופיצויים כללי</v>
      </c>
      <c r="E1558" s="1786" t="s">
        <v>3929</v>
      </c>
      <c r="F1558" s="1786" t="s">
        <v>2958</v>
      </c>
      <c r="G1558" s="1786" t="s">
        <v>2959</v>
      </c>
      <c r="H1558" s="1786" t="str">
        <f t="shared" si="256"/>
        <v>לא פעיל</v>
      </c>
      <c r="I1558" s="1788">
        <f t="shared" si="257"/>
        <v>33036</v>
      </c>
      <c r="J1558" s="1788">
        <f t="shared" si="258"/>
        <v>41560.501458333303</v>
      </c>
      <c r="K1558" s="1786">
        <v>0</v>
      </c>
      <c r="L1558" s="1786" t="s">
        <v>1594</v>
      </c>
      <c r="M1558" s="1786" t="s">
        <v>1653</v>
      </c>
      <c r="N1558" s="1786" t="s">
        <v>1653</v>
      </c>
      <c r="O1558" s="1786">
        <v>0</v>
      </c>
      <c r="P1558" s="1786"/>
      <c r="Q1558" s="1786">
        <v>0</v>
      </c>
      <c r="R1558" s="1788"/>
      <c r="S1558" s="1786">
        <f t="shared" si="259"/>
        <v>448</v>
      </c>
      <c r="T1558" s="1786" t="str">
        <f t="shared" si="260"/>
        <v>בנק מזרחי טפחות בע"מ</v>
      </c>
      <c r="U1558" s="1786" t="str">
        <f t="shared" si="261"/>
        <v>להיט קופה לתגמולים ופיצויים כללי</v>
      </c>
      <c r="V1558" s="1786" t="str">
        <f t="shared" si="262"/>
        <v>511446551</v>
      </c>
      <c r="W1558" s="1789" t="str">
        <f t="shared" si="263"/>
        <v>אלטשולר שחם גמל ופנסיה בע"מ</v>
      </c>
      <c r="AC1558" s="1759" t="s">
        <v>1586</v>
      </c>
      <c r="AD1558" s="1760">
        <v>41560.501458333303</v>
      </c>
      <c r="AE1558" s="1760">
        <v>33036</v>
      </c>
      <c r="AF1558" s="1759" t="s">
        <v>1583</v>
      </c>
      <c r="AG1558" s="1759" t="s">
        <v>1583</v>
      </c>
      <c r="AH1558" s="1759" t="s">
        <v>1583</v>
      </c>
      <c r="AI1558" s="1759" t="s">
        <v>3123</v>
      </c>
      <c r="AJ1558" s="1759" t="s">
        <v>554</v>
      </c>
      <c r="AK1558" s="1759">
        <v>448</v>
      </c>
      <c r="AL1558" s="1759" t="s">
        <v>554</v>
      </c>
      <c r="AM1558" s="1759">
        <v>448</v>
      </c>
      <c r="AN1558" s="1759" t="s">
        <v>5370</v>
      </c>
      <c r="AO1558" s="1764"/>
      <c r="AP1558" s="1759" t="s">
        <v>5375</v>
      </c>
      <c r="AQ1558" s="1759" t="s">
        <v>5376</v>
      </c>
      <c r="AR1558" s="1759" t="s">
        <v>2963</v>
      </c>
      <c r="AS1558" s="1759" t="s">
        <v>523</v>
      </c>
      <c r="AT1558" s="1759" t="s">
        <v>327</v>
      </c>
      <c r="AU1558" s="1763"/>
      <c r="AV1558" s="1763"/>
    </row>
    <row r="1559" spans="1:48" ht="37.5">
      <c r="A1559" s="1785" t="str">
        <f t="shared" ref="A1559:A1622" si="264">AT1559</f>
        <v>פנסיה</v>
      </c>
      <c r="B1559" s="1786">
        <f t="shared" ref="B1559:B1622" si="265">AK1559</f>
        <v>8742</v>
      </c>
      <c r="C1559" s="1787">
        <v>28946</v>
      </c>
      <c r="D1559" s="1786" t="str">
        <f t="shared" ref="D1559:D1622" si="266">AJ1559</f>
        <v>כללי - ותיקים</v>
      </c>
      <c r="E1559" s="1786" t="s">
        <v>3929</v>
      </c>
      <c r="F1559" s="1786" t="s">
        <v>2958</v>
      </c>
      <c r="G1559" s="1786" t="s">
        <v>2959</v>
      </c>
      <c r="H1559" s="1786" t="str">
        <f t="shared" ref="H1559:H1622" si="267">AC1559</f>
        <v>פעיל</v>
      </c>
      <c r="I1559" s="1788">
        <f t="shared" ref="I1559:I1622" si="268">IF(AE1559="","",AE1559)</f>
        <v>35431</v>
      </c>
      <c r="J1559" s="1788" t="str">
        <f t="shared" ref="J1559:J1622" si="269">IF(AD1559="","",AD1559)</f>
        <v/>
      </c>
      <c r="K1559" s="1786">
        <v>0</v>
      </c>
      <c r="L1559" s="1786" t="s">
        <v>1594</v>
      </c>
      <c r="M1559" s="1786" t="s">
        <v>1653</v>
      </c>
      <c r="N1559" s="1786" t="s">
        <v>1653</v>
      </c>
      <c r="O1559" s="1786">
        <v>0</v>
      </c>
      <c r="P1559" s="1786"/>
      <c r="Q1559" s="1786">
        <v>0</v>
      </c>
      <c r="R1559" s="1788"/>
      <c r="S1559" s="1786">
        <f t="shared" ref="S1559:S1622" si="270">AM1559</f>
        <v>447</v>
      </c>
      <c r="T1559" s="1786">
        <f t="shared" ref="T1559:T1622" si="271">AN1559</f>
        <v>0</v>
      </c>
      <c r="U1559" s="1786" t="str">
        <f t="shared" ref="U1559:U1622" si="272">AL1559</f>
        <v>עתידית קופת פנסיה בע"מ</v>
      </c>
      <c r="V1559" s="1786" t="str">
        <f t="shared" ref="V1559:V1622" si="273">AQ1559</f>
        <v>520033986</v>
      </c>
      <c r="W1559" s="1789" t="str">
        <f t="shared" ref="W1559:W1622" si="274">AR1559</f>
        <v>לעתיד חברה לניהול קרנות פנסיה בע"מ</v>
      </c>
      <c r="AC1559" s="1761" t="s">
        <v>346</v>
      </c>
      <c r="AD1559" s="1761"/>
      <c r="AE1559" s="1762">
        <v>35431</v>
      </c>
      <c r="AF1559" s="1761" t="s">
        <v>1583</v>
      </c>
      <c r="AG1559" s="1761" t="s">
        <v>1583</v>
      </c>
      <c r="AH1559" s="1761" t="s">
        <v>1583</v>
      </c>
      <c r="AI1559" s="1761" t="s">
        <v>3741</v>
      </c>
      <c r="AJ1559" s="1761" t="s">
        <v>3741</v>
      </c>
      <c r="AK1559" s="1761">
        <v>8742</v>
      </c>
      <c r="AL1559" s="1761" t="s">
        <v>2586</v>
      </c>
      <c r="AM1559" s="1761">
        <v>447</v>
      </c>
      <c r="AN1559" s="1761"/>
      <c r="AO1559" s="1764"/>
      <c r="AP1559" s="1761" t="s">
        <v>5396</v>
      </c>
      <c r="AQ1559" s="1761" t="s">
        <v>5397</v>
      </c>
      <c r="AR1559" s="1761" t="s">
        <v>2588</v>
      </c>
      <c r="AS1559" s="1761" t="s">
        <v>2587</v>
      </c>
      <c r="AT1559" s="1761" t="s">
        <v>328</v>
      </c>
      <c r="AU1559" s="1763"/>
      <c r="AV1559" s="1763"/>
    </row>
    <row r="1560" spans="1:48" ht="37.5">
      <c r="A1560" s="1785" t="str">
        <f t="shared" si="264"/>
        <v>פנסיה</v>
      </c>
      <c r="B1560" s="1786">
        <f t="shared" si="265"/>
        <v>8741</v>
      </c>
      <c r="C1560" s="1787">
        <v>28946</v>
      </c>
      <c r="D1560" s="1786" t="str">
        <f t="shared" si="266"/>
        <v>כללי - דור ביינים</v>
      </c>
      <c r="E1560" s="1786" t="s">
        <v>3929</v>
      </c>
      <c r="F1560" s="1786" t="s">
        <v>2958</v>
      </c>
      <c r="G1560" s="1786" t="s">
        <v>2959</v>
      </c>
      <c r="H1560" s="1786" t="str">
        <f t="shared" si="267"/>
        <v>פעיל</v>
      </c>
      <c r="I1560" s="1788">
        <f t="shared" si="268"/>
        <v>35431</v>
      </c>
      <c r="J1560" s="1788" t="str">
        <f t="shared" si="269"/>
        <v/>
      </c>
      <c r="K1560" s="1786">
        <v>0</v>
      </c>
      <c r="L1560" s="1786" t="s">
        <v>1594</v>
      </c>
      <c r="M1560" s="1786" t="s">
        <v>1653</v>
      </c>
      <c r="N1560" s="1786" t="s">
        <v>1653</v>
      </c>
      <c r="O1560" s="1786">
        <v>0</v>
      </c>
      <c r="P1560" s="1786"/>
      <c r="Q1560" s="1786">
        <v>0</v>
      </c>
      <c r="R1560" s="1788"/>
      <c r="S1560" s="1786">
        <f t="shared" si="270"/>
        <v>447</v>
      </c>
      <c r="T1560" s="1786">
        <f t="shared" si="271"/>
        <v>0</v>
      </c>
      <c r="U1560" s="1786" t="str">
        <f t="shared" si="272"/>
        <v>עתידית קופת פנסיה בע"מ</v>
      </c>
      <c r="V1560" s="1786" t="str">
        <f t="shared" si="273"/>
        <v>520033986</v>
      </c>
      <c r="W1560" s="1789" t="str">
        <f t="shared" si="274"/>
        <v>לעתיד חברה לניהול קרנות פנסיה בע"מ</v>
      </c>
      <c r="AC1560" s="1759" t="s">
        <v>346</v>
      </c>
      <c r="AD1560" s="1759"/>
      <c r="AE1560" s="1760">
        <v>35431</v>
      </c>
      <c r="AF1560" s="1759" t="s">
        <v>1583</v>
      </c>
      <c r="AG1560" s="1759" t="s">
        <v>1583</v>
      </c>
      <c r="AH1560" s="1759" t="s">
        <v>1583</v>
      </c>
      <c r="AI1560" s="1759" t="s">
        <v>3740</v>
      </c>
      <c r="AJ1560" s="1759" t="s">
        <v>3740</v>
      </c>
      <c r="AK1560" s="1759">
        <v>8741</v>
      </c>
      <c r="AL1560" s="1759" t="s">
        <v>2586</v>
      </c>
      <c r="AM1560" s="1759">
        <v>447</v>
      </c>
      <c r="AN1560" s="1759"/>
      <c r="AO1560" s="1764"/>
      <c r="AP1560" s="1759" t="s">
        <v>5396</v>
      </c>
      <c r="AQ1560" s="1759" t="s">
        <v>5397</v>
      </c>
      <c r="AR1560" s="1759" t="s">
        <v>2588</v>
      </c>
      <c r="AS1560" s="1759" t="s">
        <v>2587</v>
      </c>
      <c r="AT1560" s="1759" t="s">
        <v>328</v>
      </c>
      <c r="AU1560" s="1763"/>
      <c r="AV1560" s="1763"/>
    </row>
    <row r="1561" spans="1:48" ht="25" hidden="1">
      <c r="A1561" s="1785" t="str">
        <f t="shared" si="264"/>
        <v>גמל</v>
      </c>
      <c r="B1561" s="1786">
        <f t="shared" si="265"/>
        <v>446</v>
      </c>
      <c r="C1561" s="1787">
        <v>28946</v>
      </c>
      <c r="D1561" s="1786" t="str">
        <f t="shared" si="266"/>
        <v>רווחה קופת גמל לתגמולים ופיצויים</v>
      </c>
      <c r="E1561" s="1786" t="s">
        <v>3929</v>
      </c>
      <c r="F1561" s="1786" t="s">
        <v>2958</v>
      </c>
      <c r="G1561" s="1786" t="s">
        <v>2959</v>
      </c>
      <c r="H1561" s="1786" t="str">
        <f t="shared" si="267"/>
        <v>לא פעיל</v>
      </c>
      <c r="I1561" s="1788">
        <f t="shared" si="268"/>
        <v>32874</v>
      </c>
      <c r="J1561" s="1788">
        <f t="shared" si="269"/>
        <v>39636</v>
      </c>
      <c r="K1561" s="1786">
        <v>0</v>
      </c>
      <c r="L1561" s="1786" t="s">
        <v>1594</v>
      </c>
      <c r="M1561" s="1786" t="s">
        <v>1653</v>
      </c>
      <c r="N1561" s="1786" t="s">
        <v>1653</v>
      </c>
      <c r="O1561" s="1786">
        <v>0</v>
      </c>
      <c r="P1561" s="1786"/>
      <c r="Q1561" s="1786">
        <v>0</v>
      </c>
      <c r="R1561" s="1788"/>
      <c r="S1561" s="1786">
        <f t="shared" si="270"/>
        <v>446</v>
      </c>
      <c r="T1561" s="1786" t="str">
        <f t="shared" si="271"/>
        <v>בנק מזרחי טפחות בע"מ</v>
      </c>
      <c r="U1561" s="1786" t="str">
        <f t="shared" si="272"/>
        <v>רווחה קופת גמל לתגמולים ופיצויים</v>
      </c>
      <c r="V1561" s="1786">
        <f t="shared" si="273"/>
        <v>0</v>
      </c>
      <c r="W1561" s="1789" t="str">
        <f t="shared" si="274"/>
        <v>סמל חברה לניהול קופות גמל בע"מ</v>
      </c>
      <c r="AC1561" s="1761" t="s">
        <v>1586</v>
      </c>
      <c r="AD1561" s="1762">
        <v>39636</v>
      </c>
      <c r="AE1561" s="1762">
        <v>32874</v>
      </c>
      <c r="AF1561" s="1761" t="s">
        <v>1583</v>
      </c>
      <c r="AG1561" s="1761" t="s">
        <v>1583</v>
      </c>
      <c r="AH1561" s="1761" t="s">
        <v>1583</v>
      </c>
      <c r="AI1561" s="1761" t="s">
        <v>3122</v>
      </c>
      <c r="AJ1561" s="1761" t="s">
        <v>1827</v>
      </c>
      <c r="AK1561" s="1761">
        <v>446</v>
      </c>
      <c r="AL1561" s="1761" t="s">
        <v>1827</v>
      </c>
      <c r="AM1561" s="1761">
        <v>446</v>
      </c>
      <c r="AN1561" s="1761" t="s">
        <v>5370</v>
      </c>
      <c r="AO1561" s="1764"/>
      <c r="AP1561" s="1761"/>
      <c r="AQ1561" s="1761"/>
      <c r="AR1561" s="1761" t="s">
        <v>1826</v>
      </c>
      <c r="AS1561" s="1761" t="s">
        <v>1825</v>
      </c>
      <c r="AT1561" s="1761" t="s">
        <v>327</v>
      </c>
      <c r="AU1561" s="1763"/>
      <c r="AV1561" s="1763"/>
    </row>
    <row r="1562" spans="1:48" ht="25" hidden="1">
      <c r="A1562" s="1785" t="str">
        <f t="shared" si="264"/>
        <v>גמל</v>
      </c>
      <c r="B1562" s="1786">
        <f t="shared" si="265"/>
        <v>445</v>
      </c>
      <c r="C1562" s="1787">
        <v>28946</v>
      </c>
      <c r="D1562" s="1786" t="str">
        <f t="shared" si="266"/>
        <v>מכלול קופת מרכזית לפיצויים</v>
      </c>
      <c r="E1562" s="1786" t="s">
        <v>3929</v>
      </c>
      <c r="F1562" s="1786" t="s">
        <v>2958</v>
      </c>
      <c r="G1562" s="1786" t="s">
        <v>2959</v>
      </c>
      <c r="H1562" s="1786" t="str">
        <f t="shared" si="267"/>
        <v>לא פעיל</v>
      </c>
      <c r="I1562" s="1788">
        <f t="shared" si="268"/>
        <v>32874</v>
      </c>
      <c r="J1562" s="1788">
        <f t="shared" si="269"/>
        <v>39636</v>
      </c>
      <c r="K1562" s="1786">
        <v>0</v>
      </c>
      <c r="L1562" s="1786" t="s">
        <v>1594</v>
      </c>
      <c r="M1562" s="1786" t="s">
        <v>1653</v>
      </c>
      <c r="N1562" s="1786" t="s">
        <v>1653</v>
      </c>
      <c r="O1562" s="1786">
        <v>0</v>
      </c>
      <c r="P1562" s="1786"/>
      <c r="Q1562" s="1786">
        <v>0</v>
      </c>
      <c r="R1562" s="1788"/>
      <c r="S1562" s="1786">
        <f t="shared" si="270"/>
        <v>445</v>
      </c>
      <c r="T1562" s="1786" t="str">
        <f t="shared" si="271"/>
        <v>בנק מזרחי טפחות בע"מ</v>
      </c>
      <c r="U1562" s="1786" t="str">
        <f t="shared" si="272"/>
        <v>מכלול קופת מרכזית לפיצויים</v>
      </c>
      <c r="V1562" s="1786">
        <f t="shared" si="273"/>
        <v>0</v>
      </c>
      <c r="W1562" s="1789" t="str">
        <f t="shared" si="274"/>
        <v>סמל חברה לניהול קופות גמל בע"מ</v>
      </c>
      <c r="AC1562" s="1759" t="s">
        <v>1586</v>
      </c>
      <c r="AD1562" s="1760">
        <v>39636</v>
      </c>
      <c r="AE1562" s="1760">
        <v>32874</v>
      </c>
      <c r="AF1562" s="1759" t="s">
        <v>1583</v>
      </c>
      <c r="AG1562" s="1759" t="s">
        <v>1583</v>
      </c>
      <c r="AH1562" s="1759" t="s">
        <v>1583</v>
      </c>
      <c r="AI1562" s="1759" t="s">
        <v>3121</v>
      </c>
      <c r="AJ1562" s="1759" t="s">
        <v>1824</v>
      </c>
      <c r="AK1562" s="1759">
        <v>445</v>
      </c>
      <c r="AL1562" s="1759" t="s">
        <v>1824</v>
      </c>
      <c r="AM1562" s="1759">
        <v>445</v>
      </c>
      <c r="AN1562" s="1759" t="s">
        <v>5370</v>
      </c>
      <c r="AO1562" s="1764"/>
      <c r="AP1562" s="1759"/>
      <c r="AQ1562" s="1759"/>
      <c r="AR1562" s="1759" t="s">
        <v>1826</v>
      </c>
      <c r="AS1562" s="1759" t="s">
        <v>1825</v>
      </c>
      <c r="AT1562" s="1759" t="s">
        <v>327</v>
      </c>
      <c r="AU1562" s="1763"/>
      <c r="AV1562" s="1763"/>
    </row>
    <row r="1563" spans="1:48" ht="25" hidden="1">
      <c r="A1563" s="1785" t="str">
        <f t="shared" si="264"/>
        <v>גמל</v>
      </c>
      <c r="B1563" s="1786">
        <f t="shared" si="265"/>
        <v>460</v>
      </c>
      <c r="C1563" s="1787">
        <v>28946</v>
      </c>
      <c r="D1563" s="1786" t="str">
        <f t="shared" si="266"/>
        <v>כלל איתן כללי דגש חזק</v>
      </c>
      <c r="E1563" s="1786" t="s">
        <v>3929</v>
      </c>
      <c r="F1563" s="1786" t="s">
        <v>2958</v>
      </c>
      <c r="G1563" s="1786" t="s">
        <v>2959</v>
      </c>
      <c r="H1563" s="1786" t="str">
        <f t="shared" si="267"/>
        <v>לא פעיל</v>
      </c>
      <c r="I1563" s="1788">
        <f t="shared" si="268"/>
        <v>31953</v>
      </c>
      <c r="J1563" s="1788">
        <f t="shared" si="269"/>
        <v>41655.464861111097</v>
      </c>
      <c r="K1563" s="1786">
        <v>0</v>
      </c>
      <c r="L1563" s="1786" t="s">
        <v>1594</v>
      </c>
      <c r="M1563" s="1786" t="s">
        <v>1653</v>
      </c>
      <c r="N1563" s="1786" t="s">
        <v>1653</v>
      </c>
      <c r="O1563" s="1786">
        <v>0</v>
      </c>
      <c r="P1563" s="1786"/>
      <c r="Q1563" s="1786">
        <v>0</v>
      </c>
      <c r="R1563" s="1788"/>
      <c r="S1563" s="1786">
        <f t="shared" si="270"/>
        <v>444</v>
      </c>
      <c r="T1563" s="1786" t="str">
        <f t="shared" si="271"/>
        <v>ד.ס.ש ייעוץ ושירותים בע"מ</v>
      </c>
      <c r="U1563" s="1786" t="str">
        <f t="shared" si="272"/>
        <v>כלל איתן</v>
      </c>
      <c r="V1563" s="1786">
        <f t="shared" si="273"/>
        <v>0</v>
      </c>
      <c r="W1563" s="1789" t="str">
        <f t="shared" si="274"/>
        <v>כלל פנסיה וגמל בע"מ</v>
      </c>
      <c r="AC1563" s="1761" t="s">
        <v>1586</v>
      </c>
      <c r="AD1563" s="1762">
        <v>41655.464861111097</v>
      </c>
      <c r="AE1563" s="1762">
        <v>31953</v>
      </c>
      <c r="AF1563" s="1761" t="s">
        <v>1583</v>
      </c>
      <c r="AG1563" s="1761" t="s">
        <v>1583</v>
      </c>
      <c r="AH1563" s="1761" t="s">
        <v>1583</v>
      </c>
      <c r="AI1563" s="1761" t="s">
        <v>1840</v>
      </c>
      <c r="AJ1563" s="1761" t="s">
        <v>1840</v>
      </c>
      <c r="AK1563" s="1761">
        <v>460</v>
      </c>
      <c r="AL1563" s="1761" t="s">
        <v>553</v>
      </c>
      <c r="AM1563" s="1761">
        <v>444</v>
      </c>
      <c r="AN1563" s="1761" t="s">
        <v>5393</v>
      </c>
      <c r="AO1563" s="1764"/>
      <c r="AP1563" s="1761"/>
      <c r="AQ1563" s="1761"/>
      <c r="AR1563" s="1761" t="s">
        <v>378</v>
      </c>
      <c r="AS1563" s="1761" t="s">
        <v>379</v>
      </c>
      <c r="AT1563" s="1761" t="s">
        <v>327</v>
      </c>
      <c r="AU1563" s="1763"/>
      <c r="AV1563" s="1763"/>
    </row>
    <row r="1564" spans="1:48" ht="25" hidden="1">
      <c r="A1564" s="1785" t="str">
        <f t="shared" si="264"/>
        <v>גמל</v>
      </c>
      <c r="B1564" s="1786">
        <f t="shared" si="265"/>
        <v>444</v>
      </c>
      <c r="C1564" s="1787">
        <v>28946</v>
      </c>
      <c r="D1564" s="1786" t="str">
        <f t="shared" si="266"/>
        <v>כלל איתן כללי</v>
      </c>
      <c r="E1564" s="1786" t="s">
        <v>3929</v>
      </c>
      <c r="F1564" s="1786" t="s">
        <v>2958</v>
      </c>
      <c r="G1564" s="1786" t="s">
        <v>2959</v>
      </c>
      <c r="H1564" s="1786" t="str">
        <f t="shared" si="267"/>
        <v>לא פעיל</v>
      </c>
      <c r="I1564" s="1788">
        <f t="shared" si="268"/>
        <v>31953</v>
      </c>
      <c r="J1564" s="1788">
        <f t="shared" si="269"/>
        <v>41651.451886574097</v>
      </c>
      <c r="K1564" s="1786">
        <v>0</v>
      </c>
      <c r="L1564" s="1786" t="s">
        <v>1594</v>
      </c>
      <c r="M1564" s="1786" t="s">
        <v>1653</v>
      </c>
      <c r="N1564" s="1786" t="s">
        <v>1653</v>
      </c>
      <c r="O1564" s="1786">
        <v>0</v>
      </c>
      <c r="P1564" s="1786"/>
      <c r="Q1564" s="1786">
        <v>0</v>
      </c>
      <c r="R1564" s="1788"/>
      <c r="S1564" s="1786">
        <f t="shared" si="270"/>
        <v>444</v>
      </c>
      <c r="T1564" s="1786" t="str">
        <f t="shared" si="271"/>
        <v>ד.ס.ש ייעוץ ושירותים בע"מ</v>
      </c>
      <c r="U1564" s="1786" t="str">
        <f t="shared" si="272"/>
        <v>כלל איתן</v>
      </c>
      <c r="V1564" s="1786">
        <f t="shared" si="273"/>
        <v>0</v>
      </c>
      <c r="W1564" s="1789" t="str">
        <f t="shared" si="274"/>
        <v>כלל פנסיה וגמל בע"מ</v>
      </c>
      <c r="AC1564" s="1759" t="s">
        <v>1586</v>
      </c>
      <c r="AD1564" s="1760">
        <v>41651.451886574097</v>
      </c>
      <c r="AE1564" s="1760">
        <v>31953</v>
      </c>
      <c r="AF1564" s="1759" t="s">
        <v>1583</v>
      </c>
      <c r="AG1564" s="1759" t="s">
        <v>1583</v>
      </c>
      <c r="AH1564" s="1759" t="s">
        <v>1583</v>
      </c>
      <c r="AI1564" s="1759" t="s">
        <v>1823</v>
      </c>
      <c r="AJ1564" s="1759" t="s">
        <v>1823</v>
      </c>
      <c r="AK1564" s="1759">
        <v>444</v>
      </c>
      <c r="AL1564" s="1759" t="s">
        <v>553</v>
      </c>
      <c r="AM1564" s="1759">
        <v>444</v>
      </c>
      <c r="AN1564" s="1759" t="s">
        <v>5393</v>
      </c>
      <c r="AO1564" s="1764"/>
      <c r="AP1564" s="1759"/>
      <c r="AQ1564" s="1759"/>
      <c r="AR1564" s="1759" t="s">
        <v>378</v>
      </c>
      <c r="AS1564" s="1759" t="s">
        <v>379</v>
      </c>
      <c r="AT1564" s="1759" t="s">
        <v>327</v>
      </c>
      <c r="AU1564" s="1763"/>
      <c r="AV1564" s="1763"/>
    </row>
    <row r="1565" spans="1:48" ht="25" hidden="1">
      <c r="A1565" s="1785" t="str">
        <f t="shared" si="264"/>
        <v>גמל</v>
      </c>
      <c r="B1565" s="1786">
        <f t="shared" si="265"/>
        <v>443</v>
      </c>
      <c r="C1565" s="1787">
        <v>28946</v>
      </c>
      <c r="D1565" s="1786" t="str">
        <f t="shared" si="266"/>
        <v>כלל גמל קופה מרכזית לפיצויים</v>
      </c>
      <c r="E1565" s="1786" t="s">
        <v>3929</v>
      </c>
      <c r="F1565" s="1786" t="s">
        <v>2958</v>
      </c>
      <c r="G1565" s="1786" t="s">
        <v>2959</v>
      </c>
      <c r="H1565" s="1786" t="str">
        <f t="shared" si="267"/>
        <v>פעיל</v>
      </c>
      <c r="I1565" s="1788">
        <f t="shared" si="268"/>
        <v>31957</v>
      </c>
      <c r="J1565" s="1788" t="str">
        <f t="shared" si="269"/>
        <v/>
      </c>
      <c r="K1565" s="1786">
        <v>0</v>
      </c>
      <c r="L1565" s="1786" t="s">
        <v>1594</v>
      </c>
      <c r="M1565" s="1786" t="s">
        <v>1653</v>
      </c>
      <c r="N1565" s="1786" t="s">
        <v>1653</v>
      </c>
      <c r="O1565" s="1786">
        <v>0</v>
      </c>
      <c r="P1565" s="1786"/>
      <c r="Q1565" s="1786">
        <v>0</v>
      </c>
      <c r="R1565" s="1788"/>
      <c r="S1565" s="1786">
        <f t="shared" si="270"/>
        <v>443</v>
      </c>
      <c r="T1565" s="1786" t="str">
        <f t="shared" si="271"/>
        <v>ד.ס.ש ייעוץ ושירותים בע"מ</v>
      </c>
      <c r="U1565" s="1786" t="str">
        <f t="shared" si="272"/>
        <v>כלל גמל קופה מרכזית לפיצויים</v>
      </c>
      <c r="V1565" s="1786">
        <f t="shared" si="273"/>
        <v>0</v>
      </c>
      <c r="W1565" s="1789" t="str">
        <f t="shared" si="274"/>
        <v>כלל פנסיה וגמל בע"מ</v>
      </c>
      <c r="AC1565" s="1761" t="s">
        <v>346</v>
      </c>
      <c r="AD1565" s="1761"/>
      <c r="AE1565" s="1762">
        <v>31957</v>
      </c>
      <c r="AF1565" s="1761" t="s">
        <v>1583</v>
      </c>
      <c r="AG1565" s="1761" t="s">
        <v>1583</v>
      </c>
      <c r="AH1565" s="1761" t="s">
        <v>1583</v>
      </c>
      <c r="AI1565" s="1761" t="s">
        <v>3120</v>
      </c>
      <c r="AJ1565" s="1761" t="s">
        <v>552</v>
      </c>
      <c r="AK1565" s="1761">
        <v>443</v>
      </c>
      <c r="AL1565" s="1761" t="s">
        <v>552</v>
      </c>
      <c r="AM1565" s="1761">
        <v>443</v>
      </c>
      <c r="AN1565" s="1761" t="s">
        <v>5393</v>
      </c>
      <c r="AO1565" s="1764"/>
      <c r="AP1565" s="1761"/>
      <c r="AQ1565" s="1761"/>
      <c r="AR1565" s="1761" t="s">
        <v>378</v>
      </c>
      <c r="AS1565" s="1761" t="s">
        <v>379</v>
      </c>
      <c r="AT1565" s="1761" t="s">
        <v>327</v>
      </c>
      <c r="AU1565" s="1763"/>
      <c r="AV1565" s="1763"/>
    </row>
    <row r="1566" spans="1:48" ht="25" hidden="1">
      <c r="A1566" s="1785" t="str">
        <f t="shared" si="264"/>
        <v>גמל</v>
      </c>
      <c r="B1566" s="1786">
        <f t="shared" si="265"/>
        <v>442</v>
      </c>
      <c r="C1566" s="1787">
        <v>28946</v>
      </c>
      <c r="D1566" s="1786" t="str">
        <f t="shared" si="266"/>
        <v>תדיראן קופה מרכזית לפיצויים</v>
      </c>
      <c r="E1566" s="1786" t="s">
        <v>3929</v>
      </c>
      <c r="F1566" s="1786" t="s">
        <v>2958</v>
      </c>
      <c r="G1566" s="1786" t="s">
        <v>2959</v>
      </c>
      <c r="H1566" s="1786" t="str">
        <f t="shared" si="267"/>
        <v>לא פעיל</v>
      </c>
      <c r="I1566" s="1788">
        <f t="shared" si="268"/>
        <v>25569</v>
      </c>
      <c r="J1566" s="1788">
        <f t="shared" si="269"/>
        <v>35775</v>
      </c>
      <c r="K1566" s="1786">
        <v>0</v>
      </c>
      <c r="L1566" s="1786" t="s">
        <v>1594</v>
      </c>
      <c r="M1566" s="1786" t="s">
        <v>1653</v>
      </c>
      <c r="N1566" s="1786" t="s">
        <v>1653</v>
      </c>
      <c r="O1566" s="1786">
        <v>0</v>
      </c>
      <c r="P1566" s="1786"/>
      <c r="Q1566" s="1786">
        <v>0</v>
      </c>
      <c r="R1566" s="1788"/>
      <c r="S1566" s="1786">
        <f t="shared" si="270"/>
        <v>442</v>
      </c>
      <c r="T1566" s="1786">
        <f t="shared" si="271"/>
        <v>0</v>
      </c>
      <c r="U1566" s="1786" t="str">
        <f t="shared" si="272"/>
        <v>תדיראן קופה מרכזית לפיצויים</v>
      </c>
      <c r="V1566" s="1786">
        <f t="shared" si="273"/>
        <v>0</v>
      </c>
      <c r="W1566" s="1789" t="str">
        <f t="shared" si="274"/>
        <v>תדיראן בע"מ</v>
      </c>
      <c r="AC1566" s="1759" t="s">
        <v>1586</v>
      </c>
      <c r="AD1566" s="1760">
        <v>35775</v>
      </c>
      <c r="AE1566" s="1760">
        <v>25569</v>
      </c>
      <c r="AF1566" s="1759" t="s">
        <v>1583</v>
      </c>
      <c r="AG1566" s="1759" t="s">
        <v>1583</v>
      </c>
      <c r="AH1566" s="1759" t="s">
        <v>1583</v>
      </c>
      <c r="AI1566" s="1759" t="s">
        <v>3119</v>
      </c>
      <c r="AJ1566" s="1759" t="s">
        <v>1822</v>
      </c>
      <c r="AK1566" s="1759">
        <v>442</v>
      </c>
      <c r="AL1566" s="1759" t="s">
        <v>1822</v>
      </c>
      <c r="AM1566" s="1759">
        <v>442</v>
      </c>
      <c r="AN1566" s="1759"/>
      <c r="AO1566" s="1764"/>
      <c r="AP1566" s="1759"/>
      <c r="AQ1566" s="1759"/>
      <c r="AR1566" s="1759" t="s">
        <v>1746</v>
      </c>
      <c r="AS1566" s="1759" t="s">
        <v>1745</v>
      </c>
      <c r="AT1566" s="1759" t="s">
        <v>327</v>
      </c>
      <c r="AU1566" s="1763"/>
      <c r="AV1566" s="1763"/>
    </row>
    <row r="1567" spans="1:48" ht="25" hidden="1">
      <c r="A1567" s="1785" t="str">
        <f t="shared" si="264"/>
        <v>גמל</v>
      </c>
      <c r="B1567" s="1786">
        <f t="shared" si="265"/>
        <v>441</v>
      </c>
      <c r="C1567" s="1787">
        <v>28946</v>
      </c>
      <c r="D1567" s="1786" t="str">
        <f t="shared" si="266"/>
        <v>מנורה מרכזית לפיצויים מורג</v>
      </c>
      <c r="E1567" s="1786" t="s">
        <v>3929</v>
      </c>
      <c r="F1567" s="1786" t="s">
        <v>2958</v>
      </c>
      <c r="G1567" s="1786" t="s">
        <v>2959</v>
      </c>
      <c r="H1567" s="1786" t="str">
        <f t="shared" si="267"/>
        <v>לא פעיל</v>
      </c>
      <c r="I1567" s="1788">
        <f t="shared" si="268"/>
        <v>31321</v>
      </c>
      <c r="J1567" s="1788">
        <f t="shared" si="269"/>
        <v>40178</v>
      </c>
      <c r="K1567" s="1786">
        <v>0</v>
      </c>
      <c r="L1567" s="1786" t="s">
        <v>1594</v>
      </c>
      <c r="M1567" s="1786" t="s">
        <v>1653</v>
      </c>
      <c r="N1567" s="1786" t="s">
        <v>1653</v>
      </c>
      <c r="O1567" s="1786">
        <v>0</v>
      </c>
      <c r="P1567" s="1786"/>
      <c r="Q1567" s="1786">
        <v>0</v>
      </c>
      <c r="R1567" s="1788"/>
      <c r="S1567" s="1786">
        <f t="shared" si="270"/>
        <v>441</v>
      </c>
      <c r="T1567" s="1786" t="str">
        <f t="shared" si="271"/>
        <v>בנק מסד בע"מ</v>
      </c>
      <c r="U1567" s="1786" t="str">
        <f t="shared" si="272"/>
        <v>מנורה מרכזית לפיצויים מורג</v>
      </c>
      <c r="V1567" s="1786">
        <f t="shared" si="273"/>
        <v>0</v>
      </c>
      <c r="W1567" s="1789" t="str">
        <f t="shared" si="274"/>
        <v>מנורה מבטחים גמל בע"מ</v>
      </c>
      <c r="AC1567" s="1761" t="s">
        <v>1586</v>
      </c>
      <c r="AD1567" s="1762">
        <v>40178</v>
      </c>
      <c r="AE1567" s="1762">
        <v>31321</v>
      </c>
      <c r="AF1567" s="1761" t="s">
        <v>1583</v>
      </c>
      <c r="AG1567" s="1761" t="s">
        <v>1583</v>
      </c>
      <c r="AH1567" s="1761" t="s">
        <v>1583</v>
      </c>
      <c r="AI1567" s="1761" t="s">
        <v>1821</v>
      </c>
      <c r="AJ1567" s="1761" t="s">
        <v>1821</v>
      </c>
      <c r="AK1567" s="1761">
        <v>441</v>
      </c>
      <c r="AL1567" s="1761" t="s">
        <v>1821</v>
      </c>
      <c r="AM1567" s="1761">
        <v>441</v>
      </c>
      <c r="AN1567" s="1761" t="s">
        <v>5531</v>
      </c>
      <c r="AO1567" s="1764"/>
      <c r="AP1567" s="1761"/>
      <c r="AQ1567" s="1761"/>
      <c r="AR1567" s="1761" t="s">
        <v>363</v>
      </c>
      <c r="AS1567" s="1761" t="s">
        <v>364</v>
      </c>
      <c r="AT1567" s="1761" t="s">
        <v>327</v>
      </c>
      <c r="AU1567" s="1763"/>
      <c r="AV1567" s="1763"/>
    </row>
    <row r="1568" spans="1:48" ht="25" hidden="1">
      <c r="A1568" s="1785" t="str">
        <f t="shared" si="264"/>
        <v>גמל</v>
      </c>
      <c r="B1568" s="1786">
        <f t="shared" si="265"/>
        <v>440</v>
      </c>
      <c r="C1568" s="1787">
        <v>28946</v>
      </c>
      <c r="D1568" s="1786" t="str">
        <f t="shared" si="266"/>
        <v>שריון - קופת גמל לתגמולים ולפיצויים</v>
      </c>
      <c r="E1568" s="1786" t="s">
        <v>3929</v>
      </c>
      <c r="F1568" s="1786" t="s">
        <v>2958</v>
      </c>
      <c r="G1568" s="1786" t="s">
        <v>2959</v>
      </c>
      <c r="H1568" s="1786" t="str">
        <f t="shared" si="267"/>
        <v>לא פעיל</v>
      </c>
      <c r="I1568" s="1788">
        <f t="shared" si="268"/>
        <v>31212</v>
      </c>
      <c r="J1568" s="1788">
        <f t="shared" si="269"/>
        <v>40724</v>
      </c>
      <c r="K1568" s="1786">
        <v>0</v>
      </c>
      <c r="L1568" s="1786" t="s">
        <v>1594</v>
      </c>
      <c r="M1568" s="1786" t="s">
        <v>1653</v>
      </c>
      <c r="N1568" s="1786" t="s">
        <v>1653</v>
      </c>
      <c r="O1568" s="1786">
        <v>0</v>
      </c>
      <c r="P1568" s="1786"/>
      <c r="Q1568" s="1786">
        <v>0</v>
      </c>
      <c r="R1568" s="1788"/>
      <c r="S1568" s="1786">
        <f t="shared" si="270"/>
        <v>440</v>
      </c>
      <c r="T1568" s="1786" t="str">
        <f t="shared" si="271"/>
        <v>בנק אוצר החייל בע"מ</v>
      </c>
      <c r="U1568" s="1786" t="str">
        <f t="shared" si="272"/>
        <v>שריון - קופת גמל לתגמולים ולפיצויים</v>
      </c>
      <c r="V1568" s="1786" t="str">
        <f t="shared" si="273"/>
        <v>520030677</v>
      </c>
      <c r="W1568" s="1789" t="str">
        <f t="shared" si="274"/>
        <v>איילון פנסיה וגמל בע"מ</v>
      </c>
      <c r="AC1568" s="1759" t="s">
        <v>1586</v>
      </c>
      <c r="AD1568" s="1760">
        <v>40724</v>
      </c>
      <c r="AE1568" s="1760">
        <v>31212</v>
      </c>
      <c r="AF1568" s="1759" t="s">
        <v>1583</v>
      </c>
      <c r="AG1568" s="1759" t="s">
        <v>1583</v>
      </c>
      <c r="AH1568" s="1759" t="s">
        <v>1583</v>
      </c>
      <c r="AI1568" s="1759" t="s">
        <v>3118</v>
      </c>
      <c r="AJ1568" s="1759" t="s">
        <v>1820</v>
      </c>
      <c r="AK1568" s="1759">
        <v>440</v>
      </c>
      <c r="AL1568" s="1759" t="s">
        <v>1820</v>
      </c>
      <c r="AM1568" s="1759">
        <v>440</v>
      </c>
      <c r="AN1568" s="1759" t="s">
        <v>5628</v>
      </c>
      <c r="AO1568" s="1764"/>
      <c r="AP1568" s="1759" t="s">
        <v>5385</v>
      </c>
      <c r="AQ1568" s="1759" t="s">
        <v>5386</v>
      </c>
      <c r="AR1568" s="1759" t="s">
        <v>2780</v>
      </c>
      <c r="AS1568" s="1759" t="s">
        <v>426</v>
      </c>
      <c r="AT1568" s="1759" t="s">
        <v>327</v>
      </c>
      <c r="AU1568" s="1763"/>
      <c r="AV1568" s="1763"/>
    </row>
    <row r="1569" spans="1:48" ht="25" hidden="1">
      <c r="A1569" s="1785" t="str">
        <f t="shared" si="264"/>
        <v>גמל</v>
      </c>
      <c r="B1569" s="1786">
        <f t="shared" si="265"/>
        <v>439</v>
      </c>
      <c r="C1569" s="1787">
        <v>28946</v>
      </c>
      <c r="D1569" s="1786" t="str">
        <f t="shared" si="266"/>
        <v>מנורה גמל אלדר</v>
      </c>
      <c r="E1569" s="1786" t="s">
        <v>3929</v>
      </c>
      <c r="F1569" s="1786" t="s">
        <v>2958</v>
      </c>
      <c r="G1569" s="1786" t="s">
        <v>2959</v>
      </c>
      <c r="H1569" s="1786" t="str">
        <f t="shared" si="267"/>
        <v>לא פעיל</v>
      </c>
      <c r="I1569" s="1788">
        <f t="shared" si="268"/>
        <v>31207</v>
      </c>
      <c r="J1569" s="1788">
        <f t="shared" si="269"/>
        <v>39264</v>
      </c>
      <c r="K1569" s="1786">
        <v>0</v>
      </c>
      <c r="L1569" s="1786" t="s">
        <v>1594</v>
      </c>
      <c r="M1569" s="1786" t="s">
        <v>1653</v>
      </c>
      <c r="N1569" s="1786" t="s">
        <v>1653</v>
      </c>
      <c r="O1569" s="1786">
        <v>0</v>
      </c>
      <c r="P1569" s="1786"/>
      <c r="Q1569" s="1786">
        <v>0</v>
      </c>
      <c r="R1569" s="1788"/>
      <c r="S1569" s="1786">
        <f t="shared" si="270"/>
        <v>439</v>
      </c>
      <c r="T1569" s="1786" t="str">
        <f t="shared" si="271"/>
        <v>בנק מסד בע"מ</v>
      </c>
      <c r="U1569" s="1786" t="str">
        <f t="shared" si="272"/>
        <v>מנורה גמל אלדר</v>
      </c>
      <c r="V1569" s="1786">
        <f t="shared" si="273"/>
        <v>0</v>
      </c>
      <c r="W1569" s="1789" t="str">
        <f t="shared" si="274"/>
        <v>מנורה מבטחים גמל בע"מ</v>
      </c>
      <c r="AC1569" s="1761" t="s">
        <v>1586</v>
      </c>
      <c r="AD1569" s="1762">
        <v>39264</v>
      </c>
      <c r="AE1569" s="1762">
        <v>31207</v>
      </c>
      <c r="AF1569" s="1761" t="s">
        <v>1583</v>
      </c>
      <c r="AG1569" s="1761" t="s">
        <v>1583</v>
      </c>
      <c r="AH1569" s="1761" t="s">
        <v>1583</v>
      </c>
      <c r="AI1569" s="1761" t="s">
        <v>1819</v>
      </c>
      <c r="AJ1569" s="1761" t="s">
        <v>1819</v>
      </c>
      <c r="AK1569" s="1761">
        <v>439</v>
      </c>
      <c r="AL1569" s="1761" t="s">
        <v>1819</v>
      </c>
      <c r="AM1569" s="1761">
        <v>439</v>
      </c>
      <c r="AN1569" s="1761" t="s">
        <v>5531</v>
      </c>
      <c r="AO1569" s="1764"/>
      <c r="AP1569" s="1761"/>
      <c r="AQ1569" s="1761"/>
      <c r="AR1569" s="1761" t="s">
        <v>363</v>
      </c>
      <c r="AS1569" s="1761" t="s">
        <v>364</v>
      </c>
      <c r="AT1569" s="1761" t="s">
        <v>327</v>
      </c>
      <c r="AU1569" s="1763"/>
      <c r="AV1569" s="1763"/>
    </row>
    <row r="1570" spans="1:48" ht="37.5" hidden="1">
      <c r="A1570" s="1785" t="str">
        <f t="shared" si="264"/>
        <v>גמל</v>
      </c>
      <c r="B1570" s="1786">
        <f t="shared" si="265"/>
        <v>438</v>
      </c>
      <c r="C1570" s="1787">
        <v>28946</v>
      </c>
      <c r="D1570" s="1786" t="str">
        <f t="shared" si="266"/>
        <v>קרן החיסכון לצבא הקבע כללי</v>
      </c>
      <c r="E1570" s="1786" t="s">
        <v>3929</v>
      </c>
      <c r="F1570" s="1786" t="s">
        <v>2958</v>
      </c>
      <c r="G1570" s="1786" t="s">
        <v>2959</v>
      </c>
      <c r="H1570" s="1786" t="str">
        <f t="shared" si="267"/>
        <v>פעיל</v>
      </c>
      <c r="I1570" s="1788">
        <f t="shared" si="268"/>
        <v>30773</v>
      </c>
      <c r="J1570" s="1788" t="str">
        <f t="shared" si="269"/>
        <v/>
      </c>
      <c r="K1570" s="1786">
        <v>0</v>
      </c>
      <c r="L1570" s="1786" t="s">
        <v>1594</v>
      </c>
      <c r="M1570" s="1786" t="s">
        <v>1653</v>
      </c>
      <c r="N1570" s="1786" t="s">
        <v>1653</v>
      </c>
      <c r="O1570" s="1786">
        <v>0</v>
      </c>
      <c r="P1570" s="1786"/>
      <c r="Q1570" s="1786">
        <v>0</v>
      </c>
      <c r="R1570" s="1788"/>
      <c r="S1570" s="1786">
        <f t="shared" si="270"/>
        <v>438</v>
      </c>
      <c r="T1570" s="1786" t="str">
        <f t="shared" si="271"/>
        <v>הראל פנסיה</v>
      </c>
      <c r="U1570" s="1786" t="str">
        <f t="shared" si="272"/>
        <v>קרן החיסכון לצבא הקבע - קרן השתלמות</v>
      </c>
      <c r="V1570" s="1786" t="str">
        <f t="shared" si="273"/>
        <v>520033986</v>
      </c>
      <c r="W1570" s="1789" t="str">
        <f t="shared" si="274"/>
        <v>קרן החסכון לצבא הקבע - חברה לניהול קופות גמל בע"מ</v>
      </c>
      <c r="AC1570" s="1759" t="s">
        <v>346</v>
      </c>
      <c r="AD1570" s="1759"/>
      <c r="AE1570" s="1760">
        <v>30773</v>
      </c>
      <c r="AF1570" s="1759" t="s">
        <v>1583</v>
      </c>
      <c r="AG1570" s="1759" t="s">
        <v>1583</v>
      </c>
      <c r="AH1570" s="1759" t="s">
        <v>1583</v>
      </c>
      <c r="AI1570" s="1759" t="s">
        <v>3954</v>
      </c>
      <c r="AJ1570" s="1759" t="s">
        <v>3954</v>
      </c>
      <c r="AK1570" s="1759">
        <v>438</v>
      </c>
      <c r="AL1570" s="1759" t="s">
        <v>551</v>
      </c>
      <c r="AM1570" s="1759">
        <v>438</v>
      </c>
      <c r="AN1570" s="1759" t="s">
        <v>4168</v>
      </c>
      <c r="AO1570" s="1764"/>
      <c r="AP1570" s="1759" t="s">
        <v>5396</v>
      </c>
      <c r="AQ1570" s="1759" t="s">
        <v>5397</v>
      </c>
      <c r="AR1570" s="1759" t="s">
        <v>549</v>
      </c>
      <c r="AS1570" s="1759" t="s">
        <v>550</v>
      </c>
      <c r="AT1570" s="1759" t="s">
        <v>327</v>
      </c>
      <c r="AU1570" s="1763"/>
      <c r="AV1570" s="1763"/>
    </row>
    <row r="1571" spans="1:48" ht="37.5" hidden="1">
      <c r="A1571" s="1785" t="str">
        <f t="shared" si="264"/>
        <v>גמל</v>
      </c>
      <c r="B1571" s="1786">
        <f t="shared" si="265"/>
        <v>1411</v>
      </c>
      <c r="C1571" s="1787">
        <v>28946</v>
      </c>
      <c r="D1571" s="1786" t="str">
        <f t="shared" si="266"/>
        <v>קרן החיסכון לצבא הקבע מניות</v>
      </c>
      <c r="E1571" s="1786" t="s">
        <v>3929</v>
      </c>
      <c r="F1571" s="1786" t="s">
        <v>2958</v>
      </c>
      <c r="G1571" s="1786" t="s">
        <v>2959</v>
      </c>
      <c r="H1571" s="1786" t="str">
        <f t="shared" si="267"/>
        <v>פעיל</v>
      </c>
      <c r="I1571" s="1788">
        <f t="shared" si="268"/>
        <v>30773</v>
      </c>
      <c r="J1571" s="1788" t="str">
        <f t="shared" si="269"/>
        <v/>
      </c>
      <c r="K1571" s="1786">
        <v>0</v>
      </c>
      <c r="L1571" s="1786" t="s">
        <v>1594</v>
      </c>
      <c r="M1571" s="1786" t="s">
        <v>1653</v>
      </c>
      <c r="N1571" s="1786" t="s">
        <v>1653</v>
      </c>
      <c r="O1571" s="1786">
        <v>0</v>
      </c>
      <c r="P1571" s="1786"/>
      <c r="Q1571" s="1786">
        <v>0</v>
      </c>
      <c r="R1571" s="1788"/>
      <c r="S1571" s="1786">
        <f t="shared" si="270"/>
        <v>438</v>
      </c>
      <c r="T1571" s="1786" t="str">
        <f t="shared" si="271"/>
        <v>הראל פנסיה</v>
      </c>
      <c r="U1571" s="1786" t="str">
        <f t="shared" si="272"/>
        <v>קרן החיסכון לצבא הקבע - קרן השתלמות</v>
      </c>
      <c r="V1571" s="1786" t="str">
        <f t="shared" si="273"/>
        <v>520033986</v>
      </c>
      <c r="W1571" s="1789" t="str">
        <f t="shared" si="274"/>
        <v>קרן החסכון לצבא הקבע - חברה לניהול קופות גמל בע"מ</v>
      </c>
      <c r="AC1571" s="1761" t="s">
        <v>346</v>
      </c>
      <c r="AD1571" s="1759"/>
      <c r="AE1571" s="1762">
        <v>30773</v>
      </c>
      <c r="AF1571" s="1761" t="s">
        <v>1595</v>
      </c>
      <c r="AG1571" s="1761" t="s">
        <v>75</v>
      </c>
      <c r="AH1571" s="1761" t="s">
        <v>1594</v>
      </c>
      <c r="AI1571" s="1761" t="s">
        <v>4094</v>
      </c>
      <c r="AJ1571" s="1761" t="s">
        <v>4094</v>
      </c>
      <c r="AK1571" s="1761">
        <v>1411</v>
      </c>
      <c r="AL1571" s="1761" t="s">
        <v>551</v>
      </c>
      <c r="AM1571" s="1761">
        <v>438</v>
      </c>
      <c r="AN1571" s="1761" t="s">
        <v>4168</v>
      </c>
      <c r="AO1571" s="1764"/>
      <c r="AP1571" s="1761" t="s">
        <v>5396</v>
      </c>
      <c r="AQ1571" s="1761" t="s">
        <v>5397</v>
      </c>
      <c r="AR1571" s="1761" t="s">
        <v>549</v>
      </c>
      <c r="AS1571" s="1761" t="s">
        <v>550</v>
      </c>
      <c r="AT1571" s="1761" t="s">
        <v>327</v>
      </c>
      <c r="AU1571" s="1763"/>
      <c r="AV1571" s="1763"/>
    </row>
    <row r="1572" spans="1:48" ht="37.5" hidden="1">
      <c r="A1572" s="1785" t="str">
        <f t="shared" si="264"/>
        <v>גמל</v>
      </c>
      <c r="B1572" s="1786">
        <f t="shared" si="265"/>
        <v>1410</v>
      </c>
      <c r="C1572" s="1787">
        <v>28946</v>
      </c>
      <c r="D1572" s="1786" t="str">
        <f t="shared" si="266"/>
        <v>קרן החיסכון לצבא הקבע  מסלול אג"ח ללא מניות</v>
      </c>
      <c r="E1572" s="1786" t="s">
        <v>3929</v>
      </c>
      <c r="F1572" s="1786" t="s">
        <v>2958</v>
      </c>
      <c r="G1572" s="1786" t="s">
        <v>2959</v>
      </c>
      <c r="H1572" s="1786" t="str">
        <f t="shared" si="267"/>
        <v>פעיל</v>
      </c>
      <c r="I1572" s="1788">
        <f t="shared" si="268"/>
        <v>30773</v>
      </c>
      <c r="J1572" s="1788" t="str">
        <f t="shared" si="269"/>
        <v/>
      </c>
      <c r="K1572" s="1786">
        <v>0</v>
      </c>
      <c r="L1572" s="1786" t="s">
        <v>1594</v>
      </c>
      <c r="M1572" s="1786" t="s">
        <v>1653</v>
      </c>
      <c r="N1572" s="1786" t="s">
        <v>1653</v>
      </c>
      <c r="O1572" s="1786">
        <v>0</v>
      </c>
      <c r="P1572" s="1786"/>
      <c r="Q1572" s="1786">
        <v>0</v>
      </c>
      <c r="R1572" s="1788"/>
      <c r="S1572" s="1786">
        <f t="shared" si="270"/>
        <v>438</v>
      </c>
      <c r="T1572" s="1786" t="str">
        <f t="shared" si="271"/>
        <v>הראל פנסיה</v>
      </c>
      <c r="U1572" s="1786" t="str">
        <f t="shared" si="272"/>
        <v>קרן החיסכון לצבא הקבע - קרן השתלמות</v>
      </c>
      <c r="V1572" s="1786" t="str">
        <f t="shared" si="273"/>
        <v>520033986</v>
      </c>
      <c r="W1572" s="1789" t="str">
        <f t="shared" si="274"/>
        <v>קרן החסכון לצבא הקבע - חברה לניהול קופות גמל בע"מ</v>
      </c>
      <c r="AC1572" s="1759" t="s">
        <v>346</v>
      </c>
      <c r="AD1572" s="1759"/>
      <c r="AE1572" s="1760">
        <v>30773</v>
      </c>
      <c r="AF1572" s="1759" t="s">
        <v>1681</v>
      </c>
      <c r="AG1572" s="1759" t="s">
        <v>1653</v>
      </c>
      <c r="AH1572" s="1759" t="s">
        <v>1594</v>
      </c>
      <c r="AI1572" s="1759" t="s">
        <v>4093</v>
      </c>
      <c r="AJ1572" s="1759" t="s">
        <v>4092</v>
      </c>
      <c r="AK1572" s="1759">
        <v>1410</v>
      </c>
      <c r="AL1572" s="1759" t="s">
        <v>551</v>
      </c>
      <c r="AM1572" s="1759">
        <v>438</v>
      </c>
      <c r="AN1572" s="1759" t="s">
        <v>4168</v>
      </c>
      <c r="AO1572" s="1764"/>
      <c r="AP1572" s="1759" t="s">
        <v>5396</v>
      </c>
      <c r="AQ1572" s="1759" t="s">
        <v>5397</v>
      </c>
      <c r="AR1572" s="1759" t="s">
        <v>549</v>
      </c>
      <c r="AS1572" s="1759" t="s">
        <v>550</v>
      </c>
      <c r="AT1572" s="1759" t="s">
        <v>327</v>
      </c>
      <c r="AU1572" s="1763"/>
      <c r="AV1572" s="1763"/>
    </row>
    <row r="1573" spans="1:48" ht="25" hidden="1">
      <c r="A1573" s="1785" t="str">
        <f t="shared" si="264"/>
        <v>גמל</v>
      </c>
      <c r="B1573" s="1786">
        <f t="shared" si="265"/>
        <v>437</v>
      </c>
      <c r="C1573" s="1787">
        <v>28946</v>
      </c>
      <c r="D1573" s="1786" t="str">
        <f t="shared" si="266"/>
        <v>קרן השתלמות נירית כללית</v>
      </c>
      <c r="E1573" s="1786" t="s">
        <v>3929</v>
      </c>
      <c r="F1573" s="1786" t="s">
        <v>2958</v>
      </c>
      <c r="G1573" s="1786" t="s">
        <v>2959</v>
      </c>
      <c r="H1573" s="1786" t="str">
        <f t="shared" si="267"/>
        <v>לא פעיל</v>
      </c>
      <c r="I1573" s="1788">
        <f t="shared" si="268"/>
        <v>31152</v>
      </c>
      <c r="J1573" s="1788">
        <f t="shared" si="269"/>
        <v>41560.505729166704</v>
      </c>
      <c r="K1573" s="1786">
        <v>0</v>
      </c>
      <c r="L1573" s="1786" t="s">
        <v>1594</v>
      </c>
      <c r="M1573" s="1786" t="s">
        <v>1653</v>
      </c>
      <c r="N1573" s="1786" t="s">
        <v>1653</v>
      </c>
      <c r="O1573" s="1786">
        <v>0</v>
      </c>
      <c r="P1573" s="1786"/>
      <c r="Q1573" s="1786">
        <v>0</v>
      </c>
      <c r="R1573" s="1788"/>
      <c r="S1573" s="1786">
        <f t="shared" si="270"/>
        <v>437</v>
      </c>
      <c r="T1573" s="1786" t="str">
        <f t="shared" si="271"/>
        <v>בנק מזרחי טפחות בע"מ</v>
      </c>
      <c r="U1573" s="1786" t="str">
        <f t="shared" si="272"/>
        <v>קרן השתלמות נירית כללית</v>
      </c>
      <c r="V1573" s="1786" t="str">
        <f t="shared" si="273"/>
        <v>511446551</v>
      </c>
      <c r="W1573" s="1789" t="str">
        <f t="shared" si="274"/>
        <v>אלטשולר שחם גמל ופנסיה בע"מ</v>
      </c>
      <c r="AC1573" s="1761" t="s">
        <v>1586</v>
      </c>
      <c r="AD1573" s="1762">
        <v>41560.505729166704</v>
      </c>
      <c r="AE1573" s="1762">
        <v>31152</v>
      </c>
      <c r="AF1573" s="1761" t="s">
        <v>1583</v>
      </c>
      <c r="AG1573" s="1761" t="s">
        <v>1583</v>
      </c>
      <c r="AH1573" s="1761" t="s">
        <v>1583</v>
      </c>
      <c r="AI1573" s="1761" t="s">
        <v>3117</v>
      </c>
      <c r="AJ1573" s="1761" t="s">
        <v>548</v>
      </c>
      <c r="AK1573" s="1761">
        <v>437</v>
      </c>
      <c r="AL1573" s="1761" t="s">
        <v>548</v>
      </c>
      <c r="AM1573" s="1761">
        <v>437</v>
      </c>
      <c r="AN1573" s="1761" t="s">
        <v>5370</v>
      </c>
      <c r="AO1573" s="1764"/>
      <c r="AP1573" s="1761" t="s">
        <v>5375</v>
      </c>
      <c r="AQ1573" s="1761" t="s">
        <v>5376</v>
      </c>
      <c r="AR1573" s="1761" t="s">
        <v>2963</v>
      </c>
      <c r="AS1573" s="1761" t="s">
        <v>523</v>
      </c>
      <c r="AT1573" s="1761" t="s">
        <v>327</v>
      </c>
      <c r="AU1573" s="1763"/>
      <c r="AV1573" s="1763"/>
    </row>
    <row r="1574" spans="1:48" ht="25" hidden="1">
      <c r="A1574" s="1785" t="str">
        <f t="shared" si="264"/>
        <v>גמל</v>
      </c>
      <c r="B1574" s="1786">
        <f t="shared" si="265"/>
        <v>1007</v>
      </c>
      <c r="C1574" s="1787">
        <v>28946</v>
      </c>
      <c r="D1574" s="1786" t="str">
        <f t="shared" si="266"/>
        <v>נירית חו"ל</v>
      </c>
      <c r="E1574" s="1786" t="s">
        <v>3929</v>
      </c>
      <c r="F1574" s="1786" t="s">
        <v>2958</v>
      </c>
      <c r="G1574" s="1786" t="s">
        <v>2959</v>
      </c>
      <c r="H1574" s="1786" t="str">
        <f t="shared" si="267"/>
        <v>לא פעיל</v>
      </c>
      <c r="I1574" s="1788">
        <f t="shared" si="268"/>
        <v>31152</v>
      </c>
      <c r="J1574" s="1788">
        <f t="shared" si="269"/>
        <v>39538</v>
      </c>
      <c r="K1574" s="1786">
        <v>0</v>
      </c>
      <c r="L1574" s="1786" t="s">
        <v>1594</v>
      </c>
      <c r="M1574" s="1786" t="s">
        <v>1653</v>
      </c>
      <c r="N1574" s="1786" t="s">
        <v>1653</v>
      </c>
      <c r="O1574" s="1786">
        <v>0</v>
      </c>
      <c r="P1574" s="1786"/>
      <c r="Q1574" s="1786">
        <v>0</v>
      </c>
      <c r="R1574" s="1788"/>
      <c r="S1574" s="1786">
        <f t="shared" si="270"/>
        <v>437</v>
      </c>
      <c r="T1574" s="1786" t="str">
        <f t="shared" si="271"/>
        <v>בנק מזרחי טפחות בע"מ</v>
      </c>
      <c r="U1574" s="1786" t="str">
        <f t="shared" si="272"/>
        <v>קרן השתלמות נירית כללית</v>
      </c>
      <c r="V1574" s="1786" t="str">
        <f t="shared" si="273"/>
        <v>511446551</v>
      </c>
      <c r="W1574" s="1789" t="str">
        <f t="shared" si="274"/>
        <v>אלטשולר שחם גמל ופנסיה בע"מ</v>
      </c>
      <c r="AC1574" s="1759" t="s">
        <v>1586</v>
      </c>
      <c r="AD1574" s="1760">
        <v>39538</v>
      </c>
      <c r="AE1574" s="1760">
        <v>31152</v>
      </c>
      <c r="AF1574" s="1759" t="s">
        <v>1948</v>
      </c>
      <c r="AG1574" s="1759" t="s">
        <v>1947</v>
      </c>
      <c r="AH1574" s="1759" t="s">
        <v>1594</v>
      </c>
      <c r="AI1574" s="1759" t="s">
        <v>2202</v>
      </c>
      <c r="AJ1574" s="1759" t="s">
        <v>2202</v>
      </c>
      <c r="AK1574" s="1759">
        <v>1007</v>
      </c>
      <c r="AL1574" s="1759" t="s">
        <v>548</v>
      </c>
      <c r="AM1574" s="1759">
        <v>437</v>
      </c>
      <c r="AN1574" s="1759" t="s">
        <v>5370</v>
      </c>
      <c r="AO1574" s="1764"/>
      <c r="AP1574" s="1759" t="s">
        <v>5375</v>
      </c>
      <c r="AQ1574" s="1759" t="s">
        <v>5376</v>
      </c>
      <c r="AR1574" s="1759" t="s">
        <v>2963</v>
      </c>
      <c r="AS1574" s="1759" t="s">
        <v>523</v>
      </c>
      <c r="AT1574" s="1759" t="s">
        <v>327</v>
      </c>
      <c r="AU1574" s="1763"/>
      <c r="AV1574" s="1763"/>
    </row>
    <row r="1575" spans="1:48" ht="25" hidden="1">
      <c r="A1575" s="1785" t="str">
        <f t="shared" si="264"/>
        <v>גמל</v>
      </c>
      <c r="B1575" s="1786">
        <f t="shared" si="265"/>
        <v>853</v>
      </c>
      <c r="C1575" s="1787">
        <v>28946</v>
      </c>
      <c r="D1575" s="1786" t="str">
        <f t="shared" si="266"/>
        <v>נירית מט"ח</v>
      </c>
      <c r="E1575" s="1786" t="s">
        <v>3929</v>
      </c>
      <c r="F1575" s="1786" t="s">
        <v>2958</v>
      </c>
      <c r="G1575" s="1786" t="s">
        <v>2959</v>
      </c>
      <c r="H1575" s="1786" t="str">
        <f t="shared" si="267"/>
        <v>לא פעיל</v>
      </c>
      <c r="I1575" s="1788">
        <f t="shared" si="268"/>
        <v>31152</v>
      </c>
      <c r="J1575" s="1788">
        <f t="shared" si="269"/>
        <v>39267.317245370403</v>
      </c>
      <c r="K1575" s="1786">
        <v>0</v>
      </c>
      <c r="L1575" s="1786" t="s">
        <v>1594</v>
      </c>
      <c r="M1575" s="1786" t="s">
        <v>1653</v>
      </c>
      <c r="N1575" s="1786" t="s">
        <v>1653</v>
      </c>
      <c r="O1575" s="1786">
        <v>0</v>
      </c>
      <c r="P1575" s="1786"/>
      <c r="Q1575" s="1786">
        <v>0</v>
      </c>
      <c r="R1575" s="1788"/>
      <c r="S1575" s="1786">
        <f t="shared" si="270"/>
        <v>437</v>
      </c>
      <c r="T1575" s="1786" t="str">
        <f t="shared" si="271"/>
        <v>בנק מזרחי טפחות בע"מ</v>
      </c>
      <c r="U1575" s="1786" t="str">
        <f t="shared" si="272"/>
        <v>קרן השתלמות נירית כללית</v>
      </c>
      <c r="V1575" s="1786" t="str">
        <f t="shared" si="273"/>
        <v>511446551</v>
      </c>
      <c r="W1575" s="1789" t="str">
        <f t="shared" si="274"/>
        <v>אלטשולר שחם גמל ופנסיה בע"מ</v>
      </c>
      <c r="AC1575" s="1761" t="s">
        <v>1586</v>
      </c>
      <c r="AD1575" s="1762">
        <v>39267.317245370403</v>
      </c>
      <c r="AE1575" s="1762">
        <v>31152</v>
      </c>
      <c r="AF1575" s="1761" t="s">
        <v>1611</v>
      </c>
      <c r="AG1575" s="1761" t="s">
        <v>1611</v>
      </c>
      <c r="AH1575" s="1761" t="s">
        <v>1594</v>
      </c>
      <c r="AI1575" s="1761" t="s">
        <v>2092</v>
      </c>
      <c r="AJ1575" s="1761" t="s">
        <v>2092</v>
      </c>
      <c r="AK1575" s="1761">
        <v>853</v>
      </c>
      <c r="AL1575" s="1761" t="s">
        <v>548</v>
      </c>
      <c r="AM1575" s="1761">
        <v>437</v>
      </c>
      <c r="AN1575" s="1761" t="s">
        <v>5370</v>
      </c>
      <c r="AO1575" s="1764"/>
      <c r="AP1575" s="1761" t="s">
        <v>5375</v>
      </c>
      <c r="AQ1575" s="1761" t="s">
        <v>5376</v>
      </c>
      <c r="AR1575" s="1761" t="s">
        <v>2963</v>
      </c>
      <c r="AS1575" s="1761" t="s">
        <v>523</v>
      </c>
      <c r="AT1575" s="1761" t="s">
        <v>327</v>
      </c>
      <c r="AU1575" s="1763"/>
      <c r="AV1575" s="1763"/>
    </row>
    <row r="1576" spans="1:48" ht="25" hidden="1">
      <c r="A1576" s="1785" t="str">
        <f t="shared" si="264"/>
        <v>גמל</v>
      </c>
      <c r="B1576" s="1786">
        <f t="shared" si="265"/>
        <v>1391</v>
      </c>
      <c r="C1576" s="1787">
        <v>28946</v>
      </c>
      <c r="D1576" s="1786" t="str">
        <f t="shared" si="266"/>
        <v>קרן השתלמות נירית אג"ח ממשלתי</v>
      </c>
      <c r="E1576" s="1786" t="s">
        <v>3929</v>
      </c>
      <c r="F1576" s="1786" t="s">
        <v>2958</v>
      </c>
      <c r="G1576" s="1786" t="s">
        <v>2959</v>
      </c>
      <c r="H1576" s="1786" t="str">
        <f t="shared" si="267"/>
        <v>לא פעיל</v>
      </c>
      <c r="I1576" s="1788">
        <f t="shared" si="268"/>
        <v>31152</v>
      </c>
      <c r="J1576" s="1788">
        <f t="shared" si="269"/>
        <v>41602.434317129599</v>
      </c>
      <c r="K1576" s="1786">
        <v>0</v>
      </c>
      <c r="L1576" s="1786" t="s">
        <v>1594</v>
      </c>
      <c r="M1576" s="1786" t="s">
        <v>1653</v>
      </c>
      <c r="N1576" s="1786" t="s">
        <v>1653</v>
      </c>
      <c r="O1576" s="1786">
        <v>0</v>
      </c>
      <c r="P1576" s="1786"/>
      <c r="Q1576" s="1786">
        <v>0</v>
      </c>
      <c r="R1576" s="1788"/>
      <c r="S1576" s="1786">
        <f t="shared" si="270"/>
        <v>437</v>
      </c>
      <c r="T1576" s="1786" t="str">
        <f t="shared" si="271"/>
        <v>בנק מזרחי טפחות בע"מ</v>
      </c>
      <c r="U1576" s="1786" t="str">
        <f t="shared" si="272"/>
        <v>קרן השתלמות נירית כללית</v>
      </c>
      <c r="V1576" s="1786" t="str">
        <f t="shared" si="273"/>
        <v>511446551</v>
      </c>
      <c r="W1576" s="1789" t="str">
        <f t="shared" si="274"/>
        <v>אלטשולר שחם גמל ופנסיה בע"מ</v>
      </c>
      <c r="AC1576" s="1759" t="s">
        <v>1586</v>
      </c>
      <c r="AD1576" s="1760">
        <v>41602.434317129599</v>
      </c>
      <c r="AE1576" s="1760">
        <v>31152</v>
      </c>
      <c r="AF1576" s="1759" t="s">
        <v>2009</v>
      </c>
      <c r="AG1576" s="1759" t="s">
        <v>1653</v>
      </c>
      <c r="AH1576" s="1759" t="s">
        <v>1594</v>
      </c>
      <c r="AI1576" s="1759" t="s">
        <v>3625</v>
      </c>
      <c r="AJ1576" s="1759" t="s">
        <v>2438</v>
      </c>
      <c r="AK1576" s="1759">
        <v>1391</v>
      </c>
      <c r="AL1576" s="1759" t="s">
        <v>548</v>
      </c>
      <c r="AM1576" s="1759">
        <v>437</v>
      </c>
      <c r="AN1576" s="1759" t="s">
        <v>5370</v>
      </c>
      <c r="AO1576" s="1764"/>
      <c r="AP1576" s="1759" t="s">
        <v>5375</v>
      </c>
      <c r="AQ1576" s="1759" t="s">
        <v>5376</v>
      </c>
      <c r="AR1576" s="1759" t="s">
        <v>2963</v>
      </c>
      <c r="AS1576" s="1759" t="s">
        <v>523</v>
      </c>
      <c r="AT1576" s="1759" t="s">
        <v>327</v>
      </c>
      <c r="AU1576" s="1763"/>
      <c r="AV1576" s="1763"/>
    </row>
    <row r="1577" spans="1:48" ht="25" hidden="1">
      <c r="A1577" s="1785" t="str">
        <f t="shared" si="264"/>
        <v>גמל</v>
      </c>
      <c r="B1577" s="1786">
        <f t="shared" si="265"/>
        <v>855</v>
      </c>
      <c r="C1577" s="1787">
        <v>28946</v>
      </c>
      <c r="D1577" s="1786" t="str">
        <f t="shared" si="266"/>
        <v>נירית מניות</v>
      </c>
      <c r="E1577" s="1786" t="s">
        <v>3929</v>
      </c>
      <c r="F1577" s="1786" t="s">
        <v>2958</v>
      </c>
      <c r="G1577" s="1786" t="s">
        <v>2959</v>
      </c>
      <c r="H1577" s="1786" t="str">
        <f t="shared" si="267"/>
        <v>לא פעיל</v>
      </c>
      <c r="I1577" s="1788">
        <f t="shared" si="268"/>
        <v>31152</v>
      </c>
      <c r="J1577" s="1788">
        <f t="shared" si="269"/>
        <v>41560.506319444401</v>
      </c>
      <c r="K1577" s="1786">
        <v>0</v>
      </c>
      <c r="L1577" s="1786" t="s">
        <v>1594</v>
      </c>
      <c r="M1577" s="1786" t="s">
        <v>1653</v>
      </c>
      <c r="N1577" s="1786" t="s">
        <v>1653</v>
      </c>
      <c r="O1577" s="1786">
        <v>0</v>
      </c>
      <c r="P1577" s="1786"/>
      <c r="Q1577" s="1786">
        <v>0</v>
      </c>
      <c r="R1577" s="1788"/>
      <c r="S1577" s="1786">
        <f t="shared" si="270"/>
        <v>437</v>
      </c>
      <c r="T1577" s="1786" t="str">
        <f t="shared" si="271"/>
        <v>בנק מזרחי טפחות בע"מ</v>
      </c>
      <c r="U1577" s="1786" t="str">
        <f t="shared" si="272"/>
        <v>קרן השתלמות נירית כללית</v>
      </c>
      <c r="V1577" s="1786" t="str">
        <f t="shared" si="273"/>
        <v>511446551</v>
      </c>
      <c r="W1577" s="1789" t="str">
        <f t="shared" si="274"/>
        <v>אלטשולר שחם גמל ופנסיה בע"מ</v>
      </c>
      <c r="AC1577" s="1761" t="s">
        <v>1586</v>
      </c>
      <c r="AD1577" s="1762">
        <v>41560.506319444401</v>
      </c>
      <c r="AE1577" s="1762">
        <v>31152</v>
      </c>
      <c r="AF1577" s="1761" t="s">
        <v>1595</v>
      </c>
      <c r="AG1577" s="1761" t="s">
        <v>75</v>
      </c>
      <c r="AH1577" s="1761" t="s">
        <v>1594</v>
      </c>
      <c r="AI1577" s="1761" t="s">
        <v>2094</v>
      </c>
      <c r="AJ1577" s="1761" t="s">
        <v>2094</v>
      </c>
      <c r="AK1577" s="1761">
        <v>855</v>
      </c>
      <c r="AL1577" s="1761" t="s">
        <v>548</v>
      </c>
      <c r="AM1577" s="1761">
        <v>437</v>
      </c>
      <c r="AN1577" s="1761" t="s">
        <v>5370</v>
      </c>
      <c r="AO1577" s="1764"/>
      <c r="AP1577" s="1761" t="s">
        <v>5375</v>
      </c>
      <c r="AQ1577" s="1761" t="s">
        <v>5376</v>
      </c>
      <c r="AR1577" s="1761" t="s">
        <v>2963</v>
      </c>
      <c r="AS1577" s="1761" t="s">
        <v>523</v>
      </c>
      <c r="AT1577" s="1761" t="s">
        <v>327</v>
      </c>
      <c r="AU1577" s="1763"/>
      <c r="AV1577" s="1763"/>
    </row>
    <row r="1578" spans="1:48" ht="25" hidden="1">
      <c r="A1578" s="1785" t="str">
        <f t="shared" si="264"/>
        <v>גמל</v>
      </c>
      <c r="B1578" s="1786">
        <f t="shared" si="265"/>
        <v>557</v>
      </c>
      <c r="C1578" s="1787">
        <v>28946</v>
      </c>
      <c r="D1578" s="1786" t="str">
        <f t="shared" si="266"/>
        <v>נירית כללית ב'</v>
      </c>
      <c r="E1578" s="1786" t="s">
        <v>3929</v>
      </c>
      <c r="F1578" s="1786" t="s">
        <v>2958</v>
      </c>
      <c r="G1578" s="1786" t="s">
        <v>2959</v>
      </c>
      <c r="H1578" s="1786" t="str">
        <f t="shared" si="267"/>
        <v>לא פעיל</v>
      </c>
      <c r="I1578" s="1788">
        <f t="shared" si="268"/>
        <v>31152</v>
      </c>
      <c r="J1578" s="1788">
        <f t="shared" si="269"/>
        <v>39538</v>
      </c>
      <c r="K1578" s="1786">
        <v>0</v>
      </c>
      <c r="L1578" s="1786" t="s">
        <v>1594</v>
      </c>
      <c r="M1578" s="1786" t="s">
        <v>1653</v>
      </c>
      <c r="N1578" s="1786" t="s">
        <v>1653</v>
      </c>
      <c r="O1578" s="1786">
        <v>0</v>
      </c>
      <c r="P1578" s="1786"/>
      <c r="Q1578" s="1786">
        <v>0</v>
      </c>
      <c r="R1578" s="1788"/>
      <c r="S1578" s="1786">
        <f t="shared" si="270"/>
        <v>437</v>
      </c>
      <c r="T1578" s="1786" t="str">
        <f t="shared" si="271"/>
        <v>בנק מזרחי טפחות בע"מ</v>
      </c>
      <c r="U1578" s="1786" t="str">
        <f t="shared" si="272"/>
        <v>קרן השתלמות נירית כללית</v>
      </c>
      <c r="V1578" s="1786" t="str">
        <f t="shared" si="273"/>
        <v>511446551</v>
      </c>
      <c r="W1578" s="1789" t="str">
        <f t="shared" si="274"/>
        <v>אלטשולר שחם גמל ופנסיה בע"מ</v>
      </c>
      <c r="AC1578" s="1759" t="s">
        <v>1586</v>
      </c>
      <c r="AD1578" s="1760">
        <v>39538</v>
      </c>
      <c r="AE1578" s="1760">
        <v>31152</v>
      </c>
      <c r="AF1578" s="1759" t="s">
        <v>1583</v>
      </c>
      <c r="AG1578" s="1759" t="s">
        <v>1583</v>
      </c>
      <c r="AH1578" s="1759" t="s">
        <v>1583</v>
      </c>
      <c r="AI1578" s="1759" t="s">
        <v>3186</v>
      </c>
      <c r="AJ1578" s="1759" t="s">
        <v>1880</v>
      </c>
      <c r="AK1578" s="1759">
        <v>557</v>
      </c>
      <c r="AL1578" s="1759" t="s">
        <v>548</v>
      </c>
      <c r="AM1578" s="1759">
        <v>437</v>
      </c>
      <c r="AN1578" s="1759" t="s">
        <v>5370</v>
      </c>
      <c r="AO1578" s="1764"/>
      <c r="AP1578" s="1759" t="s">
        <v>5375</v>
      </c>
      <c r="AQ1578" s="1759" t="s">
        <v>5376</v>
      </c>
      <c r="AR1578" s="1759" t="s">
        <v>2963</v>
      </c>
      <c r="AS1578" s="1759" t="s">
        <v>523</v>
      </c>
      <c r="AT1578" s="1759" t="s">
        <v>327</v>
      </c>
      <c r="AU1578" s="1763"/>
      <c r="AV1578" s="1763"/>
    </row>
    <row r="1579" spans="1:48" ht="25" hidden="1">
      <c r="A1579" s="1785" t="str">
        <f t="shared" si="264"/>
        <v>גמל</v>
      </c>
      <c r="B1579" s="1786">
        <f t="shared" si="265"/>
        <v>1390</v>
      </c>
      <c r="C1579" s="1787">
        <v>28946</v>
      </c>
      <c r="D1579" s="1786" t="str">
        <f t="shared" si="266"/>
        <v>קרן השתלמות נירית שקלי</v>
      </c>
      <c r="E1579" s="1786" t="s">
        <v>3929</v>
      </c>
      <c r="F1579" s="1786" t="s">
        <v>2958</v>
      </c>
      <c r="G1579" s="1786" t="s">
        <v>2959</v>
      </c>
      <c r="H1579" s="1786" t="str">
        <f t="shared" si="267"/>
        <v>לא פעיל</v>
      </c>
      <c r="I1579" s="1788">
        <f t="shared" si="268"/>
        <v>31152</v>
      </c>
      <c r="J1579" s="1788">
        <f t="shared" si="269"/>
        <v>41602.434317129599</v>
      </c>
      <c r="K1579" s="1786">
        <v>0</v>
      </c>
      <c r="L1579" s="1786" t="s">
        <v>1594</v>
      </c>
      <c r="M1579" s="1786" t="s">
        <v>1653</v>
      </c>
      <c r="N1579" s="1786" t="s">
        <v>1653</v>
      </c>
      <c r="O1579" s="1786">
        <v>0</v>
      </c>
      <c r="P1579" s="1786"/>
      <c r="Q1579" s="1786">
        <v>0</v>
      </c>
      <c r="R1579" s="1788"/>
      <c r="S1579" s="1786">
        <f t="shared" si="270"/>
        <v>437</v>
      </c>
      <c r="T1579" s="1786" t="str">
        <f t="shared" si="271"/>
        <v>בנק מזרחי טפחות בע"מ</v>
      </c>
      <c r="U1579" s="1786" t="str">
        <f t="shared" si="272"/>
        <v>קרן השתלמות נירית כללית</v>
      </c>
      <c r="V1579" s="1786" t="str">
        <f t="shared" si="273"/>
        <v>511446551</v>
      </c>
      <c r="W1579" s="1789" t="str">
        <f t="shared" si="274"/>
        <v>אלטשולר שחם גמל ופנסיה בע"מ</v>
      </c>
      <c r="AC1579" s="1761" t="s">
        <v>1586</v>
      </c>
      <c r="AD1579" s="1762">
        <v>41602.434317129599</v>
      </c>
      <c r="AE1579" s="1762">
        <v>31152</v>
      </c>
      <c r="AF1579" s="1761" t="s">
        <v>1076</v>
      </c>
      <c r="AG1579" s="1761" t="s">
        <v>1614</v>
      </c>
      <c r="AH1579" s="1761" t="s">
        <v>1594</v>
      </c>
      <c r="AI1579" s="1761" t="s">
        <v>3624</v>
      </c>
      <c r="AJ1579" s="1761" t="s">
        <v>2437</v>
      </c>
      <c r="AK1579" s="1761">
        <v>1390</v>
      </c>
      <c r="AL1579" s="1761" t="s">
        <v>548</v>
      </c>
      <c r="AM1579" s="1761">
        <v>437</v>
      </c>
      <c r="AN1579" s="1761" t="s">
        <v>5370</v>
      </c>
      <c r="AO1579" s="1764"/>
      <c r="AP1579" s="1761" t="s">
        <v>5375</v>
      </c>
      <c r="AQ1579" s="1761" t="s">
        <v>5376</v>
      </c>
      <c r="AR1579" s="1761" t="s">
        <v>2963</v>
      </c>
      <c r="AS1579" s="1761" t="s">
        <v>523</v>
      </c>
      <c r="AT1579" s="1761" t="s">
        <v>327</v>
      </c>
      <c r="AU1579" s="1763"/>
      <c r="AV1579" s="1763"/>
    </row>
    <row r="1580" spans="1:48" ht="25" hidden="1">
      <c r="A1580" s="1785" t="str">
        <f t="shared" si="264"/>
        <v>גמל</v>
      </c>
      <c r="B1580" s="1786">
        <f t="shared" si="265"/>
        <v>854</v>
      </c>
      <c r="C1580" s="1787">
        <v>28946</v>
      </c>
      <c r="D1580" s="1786" t="str">
        <f t="shared" si="266"/>
        <v>נירית שיקלית</v>
      </c>
      <c r="E1580" s="1786" t="s">
        <v>3929</v>
      </c>
      <c r="F1580" s="1786" t="s">
        <v>2958</v>
      </c>
      <c r="G1580" s="1786" t="s">
        <v>2959</v>
      </c>
      <c r="H1580" s="1786" t="str">
        <f t="shared" si="267"/>
        <v>לא פעיל</v>
      </c>
      <c r="I1580" s="1788">
        <f t="shared" si="268"/>
        <v>31152</v>
      </c>
      <c r="J1580" s="1788">
        <f t="shared" si="269"/>
        <v>39538</v>
      </c>
      <c r="K1580" s="1786">
        <v>0</v>
      </c>
      <c r="L1580" s="1786" t="s">
        <v>1594</v>
      </c>
      <c r="M1580" s="1786" t="s">
        <v>1653</v>
      </c>
      <c r="N1580" s="1786" t="s">
        <v>1653</v>
      </c>
      <c r="O1580" s="1786">
        <v>0</v>
      </c>
      <c r="P1580" s="1786"/>
      <c r="Q1580" s="1786">
        <v>0</v>
      </c>
      <c r="R1580" s="1788"/>
      <c r="S1580" s="1786">
        <f t="shared" si="270"/>
        <v>437</v>
      </c>
      <c r="T1580" s="1786" t="str">
        <f t="shared" si="271"/>
        <v>בנק מזרחי טפחות בע"מ</v>
      </c>
      <c r="U1580" s="1786" t="str">
        <f t="shared" si="272"/>
        <v>קרן השתלמות נירית כללית</v>
      </c>
      <c r="V1580" s="1786" t="str">
        <f t="shared" si="273"/>
        <v>511446551</v>
      </c>
      <c r="W1580" s="1789" t="str">
        <f t="shared" si="274"/>
        <v>אלטשולר שחם גמל ופנסיה בע"מ</v>
      </c>
      <c r="AC1580" s="1759" t="s">
        <v>1586</v>
      </c>
      <c r="AD1580" s="1760">
        <v>39538</v>
      </c>
      <c r="AE1580" s="1760">
        <v>31152</v>
      </c>
      <c r="AF1580" s="1759" t="s">
        <v>1076</v>
      </c>
      <c r="AG1580" s="1759" t="s">
        <v>1614</v>
      </c>
      <c r="AH1580" s="1759" t="s">
        <v>1594</v>
      </c>
      <c r="AI1580" s="1759" t="s">
        <v>2093</v>
      </c>
      <c r="AJ1580" s="1759" t="s">
        <v>2093</v>
      </c>
      <c r="AK1580" s="1759">
        <v>854</v>
      </c>
      <c r="AL1580" s="1759" t="s">
        <v>548</v>
      </c>
      <c r="AM1580" s="1759">
        <v>437</v>
      </c>
      <c r="AN1580" s="1759" t="s">
        <v>5370</v>
      </c>
      <c r="AO1580" s="1764"/>
      <c r="AP1580" s="1759" t="s">
        <v>5375</v>
      </c>
      <c r="AQ1580" s="1759" t="s">
        <v>5376</v>
      </c>
      <c r="AR1580" s="1759" t="s">
        <v>2963</v>
      </c>
      <c r="AS1580" s="1759" t="s">
        <v>523</v>
      </c>
      <c r="AT1580" s="1759" t="s">
        <v>327</v>
      </c>
      <c r="AU1580" s="1763"/>
      <c r="AV1580" s="1763"/>
    </row>
    <row r="1581" spans="1:48" ht="25" hidden="1">
      <c r="A1581" s="1785" t="str">
        <f t="shared" si="264"/>
        <v>גמל</v>
      </c>
      <c r="B1581" s="1786">
        <f t="shared" si="265"/>
        <v>436</v>
      </c>
      <c r="C1581" s="1787">
        <v>28946</v>
      </c>
      <c r="D1581" s="1786" t="str">
        <f t="shared" si="266"/>
        <v>אקסלנס אורית</v>
      </c>
      <c r="E1581" s="1786" t="s">
        <v>3929</v>
      </c>
      <c r="F1581" s="1786" t="s">
        <v>2958</v>
      </c>
      <c r="G1581" s="1786" t="s">
        <v>2959</v>
      </c>
      <c r="H1581" s="1786" t="str">
        <f t="shared" si="267"/>
        <v>לא פעיל</v>
      </c>
      <c r="I1581" s="1788">
        <f t="shared" si="268"/>
        <v>31130</v>
      </c>
      <c r="J1581" s="1788">
        <f t="shared" si="269"/>
        <v>40917.726180555597</v>
      </c>
      <c r="K1581" s="1786">
        <v>0</v>
      </c>
      <c r="L1581" s="1786" t="s">
        <v>1594</v>
      </c>
      <c r="M1581" s="1786" t="s">
        <v>1653</v>
      </c>
      <c r="N1581" s="1786" t="s">
        <v>1653</v>
      </c>
      <c r="O1581" s="1786">
        <v>0</v>
      </c>
      <c r="P1581" s="1786"/>
      <c r="Q1581" s="1786">
        <v>0</v>
      </c>
      <c r="R1581" s="1788"/>
      <c r="S1581" s="1786">
        <f t="shared" si="270"/>
        <v>436</v>
      </c>
      <c r="T1581" s="1786" t="str">
        <f t="shared" si="271"/>
        <v>בנק מזרחי טפחות בע"מ</v>
      </c>
      <c r="U1581" s="1786" t="str">
        <f t="shared" si="272"/>
        <v>אקסלנס אורית</v>
      </c>
      <c r="V1581" s="1786" t="str">
        <f t="shared" si="273"/>
        <v>520017450</v>
      </c>
      <c r="W1581" s="1789" t="str">
        <f t="shared" si="274"/>
        <v xml:space="preserve">הפניקס אקסלנס פנסיה וגמל בע"מ </v>
      </c>
      <c r="AC1581" s="1761" t="s">
        <v>1586</v>
      </c>
      <c r="AD1581" s="1762">
        <v>40917.726180555597</v>
      </c>
      <c r="AE1581" s="1762">
        <v>31130</v>
      </c>
      <c r="AF1581" s="1761" t="s">
        <v>1583</v>
      </c>
      <c r="AG1581" s="1761" t="s">
        <v>1583</v>
      </c>
      <c r="AH1581" s="1761" t="s">
        <v>1583</v>
      </c>
      <c r="AI1581" s="1761" t="s">
        <v>1818</v>
      </c>
      <c r="AJ1581" s="1761" t="s">
        <v>1818</v>
      </c>
      <c r="AK1581" s="1761">
        <v>436</v>
      </c>
      <c r="AL1581" s="1761" t="s">
        <v>1818</v>
      </c>
      <c r="AM1581" s="1761">
        <v>436</v>
      </c>
      <c r="AN1581" s="1761" t="s">
        <v>5370</v>
      </c>
      <c r="AO1581" s="1764"/>
      <c r="AP1581" s="1761" t="s">
        <v>5379</v>
      </c>
      <c r="AQ1581" s="1761" t="s">
        <v>5380</v>
      </c>
      <c r="AR1581" s="1761" t="s">
        <v>5381</v>
      </c>
      <c r="AS1581" s="1761" t="s">
        <v>347</v>
      </c>
      <c r="AT1581" s="1761" t="s">
        <v>327</v>
      </c>
      <c r="AU1581" s="1763"/>
      <c r="AV1581" s="1763"/>
    </row>
    <row r="1582" spans="1:48" ht="25" hidden="1">
      <c r="A1582" s="1785" t="str">
        <f t="shared" si="264"/>
        <v>גמל</v>
      </c>
      <c r="B1582" s="1786">
        <f t="shared" si="265"/>
        <v>435</v>
      </c>
      <c r="C1582" s="1787">
        <v>28946</v>
      </c>
      <c r="D1582" s="1786" t="str">
        <f t="shared" si="266"/>
        <v>שקמה</v>
      </c>
      <c r="E1582" s="1786" t="s">
        <v>3929</v>
      </c>
      <c r="F1582" s="1786" t="s">
        <v>2958</v>
      </c>
      <c r="G1582" s="1786" t="s">
        <v>2959</v>
      </c>
      <c r="H1582" s="1786" t="str">
        <f t="shared" si="267"/>
        <v>לא פעיל</v>
      </c>
      <c r="I1582" s="1788">
        <f t="shared" si="268"/>
        <v>31130</v>
      </c>
      <c r="J1582" s="1788">
        <f t="shared" si="269"/>
        <v>40917.812326388899</v>
      </c>
      <c r="K1582" s="1786">
        <v>0</v>
      </c>
      <c r="L1582" s="1786" t="s">
        <v>1594</v>
      </c>
      <c r="M1582" s="1786" t="s">
        <v>1653</v>
      </c>
      <c r="N1582" s="1786" t="s">
        <v>1653</v>
      </c>
      <c r="O1582" s="1786">
        <v>0</v>
      </c>
      <c r="P1582" s="1786"/>
      <c r="Q1582" s="1786">
        <v>0</v>
      </c>
      <c r="R1582" s="1788"/>
      <c r="S1582" s="1786">
        <f t="shared" si="270"/>
        <v>435</v>
      </c>
      <c r="T1582" s="1786" t="str">
        <f t="shared" si="271"/>
        <v>בנק דיסקונט לישראל בע"מ</v>
      </c>
      <c r="U1582" s="1786" t="str">
        <f t="shared" si="272"/>
        <v>שקמה</v>
      </c>
      <c r="V1582" s="1786">
        <f t="shared" si="273"/>
        <v>0</v>
      </c>
      <c r="W1582" s="1789" t="str">
        <f t="shared" si="274"/>
        <v>כלל פנסיה וגמל בע"מ</v>
      </c>
      <c r="AC1582" s="1759" t="s">
        <v>1586</v>
      </c>
      <c r="AD1582" s="1760">
        <v>40917.812326388899</v>
      </c>
      <c r="AE1582" s="1760">
        <v>31130</v>
      </c>
      <c r="AF1582" s="1759" t="s">
        <v>1583</v>
      </c>
      <c r="AG1582" s="1759" t="s">
        <v>1583</v>
      </c>
      <c r="AH1582" s="1759" t="s">
        <v>1583</v>
      </c>
      <c r="AI1582" s="1759" t="s">
        <v>1817</v>
      </c>
      <c r="AJ1582" s="1759" t="s">
        <v>1817</v>
      </c>
      <c r="AK1582" s="1759">
        <v>435</v>
      </c>
      <c r="AL1582" s="1759" t="s">
        <v>1817</v>
      </c>
      <c r="AM1582" s="1759">
        <v>435</v>
      </c>
      <c r="AN1582" s="1759" t="s">
        <v>5535</v>
      </c>
      <c r="AO1582" s="1764"/>
      <c r="AP1582" s="1759"/>
      <c r="AQ1582" s="1759"/>
      <c r="AR1582" s="1759" t="s">
        <v>378</v>
      </c>
      <c r="AS1582" s="1759" t="s">
        <v>379</v>
      </c>
      <c r="AT1582" s="1759" t="s">
        <v>327</v>
      </c>
      <c r="AU1582" s="1763"/>
      <c r="AV1582" s="1763"/>
    </row>
    <row r="1583" spans="1:48" ht="25" hidden="1">
      <c r="A1583" s="1785" t="str">
        <f t="shared" si="264"/>
        <v>גמל</v>
      </c>
      <c r="B1583" s="1786">
        <f t="shared" si="265"/>
        <v>434</v>
      </c>
      <c r="C1583" s="1787">
        <v>28946</v>
      </c>
      <c r="D1583" s="1786" t="str">
        <f t="shared" si="266"/>
        <v>פסגות יעד</v>
      </c>
      <c r="E1583" s="1786" t="s">
        <v>3929</v>
      </c>
      <c r="F1583" s="1786" t="s">
        <v>2958</v>
      </c>
      <c r="G1583" s="1786" t="s">
        <v>2959</v>
      </c>
      <c r="H1583" s="1786" t="str">
        <f t="shared" si="267"/>
        <v>לא פעיל</v>
      </c>
      <c r="I1583" s="1788">
        <f t="shared" si="268"/>
        <v>31121</v>
      </c>
      <c r="J1583" s="1788">
        <f t="shared" si="269"/>
        <v>40063</v>
      </c>
      <c r="K1583" s="1786">
        <v>0</v>
      </c>
      <c r="L1583" s="1786" t="s">
        <v>1594</v>
      </c>
      <c r="M1583" s="1786" t="s">
        <v>1653</v>
      </c>
      <c r="N1583" s="1786" t="s">
        <v>1653</v>
      </c>
      <c r="O1583" s="1786">
        <v>0</v>
      </c>
      <c r="P1583" s="1786"/>
      <c r="Q1583" s="1786">
        <v>0</v>
      </c>
      <c r="R1583" s="1788"/>
      <c r="S1583" s="1786">
        <f t="shared" si="270"/>
        <v>434</v>
      </c>
      <c r="T1583" s="1786" t="str">
        <f t="shared" si="271"/>
        <v>בנק לאומי בע"מ</v>
      </c>
      <c r="U1583" s="1786" t="str">
        <f t="shared" si="272"/>
        <v>פסגות יעד</v>
      </c>
      <c r="V1583" s="1786" t="str">
        <f t="shared" si="273"/>
        <v>513767079</v>
      </c>
      <c r="W1583" s="1789" t="str">
        <f t="shared" si="274"/>
        <v>פסגות קופות גמל ופנסיה בע"מ</v>
      </c>
      <c r="AC1583" s="1761" t="s">
        <v>1586</v>
      </c>
      <c r="AD1583" s="1762">
        <v>40063</v>
      </c>
      <c r="AE1583" s="1762">
        <v>31121</v>
      </c>
      <c r="AF1583" s="1761" t="s">
        <v>1583</v>
      </c>
      <c r="AG1583" s="1761" t="s">
        <v>1583</v>
      </c>
      <c r="AH1583" s="1761" t="s">
        <v>1583</v>
      </c>
      <c r="AI1583" s="1761" t="s">
        <v>1816</v>
      </c>
      <c r="AJ1583" s="1761" t="s">
        <v>1816</v>
      </c>
      <c r="AK1583" s="1761">
        <v>434</v>
      </c>
      <c r="AL1583" s="1761" t="s">
        <v>1816</v>
      </c>
      <c r="AM1583" s="1761">
        <v>434</v>
      </c>
      <c r="AN1583" s="1761" t="s">
        <v>5470</v>
      </c>
      <c r="AO1583" s="1764"/>
      <c r="AP1583" s="1761" t="s">
        <v>5365</v>
      </c>
      <c r="AQ1583" s="1761" t="s">
        <v>5366</v>
      </c>
      <c r="AR1583" s="1761" t="s">
        <v>351</v>
      </c>
      <c r="AS1583" s="1761" t="s">
        <v>352</v>
      </c>
      <c r="AT1583" s="1761" t="s">
        <v>327</v>
      </c>
      <c r="AU1583" s="1763"/>
      <c r="AV1583" s="1763"/>
    </row>
    <row r="1584" spans="1:48" ht="37.5" hidden="1">
      <c r="A1584" s="1785" t="str">
        <f t="shared" si="264"/>
        <v>גמל</v>
      </c>
      <c r="B1584" s="1786">
        <f t="shared" si="265"/>
        <v>430</v>
      </c>
      <c r="C1584" s="1787">
        <v>28946</v>
      </c>
      <c r="D1584" s="1786" t="str">
        <f t="shared" si="266"/>
        <v>דפנה - קופת גמל לתגמולים ופיצויים לעובדי הוראה</v>
      </c>
      <c r="E1584" s="1786" t="s">
        <v>3929</v>
      </c>
      <c r="F1584" s="1786" t="s">
        <v>2958</v>
      </c>
      <c r="G1584" s="1786" t="s">
        <v>2959</v>
      </c>
      <c r="H1584" s="1786" t="str">
        <f t="shared" si="267"/>
        <v>לא פעיל</v>
      </c>
      <c r="I1584" s="1788">
        <f t="shared" si="268"/>
        <v>31048</v>
      </c>
      <c r="J1584" s="1788">
        <f t="shared" si="269"/>
        <v>40575</v>
      </c>
      <c r="K1584" s="1786">
        <v>0</v>
      </c>
      <c r="L1584" s="1786" t="s">
        <v>1594</v>
      </c>
      <c r="M1584" s="1786" t="s">
        <v>1653</v>
      </c>
      <c r="N1584" s="1786" t="s">
        <v>1653</v>
      </c>
      <c r="O1584" s="1786">
        <v>0</v>
      </c>
      <c r="P1584" s="1786"/>
      <c r="Q1584" s="1786">
        <v>0</v>
      </c>
      <c r="R1584" s="1788"/>
      <c r="S1584" s="1786">
        <f t="shared" si="270"/>
        <v>430</v>
      </c>
      <c r="T1584" s="1786" t="str">
        <f t="shared" si="271"/>
        <v>בנק מסד בע"מ</v>
      </c>
      <c r="U1584" s="1786" t="str">
        <f t="shared" si="272"/>
        <v>דפנה - קופת גמל לתגמולים ופיצויים לעובדי הוראה</v>
      </c>
      <c r="V1584" s="1786">
        <f t="shared" si="273"/>
        <v>0</v>
      </c>
      <c r="W1584" s="1789" t="str">
        <f t="shared" si="274"/>
        <v>דפנה ניהול קופות גמל בע"מ</v>
      </c>
      <c r="AC1584" s="1759" t="s">
        <v>1586</v>
      </c>
      <c r="AD1584" s="1760">
        <v>40575</v>
      </c>
      <c r="AE1584" s="1760">
        <v>31048</v>
      </c>
      <c r="AF1584" s="1759" t="s">
        <v>1583</v>
      </c>
      <c r="AG1584" s="1759" t="s">
        <v>1583</v>
      </c>
      <c r="AH1584" s="1759" t="s">
        <v>1583</v>
      </c>
      <c r="AI1584" s="1759" t="s">
        <v>3116</v>
      </c>
      <c r="AJ1584" s="1759" t="s">
        <v>1813</v>
      </c>
      <c r="AK1584" s="1759">
        <v>430</v>
      </c>
      <c r="AL1584" s="1759" t="s">
        <v>1813</v>
      </c>
      <c r="AM1584" s="1759">
        <v>430</v>
      </c>
      <c r="AN1584" s="1759" t="s">
        <v>5531</v>
      </c>
      <c r="AO1584" s="1764"/>
      <c r="AP1584" s="1759"/>
      <c r="AQ1584" s="1759"/>
      <c r="AR1584" s="1759" t="s">
        <v>1815</v>
      </c>
      <c r="AS1584" s="1759" t="s">
        <v>1814</v>
      </c>
      <c r="AT1584" s="1759" t="s">
        <v>327</v>
      </c>
      <c r="AU1584" s="1763"/>
      <c r="AV1584" s="1763"/>
    </row>
    <row r="1585" spans="1:48" ht="37.5" hidden="1">
      <c r="A1585" s="1785" t="str">
        <f t="shared" si="264"/>
        <v>גמל</v>
      </c>
      <c r="B1585" s="1786">
        <f t="shared" si="265"/>
        <v>428</v>
      </c>
      <c r="C1585" s="1787">
        <v>28946</v>
      </c>
      <c r="D1585" s="1786" t="str">
        <f t="shared" si="266"/>
        <v>נדבכים ב לאקדמאים</v>
      </c>
      <c r="E1585" s="1786" t="s">
        <v>3929</v>
      </c>
      <c r="F1585" s="1786" t="s">
        <v>2958</v>
      </c>
      <c r="G1585" s="1786" t="s">
        <v>2959</v>
      </c>
      <c r="H1585" s="1786" t="str">
        <f t="shared" si="267"/>
        <v>לא פעיל</v>
      </c>
      <c r="I1585" s="1788">
        <f t="shared" si="268"/>
        <v>25569</v>
      </c>
      <c r="J1585" s="1788">
        <f t="shared" si="269"/>
        <v>25569</v>
      </c>
      <c r="K1585" s="1786">
        <v>0</v>
      </c>
      <c r="L1585" s="1786" t="s">
        <v>1594</v>
      </c>
      <c r="M1585" s="1786" t="s">
        <v>1653</v>
      </c>
      <c r="N1585" s="1786" t="s">
        <v>1653</v>
      </c>
      <c r="O1585" s="1786">
        <v>0</v>
      </c>
      <c r="P1585" s="1786"/>
      <c r="Q1585" s="1786">
        <v>0</v>
      </c>
      <c r="R1585" s="1788"/>
      <c r="S1585" s="1786">
        <f t="shared" si="270"/>
        <v>428</v>
      </c>
      <c r="T1585" s="1786" t="str">
        <f t="shared" si="271"/>
        <v>בנק לאומי בע"מ</v>
      </c>
      <c r="U1585" s="1786" t="str">
        <f t="shared" si="272"/>
        <v>נדבכים ב לאקדמאים</v>
      </c>
      <c r="V1585" s="1786">
        <f t="shared" si="273"/>
        <v>0</v>
      </c>
      <c r="W1585" s="1789" t="str">
        <f t="shared" si="274"/>
        <v>קופת התגמולים לעצמאים "עצמה" ליד בל"ל בע"מ</v>
      </c>
      <c r="AC1585" s="1761" t="s">
        <v>1586</v>
      </c>
      <c r="AD1585" s="1762">
        <v>25569</v>
      </c>
      <c r="AE1585" s="1762">
        <v>25569</v>
      </c>
      <c r="AF1585" s="1761" t="s">
        <v>1583</v>
      </c>
      <c r="AG1585" s="1761" t="s">
        <v>1583</v>
      </c>
      <c r="AH1585" s="1761" t="s">
        <v>1583</v>
      </c>
      <c r="AI1585" s="1761" t="s">
        <v>3114</v>
      </c>
      <c r="AJ1585" s="1761" t="s">
        <v>1810</v>
      </c>
      <c r="AK1585" s="1761">
        <v>428</v>
      </c>
      <c r="AL1585" s="1761" t="s">
        <v>1810</v>
      </c>
      <c r="AM1585" s="1761">
        <v>428</v>
      </c>
      <c r="AN1585" s="1761" t="s">
        <v>5470</v>
      </c>
      <c r="AO1585" s="1764"/>
      <c r="AP1585" s="1761"/>
      <c r="AQ1585" s="1761"/>
      <c r="AR1585" s="1761" t="s">
        <v>1661</v>
      </c>
      <c r="AS1585" s="1761" t="s">
        <v>1660</v>
      </c>
      <c r="AT1585" s="1761" t="s">
        <v>327</v>
      </c>
      <c r="AU1585" s="1763"/>
      <c r="AV1585" s="1763"/>
    </row>
    <row r="1586" spans="1:48" ht="50" hidden="1">
      <c r="A1586" s="1785" t="str">
        <f t="shared" si="264"/>
        <v>גמל</v>
      </c>
      <c r="B1586" s="1786">
        <f t="shared" si="265"/>
        <v>427</v>
      </c>
      <c r="C1586" s="1787">
        <v>28946</v>
      </c>
      <c r="D1586" s="1786" t="str">
        <f t="shared" si="266"/>
        <v>קרן לחסכון ועזרה הדדית של עובדי חברת חשמל ירושלים בע"מ</v>
      </c>
      <c r="E1586" s="1786" t="s">
        <v>3929</v>
      </c>
      <c r="F1586" s="1786" t="s">
        <v>2958</v>
      </c>
      <c r="G1586" s="1786" t="s">
        <v>2959</v>
      </c>
      <c r="H1586" s="1786" t="str">
        <f t="shared" si="267"/>
        <v>לא פעיל</v>
      </c>
      <c r="I1586" s="1788">
        <f t="shared" si="268"/>
        <v>30956</v>
      </c>
      <c r="J1586" s="1788">
        <f t="shared" si="269"/>
        <v>38230</v>
      </c>
      <c r="K1586" s="1786">
        <v>0</v>
      </c>
      <c r="L1586" s="1786" t="s">
        <v>1594</v>
      </c>
      <c r="M1586" s="1786" t="s">
        <v>1653</v>
      </c>
      <c r="N1586" s="1786" t="s">
        <v>1653</v>
      </c>
      <c r="O1586" s="1786">
        <v>0</v>
      </c>
      <c r="P1586" s="1786"/>
      <c r="Q1586" s="1786">
        <v>0</v>
      </c>
      <c r="R1586" s="1788"/>
      <c r="S1586" s="1786">
        <f t="shared" si="270"/>
        <v>427</v>
      </c>
      <c r="T1586" s="1786" t="str">
        <f t="shared" si="271"/>
        <v>בנק מזרחי טפחות בע"מ</v>
      </c>
      <c r="U1586" s="1786" t="str">
        <f t="shared" si="272"/>
        <v>קרן לחסכון ועזרה הדדית של עובדי חברת חשמל ירושלים בע"מ</v>
      </c>
      <c r="V1586" s="1786">
        <f t="shared" si="273"/>
        <v>0</v>
      </c>
      <c r="W1586" s="1789" t="str">
        <f t="shared" si="274"/>
        <v>קרן לחסכון ועזרה הדדית של עובדי חברת חשמל - ירושלים בע"מ</v>
      </c>
      <c r="AC1586" s="1759" t="s">
        <v>1586</v>
      </c>
      <c r="AD1586" s="1760">
        <v>38230</v>
      </c>
      <c r="AE1586" s="1760">
        <v>30956</v>
      </c>
      <c r="AF1586" s="1759" t="s">
        <v>1583</v>
      </c>
      <c r="AG1586" s="1759" t="s">
        <v>1583</v>
      </c>
      <c r="AH1586" s="1759" t="s">
        <v>1583</v>
      </c>
      <c r="AI1586" s="1759" t="s">
        <v>3113</v>
      </c>
      <c r="AJ1586" s="1759" t="s">
        <v>1807</v>
      </c>
      <c r="AK1586" s="1759">
        <v>427</v>
      </c>
      <c r="AL1586" s="1759" t="s">
        <v>1807</v>
      </c>
      <c r="AM1586" s="1759">
        <v>427</v>
      </c>
      <c r="AN1586" s="1759" t="s">
        <v>5370</v>
      </c>
      <c r="AO1586" s="1764"/>
      <c r="AP1586" s="1759"/>
      <c r="AQ1586" s="1759"/>
      <c r="AR1586" s="1759" t="s">
        <v>1809</v>
      </c>
      <c r="AS1586" s="1759" t="s">
        <v>1808</v>
      </c>
      <c r="AT1586" s="1759" t="s">
        <v>327</v>
      </c>
      <c r="AU1586" s="1763"/>
      <c r="AV1586" s="1763"/>
    </row>
    <row r="1587" spans="1:48" ht="25" hidden="1">
      <c r="A1587" s="1785" t="str">
        <f t="shared" si="264"/>
        <v>גמל</v>
      </c>
      <c r="B1587" s="1786">
        <f t="shared" si="265"/>
        <v>426</v>
      </c>
      <c r="C1587" s="1787">
        <v>28946</v>
      </c>
      <c r="D1587" s="1786" t="str">
        <f t="shared" si="266"/>
        <v>פסגות אלומה</v>
      </c>
      <c r="E1587" s="1786" t="s">
        <v>3929</v>
      </c>
      <c r="F1587" s="1786" t="s">
        <v>2958</v>
      </c>
      <c r="G1587" s="1786" t="s">
        <v>2959</v>
      </c>
      <c r="H1587" s="1786" t="str">
        <f t="shared" si="267"/>
        <v>לא פעיל</v>
      </c>
      <c r="I1587" s="1788">
        <f t="shared" si="268"/>
        <v>31093</v>
      </c>
      <c r="J1587" s="1788">
        <f t="shared" si="269"/>
        <v>40133.748715277798</v>
      </c>
      <c r="K1587" s="1786">
        <v>0</v>
      </c>
      <c r="L1587" s="1786" t="s">
        <v>1594</v>
      </c>
      <c r="M1587" s="1786" t="s">
        <v>1653</v>
      </c>
      <c r="N1587" s="1786" t="s">
        <v>1653</v>
      </c>
      <c r="O1587" s="1786">
        <v>0</v>
      </c>
      <c r="P1587" s="1786"/>
      <c r="Q1587" s="1786">
        <v>0</v>
      </c>
      <c r="R1587" s="1788"/>
      <c r="S1587" s="1786">
        <f t="shared" si="270"/>
        <v>426</v>
      </c>
      <c r="T1587" s="1786" t="str">
        <f t="shared" si="271"/>
        <v>בנק הפועלים בע"מ</v>
      </c>
      <c r="U1587" s="1786" t="str">
        <f t="shared" si="272"/>
        <v>פסגות אלומה</v>
      </c>
      <c r="V1587" s="1786" t="str">
        <f t="shared" si="273"/>
        <v>513767079</v>
      </c>
      <c r="W1587" s="1789" t="str">
        <f t="shared" si="274"/>
        <v>פסגות קופות גמל ופנסיה בע"מ</v>
      </c>
      <c r="AC1587" s="1761" t="s">
        <v>1586</v>
      </c>
      <c r="AD1587" s="1762">
        <v>40133.748715277798</v>
      </c>
      <c r="AE1587" s="1762">
        <v>31093</v>
      </c>
      <c r="AF1587" s="1761" t="s">
        <v>1583</v>
      </c>
      <c r="AG1587" s="1761" t="s">
        <v>1583</v>
      </c>
      <c r="AH1587" s="1761" t="s">
        <v>1583</v>
      </c>
      <c r="AI1587" s="1761" t="s">
        <v>1806</v>
      </c>
      <c r="AJ1587" s="1761" t="s">
        <v>1806</v>
      </c>
      <c r="AK1587" s="1761">
        <v>426</v>
      </c>
      <c r="AL1587" s="1761" t="s">
        <v>1806</v>
      </c>
      <c r="AM1587" s="1761">
        <v>426</v>
      </c>
      <c r="AN1587" s="1761" t="s">
        <v>1695</v>
      </c>
      <c r="AO1587" s="1764"/>
      <c r="AP1587" s="1761" t="s">
        <v>5365</v>
      </c>
      <c r="AQ1587" s="1761" t="s">
        <v>5366</v>
      </c>
      <c r="AR1587" s="1761" t="s">
        <v>351</v>
      </c>
      <c r="AS1587" s="1761" t="s">
        <v>352</v>
      </c>
      <c r="AT1587" s="1761" t="s">
        <v>327</v>
      </c>
      <c r="AU1587" s="1763"/>
      <c r="AV1587" s="1763"/>
    </row>
    <row r="1588" spans="1:48" ht="25" hidden="1">
      <c r="A1588" s="1785" t="str">
        <f t="shared" si="264"/>
        <v>גמל</v>
      </c>
      <c r="B1588" s="1786">
        <f t="shared" si="265"/>
        <v>425</v>
      </c>
      <c r="C1588" s="1787">
        <v>28946</v>
      </c>
      <c r="D1588" s="1786" t="str">
        <f t="shared" si="266"/>
        <v>פסגות קציר</v>
      </c>
      <c r="E1588" s="1786" t="s">
        <v>3929</v>
      </c>
      <c r="F1588" s="1786" t="s">
        <v>2958</v>
      </c>
      <c r="G1588" s="1786" t="s">
        <v>2959</v>
      </c>
      <c r="H1588" s="1786" t="str">
        <f t="shared" si="267"/>
        <v>לא פעיל</v>
      </c>
      <c r="I1588" s="1788">
        <f t="shared" si="268"/>
        <v>30317</v>
      </c>
      <c r="J1588" s="1788">
        <f t="shared" si="269"/>
        <v>40133.741388888899</v>
      </c>
      <c r="K1588" s="1786">
        <v>0</v>
      </c>
      <c r="L1588" s="1786" t="s">
        <v>1594</v>
      </c>
      <c r="M1588" s="1786" t="s">
        <v>1653</v>
      </c>
      <c r="N1588" s="1786" t="s">
        <v>1653</v>
      </c>
      <c r="O1588" s="1786">
        <v>0</v>
      </c>
      <c r="P1588" s="1786"/>
      <c r="Q1588" s="1786">
        <v>0</v>
      </c>
      <c r="R1588" s="1788"/>
      <c r="S1588" s="1786">
        <f t="shared" si="270"/>
        <v>425</v>
      </c>
      <c r="T1588" s="1786" t="str">
        <f t="shared" si="271"/>
        <v>בנק הפועלים בע"מ</v>
      </c>
      <c r="U1588" s="1786" t="str">
        <f t="shared" si="272"/>
        <v>פסגות קציר</v>
      </c>
      <c r="V1588" s="1786" t="str">
        <f t="shared" si="273"/>
        <v>513767079</v>
      </c>
      <c r="W1588" s="1789" t="str">
        <f t="shared" si="274"/>
        <v>פסגות קופות גמל ופנסיה בע"מ</v>
      </c>
      <c r="AC1588" s="1759" t="s">
        <v>1586</v>
      </c>
      <c r="AD1588" s="1760">
        <v>40133.741388888899</v>
      </c>
      <c r="AE1588" s="1760">
        <v>30317</v>
      </c>
      <c r="AF1588" s="1759" t="s">
        <v>1583</v>
      </c>
      <c r="AG1588" s="1759" t="s">
        <v>1583</v>
      </c>
      <c r="AH1588" s="1759" t="s">
        <v>1583</v>
      </c>
      <c r="AI1588" s="1759" t="s">
        <v>1805</v>
      </c>
      <c r="AJ1588" s="1759" t="s">
        <v>1805</v>
      </c>
      <c r="AK1588" s="1759">
        <v>425</v>
      </c>
      <c r="AL1588" s="1759" t="s">
        <v>1805</v>
      </c>
      <c r="AM1588" s="1759">
        <v>425</v>
      </c>
      <c r="AN1588" s="1759" t="s">
        <v>1695</v>
      </c>
      <c r="AO1588" s="1764"/>
      <c r="AP1588" s="1759" t="s">
        <v>5365</v>
      </c>
      <c r="AQ1588" s="1759" t="s">
        <v>5366</v>
      </c>
      <c r="AR1588" s="1759" t="s">
        <v>351</v>
      </c>
      <c r="AS1588" s="1759" t="s">
        <v>352</v>
      </c>
      <c r="AT1588" s="1759" t="s">
        <v>327</v>
      </c>
      <c r="AU1588" s="1763"/>
      <c r="AV1588" s="1763"/>
    </row>
    <row r="1589" spans="1:48" ht="37.5" hidden="1">
      <c r="A1589" s="1785" t="str">
        <f t="shared" si="264"/>
        <v>גמל</v>
      </c>
      <c r="B1589" s="1786">
        <f t="shared" si="265"/>
        <v>424</v>
      </c>
      <c r="C1589" s="1787">
        <v>28946</v>
      </c>
      <c r="D1589" s="1786" t="str">
        <f t="shared" si="266"/>
        <v xml:space="preserve">קופת התגמולים לעובדי האוניברסיטה העברית בירושלים  </v>
      </c>
      <c r="E1589" s="1786" t="s">
        <v>3929</v>
      </c>
      <c r="F1589" s="1786" t="s">
        <v>2958</v>
      </c>
      <c r="G1589" s="1786" t="s">
        <v>2959</v>
      </c>
      <c r="H1589" s="1786" t="str">
        <f t="shared" si="267"/>
        <v>לא פעיל</v>
      </c>
      <c r="I1589" s="1788">
        <f t="shared" si="268"/>
        <v>30317</v>
      </c>
      <c r="J1589" s="1788">
        <f t="shared" si="269"/>
        <v>42652.393587963001</v>
      </c>
      <c r="K1589" s="1786">
        <v>0</v>
      </c>
      <c r="L1589" s="1786" t="s">
        <v>1594</v>
      </c>
      <c r="M1589" s="1786" t="s">
        <v>1653</v>
      </c>
      <c r="N1589" s="1786" t="s">
        <v>1653</v>
      </c>
      <c r="O1589" s="1786">
        <v>0</v>
      </c>
      <c r="P1589" s="1786"/>
      <c r="Q1589" s="1786">
        <v>0</v>
      </c>
      <c r="R1589" s="1788"/>
      <c r="S1589" s="1786">
        <f t="shared" si="270"/>
        <v>424</v>
      </c>
      <c r="T1589" s="1786" t="str">
        <f t="shared" si="271"/>
        <v>בנק הפועלים בע"מ</v>
      </c>
      <c r="U1589" s="1786" t="str">
        <f t="shared" si="272"/>
        <v>קופת התגמולים לעובדי האוניברסיטה העברית בירושלים בע"מ</v>
      </c>
      <c r="V1589" s="1786">
        <f t="shared" si="273"/>
        <v>0</v>
      </c>
      <c r="W1589" s="1789" t="str">
        <f t="shared" si="274"/>
        <v>חברת הגמל לעובדי האוניברסיטה העברית בע"מ</v>
      </c>
      <c r="AC1589" s="1761" t="s">
        <v>1586</v>
      </c>
      <c r="AD1589" s="1762">
        <v>42652.393587963001</v>
      </c>
      <c r="AE1589" s="1762">
        <v>30317</v>
      </c>
      <c r="AF1589" s="1761" t="s">
        <v>1583</v>
      </c>
      <c r="AG1589" s="1761" t="s">
        <v>1583</v>
      </c>
      <c r="AH1589" s="1761" t="s">
        <v>1583</v>
      </c>
      <c r="AI1589" s="1761" t="s">
        <v>3952</v>
      </c>
      <c r="AJ1589" s="1761" t="s">
        <v>3951</v>
      </c>
      <c r="AK1589" s="1761">
        <v>424</v>
      </c>
      <c r="AL1589" s="1761" t="s">
        <v>547</v>
      </c>
      <c r="AM1589" s="1761">
        <v>424</v>
      </c>
      <c r="AN1589" s="1761" t="s">
        <v>1695</v>
      </c>
      <c r="AO1589" s="1764"/>
      <c r="AP1589" s="1761"/>
      <c r="AQ1589" s="1761"/>
      <c r="AR1589" s="1761" t="s">
        <v>3953</v>
      </c>
      <c r="AS1589" s="1761" t="s">
        <v>546</v>
      </c>
      <c r="AT1589" s="1761" t="s">
        <v>327</v>
      </c>
      <c r="AU1589" s="1763"/>
      <c r="AV1589" s="1763"/>
    </row>
    <row r="1590" spans="1:48" ht="37.5" hidden="1">
      <c r="A1590" s="1785" t="str">
        <f t="shared" si="264"/>
        <v>גמל</v>
      </c>
      <c r="B1590" s="1786">
        <f t="shared" si="265"/>
        <v>7228</v>
      </c>
      <c r="C1590" s="1787">
        <v>28946</v>
      </c>
      <c r="D1590" s="1786" t="str">
        <f t="shared" si="266"/>
        <v>קופת התגמולים לעובדי האוניברסיטה העברית בירושלים בע"מ עד 50</v>
      </c>
      <c r="E1590" s="1786" t="s">
        <v>3929</v>
      </c>
      <c r="F1590" s="1786" t="s">
        <v>2958</v>
      </c>
      <c r="G1590" s="1786" t="s">
        <v>2959</v>
      </c>
      <c r="H1590" s="1786" t="str">
        <f t="shared" si="267"/>
        <v>פעיל</v>
      </c>
      <c r="I1590" s="1788">
        <f t="shared" si="268"/>
        <v>30317</v>
      </c>
      <c r="J1590" s="1788" t="str">
        <f t="shared" si="269"/>
        <v/>
      </c>
      <c r="K1590" s="1786">
        <v>0</v>
      </c>
      <c r="L1590" s="1786" t="s">
        <v>1594</v>
      </c>
      <c r="M1590" s="1786" t="s">
        <v>1653</v>
      </c>
      <c r="N1590" s="1786" t="s">
        <v>1653</v>
      </c>
      <c r="O1590" s="1786">
        <v>0</v>
      </c>
      <c r="P1590" s="1786"/>
      <c r="Q1590" s="1786">
        <v>0</v>
      </c>
      <c r="R1590" s="1788"/>
      <c r="S1590" s="1786">
        <f t="shared" si="270"/>
        <v>424</v>
      </c>
      <c r="T1590" s="1786" t="str">
        <f t="shared" si="271"/>
        <v>בנק הפועלים בע"מ</v>
      </c>
      <c r="U1590" s="1786" t="str">
        <f t="shared" si="272"/>
        <v>קופת התגמולים לעובדי האוניברסיטה העברית בירושלים בע"מ</v>
      </c>
      <c r="V1590" s="1786">
        <f t="shared" si="273"/>
        <v>0</v>
      </c>
      <c r="W1590" s="1789" t="str">
        <f t="shared" si="274"/>
        <v>חברת הגמל לעובדי האוניברסיטה העברית בע"מ</v>
      </c>
      <c r="AC1590" s="1759" t="s">
        <v>346</v>
      </c>
      <c r="AD1590" s="1759"/>
      <c r="AE1590" s="1760">
        <v>30317</v>
      </c>
      <c r="AF1590" s="1759" t="s">
        <v>4151</v>
      </c>
      <c r="AG1590" s="1759" t="s">
        <v>3931</v>
      </c>
      <c r="AH1590" s="1759" t="s">
        <v>3658</v>
      </c>
      <c r="AI1590" s="1759" t="s">
        <v>4207</v>
      </c>
      <c r="AJ1590" s="1759" t="s">
        <v>4206</v>
      </c>
      <c r="AK1590" s="1759">
        <v>7228</v>
      </c>
      <c r="AL1590" s="1759" t="s">
        <v>547</v>
      </c>
      <c r="AM1590" s="1759">
        <v>424</v>
      </c>
      <c r="AN1590" s="1759" t="s">
        <v>1695</v>
      </c>
      <c r="AO1590" s="1764"/>
      <c r="AP1590" s="1759"/>
      <c r="AQ1590" s="1759"/>
      <c r="AR1590" s="1759" t="s">
        <v>3953</v>
      </c>
      <c r="AS1590" s="1759" t="s">
        <v>546</v>
      </c>
      <c r="AT1590" s="1759" t="s">
        <v>327</v>
      </c>
      <c r="AU1590" s="1763"/>
      <c r="AV1590" s="1763"/>
    </row>
    <row r="1591" spans="1:48" ht="37.5" hidden="1">
      <c r="A1591" s="1785" t="str">
        <f t="shared" si="264"/>
        <v>גמל</v>
      </c>
      <c r="B1591" s="1786">
        <f t="shared" si="265"/>
        <v>1383</v>
      </c>
      <c r="C1591" s="1787">
        <v>28946</v>
      </c>
      <c r="D1591" s="1786" t="str">
        <f t="shared" si="266"/>
        <v>קופת התגמולים לעובדי האוניברסיטה העברית  מסלול עד 10% מניות</v>
      </c>
      <c r="E1591" s="1786" t="s">
        <v>3929</v>
      </c>
      <c r="F1591" s="1786" t="s">
        <v>2958</v>
      </c>
      <c r="G1591" s="1786" t="s">
        <v>2959</v>
      </c>
      <c r="H1591" s="1786" t="str">
        <f t="shared" si="267"/>
        <v>לא פעיל</v>
      </c>
      <c r="I1591" s="1788">
        <f t="shared" si="268"/>
        <v>30317</v>
      </c>
      <c r="J1591" s="1788">
        <f t="shared" si="269"/>
        <v>42652.393587963001</v>
      </c>
      <c r="K1591" s="1786">
        <v>0</v>
      </c>
      <c r="L1591" s="1786" t="s">
        <v>1594</v>
      </c>
      <c r="M1591" s="1786" t="s">
        <v>1653</v>
      </c>
      <c r="N1591" s="1786" t="s">
        <v>1653</v>
      </c>
      <c r="O1591" s="1786">
        <v>0</v>
      </c>
      <c r="P1591" s="1786"/>
      <c r="Q1591" s="1786">
        <v>0</v>
      </c>
      <c r="R1591" s="1788"/>
      <c r="S1591" s="1786">
        <f t="shared" si="270"/>
        <v>424</v>
      </c>
      <c r="T1591" s="1786" t="str">
        <f t="shared" si="271"/>
        <v>בנק הפועלים בע"מ</v>
      </c>
      <c r="U1591" s="1786" t="str">
        <f t="shared" si="272"/>
        <v>קופת התגמולים לעובדי האוניברסיטה העברית בירושלים בע"מ</v>
      </c>
      <c r="V1591" s="1786">
        <f t="shared" si="273"/>
        <v>0</v>
      </c>
      <c r="W1591" s="1789" t="str">
        <f t="shared" si="274"/>
        <v>חברת הגמל לעובדי האוניברסיטה העברית בע"מ</v>
      </c>
      <c r="AC1591" s="1761" t="s">
        <v>1586</v>
      </c>
      <c r="AD1591" s="1762">
        <v>42652.393587963001</v>
      </c>
      <c r="AE1591" s="1762">
        <v>30317</v>
      </c>
      <c r="AF1591" s="1761" t="s">
        <v>1583</v>
      </c>
      <c r="AG1591" s="1761" t="s">
        <v>1583</v>
      </c>
      <c r="AH1591" s="1761" t="s">
        <v>1583</v>
      </c>
      <c r="AI1591" s="1761" t="s">
        <v>4079</v>
      </c>
      <c r="AJ1591" s="1761" t="s">
        <v>4078</v>
      </c>
      <c r="AK1591" s="1761">
        <v>1383</v>
      </c>
      <c r="AL1591" s="1761" t="s">
        <v>547</v>
      </c>
      <c r="AM1591" s="1761">
        <v>424</v>
      </c>
      <c r="AN1591" s="1761" t="s">
        <v>1695</v>
      </c>
      <c r="AO1591" s="1764"/>
      <c r="AP1591" s="1761"/>
      <c r="AQ1591" s="1761"/>
      <c r="AR1591" s="1761" t="s">
        <v>3953</v>
      </c>
      <c r="AS1591" s="1761" t="s">
        <v>546</v>
      </c>
      <c r="AT1591" s="1761" t="s">
        <v>327</v>
      </c>
      <c r="AU1591" s="1763"/>
      <c r="AV1591" s="1763"/>
    </row>
    <row r="1592" spans="1:48" ht="37.5" hidden="1">
      <c r="A1592" s="1785" t="str">
        <f t="shared" si="264"/>
        <v>גמל</v>
      </c>
      <c r="B1592" s="1786">
        <f t="shared" si="265"/>
        <v>9817</v>
      </c>
      <c r="C1592" s="1787">
        <v>28946</v>
      </c>
      <c r="D1592" s="1786" t="str">
        <f t="shared" si="266"/>
        <v>קופת התגמולים לעובדי האוניברסיטה העברית בירושלים 50-60</v>
      </c>
      <c r="E1592" s="1786" t="s">
        <v>3929</v>
      </c>
      <c r="F1592" s="1786" t="s">
        <v>2958</v>
      </c>
      <c r="G1592" s="1786" t="s">
        <v>2959</v>
      </c>
      <c r="H1592" s="1786" t="str">
        <f t="shared" si="267"/>
        <v>פעיל</v>
      </c>
      <c r="I1592" s="1788">
        <f t="shared" si="268"/>
        <v>30317</v>
      </c>
      <c r="J1592" s="1788" t="str">
        <f t="shared" si="269"/>
        <v/>
      </c>
      <c r="K1592" s="1786">
        <v>0</v>
      </c>
      <c r="L1592" s="1786" t="s">
        <v>1594</v>
      </c>
      <c r="M1592" s="1786" t="s">
        <v>1653</v>
      </c>
      <c r="N1592" s="1786" t="s">
        <v>1653</v>
      </c>
      <c r="O1592" s="1786">
        <v>0</v>
      </c>
      <c r="P1592" s="1786"/>
      <c r="Q1592" s="1786">
        <v>0</v>
      </c>
      <c r="R1592" s="1788"/>
      <c r="S1592" s="1786">
        <f t="shared" si="270"/>
        <v>424</v>
      </c>
      <c r="T1592" s="1786" t="str">
        <f t="shared" si="271"/>
        <v>בנק הפועלים בע"מ</v>
      </c>
      <c r="U1592" s="1786" t="str">
        <f t="shared" si="272"/>
        <v>קופת התגמולים לעובדי האוניברסיטה העברית בירושלים בע"מ</v>
      </c>
      <c r="V1592" s="1786">
        <f t="shared" si="273"/>
        <v>0</v>
      </c>
      <c r="W1592" s="1789" t="str">
        <f t="shared" si="274"/>
        <v>חברת הגמל לעובדי האוניברסיטה העברית בע"מ</v>
      </c>
      <c r="AC1592" s="1759" t="s">
        <v>346</v>
      </c>
      <c r="AD1592" s="1759"/>
      <c r="AE1592" s="1760">
        <v>30317</v>
      </c>
      <c r="AF1592" s="1759" t="s">
        <v>3932</v>
      </c>
      <c r="AG1592" s="1759" t="s">
        <v>3931</v>
      </c>
      <c r="AH1592" s="1759" t="s">
        <v>3658</v>
      </c>
      <c r="AI1592" s="1759" t="s">
        <v>4391</v>
      </c>
      <c r="AJ1592" s="1759" t="s">
        <v>4390</v>
      </c>
      <c r="AK1592" s="1759">
        <v>9817</v>
      </c>
      <c r="AL1592" s="1759" t="s">
        <v>547</v>
      </c>
      <c r="AM1592" s="1759">
        <v>424</v>
      </c>
      <c r="AN1592" s="1759" t="s">
        <v>1695</v>
      </c>
      <c r="AO1592" s="1764"/>
      <c r="AP1592" s="1759"/>
      <c r="AQ1592" s="1759"/>
      <c r="AR1592" s="1759" t="s">
        <v>3953</v>
      </c>
      <c r="AS1592" s="1759" t="s">
        <v>546</v>
      </c>
      <c r="AT1592" s="1759" t="s">
        <v>327</v>
      </c>
      <c r="AU1592" s="1763"/>
      <c r="AV1592" s="1763"/>
    </row>
    <row r="1593" spans="1:48" ht="37.5" hidden="1">
      <c r="A1593" s="1785" t="str">
        <f t="shared" si="264"/>
        <v>גמל</v>
      </c>
      <c r="B1593" s="1786">
        <f t="shared" si="265"/>
        <v>9818</v>
      </c>
      <c r="C1593" s="1787">
        <v>28946</v>
      </c>
      <c r="D1593" s="1786" t="str">
        <f t="shared" si="266"/>
        <v xml:space="preserve">קופת התגמולים לעובדי האוניברסיטה העברית בירושלים בע"מ מניות </v>
      </c>
      <c r="E1593" s="1786" t="s">
        <v>3929</v>
      </c>
      <c r="F1593" s="1786" t="s">
        <v>2958</v>
      </c>
      <c r="G1593" s="1786" t="s">
        <v>2959</v>
      </c>
      <c r="H1593" s="1786" t="str">
        <f t="shared" si="267"/>
        <v>פעיל</v>
      </c>
      <c r="I1593" s="1788">
        <f t="shared" si="268"/>
        <v>30317</v>
      </c>
      <c r="J1593" s="1788" t="str">
        <f t="shared" si="269"/>
        <v/>
      </c>
      <c r="K1593" s="1786">
        <v>0</v>
      </c>
      <c r="L1593" s="1786" t="s">
        <v>1594</v>
      </c>
      <c r="M1593" s="1786" t="s">
        <v>1653</v>
      </c>
      <c r="N1593" s="1786" t="s">
        <v>1653</v>
      </c>
      <c r="O1593" s="1786">
        <v>0</v>
      </c>
      <c r="P1593" s="1786"/>
      <c r="Q1593" s="1786">
        <v>0</v>
      </c>
      <c r="R1593" s="1788"/>
      <c r="S1593" s="1786">
        <f t="shared" si="270"/>
        <v>424</v>
      </c>
      <c r="T1593" s="1786" t="str">
        <f t="shared" si="271"/>
        <v>בנק הפועלים בע"מ</v>
      </c>
      <c r="U1593" s="1786" t="str">
        <f t="shared" si="272"/>
        <v>קופת התגמולים לעובדי האוניברסיטה העברית בירושלים בע"מ</v>
      </c>
      <c r="V1593" s="1786">
        <f t="shared" si="273"/>
        <v>0</v>
      </c>
      <c r="W1593" s="1789" t="str">
        <f t="shared" si="274"/>
        <v>חברת הגמל לעובדי האוניברסיטה העברית בע"מ</v>
      </c>
      <c r="AC1593" s="1761" t="s">
        <v>346</v>
      </c>
      <c r="AD1593" s="1759"/>
      <c r="AE1593" s="1762">
        <v>30317</v>
      </c>
      <c r="AF1593" s="1761" t="s">
        <v>1595</v>
      </c>
      <c r="AG1593" s="1761" t="s">
        <v>75</v>
      </c>
      <c r="AH1593" s="1761" t="s">
        <v>1594</v>
      </c>
      <c r="AI1593" s="1761" t="s">
        <v>4393</v>
      </c>
      <c r="AJ1593" s="1761" t="s">
        <v>4392</v>
      </c>
      <c r="AK1593" s="1761">
        <v>9818</v>
      </c>
      <c r="AL1593" s="1761" t="s">
        <v>547</v>
      </c>
      <c r="AM1593" s="1761">
        <v>424</v>
      </c>
      <c r="AN1593" s="1761" t="s">
        <v>1695</v>
      </c>
      <c r="AO1593" s="1764"/>
      <c r="AP1593" s="1761"/>
      <c r="AQ1593" s="1761"/>
      <c r="AR1593" s="1761" t="s">
        <v>3953</v>
      </c>
      <c r="AS1593" s="1761" t="s">
        <v>546</v>
      </c>
      <c r="AT1593" s="1761" t="s">
        <v>327</v>
      </c>
      <c r="AU1593" s="1763"/>
      <c r="AV1593" s="1763"/>
    </row>
    <row r="1594" spans="1:48" ht="37.5" hidden="1">
      <c r="A1594" s="1785" t="str">
        <f t="shared" si="264"/>
        <v>גמל</v>
      </c>
      <c r="B1594" s="1786">
        <f t="shared" si="265"/>
        <v>7229</v>
      </c>
      <c r="C1594" s="1787">
        <v>28946</v>
      </c>
      <c r="D1594" s="1786" t="str">
        <f t="shared" si="266"/>
        <v>קופת התגמולים לעובדי האוניברסיטה העברית בירושלים בע"מ 60 ומעלה</v>
      </c>
      <c r="E1594" s="1786" t="s">
        <v>3929</v>
      </c>
      <c r="F1594" s="1786" t="s">
        <v>2958</v>
      </c>
      <c r="G1594" s="1786" t="s">
        <v>2959</v>
      </c>
      <c r="H1594" s="1786" t="str">
        <f t="shared" si="267"/>
        <v>פעיל</v>
      </c>
      <c r="I1594" s="1788">
        <f t="shared" si="268"/>
        <v>30317</v>
      </c>
      <c r="J1594" s="1788" t="str">
        <f t="shared" si="269"/>
        <v/>
      </c>
      <c r="K1594" s="1786">
        <v>0</v>
      </c>
      <c r="L1594" s="1786" t="s">
        <v>1594</v>
      </c>
      <c r="M1594" s="1786" t="s">
        <v>1653</v>
      </c>
      <c r="N1594" s="1786" t="s">
        <v>1653</v>
      </c>
      <c r="O1594" s="1786">
        <v>0</v>
      </c>
      <c r="P1594" s="1786"/>
      <c r="Q1594" s="1786">
        <v>0</v>
      </c>
      <c r="R1594" s="1788"/>
      <c r="S1594" s="1786">
        <f t="shared" si="270"/>
        <v>424</v>
      </c>
      <c r="T1594" s="1786" t="str">
        <f t="shared" si="271"/>
        <v>בנק הפועלים בע"מ</v>
      </c>
      <c r="U1594" s="1786" t="str">
        <f t="shared" si="272"/>
        <v>קופת התגמולים לעובדי האוניברסיטה העברית בירושלים בע"מ</v>
      </c>
      <c r="V1594" s="1786">
        <f t="shared" si="273"/>
        <v>0</v>
      </c>
      <c r="W1594" s="1789" t="str">
        <f t="shared" si="274"/>
        <v>חברת הגמל לעובדי האוניברסיטה העברית בע"מ</v>
      </c>
      <c r="AC1594" s="1759" t="s">
        <v>346</v>
      </c>
      <c r="AD1594" s="1759"/>
      <c r="AE1594" s="1760">
        <v>30317</v>
      </c>
      <c r="AF1594" s="1759" t="s">
        <v>3963</v>
      </c>
      <c r="AG1594" s="1759" t="s">
        <v>3931</v>
      </c>
      <c r="AH1594" s="1759" t="s">
        <v>3658</v>
      </c>
      <c r="AI1594" s="1759" t="s">
        <v>4209</v>
      </c>
      <c r="AJ1594" s="1759" t="s">
        <v>4208</v>
      </c>
      <c r="AK1594" s="1759">
        <v>7229</v>
      </c>
      <c r="AL1594" s="1759" t="s">
        <v>547</v>
      </c>
      <c r="AM1594" s="1759">
        <v>424</v>
      </c>
      <c r="AN1594" s="1759" t="s">
        <v>1695</v>
      </c>
      <c r="AO1594" s="1764"/>
      <c r="AP1594" s="1759"/>
      <c r="AQ1594" s="1759"/>
      <c r="AR1594" s="1759" t="s">
        <v>3953</v>
      </c>
      <c r="AS1594" s="1759" t="s">
        <v>546</v>
      </c>
      <c r="AT1594" s="1759" t="s">
        <v>327</v>
      </c>
      <c r="AU1594" s="1763"/>
      <c r="AV1594" s="1763"/>
    </row>
    <row r="1595" spans="1:48" ht="50" hidden="1">
      <c r="A1595" s="1785" t="str">
        <f t="shared" si="264"/>
        <v>גמל</v>
      </c>
      <c r="B1595" s="1786">
        <f t="shared" si="265"/>
        <v>423</v>
      </c>
      <c r="C1595" s="1787">
        <v>28946</v>
      </c>
      <c r="D1595" s="1786" t="str">
        <f t="shared" si="266"/>
        <v>קרן השתלמות של עובדי חברת החשמל לישראל בע"מ</v>
      </c>
      <c r="E1595" s="1786" t="s">
        <v>3929</v>
      </c>
      <c r="F1595" s="1786" t="s">
        <v>2958</v>
      </c>
      <c r="G1595" s="1786" t="s">
        <v>2959</v>
      </c>
      <c r="H1595" s="1786" t="str">
        <f t="shared" si="267"/>
        <v>פעיל</v>
      </c>
      <c r="I1595" s="1788">
        <f t="shared" si="268"/>
        <v>28582</v>
      </c>
      <c r="J1595" s="1788" t="str">
        <f t="shared" si="269"/>
        <v/>
      </c>
      <c r="K1595" s="1786">
        <v>0</v>
      </c>
      <c r="L1595" s="1786" t="s">
        <v>1594</v>
      </c>
      <c r="M1595" s="1786" t="s">
        <v>1653</v>
      </c>
      <c r="N1595" s="1786" t="s">
        <v>1653</v>
      </c>
      <c r="O1595" s="1786">
        <v>0</v>
      </c>
      <c r="P1595" s="1786"/>
      <c r="Q1595" s="1786">
        <v>0</v>
      </c>
      <c r="R1595" s="1788"/>
      <c r="S1595" s="1786">
        <f t="shared" si="270"/>
        <v>423</v>
      </c>
      <c r="T1595" s="1786" t="str">
        <f t="shared" si="271"/>
        <v>בנק לאומי בע"מ</v>
      </c>
      <c r="U1595" s="1786" t="str">
        <f t="shared" si="272"/>
        <v>קרן השתלמות של עובדי חברת החשמל לישראל בע"מ</v>
      </c>
      <c r="V1595" s="1786">
        <f t="shared" si="273"/>
        <v>0</v>
      </c>
      <c r="W1595" s="1789" t="str">
        <f t="shared" si="274"/>
        <v>החברה המנהלת של קרן השתלמות של עובדי חברת החשמל לישראל בע"מ</v>
      </c>
      <c r="AC1595" s="1761" t="s">
        <v>346</v>
      </c>
      <c r="AD1595" s="1761"/>
      <c r="AE1595" s="1762">
        <v>28582</v>
      </c>
      <c r="AF1595" s="1761" t="s">
        <v>1583</v>
      </c>
      <c r="AG1595" s="1761" t="s">
        <v>1583</v>
      </c>
      <c r="AH1595" s="1761" t="s">
        <v>1583</v>
      </c>
      <c r="AI1595" s="1761" t="s">
        <v>3112</v>
      </c>
      <c r="AJ1595" s="1761" t="s">
        <v>544</v>
      </c>
      <c r="AK1595" s="1761">
        <v>423</v>
      </c>
      <c r="AL1595" s="1761" t="s">
        <v>544</v>
      </c>
      <c r="AM1595" s="1761">
        <v>423</v>
      </c>
      <c r="AN1595" s="1761" t="s">
        <v>5470</v>
      </c>
      <c r="AO1595" s="1764"/>
      <c r="AP1595" s="1761"/>
      <c r="AQ1595" s="1761"/>
      <c r="AR1595" s="1761" t="s">
        <v>542</v>
      </c>
      <c r="AS1595" s="1761" t="s">
        <v>543</v>
      </c>
      <c r="AT1595" s="1761" t="s">
        <v>327</v>
      </c>
      <c r="AU1595" s="1763"/>
      <c r="AV1595" s="1763"/>
    </row>
    <row r="1596" spans="1:48" ht="25" hidden="1">
      <c r="A1596" s="1785" t="str">
        <f t="shared" si="264"/>
        <v>גמל</v>
      </c>
      <c r="B1596" s="1786">
        <f t="shared" si="265"/>
        <v>422</v>
      </c>
      <c r="C1596" s="1787">
        <v>28946</v>
      </c>
      <c r="D1596" s="1786" t="str">
        <f t="shared" si="266"/>
        <v>אקסלנס שומרון</v>
      </c>
      <c r="E1596" s="1786" t="s">
        <v>3929</v>
      </c>
      <c r="F1596" s="1786" t="s">
        <v>2958</v>
      </c>
      <c r="G1596" s="1786" t="s">
        <v>2959</v>
      </c>
      <c r="H1596" s="1786" t="str">
        <f t="shared" si="267"/>
        <v>לא פעיל</v>
      </c>
      <c r="I1596" s="1788">
        <f t="shared" si="268"/>
        <v>30103</v>
      </c>
      <c r="J1596" s="1788">
        <f t="shared" si="269"/>
        <v>40917.725567129601</v>
      </c>
      <c r="K1596" s="1786">
        <v>0</v>
      </c>
      <c r="L1596" s="1786" t="s">
        <v>1594</v>
      </c>
      <c r="M1596" s="1786" t="s">
        <v>1653</v>
      </c>
      <c r="N1596" s="1786" t="s">
        <v>1653</v>
      </c>
      <c r="O1596" s="1786">
        <v>0</v>
      </c>
      <c r="P1596" s="1786"/>
      <c r="Q1596" s="1786">
        <v>0</v>
      </c>
      <c r="R1596" s="1788"/>
      <c r="S1596" s="1786">
        <f t="shared" si="270"/>
        <v>422</v>
      </c>
      <c r="T1596" s="1786" t="str">
        <f t="shared" si="271"/>
        <v>בנק מזרחי טפחות בע"מ</v>
      </c>
      <c r="U1596" s="1786" t="str">
        <f t="shared" si="272"/>
        <v>אקסלנס שומרון</v>
      </c>
      <c r="V1596" s="1786" t="str">
        <f t="shared" si="273"/>
        <v>520017450</v>
      </c>
      <c r="W1596" s="1789" t="str">
        <f t="shared" si="274"/>
        <v xml:space="preserve">הפניקס אקסלנס פנסיה וגמל בע"מ </v>
      </c>
      <c r="AC1596" s="1759" t="s">
        <v>1586</v>
      </c>
      <c r="AD1596" s="1760">
        <v>40917.725567129601</v>
      </c>
      <c r="AE1596" s="1760">
        <v>30103</v>
      </c>
      <c r="AF1596" s="1759" t="s">
        <v>1583</v>
      </c>
      <c r="AG1596" s="1759" t="s">
        <v>1583</v>
      </c>
      <c r="AH1596" s="1759" t="s">
        <v>1583</v>
      </c>
      <c r="AI1596" s="1759" t="s">
        <v>1804</v>
      </c>
      <c r="AJ1596" s="1759" t="s">
        <v>1804</v>
      </c>
      <c r="AK1596" s="1759">
        <v>422</v>
      </c>
      <c r="AL1596" s="1759" t="s">
        <v>1804</v>
      </c>
      <c r="AM1596" s="1759">
        <v>422</v>
      </c>
      <c r="AN1596" s="1759" t="s">
        <v>5370</v>
      </c>
      <c r="AO1596" s="1764"/>
      <c r="AP1596" s="1759" t="s">
        <v>5379</v>
      </c>
      <c r="AQ1596" s="1759" t="s">
        <v>5380</v>
      </c>
      <c r="AR1596" s="1759" t="s">
        <v>5381</v>
      </c>
      <c r="AS1596" s="1759" t="s">
        <v>347</v>
      </c>
      <c r="AT1596" s="1759" t="s">
        <v>327</v>
      </c>
      <c r="AU1596" s="1763"/>
      <c r="AV1596" s="1763"/>
    </row>
    <row r="1597" spans="1:48" ht="25" hidden="1">
      <c r="A1597" s="1785" t="str">
        <f t="shared" si="264"/>
        <v>גמל</v>
      </c>
      <c r="B1597" s="1786">
        <f t="shared" si="265"/>
        <v>421</v>
      </c>
      <c r="C1597" s="1787">
        <v>28946</v>
      </c>
      <c r="D1597" s="1786" t="str">
        <f t="shared" si="266"/>
        <v>אקסלנס אמנה</v>
      </c>
      <c r="E1597" s="1786" t="s">
        <v>3929</v>
      </c>
      <c r="F1597" s="1786" t="s">
        <v>2958</v>
      </c>
      <c r="G1597" s="1786" t="s">
        <v>2959</v>
      </c>
      <c r="H1597" s="1786" t="str">
        <f t="shared" si="267"/>
        <v>לא פעיל</v>
      </c>
      <c r="I1597" s="1788">
        <f t="shared" si="268"/>
        <v>30103</v>
      </c>
      <c r="J1597" s="1788">
        <f t="shared" si="269"/>
        <v>40917.712407407402</v>
      </c>
      <c r="K1597" s="1786">
        <v>0</v>
      </c>
      <c r="L1597" s="1786" t="s">
        <v>1594</v>
      </c>
      <c r="M1597" s="1786" t="s">
        <v>1653</v>
      </c>
      <c r="N1597" s="1786" t="s">
        <v>1653</v>
      </c>
      <c r="O1597" s="1786">
        <v>0</v>
      </c>
      <c r="P1597" s="1786"/>
      <c r="Q1597" s="1786">
        <v>0</v>
      </c>
      <c r="R1597" s="1788"/>
      <c r="S1597" s="1786">
        <f t="shared" si="270"/>
        <v>421</v>
      </c>
      <c r="T1597" s="1786" t="str">
        <f t="shared" si="271"/>
        <v>בנק מזרחי טפחות בע"מ</v>
      </c>
      <c r="U1597" s="1786" t="str">
        <f t="shared" si="272"/>
        <v>אקסלנס אמנה</v>
      </c>
      <c r="V1597" s="1786" t="str">
        <f t="shared" si="273"/>
        <v>520017450</v>
      </c>
      <c r="W1597" s="1789" t="str">
        <f t="shared" si="274"/>
        <v xml:space="preserve">הפניקס אקסלנס פנסיה וגמל בע"מ </v>
      </c>
      <c r="AC1597" s="1761" t="s">
        <v>1586</v>
      </c>
      <c r="AD1597" s="1762">
        <v>40917.712407407402</v>
      </c>
      <c r="AE1597" s="1762">
        <v>30103</v>
      </c>
      <c r="AF1597" s="1761" t="s">
        <v>1583</v>
      </c>
      <c r="AG1597" s="1761" t="s">
        <v>1583</v>
      </c>
      <c r="AH1597" s="1761" t="s">
        <v>1583</v>
      </c>
      <c r="AI1597" s="1761" t="s">
        <v>1803</v>
      </c>
      <c r="AJ1597" s="1761" t="s">
        <v>1803</v>
      </c>
      <c r="AK1597" s="1761">
        <v>421</v>
      </c>
      <c r="AL1597" s="1761" t="s">
        <v>1803</v>
      </c>
      <c r="AM1597" s="1761">
        <v>421</v>
      </c>
      <c r="AN1597" s="1761" t="s">
        <v>5370</v>
      </c>
      <c r="AO1597" s="1764"/>
      <c r="AP1597" s="1761" t="s">
        <v>5379</v>
      </c>
      <c r="AQ1597" s="1761" t="s">
        <v>5380</v>
      </c>
      <c r="AR1597" s="1761" t="s">
        <v>5381</v>
      </c>
      <c r="AS1597" s="1761" t="s">
        <v>347</v>
      </c>
      <c r="AT1597" s="1761" t="s">
        <v>327</v>
      </c>
      <c r="AU1597" s="1763"/>
      <c r="AV1597" s="1763"/>
    </row>
    <row r="1598" spans="1:48" ht="37.5" hidden="1">
      <c r="A1598" s="1785" t="str">
        <f t="shared" si="264"/>
        <v>גמל</v>
      </c>
      <c r="B1598" s="1786">
        <f t="shared" si="265"/>
        <v>1471</v>
      </c>
      <c r="C1598" s="1787">
        <v>28946</v>
      </c>
      <c r="D1598" s="1786" t="str">
        <f t="shared" si="266"/>
        <v>קרן השתלמות וחסכון פ.ר.ח - מסלול אג"ח ללא מניות</v>
      </c>
      <c r="E1598" s="1786" t="s">
        <v>3929</v>
      </c>
      <c r="F1598" s="1786" t="s">
        <v>2958</v>
      </c>
      <c r="G1598" s="1786" t="s">
        <v>2959</v>
      </c>
      <c r="H1598" s="1786" t="str">
        <f t="shared" si="267"/>
        <v>פעיל</v>
      </c>
      <c r="I1598" s="1788">
        <f t="shared" si="268"/>
        <v>28581</v>
      </c>
      <c r="J1598" s="1788" t="str">
        <f t="shared" si="269"/>
        <v/>
      </c>
      <c r="K1598" s="1786">
        <v>0</v>
      </c>
      <c r="L1598" s="1786" t="s">
        <v>1594</v>
      </c>
      <c r="M1598" s="1786" t="s">
        <v>1653</v>
      </c>
      <c r="N1598" s="1786" t="s">
        <v>1653</v>
      </c>
      <c r="O1598" s="1786">
        <v>0</v>
      </c>
      <c r="P1598" s="1786"/>
      <c r="Q1598" s="1786">
        <v>0</v>
      </c>
      <c r="R1598" s="1788"/>
      <c r="S1598" s="1786">
        <f t="shared" si="270"/>
        <v>420</v>
      </c>
      <c r="T1598" s="1786" t="str">
        <f t="shared" si="271"/>
        <v>הבנק הבינלאומי הראשון</v>
      </c>
      <c r="U1598" s="1786" t="str">
        <f t="shared" si="272"/>
        <v>יהב קרן השתלמות וחסכון פ.ר.ח - מסלול כללי</v>
      </c>
      <c r="V1598" s="1786">
        <f t="shared" si="273"/>
        <v>0</v>
      </c>
      <c r="W1598" s="1789" t="str">
        <f t="shared" si="274"/>
        <v>יהב - פ.ר.ח. - חברה לניהול קופות גמל בע"מ</v>
      </c>
      <c r="AC1598" s="1759" t="s">
        <v>346</v>
      </c>
      <c r="AD1598" s="1759"/>
      <c r="AE1598" s="1760">
        <v>28581</v>
      </c>
      <c r="AF1598" s="1759" t="s">
        <v>1681</v>
      </c>
      <c r="AG1598" s="1759" t="s">
        <v>1653</v>
      </c>
      <c r="AH1598" s="1759" t="s">
        <v>1594</v>
      </c>
      <c r="AI1598" s="1759" t="s">
        <v>4109</v>
      </c>
      <c r="AJ1598" s="1759" t="s">
        <v>4108</v>
      </c>
      <c r="AK1598" s="1759">
        <v>1471</v>
      </c>
      <c r="AL1598" s="1759" t="s">
        <v>541</v>
      </c>
      <c r="AM1598" s="1759">
        <v>420</v>
      </c>
      <c r="AN1598" s="1759" t="s">
        <v>5384</v>
      </c>
      <c r="AO1598" s="1764"/>
      <c r="AP1598" s="1759"/>
      <c r="AQ1598" s="1759"/>
      <c r="AR1598" s="1759" t="s">
        <v>539</v>
      </c>
      <c r="AS1598" s="1759" t="s">
        <v>540</v>
      </c>
      <c r="AT1598" s="1759" t="s">
        <v>327</v>
      </c>
      <c r="AU1598" s="1763"/>
      <c r="AV1598" s="1763"/>
    </row>
    <row r="1599" spans="1:48" ht="37.5" hidden="1">
      <c r="A1599" s="1785" t="str">
        <f t="shared" si="264"/>
        <v>גמל</v>
      </c>
      <c r="B1599" s="1786">
        <f t="shared" si="265"/>
        <v>420</v>
      </c>
      <c r="C1599" s="1787">
        <v>28946</v>
      </c>
      <c r="D1599" s="1786" t="str">
        <f t="shared" si="266"/>
        <v>יהב קרן השתלמות וחסכון פ.ר.ח - מסלול כללי</v>
      </c>
      <c r="E1599" s="1786" t="s">
        <v>3929</v>
      </c>
      <c r="F1599" s="1786" t="s">
        <v>2958</v>
      </c>
      <c r="G1599" s="1786" t="s">
        <v>2959</v>
      </c>
      <c r="H1599" s="1786" t="str">
        <f t="shared" si="267"/>
        <v>פעיל</v>
      </c>
      <c r="I1599" s="1788">
        <f t="shared" si="268"/>
        <v>28581</v>
      </c>
      <c r="J1599" s="1788" t="str">
        <f t="shared" si="269"/>
        <v/>
      </c>
      <c r="K1599" s="1786">
        <v>0</v>
      </c>
      <c r="L1599" s="1786" t="s">
        <v>1594</v>
      </c>
      <c r="M1599" s="1786" t="s">
        <v>1653</v>
      </c>
      <c r="N1599" s="1786" t="s">
        <v>1653</v>
      </c>
      <c r="O1599" s="1786">
        <v>0</v>
      </c>
      <c r="P1599" s="1786"/>
      <c r="Q1599" s="1786">
        <v>0</v>
      </c>
      <c r="R1599" s="1788"/>
      <c r="S1599" s="1786">
        <f t="shared" si="270"/>
        <v>420</v>
      </c>
      <c r="T1599" s="1786" t="str">
        <f t="shared" si="271"/>
        <v>הבנק הבינלאומי הראשון</v>
      </c>
      <c r="U1599" s="1786" t="str">
        <f t="shared" si="272"/>
        <v>יהב קרן השתלמות וחסכון פ.ר.ח - מסלול כללי</v>
      </c>
      <c r="V1599" s="1786">
        <f t="shared" si="273"/>
        <v>0</v>
      </c>
      <c r="W1599" s="1789" t="str">
        <f t="shared" si="274"/>
        <v>יהב - פ.ר.ח. - חברה לניהול קופות גמל בע"מ</v>
      </c>
      <c r="AC1599" s="1761" t="s">
        <v>346</v>
      </c>
      <c r="AD1599" s="1759"/>
      <c r="AE1599" s="1762">
        <v>28581</v>
      </c>
      <c r="AF1599" s="1761" t="s">
        <v>1583</v>
      </c>
      <c r="AG1599" s="1761" t="s">
        <v>1583</v>
      </c>
      <c r="AH1599" s="1761" t="s">
        <v>1583</v>
      </c>
      <c r="AI1599" s="1761" t="s">
        <v>3111</v>
      </c>
      <c r="AJ1599" s="1761" t="s">
        <v>541</v>
      </c>
      <c r="AK1599" s="1761">
        <v>420</v>
      </c>
      <c r="AL1599" s="1761" t="s">
        <v>541</v>
      </c>
      <c r="AM1599" s="1761">
        <v>420</v>
      </c>
      <c r="AN1599" s="1761" t="s">
        <v>5384</v>
      </c>
      <c r="AO1599" s="1764"/>
      <c r="AP1599" s="1761"/>
      <c r="AQ1599" s="1761"/>
      <c r="AR1599" s="1761" t="s">
        <v>539</v>
      </c>
      <c r="AS1599" s="1761" t="s">
        <v>540</v>
      </c>
      <c r="AT1599" s="1761" t="s">
        <v>327</v>
      </c>
      <c r="AU1599" s="1763"/>
      <c r="AV1599" s="1763"/>
    </row>
    <row r="1600" spans="1:48" ht="37.5" hidden="1">
      <c r="A1600" s="1785" t="str">
        <f t="shared" si="264"/>
        <v>גמל</v>
      </c>
      <c r="B1600" s="1786">
        <f t="shared" si="265"/>
        <v>419</v>
      </c>
      <c r="C1600" s="1787">
        <v>28946</v>
      </c>
      <c r="D1600" s="1786" t="str">
        <f t="shared" si="266"/>
        <v>השתלמות רופאים כללי</v>
      </c>
      <c r="E1600" s="1786" t="s">
        <v>3929</v>
      </c>
      <c r="F1600" s="1786" t="s">
        <v>2958</v>
      </c>
      <c r="G1600" s="1786" t="s">
        <v>2959</v>
      </c>
      <c r="H1600" s="1786" t="str">
        <f t="shared" si="267"/>
        <v>פעיל</v>
      </c>
      <c r="I1600" s="1788">
        <f t="shared" si="268"/>
        <v>28581</v>
      </c>
      <c r="J1600" s="1788" t="str">
        <f t="shared" si="269"/>
        <v/>
      </c>
      <c r="K1600" s="1786">
        <v>0</v>
      </c>
      <c r="L1600" s="1786" t="s">
        <v>1594</v>
      </c>
      <c r="M1600" s="1786" t="s">
        <v>1653</v>
      </c>
      <c r="N1600" s="1786" t="s">
        <v>1653</v>
      </c>
      <c r="O1600" s="1786">
        <v>0</v>
      </c>
      <c r="P1600" s="1786"/>
      <c r="Q1600" s="1786">
        <v>0</v>
      </c>
      <c r="R1600" s="1788"/>
      <c r="S1600" s="1786">
        <f t="shared" si="270"/>
        <v>419</v>
      </c>
      <c r="T1600" s="1786" t="str">
        <f t="shared" si="271"/>
        <v>הבנק הבינלאומי הראשון</v>
      </c>
      <c r="U1600" s="1786" t="str">
        <f t="shared" si="272"/>
        <v>רופאים קרן השתלמות</v>
      </c>
      <c r="V1600" s="1786" t="str">
        <f t="shared" si="273"/>
        <v>589903046</v>
      </c>
      <c r="W1600" s="1789" t="str">
        <f t="shared" si="274"/>
        <v>יהב רופאים - חברה לניהול קופות גמל בע"מ</v>
      </c>
      <c r="AC1600" s="1759" t="s">
        <v>346</v>
      </c>
      <c r="AD1600" s="1759"/>
      <c r="AE1600" s="1760">
        <v>28581</v>
      </c>
      <c r="AF1600" s="1759" t="s">
        <v>1583</v>
      </c>
      <c r="AG1600" s="1759" t="s">
        <v>1583</v>
      </c>
      <c r="AH1600" s="1759" t="s">
        <v>1583</v>
      </c>
      <c r="AI1600" s="1759" t="s">
        <v>1802</v>
      </c>
      <c r="AJ1600" s="1759" t="s">
        <v>1802</v>
      </c>
      <c r="AK1600" s="1759">
        <v>419</v>
      </c>
      <c r="AL1600" s="1759" t="s">
        <v>538</v>
      </c>
      <c r="AM1600" s="1759">
        <v>419</v>
      </c>
      <c r="AN1600" s="1759" t="s">
        <v>5384</v>
      </c>
      <c r="AO1600" s="1764"/>
      <c r="AP1600" s="1759" t="s">
        <v>5629</v>
      </c>
      <c r="AQ1600" s="1759" t="s">
        <v>5630</v>
      </c>
      <c r="AR1600" s="1759" t="s">
        <v>536</v>
      </c>
      <c r="AS1600" s="1759" t="s">
        <v>537</v>
      </c>
      <c r="AT1600" s="1759" t="s">
        <v>327</v>
      </c>
      <c r="AU1600" s="1763"/>
      <c r="AV1600" s="1763"/>
    </row>
    <row r="1601" spans="1:48" ht="37.5" hidden="1">
      <c r="A1601" s="1785" t="str">
        <f t="shared" si="264"/>
        <v>גמל</v>
      </c>
      <c r="B1601" s="1786">
        <f t="shared" si="265"/>
        <v>12435</v>
      </c>
      <c r="C1601" s="1787">
        <v>28946</v>
      </c>
      <c r="D1601" s="1786" t="str">
        <f t="shared" si="266"/>
        <v xml:space="preserve">השתלמות רופאים מניות </v>
      </c>
      <c r="E1601" s="1786" t="s">
        <v>3929</v>
      </c>
      <c r="F1601" s="1786" t="s">
        <v>2958</v>
      </c>
      <c r="G1601" s="1786" t="s">
        <v>2959</v>
      </c>
      <c r="H1601" s="1786" t="str">
        <f t="shared" si="267"/>
        <v>פעיל</v>
      </c>
      <c r="I1601" s="1788">
        <f t="shared" si="268"/>
        <v>28581</v>
      </c>
      <c r="J1601" s="1788" t="str">
        <f t="shared" si="269"/>
        <v/>
      </c>
      <c r="K1601" s="1786">
        <v>0</v>
      </c>
      <c r="L1601" s="1786" t="s">
        <v>1594</v>
      </c>
      <c r="M1601" s="1786" t="s">
        <v>1653</v>
      </c>
      <c r="N1601" s="1786" t="s">
        <v>1653</v>
      </c>
      <c r="O1601" s="1786">
        <v>0</v>
      </c>
      <c r="P1601" s="1786"/>
      <c r="Q1601" s="1786">
        <v>0</v>
      </c>
      <c r="R1601" s="1788"/>
      <c r="S1601" s="1786">
        <f t="shared" si="270"/>
        <v>419</v>
      </c>
      <c r="T1601" s="1786" t="str">
        <f t="shared" si="271"/>
        <v>הבנק הבינלאומי הראשון</v>
      </c>
      <c r="U1601" s="1786" t="str">
        <f t="shared" si="272"/>
        <v>רופאים קרן השתלמות</v>
      </c>
      <c r="V1601" s="1786" t="str">
        <f t="shared" si="273"/>
        <v>589903046</v>
      </c>
      <c r="W1601" s="1789" t="str">
        <f t="shared" si="274"/>
        <v>יהב רופאים - חברה לניהול קופות גמל בע"מ</v>
      </c>
      <c r="AC1601" s="1761" t="s">
        <v>346</v>
      </c>
      <c r="AD1601" s="1761"/>
      <c r="AE1601" s="1762">
        <v>28581</v>
      </c>
      <c r="AF1601" s="1761" t="s">
        <v>1595</v>
      </c>
      <c r="AG1601" s="1761" t="s">
        <v>75</v>
      </c>
      <c r="AH1601" s="1761" t="s">
        <v>1594</v>
      </c>
      <c r="AI1601" s="1761" t="s">
        <v>5631</v>
      </c>
      <c r="AJ1601" s="1761" t="s">
        <v>5631</v>
      </c>
      <c r="AK1601" s="1761">
        <v>12435</v>
      </c>
      <c r="AL1601" s="1761" t="s">
        <v>538</v>
      </c>
      <c r="AM1601" s="1761">
        <v>419</v>
      </c>
      <c r="AN1601" s="1761" t="s">
        <v>5384</v>
      </c>
      <c r="AO1601" s="1764"/>
      <c r="AP1601" s="1761" t="s">
        <v>5629</v>
      </c>
      <c r="AQ1601" s="1761" t="s">
        <v>5630</v>
      </c>
      <c r="AR1601" s="1761" t="s">
        <v>536</v>
      </c>
      <c r="AS1601" s="1761" t="s">
        <v>537</v>
      </c>
      <c r="AT1601" s="1761" t="s">
        <v>327</v>
      </c>
      <c r="AU1601" s="1763"/>
      <c r="AV1601" s="1763"/>
    </row>
    <row r="1602" spans="1:48" ht="37.5" hidden="1">
      <c r="A1602" s="1785" t="str">
        <f t="shared" si="264"/>
        <v>גמל</v>
      </c>
      <c r="B1602" s="1786">
        <f t="shared" si="265"/>
        <v>1472</v>
      </c>
      <c r="C1602" s="1787">
        <v>28946</v>
      </c>
      <c r="D1602" s="1786" t="str">
        <f t="shared" si="266"/>
        <v>השתלמות רופאים אג"ח ממשלת ישראל</v>
      </c>
      <c r="E1602" s="1786" t="s">
        <v>3929</v>
      </c>
      <c r="F1602" s="1786" t="s">
        <v>2958</v>
      </c>
      <c r="G1602" s="1786" t="s">
        <v>2959</v>
      </c>
      <c r="H1602" s="1786" t="str">
        <f t="shared" si="267"/>
        <v>פעיל</v>
      </c>
      <c r="I1602" s="1788">
        <f t="shared" si="268"/>
        <v>28581</v>
      </c>
      <c r="J1602" s="1788" t="str">
        <f t="shared" si="269"/>
        <v/>
      </c>
      <c r="K1602" s="1786">
        <v>0</v>
      </c>
      <c r="L1602" s="1786" t="s">
        <v>1594</v>
      </c>
      <c r="M1602" s="1786" t="s">
        <v>1653</v>
      </c>
      <c r="N1602" s="1786" t="s">
        <v>1653</v>
      </c>
      <c r="O1602" s="1786">
        <v>0</v>
      </c>
      <c r="P1602" s="1786"/>
      <c r="Q1602" s="1786">
        <v>0</v>
      </c>
      <c r="R1602" s="1788"/>
      <c r="S1602" s="1786">
        <f t="shared" si="270"/>
        <v>419</v>
      </c>
      <c r="T1602" s="1786" t="str">
        <f t="shared" si="271"/>
        <v>הבנק הבינלאומי הראשון</v>
      </c>
      <c r="U1602" s="1786" t="str">
        <f t="shared" si="272"/>
        <v>רופאים קרן השתלמות</v>
      </c>
      <c r="V1602" s="1786" t="str">
        <f t="shared" si="273"/>
        <v>589903046</v>
      </c>
      <c r="W1602" s="1789" t="str">
        <f t="shared" si="274"/>
        <v>יהב רופאים - חברה לניהול קופות גמל בע"מ</v>
      </c>
      <c r="AC1602" s="1759" t="s">
        <v>346</v>
      </c>
      <c r="AD1602" s="1759"/>
      <c r="AE1602" s="1760">
        <v>28581</v>
      </c>
      <c r="AF1602" s="1759" t="s">
        <v>2009</v>
      </c>
      <c r="AG1602" s="1759" t="s">
        <v>1653</v>
      </c>
      <c r="AH1602" s="1759" t="s">
        <v>1594</v>
      </c>
      <c r="AI1602" s="1759" t="s">
        <v>4110</v>
      </c>
      <c r="AJ1602" s="1759" t="s">
        <v>4110</v>
      </c>
      <c r="AK1602" s="1759">
        <v>1472</v>
      </c>
      <c r="AL1602" s="1759" t="s">
        <v>538</v>
      </c>
      <c r="AM1602" s="1759">
        <v>419</v>
      </c>
      <c r="AN1602" s="1759" t="s">
        <v>5384</v>
      </c>
      <c r="AO1602" s="1764"/>
      <c r="AP1602" s="1759" t="s">
        <v>5629</v>
      </c>
      <c r="AQ1602" s="1759" t="s">
        <v>5630</v>
      </c>
      <c r="AR1602" s="1759" t="s">
        <v>536</v>
      </c>
      <c r="AS1602" s="1759" t="s">
        <v>537</v>
      </c>
      <c r="AT1602" s="1759" t="s">
        <v>327</v>
      </c>
      <c r="AU1602" s="1763"/>
      <c r="AV1602" s="1763"/>
    </row>
    <row r="1603" spans="1:48" ht="37.5" hidden="1">
      <c r="A1603" s="1785" t="str">
        <f t="shared" si="264"/>
        <v>גמל</v>
      </c>
      <c r="B1603" s="1786">
        <f t="shared" si="265"/>
        <v>1456</v>
      </c>
      <c r="C1603" s="1787">
        <v>28946</v>
      </c>
      <c r="D1603" s="1786" t="str">
        <f t="shared" si="266"/>
        <v>יהב - קרן השתלמות וחיסכון לאחים ואחיות בע"מ - מסלול ללא מניות</v>
      </c>
      <c r="E1603" s="1786" t="s">
        <v>3929</v>
      </c>
      <c r="F1603" s="1786" t="s">
        <v>2958</v>
      </c>
      <c r="G1603" s="1786" t="s">
        <v>2959</v>
      </c>
      <c r="H1603" s="1786" t="str">
        <f t="shared" si="267"/>
        <v>פעיל</v>
      </c>
      <c r="I1603" s="1788">
        <f t="shared" si="268"/>
        <v>28581</v>
      </c>
      <c r="J1603" s="1788" t="str">
        <f t="shared" si="269"/>
        <v/>
      </c>
      <c r="K1603" s="1786">
        <v>0</v>
      </c>
      <c r="L1603" s="1786" t="s">
        <v>1594</v>
      </c>
      <c r="M1603" s="1786" t="s">
        <v>1653</v>
      </c>
      <c r="N1603" s="1786" t="s">
        <v>1653</v>
      </c>
      <c r="O1603" s="1786">
        <v>0</v>
      </c>
      <c r="P1603" s="1786"/>
      <c r="Q1603" s="1786">
        <v>0</v>
      </c>
      <c r="R1603" s="1788"/>
      <c r="S1603" s="1786">
        <f t="shared" si="270"/>
        <v>418</v>
      </c>
      <c r="T1603" s="1786" t="str">
        <f t="shared" si="271"/>
        <v>הבנק הבינלאומי הראשון</v>
      </c>
      <c r="U1603" s="1786" t="str">
        <f t="shared" si="272"/>
        <v>יהב-קרן השתלמות וחיסכון לאחים ואחיות בע"מ - מסלול כללי</v>
      </c>
      <c r="V1603" s="1786">
        <f t="shared" si="273"/>
        <v>0</v>
      </c>
      <c r="W1603" s="1789" t="str">
        <f t="shared" si="274"/>
        <v>יהב אחים ואחיות - חברה לניהול קופות גמל בע"מ</v>
      </c>
      <c r="AC1603" s="1761" t="s">
        <v>346</v>
      </c>
      <c r="AD1603" s="1761"/>
      <c r="AE1603" s="1762">
        <v>28581</v>
      </c>
      <c r="AF1603" s="1761" t="s">
        <v>1681</v>
      </c>
      <c r="AG1603" s="1761" t="s">
        <v>1583</v>
      </c>
      <c r="AH1603" s="1761" t="s">
        <v>1583</v>
      </c>
      <c r="AI1603" s="1761" t="s">
        <v>3643</v>
      </c>
      <c r="AJ1603" s="1761" t="s">
        <v>2479</v>
      </c>
      <c r="AK1603" s="1761">
        <v>1456</v>
      </c>
      <c r="AL1603" s="1761" t="s">
        <v>535</v>
      </c>
      <c r="AM1603" s="1761">
        <v>418</v>
      </c>
      <c r="AN1603" s="1761" t="s">
        <v>5384</v>
      </c>
      <c r="AO1603" s="1764"/>
      <c r="AP1603" s="1761" t="s">
        <v>5632</v>
      </c>
      <c r="AQ1603" s="1761"/>
      <c r="AR1603" s="1761" t="s">
        <v>533</v>
      </c>
      <c r="AS1603" s="1761" t="s">
        <v>534</v>
      </c>
      <c r="AT1603" s="1761" t="s">
        <v>327</v>
      </c>
      <c r="AU1603" s="1763"/>
      <c r="AV1603" s="1763"/>
    </row>
    <row r="1604" spans="1:48" ht="37.5" hidden="1">
      <c r="A1604" s="1785" t="str">
        <f t="shared" si="264"/>
        <v>גמל</v>
      </c>
      <c r="B1604" s="1786">
        <f t="shared" si="265"/>
        <v>418</v>
      </c>
      <c r="C1604" s="1787">
        <v>28946</v>
      </c>
      <c r="D1604" s="1786" t="str">
        <f t="shared" si="266"/>
        <v>יהב-קרן השתלמות וחיסכון לאחים ואחיות בע"מ - מסלול כללי</v>
      </c>
      <c r="E1604" s="1786" t="s">
        <v>3929</v>
      </c>
      <c r="F1604" s="1786" t="s">
        <v>2958</v>
      </c>
      <c r="G1604" s="1786" t="s">
        <v>2959</v>
      </c>
      <c r="H1604" s="1786" t="str">
        <f t="shared" si="267"/>
        <v>פעיל</v>
      </c>
      <c r="I1604" s="1788">
        <f t="shared" si="268"/>
        <v>28581</v>
      </c>
      <c r="J1604" s="1788" t="str">
        <f t="shared" si="269"/>
        <v/>
      </c>
      <c r="K1604" s="1786">
        <v>0</v>
      </c>
      <c r="L1604" s="1786" t="s">
        <v>1594</v>
      </c>
      <c r="M1604" s="1786" t="s">
        <v>1653</v>
      </c>
      <c r="N1604" s="1786" t="s">
        <v>1653</v>
      </c>
      <c r="O1604" s="1786">
        <v>0</v>
      </c>
      <c r="P1604" s="1786"/>
      <c r="Q1604" s="1786">
        <v>0</v>
      </c>
      <c r="R1604" s="1788"/>
      <c r="S1604" s="1786">
        <f t="shared" si="270"/>
        <v>418</v>
      </c>
      <c r="T1604" s="1786" t="str">
        <f t="shared" si="271"/>
        <v>הבנק הבינלאומי הראשון</v>
      </c>
      <c r="U1604" s="1786" t="str">
        <f t="shared" si="272"/>
        <v>יהב-קרן השתלמות וחיסכון לאחים ואחיות בע"מ - מסלול כללי</v>
      </c>
      <c r="V1604" s="1786">
        <f t="shared" si="273"/>
        <v>0</v>
      </c>
      <c r="W1604" s="1789" t="str">
        <f t="shared" si="274"/>
        <v>יהב אחים ואחיות - חברה לניהול קופות גמל בע"מ</v>
      </c>
      <c r="AC1604" s="1759" t="s">
        <v>346</v>
      </c>
      <c r="AD1604" s="1759"/>
      <c r="AE1604" s="1760">
        <v>28581</v>
      </c>
      <c r="AF1604" s="1759" t="s">
        <v>1583</v>
      </c>
      <c r="AG1604" s="1759" t="s">
        <v>1583</v>
      </c>
      <c r="AH1604" s="1759" t="s">
        <v>1583</v>
      </c>
      <c r="AI1604" s="1759" t="s">
        <v>3110</v>
      </c>
      <c r="AJ1604" s="1759" t="s">
        <v>535</v>
      </c>
      <c r="AK1604" s="1759">
        <v>418</v>
      </c>
      <c r="AL1604" s="1759" t="s">
        <v>535</v>
      </c>
      <c r="AM1604" s="1759">
        <v>418</v>
      </c>
      <c r="AN1604" s="1759" t="s">
        <v>5384</v>
      </c>
      <c r="AO1604" s="1764"/>
      <c r="AP1604" s="1759" t="s">
        <v>5632</v>
      </c>
      <c r="AQ1604" s="1759"/>
      <c r="AR1604" s="1759" t="s">
        <v>533</v>
      </c>
      <c r="AS1604" s="1759" t="s">
        <v>534</v>
      </c>
      <c r="AT1604" s="1759" t="s">
        <v>327</v>
      </c>
      <c r="AU1604" s="1763"/>
      <c r="AV1604" s="1763"/>
    </row>
    <row r="1605" spans="1:48" ht="25" hidden="1">
      <c r="A1605" s="1785" t="str">
        <f t="shared" si="264"/>
        <v>גמל</v>
      </c>
      <c r="B1605" s="1786">
        <f t="shared" si="265"/>
        <v>417</v>
      </c>
      <c r="C1605" s="1787">
        <v>28946</v>
      </c>
      <c r="D1605" s="1786" t="str">
        <f t="shared" si="266"/>
        <v>מנורה מבטחים תעוש - מסלול כללי</v>
      </c>
      <c r="E1605" s="1786" t="s">
        <v>3929</v>
      </c>
      <c r="F1605" s="1786" t="s">
        <v>2958</v>
      </c>
      <c r="G1605" s="1786" t="s">
        <v>2959</v>
      </c>
      <c r="H1605" s="1786" t="str">
        <f t="shared" si="267"/>
        <v>לא פעיל</v>
      </c>
      <c r="I1605" s="1788">
        <f t="shared" si="268"/>
        <v>29587</v>
      </c>
      <c r="J1605" s="1788">
        <f t="shared" si="269"/>
        <v>41479.589467592603</v>
      </c>
      <c r="K1605" s="1786">
        <v>0</v>
      </c>
      <c r="L1605" s="1786" t="s">
        <v>1594</v>
      </c>
      <c r="M1605" s="1786" t="s">
        <v>1653</v>
      </c>
      <c r="N1605" s="1786" t="s">
        <v>1653</v>
      </c>
      <c r="O1605" s="1786">
        <v>0</v>
      </c>
      <c r="P1605" s="1786"/>
      <c r="Q1605" s="1786">
        <v>0</v>
      </c>
      <c r="R1605" s="1788"/>
      <c r="S1605" s="1786">
        <f t="shared" si="270"/>
        <v>417</v>
      </c>
      <c r="T1605" s="1786" t="str">
        <f t="shared" si="271"/>
        <v>בנק הפועלים בע"מ</v>
      </c>
      <c r="U1605" s="1786" t="str">
        <f t="shared" si="272"/>
        <v>מנורה מבטחים תעוש</v>
      </c>
      <c r="V1605" s="1786">
        <f t="shared" si="273"/>
        <v>0</v>
      </c>
      <c r="W1605" s="1789" t="str">
        <f t="shared" si="274"/>
        <v>מנורה מבטחים גמל בע"מ</v>
      </c>
      <c r="AC1605" s="1761" t="s">
        <v>1586</v>
      </c>
      <c r="AD1605" s="1762">
        <v>41479.589467592603</v>
      </c>
      <c r="AE1605" s="1762">
        <v>29587</v>
      </c>
      <c r="AF1605" s="1761" t="s">
        <v>1583</v>
      </c>
      <c r="AG1605" s="1761" t="s">
        <v>1583</v>
      </c>
      <c r="AH1605" s="1761" t="s">
        <v>1583</v>
      </c>
      <c r="AI1605" s="1761" t="s">
        <v>532</v>
      </c>
      <c r="AJ1605" s="1761" t="s">
        <v>532</v>
      </c>
      <c r="AK1605" s="1761">
        <v>417</v>
      </c>
      <c r="AL1605" s="1761" t="s">
        <v>3109</v>
      </c>
      <c r="AM1605" s="1761">
        <v>417</v>
      </c>
      <c r="AN1605" s="1761" t="s">
        <v>1695</v>
      </c>
      <c r="AO1605" s="1764"/>
      <c r="AP1605" s="1761"/>
      <c r="AQ1605" s="1761"/>
      <c r="AR1605" s="1761" t="s">
        <v>363</v>
      </c>
      <c r="AS1605" s="1761" t="s">
        <v>364</v>
      </c>
      <c r="AT1605" s="1761" t="s">
        <v>327</v>
      </c>
      <c r="AU1605" s="1763"/>
      <c r="AV1605" s="1763"/>
    </row>
    <row r="1606" spans="1:48" ht="37.5" hidden="1">
      <c r="A1606" s="1785" t="str">
        <f t="shared" si="264"/>
        <v>גמל</v>
      </c>
      <c r="B1606" s="1786">
        <f t="shared" si="265"/>
        <v>415</v>
      </c>
      <c r="C1606" s="1787">
        <v>28946</v>
      </c>
      <c r="D1606" s="1786" t="str">
        <f t="shared" si="266"/>
        <v>גמל זהב (1981) קופת תגמולים לשעבר מקבוצת מזרחי טפחות</v>
      </c>
      <c r="E1606" s="1786" t="s">
        <v>3929</v>
      </c>
      <c r="F1606" s="1786" t="s">
        <v>2958</v>
      </c>
      <c r="G1606" s="1786" t="s">
        <v>2959</v>
      </c>
      <c r="H1606" s="1786" t="str">
        <f t="shared" si="267"/>
        <v>לא פעיל</v>
      </c>
      <c r="I1606" s="1788">
        <f t="shared" si="268"/>
        <v>29952</v>
      </c>
      <c r="J1606" s="1788">
        <f t="shared" si="269"/>
        <v>40917.724872685198</v>
      </c>
      <c r="K1606" s="1786">
        <v>0</v>
      </c>
      <c r="L1606" s="1786" t="s">
        <v>1594</v>
      </c>
      <c r="M1606" s="1786" t="s">
        <v>1653</v>
      </c>
      <c r="N1606" s="1786" t="s">
        <v>1653</v>
      </c>
      <c r="O1606" s="1786">
        <v>0</v>
      </c>
      <c r="P1606" s="1786"/>
      <c r="Q1606" s="1786">
        <v>0</v>
      </c>
      <c r="R1606" s="1788"/>
      <c r="S1606" s="1786">
        <f t="shared" si="270"/>
        <v>415</v>
      </c>
      <c r="T1606" s="1786" t="str">
        <f t="shared" si="271"/>
        <v>בנק מזרחי טפחות בע"מ</v>
      </c>
      <c r="U1606" s="1786" t="str">
        <f t="shared" si="272"/>
        <v>גמל זהב (1981) קופת תגמולים לשעבר מקבוצת מזרחי טפחות</v>
      </c>
      <c r="V1606" s="1786" t="str">
        <f t="shared" si="273"/>
        <v>520017450</v>
      </c>
      <c r="W1606" s="1789" t="str">
        <f t="shared" si="274"/>
        <v xml:space="preserve">הפניקס אקסלנס פנסיה וגמל בע"מ </v>
      </c>
      <c r="AC1606" s="1759" t="s">
        <v>1586</v>
      </c>
      <c r="AD1606" s="1760">
        <v>40917.724872685198</v>
      </c>
      <c r="AE1606" s="1760">
        <v>29952</v>
      </c>
      <c r="AF1606" s="1759" t="s">
        <v>1583</v>
      </c>
      <c r="AG1606" s="1759" t="s">
        <v>1583</v>
      </c>
      <c r="AH1606" s="1759" t="s">
        <v>1583</v>
      </c>
      <c r="AI1606" s="1759" t="s">
        <v>3108</v>
      </c>
      <c r="AJ1606" s="1759" t="s">
        <v>1801</v>
      </c>
      <c r="AK1606" s="1759">
        <v>415</v>
      </c>
      <c r="AL1606" s="1759" t="s">
        <v>1801</v>
      </c>
      <c r="AM1606" s="1759">
        <v>415</v>
      </c>
      <c r="AN1606" s="1759" t="s">
        <v>5370</v>
      </c>
      <c r="AO1606" s="1764"/>
      <c r="AP1606" s="1759" t="s">
        <v>5379</v>
      </c>
      <c r="AQ1606" s="1759" t="s">
        <v>5380</v>
      </c>
      <c r="AR1606" s="1759" t="s">
        <v>5381</v>
      </c>
      <c r="AS1606" s="1759" t="s">
        <v>347</v>
      </c>
      <c r="AT1606" s="1759" t="s">
        <v>327</v>
      </c>
      <c r="AU1606" s="1763"/>
      <c r="AV1606" s="1763"/>
    </row>
    <row r="1607" spans="1:48" ht="37.5" hidden="1">
      <c r="A1607" s="1785" t="str">
        <f t="shared" si="264"/>
        <v>גמל</v>
      </c>
      <c r="B1607" s="1786">
        <f t="shared" si="265"/>
        <v>413</v>
      </c>
      <c r="C1607" s="1787">
        <v>28946</v>
      </c>
      <c r="D1607" s="1786" t="str">
        <f t="shared" si="266"/>
        <v>קרן השתלמות של עובדי המוסדות הלאומיים בע"מ</v>
      </c>
      <c r="E1607" s="1786" t="s">
        <v>3929</v>
      </c>
      <c r="F1607" s="1786" t="s">
        <v>2958</v>
      </c>
      <c r="G1607" s="1786" t="s">
        <v>2959</v>
      </c>
      <c r="H1607" s="1786" t="str">
        <f t="shared" si="267"/>
        <v>לא פעיל</v>
      </c>
      <c r="I1607" s="1788">
        <f t="shared" si="268"/>
        <v>29799</v>
      </c>
      <c r="J1607" s="1788">
        <f t="shared" si="269"/>
        <v>39325</v>
      </c>
      <c r="K1607" s="1786">
        <v>0</v>
      </c>
      <c r="L1607" s="1786" t="s">
        <v>1594</v>
      </c>
      <c r="M1607" s="1786" t="s">
        <v>1653</v>
      </c>
      <c r="N1607" s="1786" t="s">
        <v>1653</v>
      </c>
      <c r="O1607" s="1786">
        <v>0</v>
      </c>
      <c r="P1607" s="1786"/>
      <c r="Q1607" s="1786">
        <v>0</v>
      </c>
      <c r="R1607" s="1788"/>
      <c r="S1607" s="1786">
        <f t="shared" si="270"/>
        <v>413</v>
      </c>
      <c r="T1607" s="1786" t="str">
        <f t="shared" si="271"/>
        <v>ניהול  עצמי</v>
      </c>
      <c r="U1607" s="1786" t="str">
        <f t="shared" si="272"/>
        <v>קרן השתלמות של עובדי המוסדות הלאומיים בע"מ</v>
      </c>
      <c r="V1607" s="1786">
        <f t="shared" si="273"/>
        <v>0</v>
      </c>
      <c r="W1607" s="1789" t="str">
        <f t="shared" si="274"/>
        <v>קרן השתלמות של עובדי המוסדות הלאומיים בע"מ</v>
      </c>
      <c r="AC1607" s="1761" t="s">
        <v>1586</v>
      </c>
      <c r="AD1607" s="1762">
        <v>39325</v>
      </c>
      <c r="AE1607" s="1762">
        <v>29799</v>
      </c>
      <c r="AF1607" s="1761" t="s">
        <v>1583</v>
      </c>
      <c r="AG1607" s="1761" t="s">
        <v>1583</v>
      </c>
      <c r="AH1607" s="1761" t="s">
        <v>1583</v>
      </c>
      <c r="AI1607" s="1761" t="s">
        <v>3107</v>
      </c>
      <c r="AJ1607" s="1761" t="s">
        <v>1799</v>
      </c>
      <c r="AK1607" s="1761">
        <v>413</v>
      </c>
      <c r="AL1607" s="1761" t="s">
        <v>1799</v>
      </c>
      <c r="AM1607" s="1761">
        <v>413</v>
      </c>
      <c r="AN1607" s="1761" t="s">
        <v>5524</v>
      </c>
      <c r="AO1607" s="1764"/>
      <c r="AP1607" s="1761"/>
      <c r="AQ1607" s="1761"/>
      <c r="AR1607" s="1761" t="s">
        <v>1799</v>
      </c>
      <c r="AS1607" s="1761" t="s">
        <v>1800</v>
      </c>
      <c r="AT1607" s="1761" t="s">
        <v>327</v>
      </c>
      <c r="AU1607" s="1763"/>
      <c r="AV1607" s="1763"/>
    </row>
    <row r="1608" spans="1:48" ht="25" hidden="1">
      <c r="A1608" s="1785" t="str">
        <f t="shared" si="264"/>
        <v>גמל</v>
      </c>
      <c r="B1608" s="1786">
        <f t="shared" si="265"/>
        <v>412</v>
      </c>
      <c r="C1608" s="1787">
        <v>28946</v>
      </c>
      <c r="D1608" s="1786" t="str">
        <f t="shared" si="266"/>
        <v>פסגות שגיא</v>
      </c>
      <c r="E1608" s="1786" t="s">
        <v>3929</v>
      </c>
      <c r="F1608" s="1786" t="s">
        <v>2958</v>
      </c>
      <c r="G1608" s="1786" t="s">
        <v>2959</v>
      </c>
      <c r="H1608" s="1786" t="str">
        <f t="shared" si="267"/>
        <v>לא פעיל</v>
      </c>
      <c r="I1608" s="1788">
        <f t="shared" si="268"/>
        <v>29706</v>
      </c>
      <c r="J1608" s="1788">
        <f t="shared" si="269"/>
        <v>40063</v>
      </c>
      <c r="K1608" s="1786">
        <v>0</v>
      </c>
      <c r="L1608" s="1786" t="s">
        <v>1594</v>
      </c>
      <c r="M1608" s="1786" t="s">
        <v>1653</v>
      </c>
      <c r="N1608" s="1786" t="s">
        <v>1653</v>
      </c>
      <c r="O1608" s="1786">
        <v>0</v>
      </c>
      <c r="P1608" s="1786"/>
      <c r="Q1608" s="1786">
        <v>0</v>
      </c>
      <c r="R1608" s="1788"/>
      <c r="S1608" s="1786">
        <f t="shared" si="270"/>
        <v>412</v>
      </c>
      <c r="T1608" s="1786" t="str">
        <f t="shared" si="271"/>
        <v>בנק לאומי בע"מ</v>
      </c>
      <c r="U1608" s="1786" t="str">
        <f t="shared" si="272"/>
        <v>פסגות שגיא</v>
      </c>
      <c r="V1608" s="1786" t="str">
        <f t="shared" si="273"/>
        <v>513767079</v>
      </c>
      <c r="W1608" s="1789" t="str">
        <f t="shared" si="274"/>
        <v>פסגות קופות גמל ופנסיה בע"מ</v>
      </c>
      <c r="AC1608" s="1759" t="s">
        <v>1586</v>
      </c>
      <c r="AD1608" s="1760">
        <v>40063</v>
      </c>
      <c r="AE1608" s="1760">
        <v>29706</v>
      </c>
      <c r="AF1608" s="1759" t="s">
        <v>1583</v>
      </c>
      <c r="AG1608" s="1759" t="s">
        <v>1583</v>
      </c>
      <c r="AH1608" s="1759" t="s">
        <v>1583</v>
      </c>
      <c r="AI1608" s="1759" t="s">
        <v>1798</v>
      </c>
      <c r="AJ1608" s="1759" t="s">
        <v>1798</v>
      </c>
      <c r="AK1608" s="1759">
        <v>412</v>
      </c>
      <c r="AL1608" s="1759" t="s">
        <v>1798</v>
      </c>
      <c r="AM1608" s="1759">
        <v>412</v>
      </c>
      <c r="AN1608" s="1759" t="s">
        <v>5470</v>
      </c>
      <c r="AO1608" s="1764"/>
      <c r="AP1608" s="1759" t="s">
        <v>5365</v>
      </c>
      <c r="AQ1608" s="1759" t="s">
        <v>5366</v>
      </c>
      <c r="AR1608" s="1759" t="s">
        <v>351</v>
      </c>
      <c r="AS1608" s="1759" t="s">
        <v>352</v>
      </c>
      <c r="AT1608" s="1759" t="s">
        <v>327</v>
      </c>
      <c r="AU1608" s="1763"/>
      <c r="AV1608" s="1763"/>
    </row>
    <row r="1609" spans="1:48" ht="25" hidden="1">
      <c r="A1609" s="1785" t="str">
        <f t="shared" si="264"/>
        <v>גמל</v>
      </c>
      <c r="B1609" s="1786">
        <f t="shared" si="265"/>
        <v>132</v>
      </c>
      <c r="C1609" s="1787">
        <v>28946</v>
      </c>
      <c r="D1609" s="1786" t="str">
        <f t="shared" si="266"/>
        <v>הלמן-אלדובי השתלמות כללי</v>
      </c>
      <c r="E1609" s="1786" t="s">
        <v>3929</v>
      </c>
      <c r="F1609" s="1786" t="s">
        <v>2958</v>
      </c>
      <c r="G1609" s="1786" t="s">
        <v>2959</v>
      </c>
      <c r="H1609" s="1786" t="str">
        <f t="shared" si="267"/>
        <v>פעיל</v>
      </c>
      <c r="I1609" s="1788">
        <f t="shared" si="268"/>
        <v>29312</v>
      </c>
      <c r="J1609" s="1788" t="str">
        <f t="shared" si="269"/>
        <v/>
      </c>
      <c r="K1609" s="1786">
        <v>0</v>
      </c>
      <c r="L1609" s="1786" t="s">
        <v>1594</v>
      </c>
      <c r="M1609" s="1786" t="s">
        <v>1653</v>
      </c>
      <c r="N1609" s="1786" t="s">
        <v>1653</v>
      </c>
      <c r="O1609" s="1786">
        <v>0</v>
      </c>
      <c r="P1609" s="1786"/>
      <c r="Q1609" s="1786">
        <v>0</v>
      </c>
      <c r="R1609" s="1788"/>
      <c r="S1609" s="1786">
        <f t="shared" si="270"/>
        <v>411</v>
      </c>
      <c r="T1609" s="1786" t="str">
        <f t="shared" si="271"/>
        <v>בנק מזרחי טפחות בע"מ</v>
      </c>
      <c r="U1609" s="1786" t="str">
        <f t="shared" si="272"/>
        <v>הלמן-אלדובי השתלמות</v>
      </c>
      <c r="V1609" s="1786" t="str">
        <f t="shared" si="273"/>
        <v>513163105</v>
      </c>
      <c r="W1609" s="1789" t="str">
        <f t="shared" si="274"/>
        <v>הלמן - אלדובי קופות גמל ופנסיה בע"מ</v>
      </c>
      <c r="AC1609" s="1761" t="s">
        <v>346</v>
      </c>
      <c r="AD1609" s="1761"/>
      <c r="AE1609" s="1762">
        <v>29312</v>
      </c>
      <c r="AF1609" s="1761" t="s">
        <v>1583</v>
      </c>
      <c r="AG1609" s="1761" t="s">
        <v>1583</v>
      </c>
      <c r="AH1609" s="1761" t="s">
        <v>1583</v>
      </c>
      <c r="AI1609" s="1761" t="s">
        <v>3936</v>
      </c>
      <c r="AJ1609" s="1761" t="s">
        <v>3936</v>
      </c>
      <c r="AK1609" s="1761">
        <v>132</v>
      </c>
      <c r="AL1609" s="1761" t="s">
        <v>2979</v>
      </c>
      <c r="AM1609" s="1761">
        <v>411</v>
      </c>
      <c r="AN1609" s="1761" t="s">
        <v>5370</v>
      </c>
      <c r="AO1609" s="1764"/>
      <c r="AP1609" s="1761" t="s">
        <v>5371</v>
      </c>
      <c r="AQ1609" s="1761" t="s">
        <v>5372</v>
      </c>
      <c r="AR1609" s="1761" t="s">
        <v>354</v>
      </c>
      <c r="AS1609" s="1761" t="s">
        <v>355</v>
      </c>
      <c r="AT1609" s="1761" t="s">
        <v>327</v>
      </c>
      <c r="AU1609" s="1763"/>
      <c r="AV1609" s="1763"/>
    </row>
    <row r="1610" spans="1:48" ht="25" hidden="1">
      <c r="A1610" s="1785" t="str">
        <f t="shared" si="264"/>
        <v>גמל</v>
      </c>
      <c r="B1610" s="1786">
        <f t="shared" si="265"/>
        <v>9871</v>
      </c>
      <c r="C1610" s="1787">
        <v>28946</v>
      </c>
      <c r="D1610" s="1786" t="str">
        <f t="shared" si="266"/>
        <v>הלמן-אלדובי השתלמות ישראל</v>
      </c>
      <c r="E1610" s="1786" t="s">
        <v>3929</v>
      </c>
      <c r="F1610" s="1786" t="s">
        <v>2958</v>
      </c>
      <c r="G1610" s="1786" t="s">
        <v>2959</v>
      </c>
      <c r="H1610" s="1786" t="str">
        <f t="shared" si="267"/>
        <v>לא פעיל</v>
      </c>
      <c r="I1610" s="1788">
        <f t="shared" si="268"/>
        <v>29312</v>
      </c>
      <c r="J1610" s="1788">
        <f t="shared" si="269"/>
        <v>43481.503622685203</v>
      </c>
      <c r="K1610" s="1786">
        <v>0</v>
      </c>
      <c r="L1610" s="1786" t="s">
        <v>1594</v>
      </c>
      <c r="M1610" s="1786" t="s">
        <v>1653</v>
      </c>
      <c r="N1610" s="1786" t="s">
        <v>1653</v>
      </c>
      <c r="O1610" s="1786">
        <v>0</v>
      </c>
      <c r="P1610" s="1786"/>
      <c r="Q1610" s="1786">
        <v>0</v>
      </c>
      <c r="R1610" s="1788"/>
      <c r="S1610" s="1786">
        <f t="shared" si="270"/>
        <v>411</v>
      </c>
      <c r="T1610" s="1786" t="str">
        <f t="shared" si="271"/>
        <v>בנק מזרחי טפחות בע"מ</v>
      </c>
      <c r="U1610" s="1786" t="str">
        <f t="shared" si="272"/>
        <v>הלמן-אלדובי השתלמות</v>
      </c>
      <c r="V1610" s="1786" t="str">
        <f t="shared" si="273"/>
        <v>513163105</v>
      </c>
      <c r="W1610" s="1789" t="str">
        <f t="shared" si="274"/>
        <v>הלמן - אלדובי קופות גמל ופנסיה בע"מ</v>
      </c>
      <c r="AC1610" s="1759" t="s">
        <v>1586</v>
      </c>
      <c r="AD1610" s="1760">
        <v>43481.503622685203</v>
      </c>
      <c r="AE1610" s="1760">
        <v>29312</v>
      </c>
      <c r="AF1610" s="1759" t="s">
        <v>3672</v>
      </c>
      <c r="AG1610" s="1759" t="s">
        <v>3672</v>
      </c>
      <c r="AH1610" s="1759" t="s">
        <v>1594</v>
      </c>
      <c r="AI1610" s="1759" t="s">
        <v>4420</v>
      </c>
      <c r="AJ1610" s="1759" t="s">
        <v>4420</v>
      </c>
      <c r="AK1610" s="1759">
        <v>9871</v>
      </c>
      <c r="AL1610" s="1759" t="s">
        <v>2979</v>
      </c>
      <c r="AM1610" s="1759">
        <v>411</v>
      </c>
      <c r="AN1610" s="1759" t="s">
        <v>5370</v>
      </c>
      <c r="AO1610" s="1764"/>
      <c r="AP1610" s="1759" t="s">
        <v>5371</v>
      </c>
      <c r="AQ1610" s="1759" t="s">
        <v>5372</v>
      </c>
      <c r="AR1610" s="1759" t="s">
        <v>354</v>
      </c>
      <c r="AS1610" s="1759" t="s">
        <v>355</v>
      </c>
      <c r="AT1610" s="1759" t="s">
        <v>327</v>
      </c>
      <c r="AU1610" s="1763"/>
      <c r="AV1610" s="1763"/>
    </row>
    <row r="1611" spans="1:48" ht="25" hidden="1">
      <c r="A1611" s="1785" t="str">
        <f t="shared" si="264"/>
        <v>גמל</v>
      </c>
      <c r="B1611" s="1786">
        <f t="shared" si="265"/>
        <v>9870</v>
      </c>
      <c r="C1611" s="1787">
        <v>28946</v>
      </c>
      <c r="D1611" s="1786" t="str">
        <f t="shared" si="266"/>
        <v>הלמן-אלדובי השתלמות חו"ל</v>
      </c>
      <c r="E1611" s="1786" t="s">
        <v>3929</v>
      </c>
      <c r="F1611" s="1786" t="s">
        <v>2958</v>
      </c>
      <c r="G1611" s="1786" t="s">
        <v>2959</v>
      </c>
      <c r="H1611" s="1786" t="str">
        <f t="shared" si="267"/>
        <v>לא פעיל</v>
      </c>
      <c r="I1611" s="1788">
        <f t="shared" si="268"/>
        <v>29312</v>
      </c>
      <c r="J1611" s="1788">
        <f t="shared" si="269"/>
        <v>43481.503622685203</v>
      </c>
      <c r="K1611" s="1786">
        <v>0</v>
      </c>
      <c r="L1611" s="1786" t="s">
        <v>1594</v>
      </c>
      <c r="M1611" s="1786" t="s">
        <v>1653</v>
      </c>
      <c r="N1611" s="1786" t="s">
        <v>1653</v>
      </c>
      <c r="O1611" s="1786">
        <v>0</v>
      </c>
      <c r="P1611" s="1786"/>
      <c r="Q1611" s="1786">
        <v>0</v>
      </c>
      <c r="R1611" s="1788"/>
      <c r="S1611" s="1786">
        <f t="shared" si="270"/>
        <v>411</v>
      </c>
      <c r="T1611" s="1786" t="str">
        <f t="shared" si="271"/>
        <v>בנק מזרחי טפחות בע"מ</v>
      </c>
      <c r="U1611" s="1786" t="str">
        <f t="shared" si="272"/>
        <v>הלמן-אלדובי השתלמות</v>
      </c>
      <c r="V1611" s="1786" t="str">
        <f t="shared" si="273"/>
        <v>513163105</v>
      </c>
      <c r="W1611" s="1789" t="str">
        <f t="shared" si="274"/>
        <v>הלמן - אלדובי קופות גמל ופנסיה בע"מ</v>
      </c>
      <c r="AC1611" s="1761" t="s">
        <v>1586</v>
      </c>
      <c r="AD1611" s="1762">
        <v>43481.503622685203</v>
      </c>
      <c r="AE1611" s="1762">
        <v>29312</v>
      </c>
      <c r="AF1611" s="1761" t="s">
        <v>1948</v>
      </c>
      <c r="AG1611" s="1761" t="s">
        <v>1947</v>
      </c>
      <c r="AH1611" s="1761" t="s">
        <v>1594</v>
      </c>
      <c r="AI1611" s="1761" t="s">
        <v>4419</v>
      </c>
      <c r="AJ1611" s="1761" t="s">
        <v>4419</v>
      </c>
      <c r="AK1611" s="1761">
        <v>9870</v>
      </c>
      <c r="AL1611" s="1761" t="s">
        <v>2979</v>
      </c>
      <c r="AM1611" s="1761">
        <v>411</v>
      </c>
      <c r="AN1611" s="1761" t="s">
        <v>5370</v>
      </c>
      <c r="AO1611" s="1764"/>
      <c r="AP1611" s="1761" t="s">
        <v>5371</v>
      </c>
      <c r="AQ1611" s="1761" t="s">
        <v>5372</v>
      </c>
      <c r="AR1611" s="1761" t="s">
        <v>354</v>
      </c>
      <c r="AS1611" s="1761" t="s">
        <v>355</v>
      </c>
      <c r="AT1611" s="1761" t="s">
        <v>327</v>
      </c>
      <c r="AU1611" s="1763"/>
      <c r="AV1611" s="1763"/>
    </row>
    <row r="1612" spans="1:48" ht="25" hidden="1">
      <c r="A1612" s="1785" t="str">
        <f t="shared" si="264"/>
        <v>גמל</v>
      </c>
      <c r="B1612" s="1786">
        <f t="shared" si="265"/>
        <v>9869</v>
      </c>
      <c r="C1612" s="1787">
        <v>28946</v>
      </c>
      <c r="D1612" s="1786" t="str">
        <f t="shared" si="266"/>
        <v>הלמן-אלדובי השתלמות פאסיבי -כללי</v>
      </c>
      <c r="E1612" s="1786" t="s">
        <v>3929</v>
      </c>
      <c r="F1612" s="1786" t="s">
        <v>2958</v>
      </c>
      <c r="G1612" s="1786" t="s">
        <v>2959</v>
      </c>
      <c r="H1612" s="1786" t="str">
        <f t="shared" si="267"/>
        <v>פעיל</v>
      </c>
      <c r="I1612" s="1788">
        <f t="shared" si="268"/>
        <v>29312</v>
      </c>
      <c r="J1612" s="1788" t="str">
        <f t="shared" si="269"/>
        <v/>
      </c>
      <c r="K1612" s="1786">
        <v>0</v>
      </c>
      <c r="L1612" s="1786" t="s">
        <v>1594</v>
      </c>
      <c r="M1612" s="1786" t="s">
        <v>1653</v>
      </c>
      <c r="N1612" s="1786" t="s">
        <v>1653</v>
      </c>
      <c r="O1612" s="1786">
        <v>0</v>
      </c>
      <c r="P1612" s="1786"/>
      <c r="Q1612" s="1786">
        <v>0</v>
      </c>
      <c r="R1612" s="1788"/>
      <c r="S1612" s="1786">
        <f t="shared" si="270"/>
        <v>411</v>
      </c>
      <c r="T1612" s="1786" t="str">
        <f t="shared" si="271"/>
        <v>בנק מזרחי טפחות בע"מ</v>
      </c>
      <c r="U1612" s="1786" t="str">
        <f t="shared" si="272"/>
        <v>הלמן-אלדובי השתלמות</v>
      </c>
      <c r="V1612" s="1786" t="str">
        <f t="shared" si="273"/>
        <v>513163105</v>
      </c>
      <c r="W1612" s="1789" t="str">
        <f t="shared" si="274"/>
        <v>הלמן - אלדובי קופות גמל ופנסיה בע"מ</v>
      </c>
      <c r="AC1612" s="1759" t="s">
        <v>346</v>
      </c>
      <c r="AD1612" s="1759"/>
      <c r="AE1612" s="1760">
        <v>29312</v>
      </c>
      <c r="AF1612" s="1759" t="s">
        <v>3959</v>
      </c>
      <c r="AG1612" s="1759" t="s">
        <v>1583</v>
      </c>
      <c r="AH1612" s="1759" t="s">
        <v>1583</v>
      </c>
      <c r="AI1612" s="1759" t="s">
        <v>4418</v>
      </c>
      <c r="AJ1612" s="1759" t="s">
        <v>4418</v>
      </c>
      <c r="AK1612" s="1759">
        <v>9869</v>
      </c>
      <c r="AL1612" s="1759" t="s">
        <v>2979</v>
      </c>
      <c r="AM1612" s="1759">
        <v>411</v>
      </c>
      <c r="AN1612" s="1759" t="s">
        <v>5370</v>
      </c>
      <c r="AO1612" s="1764"/>
      <c r="AP1612" s="1759" t="s">
        <v>5371</v>
      </c>
      <c r="AQ1612" s="1759" t="s">
        <v>5372</v>
      </c>
      <c r="AR1612" s="1759" t="s">
        <v>354</v>
      </c>
      <c r="AS1612" s="1759" t="s">
        <v>355</v>
      </c>
      <c r="AT1612" s="1759" t="s">
        <v>327</v>
      </c>
      <c r="AU1612" s="1763"/>
      <c r="AV1612" s="1763"/>
    </row>
    <row r="1613" spans="1:48" ht="25" hidden="1">
      <c r="A1613" s="1785" t="str">
        <f t="shared" si="264"/>
        <v>גמל</v>
      </c>
      <c r="B1613" s="1786">
        <f t="shared" si="265"/>
        <v>2264</v>
      </c>
      <c r="C1613" s="1787">
        <v>28946</v>
      </c>
      <c r="D1613" s="1786" t="str">
        <f t="shared" si="266"/>
        <v>הלמן-אלדובי השתלמות מחקה מדד ת"א 35</v>
      </c>
      <c r="E1613" s="1786" t="s">
        <v>3929</v>
      </c>
      <c r="F1613" s="1786" t="s">
        <v>2958</v>
      </c>
      <c r="G1613" s="1786" t="s">
        <v>2959</v>
      </c>
      <c r="H1613" s="1786" t="str">
        <f t="shared" si="267"/>
        <v>פעיל</v>
      </c>
      <c r="I1613" s="1788">
        <f t="shared" si="268"/>
        <v>29312</v>
      </c>
      <c r="J1613" s="1788" t="str">
        <f t="shared" si="269"/>
        <v/>
      </c>
      <c r="K1613" s="1786">
        <v>0</v>
      </c>
      <c r="L1613" s="1786" t="s">
        <v>1594</v>
      </c>
      <c r="M1613" s="1786" t="s">
        <v>1653</v>
      </c>
      <c r="N1613" s="1786" t="s">
        <v>1653</v>
      </c>
      <c r="O1613" s="1786">
        <v>0</v>
      </c>
      <c r="P1613" s="1786"/>
      <c r="Q1613" s="1786">
        <v>0</v>
      </c>
      <c r="R1613" s="1788"/>
      <c r="S1613" s="1786">
        <f t="shared" si="270"/>
        <v>411</v>
      </c>
      <c r="T1613" s="1786" t="str">
        <f t="shared" si="271"/>
        <v>בנק מזרחי טפחות בע"מ</v>
      </c>
      <c r="U1613" s="1786" t="str">
        <f t="shared" si="272"/>
        <v>הלמן-אלדובי השתלמות</v>
      </c>
      <c r="V1613" s="1786" t="str">
        <f t="shared" si="273"/>
        <v>513163105</v>
      </c>
      <c r="W1613" s="1789" t="str">
        <f t="shared" si="274"/>
        <v>הלמן - אלדובי קופות גמל ופנסיה בע"מ</v>
      </c>
      <c r="AC1613" s="1761" t="s">
        <v>346</v>
      </c>
      <c r="AD1613" s="1759"/>
      <c r="AE1613" s="1762">
        <v>29312</v>
      </c>
      <c r="AF1613" s="1761" t="s">
        <v>3959</v>
      </c>
      <c r="AG1613" s="1761" t="s">
        <v>75</v>
      </c>
      <c r="AH1613" s="1761" t="s">
        <v>1594</v>
      </c>
      <c r="AI1613" s="1761" t="s">
        <v>5633</v>
      </c>
      <c r="AJ1613" s="1761" t="s">
        <v>5633</v>
      </c>
      <c r="AK1613" s="1761">
        <v>2264</v>
      </c>
      <c r="AL1613" s="1761" t="s">
        <v>2979</v>
      </c>
      <c r="AM1613" s="1761">
        <v>411</v>
      </c>
      <c r="AN1613" s="1761" t="s">
        <v>5370</v>
      </c>
      <c r="AO1613" s="1764"/>
      <c r="AP1613" s="1761" t="s">
        <v>5371</v>
      </c>
      <c r="AQ1613" s="1761" t="s">
        <v>5372</v>
      </c>
      <c r="AR1613" s="1761" t="s">
        <v>354</v>
      </c>
      <c r="AS1613" s="1761" t="s">
        <v>355</v>
      </c>
      <c r="AT1613" s="1761" t="s">
        <v>327</v>
      </c>
      <c r="AU1613" s="1763"/>
      <c r="AV1613" s="1763"/>
    </row>
    <row r="1614" spans="1:48" ht="25" hidden="1">
      <c r="A1614" s="1785" t="str">
        <f t="shared" si="264"/>
        <v>גמל</v>
      </c>
      <c r="B1614" s="1786">
        <f t="shared" si="265"/>
        <v>1367</v>
      </c>
      <c r="C1614" s="1787">
        <v>28946</v>
      </c>
      <c r="D1614" s="1786" t="str">
        <f t="shared" si="266"/>
        <v>הלמן-אלדובי השתלמות אג"ח עד 15% במניות</v>
      </c>
      <c r="E1614" s="1786" t="s">
        <v>3929</v>
      </c>
      <c r="F1614" s="1786" t="s">
        <v>2958</v>
      </c>
      <c r="G1614" s="1786" t="s">
        <v>2959</v>
      </c>
      <c r="H1614" s="1786" t="str">
        <f t="shared" si="267"/>
        <v>לא פעיל</v>
      </c>
      <c r="I1614" s="1788">
        <f t="shared" si="268"/>
        <v>29312</v>
      </c>
      <c r="J1614" s="1788">
        <f t="shared" si="269"/>
        <v>43481.503622685203</v>
      </c>
      <c r="K1614" s="1786">
        <v>0</v>
      </c>
      <c r="L1614" s="1786" t="s">
        <v>1594</v>
      </c>
      <c r="M1614" s="1786" t="s">
        <v>1653</v>
      </c>
      <c r="N1614" s="1786" t="s">
        <v>1653</v>
      </c>
      <c r="O1614" s="1786">
        <v>0</v>
      </c>
      <c r="P1614" s="1786"/>
      <c r="Q1614" s="1786">
        <v>0</v>
      </c>
      <c r="R1614" s="1788"/>
      <c r="S1614" s="1786">
        <f t="shared" si="270"/>
        <v>411</v>
      </c>
      <c r="T1614" s="1786" t="str">
        <f t="shared" si="271"/>
        <v>בנק מזרחי טפחות בע"מ</v>
      </c>
      <c r="U1614" s="1786" t="str">
        <f t="shared" si="272"/>
        <v>הלמן-אלדובי השתלמות</v>
      </c>
      <c r="V1614" s="1786" t="str">
        <f t="shared" si="273"/>
        <v>513163105</v>
      </c>
      <c r="W1614" s="1789" t="str">
        <f t="shared" si="274"/>
        <v>הלמן - אלדובי קופות גמל ופנסיה בע"מ</v>
      </c>
      <c r="AC1614" s="1759" t="s">
        <v>1586</v>
      </c>
      <c r="AD1614" s="1760">
        <v>43481.503622685203</v>
      </c>
      <c r="AE1614" s="1760">
        <v>29312</v>
      </c>
      <c r="AF1614" s="1759" t="s">
        <v>3934</v>
      </c>
      <c r="AG1614" s="1759" t="s">
        <v>1653</v>
      </c>
      <c r="AH1614" s="1759" t="s">
        <v>1594</v>
      </c>
      <c r="AI1614" s="1759" t="s">
        <v>4070</v>
      </c>
      <c r="AJ1614" s="1759" t="s">
        <v>4070</v>
      </c>
      <c r="AK1614" s="1759">
        <v>1367</v>
      </c>
      <c r="AL1614" s="1759" t="s">
        <v>2979</v>
      </c>
      <c r="AM1614" s="1759">
        <v>411</v>
      </c>
      <c r="AN1614" s="1759" t="s">
        <v>5370</v>
      </c>
      <c r="AO1614" s="1764"/>
      <c r="AP1614" s="1759" t="s">
        <v>5371</v>
      </c>
      <c r="AQ1614" s="1759" t="s">
        <v>5372</v>
      </c>
      <c r="AR1614" s="1759" t="s">
        <v>354</v>
      </c>
      <c r="AS1614" s="1759" t="s">
        <v>355</v>
      </c>
      <c r="AT1614" s="1759" t="s">
        <v>327</v>
      </c>
      <c r="AU1614" s="1763"/>
      <c r="AV1614" s="1763"/>
    </row>
    <row r="1615" spans="1:48" ht="25" hidden="1">
      <c r="A1615" s="1785" t="str">
        <f t="shared" si="264"/>
        <v>גמל</v>
      </c>
      <c r="B1615" s="1786">
        <f t="shared" si="265"/>
        <v>1443</v>
      </c>
      <c r="C1615" s="1787">
        <v>28946</v>
      </c>
      <c r="D1615" s="1786" t="str">
        <f t="shared" si="266"/>
        <v>הלמן-אלדובי קרן השתלמות מסלול פאסיבי - מדדי אג"ח ממשלת ישראל</v>
      </c>
      <c r="E1615" s="1786" t="s">
        <v>3929</v>
      </c>
      <c r="F1615" s="1786" t="s">
        <v>2958</v>
      </c>
      <c r="G1615" s="1786" t="s">
        <v>2959</v>
      </c>
      <c r="H1615" s="1786" t="str">
        <f t="shared" si="267"/>
        <v>פעיל</v>
      </c>
      <c r="I1615" s="1788">
        <f t="shared" si="268"/>
        <v>29312</v>
      </c>
      <c r="J1615" s="1788" t="str">
        <f t="shared" si="269"/>
        <v/>
      </c>
      <c r="K1615" s="1786">
        <v>0</v>
      </c>
      <c r="L1615" s="1786" t="s">
        <v>1594</v>
      </c>
      <c r="M1615" s="1786" t="s">
        <v>1653</v>
      </c>
      <c r="N1615" s="1786" t="s">
        <v>1653</v>
      </c>
      <c r="O1615" s="1786">
        <v>0</v>
      </c>
      <c r="P1615" s="1786"/>
      <c r="Q1615" s="1786">
        <v>0</v>
      </c>
      <c r="R1615" s="1788"/>
      <c r="S1615" s="1786">
        <f t="shared" si="270"/>
        <v>411</v>
      </c>
      <c r="T1615" s="1786" t="str">
        <f t="shared" si="271"/>
        <v>בנק מזרחי טפחות בע"מ</v>
      </c>
      <c r="U1615" s="1786" t="str">
        <f t="shared" si="272"/>
        <v>הלמן-אלדובי השתלמות</v>
      </c>
      <c r="V1615" s="1786" t="str">
        <f t="shared" si="273"/>
        <v>513163105</v>
      </c>
      <c r="W1615" s="1789" t="str">
        <f t="shared" si="274"/>
        <v>הלמן - אלדובי קופות גמל ופנסיה בע"מ</v>
      </c>
      <c r="AC1615" s="1761" t="s">
        <v>346</v>
      </c>
      <c r="AD1615" s="1761"/>
      <c r="AE1615" s="1762">
        <v>29312</v>
      </c>
      <c r="AF1615" s="1761" t="s">
        <v>3959</v>
      </c>
      <c r="AG1615" s="1761" t="s">
        <v>1653</v>
      </c>
      <c r="AH1615" s="1761" t="s">
        <v>1594</v>
      </c>
      <c r="AI1615" s="1761" t="s">
        <v>5634</v>
      </c>
      <c r="AJ1615" s="1761" t="s">
        <v>5635</v>
      </c>
      <c r="AK1615" s="1761">
        <v>1443</v>
      </c>
      <c r="AL1615" s="1761" t="s">
        <v>2979</v>
      </c>
      <c r="AM1615" s="1761">
        <v>411</v>
      </c>
      <c r="AN1615" s="1761" t="s">
        <v>5370</v>
      </c>
      <c r="AO1615" s="1764"/>
      <c r="AP1615" s="1761" t="s">
        <v>5371</v>
      </c>
      <c r="AQ1615" s="1761" t="s">
        <v>5372</v>
      </c>
      <c r="AR1615" s="1761" t="s">
        <v>354</v>
      </c>
      <c r="AS1615" s="1761" t="s">
        <v>355</v>
      </c>
      <c r="AT1615" s="1761" t="s">
        <v>327</v>
      </c>
      <c r="AU1615" s="1763"/>
      <c r="AV1615" s="1763"/>
    </row>
    <row r="1616" spans="1:48" ht="25" hidden="1">
      <c r="A1616" s="1785" t="str">
        <f t="shared" si="264"/>
        <v>גמל</v>
      </c>
      <c r="B1616" s="1786">
        <f t="shared" si="265"/>
        <v>1544</v>
      </c>
      <c r="C1616" s="1787">
        <v>28946</v>
      </c>
      <c r="D1616" s="1786" t="str">
        <f t="shared" si="266"/>
        <v>הלמן-אלדובי קרן השתלמות מסלול פאסיבי - מדדי מניות חו"ל</v>
      </c>
      <c r="E1616" s="1786" t="s">
        <v>3929</v>
      </c>
      <c r="F1616" s="1786" t="s">
        <v>2958</v>
      </c>
      <c r="G1616" s="1786" t="s">
        <v>2959</v>
      </c>
      <c r="H1616" s="1786" t="str">
        <f t="shared" si="267"/>
        <v>פעיל</v>
      </c>
      <c r="I1616" s="1788">
        <f t="shared" si="268"/>
        <v>29312</v>
      </c>
      <c r="J1616" s="1788" t="str">
        <f t="shared" si="269"/>
        <v/>
      </c>
      <c r="K1616" s="1786">
        <v>0</v>
      </c>
      <c r="L1616" s="1786" t="s">
        <v>1594</v>
      </c>
      <c r="M1616" s="1786" t="s">
        <v>1653</v>
      </c>
      <c r="N1616" s="1786" t="s">
        <v>1653</v>
      </c>
      <c r="O1616" s="1786">
        <v>0</v>
      </c>
      <c r="P1616" s="1786"/>
      <c r="Q1616" s="1786">
        <v>0</v>
      </c>
      <c r="R1616" s="1788"/>
      <c r="S1616" s="1786">
        <f t="shared" si="270"/>
        <v>411</v>
      </c>
      <c r="T1616" s="1786" t="str">
        <f t="shared" si="271"/>
        <v>בנק מזרחי טפחות בע"מ</v>
      </c>
      <c r="U1616" s="1786" t="str">
        <f t="shared" si="272"/>
        <v>הלמן-אלדובי השתלמות</v>
      </c>
      <c r="V1616" s="1786" t="str">
        <f t="shared" si="273"/>
        <v>513163105</v>
      </c>
      <c r="W1616" s="1789" t="str">
        <f t="shared" si="274"/>
        <v>הלמן - אלדובי קופות גמל ופנסיה בע"מ</v>
      </c>
      <c r="AC1616" s="1759" t="s">
        <v>346</v>
      </c>
      <c r="AD1616" s="1759"/>
      <c r="AE1616" s="1760">
        <v>29312</v>
      </c>
      <c r="AF1616" s="1759" t="s">
        <v>4618</v>
      </c>
      <c r="AG1616" s="1759" t="s">
        <v>75</v>
      </c>
      <c r="AH1616" s="1759" t="s">
        <v>1594</v>
      </c>
      <c r="AI1616" s="1759" t="s">
        <v>5636</v>
      </c>
      <c r="AJ1616" s="1759" t="s">
        <v>5637</v>
      </c>
      <c r="AK1616" s="1759">
        <v>1544</v>
      </c>
      <c r="AL1616" s="1759" t="s">
        <v>2979</v>
      </c>
      <c r="AM1616" s="1759">
        <v>411</v>
      </c>
      <c r="AN1616" s="1759" t="s">
        <v>5370</v>
      </c>
      <c r="AO1616" s="1764"/>
      <c r="AP1616" s="1759" t="s">
        <v>5371</v>
      </c>
      <c r="AQ1616" s="1759" t="s">
        <v>5372</v>
      </c>
      <c r="AR1616" s="1759" t="s">
        <v>354</v>
      </c>
      <c r="AS1616" s="1759" t="s">
        <v>355</v>
      </c>
      <c r="AT1616" s="1759" t="s">
        <v>327</v>
      </c>
      <c r="AU1616" s="1763"/>
      <c r="AV1616" s="1763"/>
    </row>
    <row r="1617" spans="1:48" ht="25" hidden="1">
      <c r="A1617" s="1785" t="str">
        <f t="shared" si="264"/>
        <v>גמל</v>
      </c>
      <c r="B1617" s="1786">
        <f t="shared" si="265"/>
        <v>2058</v>
      </c>
      <c r="C1617" s="1787">
        <v>28946</v>
      </c>
      <c r="D1617" s="1786" t="str">
        <f t="shared" si="266"/>
        <v>הלמן-אלדובי השתלמות שריעה</v>
      </c>
      <c r="E1617" s="1786" t="s">
        <v>3929</v>
      </c>
      <c r="F1617" s="1786" t="s">
        <v>2958</v>
      </c>
      <c r="G1617" s="1786" t="s">
        <v>2959</v>
      </c>
      <c r="H1617" s="1786" t="str">
        <f t="shared" si="267"/>
        <v>פעיל</v>
      </c>
      <c r="I1617" s="1788">
        <f t="shared" si="268"/>
        <v>29312</v>
      </c>
      <c r="J1617" s="1788" t="str">
        <f t="shared" si="269"/>
        <v/>
      </c>
      <c r="K1617" s="1786">
        <v>0</v>
      </c>
      <c r="L1617" s="1786" t="s">
        <v>1594</v>
      </c>
      <c r="M1617" s="1786" t="s">
        <v>1653</v>
      </c>
      <c r="N1617" s="1786" t="s">
        <v>1653</v>
      </c>
      <c r="O1617" s="1786">
        <v>0</v>
      </c>
      <c r="P1617" s="1786"/>
      <c r="Q1617" s="1786">
        <v>0</v>
      </c>
      <c r="R1617" s="1788"/>
      <c r="S1617" s="1786">
        <f t="shared" si="270"/>
        <v>411</v>
      </c>
      <c r="T1617" s="1786" t="str">
        <f t="shared" si="271"/>
        <v>בנק מזרחי טפחות בע"מ</v>
      </c>
      <c r="U1617" s="1786" t="str">
        <f t="shared" si="272"/>
        <v>הלמן-אלדובי השתלמות</v>
      </c>
      <c r="V1617" s="1786" t="str">
        <f t="shared" si="273"/>
        <v>513163105</v>
      </c>
      <c r="W1617" s="1789" t="str">
        <f t="shared" si="274"/>
        <v>הלמן - אלדובי קופות גמל ופנסיה בע"מ</v>
      </c>
      <c r="AC1617" s="1761" t="s">
        <v>346</v>
      </c>
      <c r="AD1617" s="1761"/>
      <c r="AE1617" s="1762">
        <v>29312</v>
      </c>
      <c r="AF1617" s="1761" t="s">
        <v>4631</v>
      </c>
      <c r="AG1617" s="1761" t="s">
        <v>2029</v>
      </c>
      <c r="AH1617" s="1761" t="s">
        <v>2028</v>
      </c>
      <c r="AI1617" s="1761" t="s">
        <v>4148</v>
      </c>
      <c r="AJ1617" s="1761" t="s">
        <v>4148</v>
      </c>
      <c r="AK1617" s="1761">
        <v>2058</v>
      </c>
      <c r="AL1617" s="1761" t="s">
        <v>2979</v>
      </c>
      <c r="AM1617" s="1761">
        <v>411</v>
      </c>
      <c r="AN1617" s="1761" t="s">
        <v>5370</v>
      </c>
      <c r="AO1617" s="1764"/>
      <c r="AP1617" s="1761" t="s">
        <v>5371</v>
      </c>
      <c r="AQ1617" s="1761" t="s">
        <v>5372</v>
      </c>
      <c r="AR1617" s="1761" t="s">
        <v>354</v>
      </c>
      <c r="AS1617" s="1761" t="s">
        <v>355</v>
      </c>
      <c r="AT1617" s="1761" t="s">
        <v>327</v>
      </c>
      <c r="AU1617" s="1763"/>
      <c r="AV1617" s="1763"/>
    </row>
    <row r="1618" spans="1:48" ht="25" hidden="1">
      <c r="A1618" s="1785" t="str">
        <f t="shared" si="264"/>
        <v>גמל</v>
      </c>
      <c r="B1618" s="1786">
        <f t="shared" si="265"/>
        <v>2271</v>
      </c>
      <c r="C1618" s="1787">
        <v>28946</v>
      </c>
      <c r="D1618" s="1786" t="str">
        <f t="shared" si="266"/>
        <v>הלמן-אלדובי השתלמות פאסיבי משולב עד 25% מניות</v>
      </c>
      <c r="E1618" s="1786" t="s">
        <v>3929</v>
      </c>
      <c r="F1618" s="1786" t="s">
        <v>2958</v>
      </c>
      <c r="G1618" s="1786" t="s">
        <v>2959</v>
      </c>
      <c r="H1618" s="1786" t="str">
        <f t="shared" si="267"/>
        <v>פעיל</v>
      </c>
      <c r="I1618" s="1788">
        <f t="shared" si="268"/>
        <v>29312</v>
      </c>
      <c r="J1618" s="1788" t="str">
        <f t="shared" si="269"/>
        <v/>
      </c>
      <c r="K1618" s="1786">
        <v>0</v>
      </c>
      <c r="L1618" s="1786" t="s">
        <v>1594</v>
      </c>
      <c r="M1618" s="1786" t="s">
        <v>1653</v>
      </c>
      <c r="N1618" s="1786" t="s">
        <v>1653</v>
      </c>
      <c r="O1618" s="1786">
        <v>0</v>
      </c>
      <c r="P1618" s="1786"/>
      <c r="Q1618" s="1786">
        <v>0</v>
      </c>
      <c r="R1618" s="1788"/>
      <c r="S1618" s="1786">
        <f t="shared" si="270"/>
        <v>411</v>
      </c>
      <c r="T1618" s="1786" t="str">
        <f t="shared" si="271"/>
        <v>בנק מזרחי טפחות בע"מ</v>
      </c>
      <c r="U1618" s="1786" t="str">
        <f t="shared" si="272"/>
        <v>הלמן-אלדובי השתלמות</v>
      </c>
      <c r="V1618" s="1786" t="str">
        <f t="shared" si="273"/>
        <v>513163105</v>
      </c>
      <c r="W1618" s="1789" t="str">
        <f t="shared" si="274"/>
        <v>הלמן - אלדובי קופות גמל ופנסיה בע"מ</v>
      </c>
      <c r="AC1618" s="1759" t="s">
        <v>346</v>
      </c>
      <c r="AD1618" s="1759"/>
      <c r="AE1618" s="1760">
        <v>29312</v>
      </c>
      <c r="AF1618" s="1759" t="s">
        <v>4619</v>
      </c>
      <c r="AG1618" s="1759" t="s">
        <v>1653</v>
      </c>
      <c r="AH1618" s="1759" t="s">
        <v>1594</v>
      </c>
      <c r="AI1618" s="1759" t="s">
        <v>5638</v>
      </c>
      <c r="AJ1618" s="1759" t="s">
        <v>5638</v>
      </c>
      <c r="AK1618" s="1759">
        <v>2271</v>
      </c>
      <c r="AL1618" s="1759" t="s">
        <v>2979</v>
      </c>
      <c r="AM1618" s="1759">
        <v>411</v>
      </c>
      <c r="AN1618" s="1759" t="s">
        <v>5370</v>
      </c>
      <c r="AO1618" s="1764"/>
      <c r="AP1618" s="1759" t="s">
        <v>5371</v>
      </c>
      <c r="AQ1618" s="1759" t="s">
        <v>5372</v>
      </c>
      <c r="AR1618" s="1759" t="s">
        <v>354</v>
      </c>
      <c r="AS1618" s="1759" t="s">
        <v>355</v>
      </c>
      <c r="AT1618" s="1759" t="s">
        <v>327</v>
      </c>
      <c r="AU1618" s="1763"/>
      <c r="AV1618" s="1763"/>
    </row>
    <row r="1619" spans="1:48" ht="25" hidden="1">
      <c r="A1619" s="1785" t="str">
        <f t="shared" si="264"/>
        <v>גמל</v>
      </c>
      <c r="B1619" s="1786">
        <f t="shared" si="265"/>
        <v>2265</v>
      </c>
      <c r="C1619" s="1787">
        <v>28946</v>
      </c>
      <c r="D1619" s="1786" t="str">
        <f t="shared" si="266"/>
        <v>הלמן-אלדובי השתלמות מחקה מדד S&amp;P500</v>
      </c>
      <c r="E1619" s="1786" t="s">
        <v>3929</v>
      </c>
      <c r="F1619" s="1786" t="s">
        <v>2958</v>
      </c>
      <c r="G1619" s="1786" t="s">
        <v>2959</v>
      </c>
      <c r="H1619" s="1786" t="str">
        <f t="shared" si="267"/>
        <v>פעיל</v>
      </c>
      <c r="I1619" s="1788">
        <f t="shared" si="268"/>
        <v>29312</v>
      </c>
      <c r="J1619" s="1788" t="str">
        <f t="shared" si="269"/>
        <v/>
      </c>
      <c r="K1619" s="1786">
        <v>0</v>
      </c>
      <c r="L1619" s="1786" t="s">
        <v>1594</v>
      </c>
      <c r="M1619" s="1786" t="s">
        <v>1653</v>
      </c>
      <c r="N1619" s="1786" t="s">
        <v>1653</v>
      </c>
      <c r="O1619" s="1786">
        <v>0</v>
      </c>
      <c r="P1619" s="1786"/>
      <c r="Q1619" s="1786">
        <v>0</v>
      </c>
      <c r="R1619" s="1788"/>
      <c r="S1619" s="1786">
        <f t="shared" si="270"/>
        <v>411</v>
      </c>
      <c r="T1619" s="1786" t="str">
        <f t="shared" si="271"/>
        <v>בנק מזרחי טפחות בע"מ</v>
      </c>
      <c r="U1619" s="1786" t="str">
        <f t="shared" si="272"/>
        <v>הלמן-אלדובי השתלמות</v>
      </c>
      <c r="V1619" s="1786" t="str">
        <f t="shared" si="273"/>
        <v>513163105</v>
      </c>
      <c r="W1619" s="1789" t="str">
        <f t="shared" si="274"/>
        <v>הלמן - אלדובי קופות גמל ופנסיה בע"מ</v>
      </c>
      <c r="AC1619" s="1761" t="s">
        <v>346</v>
      </c>
      <c r="AD1619" s="1761"/>
      <c r="AE1619" s="1762">
        <v>29312</v>
      </c>
      <c r="AF1619" s="1761" t="s">
        <v>4618</v>
      </c>
      <c r="AG1619" s="1761" t="s">
        <v>75</v>
      </c>
      <c r="AH1619" s="1761" t="s">
        <v>1594</v>
      </c>
      <c r="AI1619" s="1761" t="s">
        <v>5639</v>
      </c>
      <c r="AJ1619" s="1761" t="s">
        <v>5639</v>
      </c>
      <c r="AK1619" s="1761">
        <v>2265</v>
      </c>
      <c r="AL1619" s="1761" t="s">
        <v>2979</v>
      </c>
      <c r="AM1619" s="1761">
        <v>411</v>
      </c>
      <c r="AN1619" s="1761" t="s">
        <v>5370</v>
      </c>
      <c r="AO1619" s="1764"/>
      <c r="AP1619" s="1761" t="s">
        <v>5371</v>
      </c>
      <c r="AQ1619" s="1761" t="s">
        <v>5372</v>
      </c>
      <c r="AR1619" s="1761" t="s">
        <v>354</v>
      </c>
      <c r="AS1619" s="1761" t="s">
        <v>355</v>
      </c>
      <c r="AT1619" s="1761" t="s">
        <v>327</v>
      </c>
      <c r="AU1619" s="1763"/>
      <c r="AV1619" s="1763"/>
    </row>
    <row r="1620" spans="1:48" ht="25" hidden="1">
      <c r="A1620" s="1785" t="str">
        <f t="shared" si="264"/>
        <v>גמל</v>
      </c>
      <c r="B1620" s="1786">
        <f t="shared" si="265"/>
        <v>737</v>
      </c>
      <c r="C1620" s="1787">
        <v>28946</v>
      </c>
      <c r="D1620" s="1786" t="str">
        <f t="shared" si="266"/>
        <v>הלמן-אלדובי השתלמות שקלי</v>
      </c>
      <c r="E1620" s="1786" t="s">
        <v>3929</v>
      </c>
      <c r="F1620" s="1786" t="s">
        <v>2958</v>
      </c>
      <c r="G1620" s="1786" t="s">
        <v>2959</v>
      </c>
      <c r="H1620" s="1786" t="str">
        <f t="shared" si="267"/>
        <v>לא פעיל</v>
      </c>
      <c r="I1620" s="1788">
        <f t="shared" si="268"/>
        <v>29312</v>
      </c>
      <c r="J1620" s="1788">
        <f t="shared" si="269"/>
        <v>43481.503622685203</v>
      </c>
      <c r="K1620" s="1786">
        <v>0</v>
      </c>
      <c r="L1620" s="1786" t="s">
        <v>1594</v>
      </c>
      <c r="M1620" s="1786" t="s">
        <v>1653</v>
      </c>
      <c r="N1620" s="1786" t="s">
        <v>1653</v>
      </c>
      <c r="O1620" s="1786">
        <v>0</v>
      </c>
      <c r="P1620" s="1786"/>
      <c r="Q1620" s="1786">
        <v>0</v>
      </c>
      <c r="R1620" s="1788"/>
      <c r="S1620" s="1786">
        <f t="shared" si="270"/>
        <v>411</v>
      </c>
      <c r="T1620" s="1786" t="str">
        <f t="shared" si="271"/>
        <v>בנק מזרחי טפחות בע"מ</v>
      </c>
      <c r="U1620" s="1786" t="str">
        <f t="shared" si="272"/>
        <v>הלמן-אלדובי השתלמות</v>
      </c>
      <c r="V1620" s="1786" t="str">
        <f t="shared" si="273"/>
        <v>513163105</v>
      </c>
      <c r="W1620" s="1789" t="str">
        <f t="shared" si="274"/>
        <v>הלמן - אלדובי קופות גמל ופנסיה בע"מ</v>
      </c>
      <c r="AC1620" s="1759" t="s">
        <v>1586</v>
      </c>
      <c r="AD1620" s="1760">
        <v>43481.503622685203</v>
      </c>
      <c r="AE1620" s="1760">
        <v>29312</v>
      </c>
      <c r="AF1620" s="1759" t="s">
        <v>1076</v>
      </c>
      <c r="AG1620" s="1759" t="s">
        <v>1614</v>
      </c>
      <c r="AH1620" s="1759" t="s">
        <v>1594</v>
      </c>
      <c r="AI1620" s="1759" t="s">
        <v>3284</v>
      </c>
      <c r="AJ1620" s="1759" t="s">
        <v>3284</v>
      </c>
      <c r="AK1620" s="1759">
        <v>737</v>
      </c>
      <c r="AL1620" s="1759" t="s">
        <v>2979</v>
      </c>
      <c r="AM1620" s="1759">
        <v>411</v>
      </c>
      <c r="AN1620" s="1759" t="s">
        <v>5370</v>
      </c>
      <c r="AO1620" s="1764"/>
      <c r="AP1620" s="1759" t="s">
        <v>5371</v>
      </c>
      <c r="AQ1620" s="1759" t="s">
        <v>5372</v>
      </c>
      <c r="AR1620" s="1759" t="s">
        <v>354</v>
      </c>
      <c r="AS1620" s="1759" t="s">
        <v>355</v>
      </c>
      <c r="AT1620" s="1759" t="s">
        <v>327</v>
      </c>
      <c r="AU1620" s="1763"/>
      <c r="AV1620" s="1763"/>
    </row>
    <row r="1621" spans="1:48" ht="25" hidden="1">
      <c r="A1621" s="1785" t="str">
        <f t="shared" si="264"/>
        <v>גמל</v>
      </c>
      <c r="B1621" s="1786">
        <f t="shared" si="265"/>
        <v>738</v>
      </c>
      <c r="C1621" s="1787">
        <v>28946</v>
      </c>
      <c r="D1621" s="1786" t="str">
        <f t="shared" si="266"/>
        <v>הלמן-אלדובי השתלמות מניות</v>
      </c>
      <c r="E1621" s="1786" t="s">
        <v>3929</v>
      </c>
      <c r="F1621" s="1786" t="s">
        <v>2958</v>
      </c>
      <c r="G1621" s="1786" t="s">
        <v>2959</v>
      </c>
      <c r="H1621" s="1786" t="str">
        <f t="shared" si="267"/>
        <v>פעיל</v>
      </c>
      <c r="I1621" s="1788">
        <f t="shared" si="268"/>
        <v>29312</v>
      </c>
      <c r="J1621" s="1788" t="str">
        <f t="shared" si="269"/>
        <v/>
      </c>
      <c r="K1621" s="1786">
        <v>0</v>
      </c>
      <c r="L1621" s="1786" t="s">
        <v>1594</v>
      </c>
      <c r="M1621" s="1786" t="s">
        <v>1653</v>
      </c>
      <c r="N1621" s="1786" t="s">
        <v>1653</v>
      </c>
      <c r="O1621" s="1786">
        <v>0</v>
      </c>
      <c r="P1621" s="1786"/>
      <c r="Q1621" s="1786">
        <v>0</v>
      </c>
      <c r="R1621" s="1788"/>
      <c r="S1621" s="1786">
        <f t="shared" si="270"/>
        <v>411</v>
      </c>
      <c r="T1621" s="1786" t="str">
        <f t="shared" si="271"/>
        <v>בנק מזרחי טפחות בע"מ</v>
      </c>
      <c r="U1621" s="1786" t="str">
        <f t="shared" si="272"/>
        <v>הלמן-אלדובי השתלמות</v>
      </c>
      <c r="V1621" s="1786" t="str">
        <f t="shared" si="273"/>
        <v>513163105</v>
      </c>
      <c r="W1621" s="1789" t="str">
        <f t="shared" si="274"/>
        <v>הלמן - אלדובי קופות גמל ופנסיה בע"מ</v>
      </c>
      <c r="AC1621" s="1761" t="s">
        <v>346</v>
      </c>
      <c r="AD1621" s="1761"/>
      <c r="AE1621" s="1762">
        <v>29312</v>
      </c>
      <c r="AF1621" s="1761" t="s">
        <v>1595</v>
      </c>
      <c r="AG1621" s="1761" t="s">
        <v>75</v>
      </c>
      <c r="AH1621" s="1761" t="s">
        <v>1594</v>
      </c>
      <c r="AI1621" s="1761" t="s">
        <v>3978</v>
      </c>
      <c r="AJ1621" s="1761" t="s">
        <v>3978</v>
      </c>
      <c r="AK1621" s="1761">
        <v>738</v>
      </c>
      <c r="AL1621" s="1761" t="s">
        <v>2979</v>
      </c>
      <c r="AM1621" s="1761">
        <v>411</v>
      </c>
      <c r="AN1621" s="1761" t="s">
        <v>5370</v>
      </c>
      <c r="AO1621" s="1764"/>
      <c r="AP1621" s="1761" t="s">
        <v>5371</v>
      </c>
      <c r="AQ1621" s="1761" t="s">
        <v>5372</v>
      </c>
      <c r="AR1621" s="1761" t="s">
        <v>354</v>
      </c>
      <c r="AS1621" s="1761" t="s">
        <v>355</v>
      </c>
      <c r="AT1621" s="1761" t="s">
        <v>327</v>
      </c>
      <c r="AU1621" s="1763"/>
      <c r="AV1621" s="1763"/>
    </row>
    <row r="1622" spans="1:48" ht="25" hidden="1">
      <c r="A1622" s="1785" t="str">
        <f t="shared" si="264"/>
        <v>גמל</v>
      </c>
      <c r="B1622" s="1786">
        <f t="shared" si="265"/>
        <v>145</v>
      </c>
      <c r="C1622" s="1787">
        <v>28946</v>
      </c>
      <c r="D1622" s="1786" t="str">
        <f t="shared" si="266"/>
        <v>הלמן - אלדובי השתלמות</v>
      </c>
      <c r="E1622" s="1786" t="s">
        <v>3929</v>
      </c>
      <c r="F1622" s="1786" t="s">
        <v>2958</v>
      </c>
      <c r="G1622" s="1786" t="s">
        <v>2959</v>
      </c>
      <c r="H1622" s="1786" t="str">
        <f t="shared" si="267"/>
        <v>לא פעיל</v>
      </c>
      <c r="I1622" s="1788">
        <f t="shared" si="268"/>
        <v>29312</v>
      </c>
      <c r="J1622" s="1788">
        <f t="shared" si="269"/>
        <v>41547.522210648101</v>
      </c>
      <c r="K1622" s="1786">
        <v>0</v>
      </c>
      <c r="L1622" s="1786" t="s">
        <v>1594</v>
      </c>
      <c r="M1622" s="1786" t="s">
        <v>1653</v>
      </c>
      <c r="N1622" s="1786" t="s">
        <v>1653</v>
      </c>
      <c r="O1622" s="1786">
        <v>0</v>
      </c>
      <c r="P1622" s="1786"/>
      <c r="Q1622" s="1786">
        <v>0</v>
      </c>
      <c r="R1622" s="1788"/>
      <c r="S1622" s="1786">
        <f t="shared" si="270"/>
        <v>411</v>
      </c>
      <c r="T1622" s="1786" t="str">
        <f t="shared" si="271"/>
        <v>בנק יהב לעובדי המדינה בע"מ</v>
      </c>
      <c r="U1622" s="1786" t="str">
        <f t="shared" si="272"/>
        <v>הלמן-אלדובי יהבית השתלמות</v>
      </c>
      <c r="V1622" s="1786" t="str">
        <f t="shared" si="273"/>
        <v>513163105</v>
      </c>
      <c r="W1622" s="1789" t="str">
        <f t="shared" si="274"/>
        <v>הלמן - אלדובי קופות גמל ופנסיה בע"מ</v>
      </c>
      <c r="AC1622" s="1759" t="s">
        <v>1586</v>
      </c>
      <c r="AD1622" s="1760">
        <v>41547.522210648101</v>
      </c>
      <c r="AE1622" s="1760">
        <v>29312</v>
      </c>
      <c r="AF1622" s="1759" t="s">
        <v>1583</v>
      </c>
      <c r="AG1622" s="1759" t="s">
        <v>1583</v>
      </c>
      <c r="AH1622" s="1759" t="s">
        <v>1583</v>
      </c>
      <c r="AI1622" s="1759" t="s">
        <v>2979</v>
      </c>
      <c r="AJ1622" s="1759" t="s">
        <v>377</v>
      </c>
      <c r="AK1622" s="1759">
        <v>145</v>
      </c>
      <c r="AL1622" s="1759" t="s">
        <v>529</v>
      </c>
      <c r="AM1622" s="1759">
        <v>411</v>
      </c>
      <c r="AN1622" s="1759" t="s">
        <v>5517</v>
      </c>
      <c r="AO1622" s="1764"/>
      <c r="AP1622" s="1759" t="s">
        <v>5371</v>
      </c>
      <c r="AQ1622" s="1759" t="s">
        <v>5372</v>
      </c>
      <c r="AR1622" s="1759" t="s">
        <v>354</v>
      </c>
      <c r="AS1622" s="1759" t="s">
        <v>355</v>
      </c>
      <c r="AT1622" s="1759" t="s">
        <v>327</v>
      </c>
      <c r="AU1622" s="1763"/>
      <c r="AV1622" s="1763"/>
    </row>
    <row r="1623" spans="1:48" ht="25" hidden="1">
      <c r="A1623" s="1785" t="str">
        <f t="shared" ref="A1623:A1686" si="275">AT1623</f>
        <v>גמל</v>
      </c>
      <c r="B1623" s="1786">
        <f t="shared" ref="B1623:B1686" si="276">AK1623</f>
        <v>1203</v>
      </c>
      <c r="C1623" s="1787">
        <v>28946</v>
      </c>
      <c r="D1623" s="1786" t="str">
        <f t="shared" ref="D1623:D1686" si="277">AJ1623</f>
        <v>הלמן-אלדובי קרן השתלמות מסלול אג"ח עד 10% מניות</v>
      </c>
      <c r="E1623" s="1786" t="s">
        <v>3929</v>
      </c>
      <c r="F1623" s="1786" t="s">
        <v>2958</v>
      </c>
      <c r="G1623" s="1786" t="s">
        <v>2959</v>
      </c>
      <c r="H1623" s="1786" t="str">
        <f t="shared" ref="H1623:H1686" si="278">AC1623</f>
        <v>פעיל</v>
      </c>
      <c r="I1623" s="1788">
        <f t="shared" ref="I1623:I1686" si="279">IF(AE1623="","",AE1623)</f>
        <v>29312</v>
      </c>
      <c r="J1623" s="1788" t="str">
        <f t="shared" ref="J1623:J1686" si="280">IF(AD1623="","",AD1623)</f>
        <v/>
      </c>
      <c r="K1623" s="1786">
        <v>0</v>
      </c>
      <c r="L1623" s="1786" t="s">
        <v>1594</v>
      </c>
      <c r="M1623" s="1786" t="s">
        <v>1653</v>
      </c>
      <c r="N1623" s="1786" t="s">
        <v>1653</v>
      </c>
      <c r="O1623" s="1786">
        <v>0</v>
      </c>
      <c r="P1623" s="1786"/>
      <c r="Q1623" s="1786">
        <v>0</v>
      </c>
      <c r="R1623" s="1788"/>
      <c r="S1623" s="1786">
        <f t="shared" ref="S1623:S1686" si="281">AM1623</f>
        <v>411</v>
      </c>
      <c r="T1623" s="1786" t="str">
        <f t="shared" ref="T1623:T1686" si="282">AN1623</f>
        <v>בנק מזרחי טפחות בע"מ</v>
      </c>
      <c r="U1623" s="1786" t="str">
        <f t="shared" ref="U1623:U1686" si="283">AL1623</f>
        <v>הלמן-אלדובי השתלמות</v>
      </c>
      <c r="V1623" s="1786" t="str">
        <f t="shared" ref="V1623:V1686" si="284">AQ1623</f>
        <v>513163105</v>
      </c>
      <c r="W1623" s="1789" t="str">
        <f t="shared" ref="W1623:W1686" si="285">AR1623</f>
        <v>הלמן - אלדובי קופות גמל ופנסיה בע"מ</v>
      </c>
      <c r="AC1623" s="1761" t="s">
        <v>346</v>
      </c>
      <c r="AD1623" s="1761"/>
      <c r="AE1623" s="1762">
        <v>29312</v>
      </c>
      <c r="AF1623" s="1761" t="s">
        <v>1653</v>
      </c>
      <c r="AG1623" s="1761" t="s">
        <v>1653</v>
      </c>
      <c r="AH1623" s="1761" t="s">
        <v>1594</v>
      </c>
      <c r="AI1623" s="1761" t="s">
        <v>5640</v>
      </c>
      <c r="AJ1623" s="1761" t="s">
        <v>5641</v>
      </c>
      <c r="AK1623" s="1761">
        <v>1203</v>
      </c>
      <c r="AL1623" s="1761" t="s">
        <v>2979</v>
      </c>
      <c r="AM1623" s="1761">
        <v>411</v>
      </c>
      <c r="AN1623" s="1761" t="s">
        <v>5370</v>
      </c>
      <c r="AO1623" s="1764"/>
      <c r="AP1623" s="1761" t="s">
        <v>5371</v>
      </c>
      <c r="AQ1623" s="1761" t="s">
        <v>5372</v>
      </c>
      <c r="AR1623" s="1761" t="s">
        <v>354</v>
      </c>
      <c r="AS1623" s="1761" t="s">
        <v>355</v>
      </c>
      <c r="AT1623" s="1761" t="s">
        <v>327</v>
      </c>
      <c r="AU1623" s="1763"/>
      <c r="AV1623" s="1763"/>
    </row>
    <row r="1624" spans="1:48" ht="25" hidden="1">
      <c r="A1624" s="1785" t="str">
        <f t="shared" si="275"/>
        <v>גמל</v>
      </c>
      <c r="B1624" s="1786">
        <f t="shared" si="276"/>
        <v>736</v>
      </c>
      <c r="C1624" s="1787">
        <v>28946</v>
      </c>
      <c r="D1624" s="1786" t="str">
        <f t="shared" si="277"/>
        <v>הלמן-אלדובי השתלמות אג"ח</v>
      </c>
      <c r="E1624" s="1786" t="s">
        <v>3929</v>
      </c>
      <c r="F1624" s="1786" t="s">
        <v>2958</v>
      </c>
      <c r="G1624" s="1786" t="s">
        <v>2959</v>
      </c>
      <c r="H1624" s="1786" t="str">
        <f t="shared" si="278"/>
        <v>לא פעיל</v>
      </c>
      <c r="I1624" s="1788">
        <f t="shared" si="279"/>
        <v>29312</v>
      </c>
      <c r="J1624" s="1788">
        <f t="shared" si="280"/>
        <v>43481.503622685203</v>
      </c>
      <c r="K1624" s="1786">
        <v>0</v>
      </c>
      <c r="L1624" s="1786" t="s">
        <v>1594</v>
      </c>
      <c r="M1624" s="1786" t="s">
        <v>1653</v>
      </c>
      <c r="N1624" s="1786" t="s">
        <v>1653</v>
      </c>
      <c r="O1624" s="1786">
        <v>0</v>
      </c>
      <c r="P1624" s="1786"/>
      <c r="Q1624" s="1786">
        <v>0</v>
      </c>
      <c r="R1624" s="1788"/>
      <c r="S1624" s="1786">
        <f t="shared" si="281"/>
        <v>411</v>
      </c>
      <c r="T1624" s="1786" t="str">
        <f t="shared" si="282"/>
        <v>בנק מזרחי טפחות בע"מ</v>
      </c>
      <c r="U1624" s="1786" t="str">
        <f t="shared" si="283"/>
        <v>הלמן-אלדובי השתלמות</v>
      </c>
      <c r="V1624" s="1786" t="str">
        <f t="shared" si="284"/>
        <v>513163105</v>
      </c>
      <c r="W1624" s="1789" t="str">
        <f t="shared" si="285"/>
        <v>הלמן - אלדובי קופות גמל ופנסיה בע"מ</v>
      </c>
      <c r="AC1624" s="1759" t="s">
        <v>1586</v>
      </c>
      <c r="AD1624" s="1760">
        <v>43481.503622685203</v>
      </c>
      <c r="AE1624" s="1760">
        <v>29312</v>
      </c>
      <c r="AF1624" s="1759" t="s">
        <v>1653</v>
      </c>
      <c r="AG1624" s="1759" t="s">
        <v>1653</v>
      </c>
      <c r="AH1624" s="1759" t="s">
        <v>1594</v>
      </c>
      <c r="AI1624" s="1759" t="s">
        <v>3283</v>
      </c>
      <c r="AJ1624" s="1759" t="s">
        <v>3283</v>
      </c>
      <c r="AK1624" s="1759">
        <v>736</v>
      </c>
      <c r="AL1624" s="1759" t="s">
        <v>2979</v>
      </c>
      <c r="AM1624" s="1759">
        <v>411</v>
      </c>
      <c r="AN1624" s="1759" t="s">
        <v>5370</v>
      </c>
      <c r="AO1624" s="1764"/>
      <c r="AP1624" s="1759" t="s">
        <v>5371</v>
      </c>
      <c r="AQ1624" s="1759" t="s">
        <v>5372</v>
      </c>
      <c r="AR1624" s="1759" t="s">
        <v>354</v>
      </c>
      <c r="AS1624" s="1759" t="s">
        <v>355</v>
      </c>
      <c r="AT1624" s="1759" t="s">
        <v>327</v>
      </c>
      <c r="AU1624" s="1763"/>
      <c r="AV1624" s="1763"/>
    </row>
    <row r="1625" spans="1:48" ht="25" hidden="1">
      <c r="A1625" s="1785" t="str">
        <f t="shared" si="275"/>
        <v>גמל</v>
      </c>
      <c r="B1625" s="1786">
        <f t="shared" si="276"/>
        <v>411</v>
      </c>
      <c r="C1625" s="1787">
        <v>28946</v>
      </c>
      <c r="D1625" s="1786" t="str">
        <f t="shared" si="277"/>
        <v>הלמן-אלדובי השתלמות</v>
      </c>
      <c r="E1625" s="1786" t="s">
        <v>3929</v>
      </c>
      <c r="F1625" s="1786" t="s">
        <v>2958</v>
      </c>
      <c r="G1625" s="1786" t="s">
        <v>2959</v>
      </c>
      <c r="H1625" s="1786" t="str">
        <f t="shared" si="278"/>
        <v>לא פעיל</v>
      </c>
      <c r="I1625" s="1788">
        <f t="shared" si="279"/>
        <v>29312</v>
      </c>
      <c r="J1625" s="1788">
        <f t="shared" si="280"/>
        <v>41933.383969907401</v>
      </c>
      <c r="K1625" s="1786">
        <v>0</v>
      </c>
      <c r="L1625" s="1786" t="s">
        <v>1594</v>
      </c>
      <c r="M1625" s="1786" t="s">
        <v>1653</v>
      </c>
      <c r="N1625" s="1786" t="s">
        <v>1653</v>
      </c>
      <c r="O1625" s="1786">
        <v>0</v>
      </c>
      <c r="P1625" s="1786"/>
      <c r="Q1625" s="1786">
        <v>0</v>
      </c>
      <c r="R1625" s="1788"/>
      <c r="S1625" s="1786">
        <f t="shared" si="281"/>
        <v>411</v>
      </c>
      <c r="T1625" s="1786" t="str">
        <f t="shared" si="282"/>
        <v>בנק מזרחי טפחות בע"מ</v>
      </c>
      <c r="U1625" s="1786" t="str">
        <f t="shared" si="283"/>
        <v>הלמן-אלדובי השתלמות</v>
      </c>
      <c r="V1625" s="1786" t="str">
        <f t="shared" si="284"/>
        <v>513163105</v>
      </c>
      <c r="W1625" s="1789" t="str">
        <f t="shared" si="285"/>
        <v>הלמן - אלדובי קופות גמל ופנסיה בע"מ</v>
      </c>
      <c r="AC1625" s="1761" t="s">
        <v>1586</v>
      </c>
      <c r="AD1625" s="1762">
        <v>41933.383969907401</v>
      </c>
      <c r="AE1625" s="1762">
        <v>29312</v>
      </c>
      <c r="AF1625" s="1761" t="s">
        <v>1583</v>
      </c>
      <c r="AG1625" s="1761" t="s">
        <v>1583</v>
      </c>
      <c r="AH1625" s="1761" t="s">
        <v>1583</v>
      </c>
      <c r="AI1625" s="1761" t="s">
        <v>2979</v>
      </c>
      <c r="AJ1625" s="1761" t="s">
        <v>2979</v>
      </c>
      <c r="AK1625" s="1761">
        <v>411</v>
      </c>
      <c r="AL1625" s="1761" t="s">
        <v>2979</v>
      </c>
      <c r="AM1625" s="1761">
        <v>411</v>
      </c>
      <c r="AN1625" s="1761" t="s">
        <v>5370</v>
      </c>
      <c r="AO1625" s="1764"/>
      <c r="AP1625" s="1761" t="s">
        <v>5371</v>
      </c>
      <c r="AQ1625" s="1761" t="s">
        <v>5372</v>
      </c>
      <c r="AR1625" s="1761" t="s">
        <v>354</v>
      </c>
      <c r="AS1625" s="1761" t="s">
        <v>355</v>
      </c>
      <c r="AT1625" s="1761" t="s">
        <v>327</v>
      </c>
      <c r="AU1625" s="1763"/>
      <c r="AV1625" s="1763"/>
    </row>
    <row r="1626" spans="1:48" ht="25" hidden="1">
      <c r="A1626" s="1785" t="str">
        <f t="shared" si="275"/>
        <v>גמל</v>
      </c>
      <c r="B1626" s="1786">
        <f t="shared" si="276"/>
        <v>1202</v>
      </c>
      <c r="C1626" s="1787">
        <v>28946</v>
      </c>
      <c r="D1626" s="1786" t="str">
        <f t="shared" si="277"/>
        <v>הלמן-אלדובי קרן השתלמות מסלול אג"ח ללא מניות</v>
      </c>
      <c r="E1626" s="1786" t="s">
        <v>3929</v>
      </c>
      <c r="F1626" s="1786" t="s">
        <v>2958</v>
      </c>
      <c r="G1626" s="1786" t="s">
        <v>2959</v>
      </c>
      <c r="H1626" s="1786" t="str">
        <f t="shared" si="278"/>
        <v>פעיל</v>
      </c>
      <c r="I1626" s="1788">
        <f t="shared" si="279"/>
        <v>29312</v>
      </c>
      <c r="J1626" s="1788" t="str">
        <f t="shared" si="280"/>
        <v/>
      </c>
      <c r="K1626" s="1786">
        <v>0</v>
      </c>
      <c r="L1626" s="1786" t="s">
        <v>1594</v>
      </c>
      <c r="M1626" s="1786" t="s">
        <v>1653</v>
      </c>
      <c r="N1626" s="1786" t="s">
        <v>1653</v>
      </c>
      <c r="O1626" s="1786">
        <v>0</v>
      </c>
      <c r="P1626" s="1786"/>
      <c r="Q1626" s="1786">
        <v>0</v>
      </c>
      <c r="R1626" s="1788"/>
      <c r="S1626" s="1786">
        <f t="shared" si="281"/>
        <v>411</v>
      </c>
      <c r="T1626" s="1786" t="str">
        <f t="shared" si="282"/>
        <v>בנק מזרחי טפחות בע"מ</v>
      </c>
      <c r="U1626" s="1786" t="str">
        <f t="shared" si="283"/>
        <v>הלמן-אלדובי השתלמות</v>
      </c>
      <c r="V1626" s="1786" t="str">
        <f t="shared" si="284"/>
        <v>513163105</v>
      </c>
      <c r="W1626" s="1789" t="str">
        <f t="shared" si="285"/>
        <v>הלמן - אלדובי קופות גמל ופנסיה בע"מ</v>
      </c>
      <c r="AC1626" s="1759" t="s">
        <v>346</v>
      </c>
      <c r="AD1626" s="1759"/>
      <c r="AE1626" s="1760">
        <v>29312</v>
      </c>
      <c r="AF1626" s="1759" t="s">
        <v>1681</v>
      </c>
      <c r="AG1626" s="1759" t="s">
        <v>1653</v>
      </c>
      <c r="AH1626" s="1759" t="s">
        <v>1594</v>
      </c>
      <c r="AI1626" s="1759" t="s">
        <v>5642</v>
      </c>
      <c r="AJ1626" s="1759" t="s">
        <v>5643</v>
      </c>
      <c r="AK1626" s="1759">
        <v>1202</v>
      </c>
      <c r="AL1626" s="1759" t="s">
        <v>2979</v>
      </c>
      <c r="AM1626" s="1759">
        <v>411</v>
      </c>
      <c r="AN1626" s="1759" t="s">
        <v>5370</v>
      </c>
      <c r="AO1626" s="1764"/>
      <c r="AP1626" s="1759" t="s">
        <v>5371</v>
      </c>
      <c r="AQ1626" s="1759" t="s">
        <v>5372</v>
      </c>
      <c r="AR1626" s="1759" t="s">
        <v>354</v>
      </c>
      <c r="AS1626" s="1759" t="s">
        <v>355</v>
      </c>
      <c r="AT1626" s="1759" t="s">
        <v>327</v>
      </c>
      <c r="AU1626" s="1763"/>
      <c r="AV1626" s="1763"/>
    </row>
    <row r="1627" spans="1:48" ht="25" hidden="1">
      <c r="A1627" s="1785" t="str">
        <f t="shared" si="275"/>
        <v>גמל</v>
      </c>
      <c r="B1627" s="1786">
        <f t="shared" si="276"/>
        <v>395</v>
      </c>
      <c r="C1627" s="1787">
        <v>28946</v>
      </c>
      <c r="D1627" s="1786" t="str">
        <f t="shared" si="277"/>
        <v>הלמן-אלדובי השתלמות אג"ח עד 25% במניות</v>
      </c>
      <c r="E1627" s="1786" t="s">
        <v>3929</v>
      </c>
      <c r="F1627" s="1786" t="s">
        <v>2958</v>
      </c>
      <c r="G1627" s="1786" t="s">
        <v>2959</v>
      </c>
      <c r="H1627" s="1786" t="str">
        <f t="shared" si="278"/>
        <v>פעיל</v>
      </c>
      <c r="I1627" s="1788">
        <f t="shared" si="279"/>
        <v>29312</v>
      </c>
      <c r="J1627" s="1788" t="str">
        <f t="shared" si="280"/>
        <v/>
      </c>
      <c r="K1627" s="1786">
        <v>0</v>
      </c>
      <c r="L1627" s="1786" t="s">
        <v>1594</v>
      </c>
      <c r="M1627" s="1786" t="s">
        <v>1653</v>
      </c>
      <c r="N1627" s="1786" t="s">
        <v>1653</v>
      </c>
      <c r="O1627" s="1786">
        <v>0</v>
      </c>
      <c r="P1627" s="1786"/>
      <c r="Q1627" s="1786">
        <v>0</v>
      </c>
      <c r="R1627" s="1788"/>
      <c r="S1627" s="1786">
        <f t="shared" si="281"/>
        <v>411</v>
      </c>
      <c r="T1627" s="1786" t="str">
        <f t="shared" si="282"/>
        <v>בנק מזרחי טפחות בע"מ</v>
      </c>
      <c r="U1627" s="1786" t="str">
        <f t="shared" si="283"/>
        <v>הלמן-אלדובי השתלמות</v>
      </c>
      <c r="V1627" s="1786" t="str">
        <f t="shared" si="284"/>
        <v>513163105</v>
      </c>
      <c r="W1627" s="1789" t="str">
        <f t="shared" si="285"/>
        <v>הלמן - אלדובי קופות גמל ופנסיה בע"מ</v>
      </c>
      <c r="AC1627" s="1761" t="s">
        <v>346</v>
      </c>
      <c r="AD1627" s="1759"/>
      <c r="AE1627" s="1762">
        <v>29312</v>
      </c>
      <c r="AF1627" s="1761" t="s">
        <v>3934</v>
      </c>
      <c r="AG1627" s="1761" t="s">
        <v>1653</v>
      </c>
      <c r="AH1627" s="1761" t="s">
        <v>1594</v>
      </c>
      <c r="AI1627" s="1761" t="s">
        <v>3947</v>
      </c>
      <c r="AJ1627" s="1761" t="s">
        <v>3947</v>
      </c>
      <c r="AK1627" s="1761">
        <v>395</v>
      </c>
      <c r="AL1627" s="1761" t="s">
        <v>2979</v>
      </c>
      <c r="AM1627" s="1761">
        <v>411</v>
      </c>
      <c r="AN1627" s="1761" t="s">
        <v>5370</v>
      </c>
      <c r="AO1627" s="1764"/>
      <c r="AP1627" s="1761" t="s">
        <v>5371</v>
      </c>
      <c r="AQ1627" s="1761" t="s">
        <v>5372</v>
      </c>
      <c r="AR1627" s="1761" t="s">
        <v>354</v>
      </c>
      <c r="AS1627" s="1761" t="s">
        <v>355</v>
      </c>
      <c r="AT1627" s="1761" t="s">
        <v>327</v>
      </c>
      <c r="AU1627" s="1763"/>
      <c r="AV1627" s="1763"/>
    </row>
    <row r="1628" spans="1:48" ht="25" hidden="1">
      <c r="A1628" s="1785" t="str">
        <f t="shared" si="275"/>
        <v>גמל</v>
      </c>
      <c r="B1628" s="1786">
        <f t="shared" si="276"/>
        <v>2263</v>
      </c>
      <c r="C1628" s="1787">
        <v>28946</v>
      </c>
      <c r="D1628" s="1786" t="str">
        <f t="shared" si="277"/>
        <v>הלמן-אלדובי גמל פאסיבי משולב עד 25% מניות</v>
      </c>
      <c r="E1628" s="1786" t="s">
        <v>3929</v>
      </c>
      <c r="F1628" s="1786" t="s">
        <v>2958</v>
      </c>
      <c r="G1628" s="1786" t="s">
        <v>2959</v>
      </c>
      <c r="H1628" s="1786" t="str">
        <f t="shared" si="278"/>
        <v>פעיל</v>
      </c>
      <c r="I1628" s="1788">
        <f t="shared" si="279"/>
        <v>29252</v>
      </c>
      <c r="J1628" s="1788" t="str">
        <f t="shared" si="280"/>
        <v/>
      </c>
      <c r="K1628" s="1786">
        <v>0</v>
      </c>
      <c r="L1628" s="1786" t="s">
        <v>1594</v>
      </c>
      <c r="M1628" s="1786" t="s">
        <v>1653</v>
      </c>
      <c r="N1628" s="1786" t="s">
        <v>1653</v>
      </c>
      <c r="O1628" s="1786">
        <v>0</v>
      </c>
      <c r="P1628" s="1786"/>
      <c r="Q1628" s="1786">
        <v>0</v>
      </c>
      <c r="R1628" s="1788"/>
      <c r="S1628" s="1786">
        <f t="shared" si="281"/>
        <v>410</v>
      </c>
      <c r="T1628" s="1786" t="str">
        <f t="shared" si="282"/>
        <v>בנק מזרחי טפחות בע"מ</v>
      </c>
      <c r="U1628" s="1786" t="str">
        <f t="shared" si="283"/>
        <v>הלמן-אלדובי גמל</v>
      </c>
      <c r="V1628" s="1786" t="str">
        <f t="shared" si="284"/>
        <v>513163105</v>
      </c>
      <c r="W1628" s="1789" t="str">
        <f t="shared" si="285"/>
        <v>הלמן - אלדובי קופות גמל ופנסיה בע"מ</v>
      </c>
      <c r="AC1628" s="1759" t="s">
        <v>346</v>
      </c>
      <c r="AD1628" s="1759"/>
      <c r="AE1628" s="1760">
        <v>29252</v>
      </c>
      <c r="AF1628" s="1759" t="s">
        <v>4619</v>
      </c>
      <c r="AG1628" s="1759" t="s">
        <v>1653</v>
      </c>
      <c r="AH1628" s="1759" t="s">
        <v>1594</v>
      </c>
      <c r="AI1628" s="1759" t="s">
        <v>5644</v>
      </c>
      <c r="AJ1628" s="1759" t="s">
        <v>5644</v>
      </c>
      <c r="AK1628" s="1759">
        <v>2263</v>
      </c>
      <c r="AL1628" s="1759" t="s">
        <v>5645</v>
      </c>
      <c r="AM1628" s="1759">
        <v>410</v>
      </c>
      <c r="AN1628" s="1759" t="s">
        <v>5370</v>
      </c>
      <c r="AO1628" s="1764"/>
      <c r="AP1628" s="1759" t="s">
        <v>5371</v>
      </c>
      <c r="AQ1628" s="1759" t="s">
        <v>5372</v>
      </c>
      <c r="AR1628" s="1759" t="s">
        <v>354</v>
      </c>
      <c r="AS1628" s="1759" t="s">
        <v>355</v>
      </c>
      <c r="AT1628" s="1759" t="s">
        <v>327</v>
      </c>
      <c r="AU1628" s="1763"/>
      <c r="AV1628" s="1763"/>
    </row>
    <row r="1629" spans="1:48" ht="25" hidden="1">
      <c r="A1629" s="1785" t="str">
        <f t="shared" si="275"/>
        <v>גמל</v>
      </c>
      <c r="B1629" s="1786">
        <f t="shared" si="276"/>
        <v>2256</v>
      </c>
      <c r="C1629" s="1787">
        <v>28946</v>
      </c>
      <c r="D1629" s="1786" t="str">
        <f t="shared" si="277"/>
        <v>הלמן-אלדובי גמל מחקה מדד S&amp;P500</v>
      </c>
      <c r="E1629" s="1786" t="s">
        <v>3929</v>
      </c>
      <c r="F1629" s="1786" t="s">
        <v>2958</v>
      </c>
      <c r="G1629" s="1786" t="s">
        <v>2959</v>
      </c>
      <c r="H1629" s="1786" t="str">
        <f t="shared" si="278"/>
        <v>פעיל</v>
      </c>
      <c r="I1629" s="1788">
        <f t="shared" si="279"/>
        <v>29252</v>
      </c>
      <c r="J1629" s="1788" t="str">
        <f t="shared" si="280"/>
        <v/>
      </c>
      <c r="K1629" s="1786">
        <v>0</v>
      </c>
      <c r="L1629" s="1786" t="s">
        <v>1594</v>
      </c>
      <c r="M1629" s="1786" t="s">
        <v>1653</v>
      </c>
      <c r="N1629" s="1786" t="s">
        <v>1653</v>
      </c>
      <c r="O1629" s="1786">
        <v>0</v>
      </c>
      <c r="P1629" s="1786"/>
      <c r="Q1629" s="1786">
        <v>0</v>
      </c>
      <c r="R1629" s="1788"/>
      <c r="S1629" s="1786">
        <f t="shared" si="281"/>
        <v>410</v>
      </c>
      <c r="T1629" s="1786" t="str">
        <f t="shared" si="282"/>
        <v>בנק מזרחי טפחות בע"מ</v>
      </c>
      <c r="U1629" s="1786" t="str">
        <f t="shared" si="283"/>
        <v>הלמן-אלדובי גמל</v>
      </c>
      <c r="V1629" s="1786" t="str">
        <f t="shared" si="284"/>
        <v>513163105</v>
      </c>
      <c r="W1629" s="1789" t="str">
        <f t="shared" si="285"/>
        <v>הלמן - אלדובי קופות גמל ופנסיה בע"מ</v>
      </c>
      <c r="AC1629" s="1761" t="s">
        <v>346</v>
      </c>
      <c r="AD1629" s="1761"/>
      <c r="AE1629" s="1762">
        <v>29252</v>
      </c>
      <c r="AF1629" s="1761" t="s">
        <v>4618</v>
      </c>
      <c r="AG1629" s="1761" t="s">
        <v>75</v>
      </c>
      <c r="AH1629" s="1761" t="s">
        <v>1594</v>
      </c>
      <c r="AI1629" s="1761" t="s">
        <v>5646</v>
      </c>
      <c r="AJ1629" s="1761" t="s">
        <v>5646</v>
      </c>
      <c r="AK1629" s="1761">
        <v>2256</v>
      </c>
      <c r="AL1629" s="1761" t="s">
        <v>5645</v>
      </c>
      <c r="AM1629" s="1761">
        <v>410</v>
      </c>
      <c r="AN1629" s="1761" t="s">
        <v>5370</v>
      </c>
      <c r="AO1629" s="1764"/>
      <c r="AP1629" s="1761" t="s">
        <v>5371</v>
      </c>
      <c r="AQ1629" s="1761" t="s">
        <v>5372</v>
      </c>
      <c r="AR1629" s="1761" t="s">
        <v>354</v>
      </c>
      <c r="AS1629" s="1761" t="s">
        <v>355</v>
      </c>
      <c r="AT1629" s="1761" t="s">
        <v>327</v>
      </c>
      <c r="AU1629" s="1763"/>
      <c r="AV1629" s="1763"/>
    </row>
    <row r="1630" spans="1:48" ht="25" hidden="1">
      <c r="A1630" s="1785" t="str">
        <f t="shared" si="275"/>
        <v>גמל</v>
      </c>
      <c r="B1630" s="1786">
        <f t="shared" si="276"/>
        <v>2255</v>
      </c>
      <c r="C1630" s="1787">
        <v>28946</v>
      </c>
      <c r="D1630" s="1786" t="str">
        <f t="shared" si="277"/>
        <v>הלמן-אלדובי גמל מחקה מדד ת"א 35</v>
      </c>
      <c r="E1630" s="1786" t="s">
        <v>3929</v>
      </c>
      <c r="F1630" s="1786" t="s">
        <v>2958</v>
      </c>
      <c r="G1630" s="1786" t="s">
        <v>2959</v>
      </c>
      <c r="H1630" s="1786" t="str">
        <f t="shared" si="278"/>
        <v>פעיל</v>
      </c>
      <c r="I1630" s="1788">
        <f t="shared" si="279"/>
        <v>29252</v>
      </c>
      <c r="J1630" s="1788" t="str">
        <f t="shared" si="280"/>
        <v/>
      </c>
      <c r="K1630" s="1786">
        <v>0</v>
      </c>
      <c r="L1630" s="1786" t="s">
        <v>1594</v>
      </c>
      <c r="M1630" s="1786" t="s">
        <v>1653</v>
      </c>
      <c r="N1630" s="1786" t="s">
        <v>1653</v>
      </c>
      <c r="O1630" s="1786">
        <v>0</v>
      </c>
      <c r="P1630" s="1786"/>
      <c r="Q1630" s="1786">
        <v>0</v>
      </c>
      <c r="R1630" s="1788"/>
      <c r="S1630" s="1786">
        <f t="shared" si="281"/>
        <v>410</v>
      </c>
      <c r="T1630" s="1786" t="str">
        <f t="shared" si="282"/>
        <v>בנק מזרחי טפחות בע"מ</v>
      </c>
      <c r="U1630" s="1786" t="str">
        <f t="shared" si="283"/>
        <v>הלמן-אלדובי גמל</v>
      </c>
      <c r="V1630" s="1786" t="str">
        <f t="shared" si="284"/>
        <v>513163105</v>
      </c>
      <c r="W1630" s="1789" t="str">
        <f t="shared" si="285"/>
        <v>הלמן - אלדובי קופות גמל ופנסיה בע"מ</v>
      </c>
      <c r="AC1630" s="1759" t="s">
        <v>346</v>
      </c>
      <c r="AD1630" s="1759"/>
      <c r="AE1630" s="1760">
        <v>29252</v>
      </c>
      <c r="AF1630" s="1759" t="s">
        <v>3959</v>
      </c>
      <c r="AG1630" s="1759" t="s">
        <v>75</v>
      </c>
      <c r="AH1630" s="1759" t="s">
        <v>1594</v>
      </c>
      <c r="AI1630" s="1759" t="s">
        <v>5647</v>
      </c>
      <c r="AJ1630" s="1759" t="s">
        <v>5647</v>
      </c>
      <c r="AK1630" s="1759">
        <v>2255</v>
      </c>
      <c r="AL1630" s="1759" t="s">
        <v>5645</v>
      </c>
      <c r="AM1630" s="1759">
        <v>410</v>
      </c>
      <c r="AN1630" s="1759" t="s">
        <v>5370</v>
      </c>
      <c r="AO1630" s="1764"/>
      <c r="AP1630" s="1759" t="s">
        <v>5371</v>
      </c>
      <c r="AQ1630" s="1759" t="s">
        <v>5372</v>
      </c>
      <c r="AR1630" s="1759" t="s">
        <v>354</v>
      </c>
      <c r="AS1630" s="1759" t="s">
        <v>355</v>
      </c>
      <c r="AT1630" s="1759" t="s">
        <v>327</v>
      </c>
      <c r="AU1630" s="1763"/>
      <c r="AV1630" s="1763"/>
    </row>
    <row r="1631" spans="1:48" ht="25" hidden="1">
      <c r="A1631" s="1785" t="str">
        <f t="shared" si="275"/>
        <v>גמל</v>
      </c>
      <c r="B1631" s="1786">
        <f t="shared" si="276"/>
        <v>9880</v>
      </c>
      <c r="C1631" s="1787">
        <v>28946</v>
      </c>
      <c r="D1631" s="1786" t="str">
        <f t="shared" si="277"/>
        <v>הלמן-אלדובי בר-יציב חו"ל</v>
      </c>
      <c r="E1631" s="1786" t="s">
        <v>3929</v>
      </c>
      <c r="F1631" s="1786" t="s">
        <v>2958</v>
      </c>
      <c r="G1631" s="1786" t="s">
        <v>2959</v>
      </c>
      <c r="H1631" s="1786" t="str">
        <f t="shared" si="278"/>
        <v>לא פעיל</v>
      </c>
      <c r="I1631" s="1788">
        <f t="shared" si="279"/>
        <v>29252</v>
      </c>
      <c r="J1631" s="1788">
        <f t="shared" si="280"/>
        <v>43479.526481481502</v>
      </c>
      <c r="K1631" s="1786">
        <v>0</v>
      </c>
      <c r="L1631" s="1786" t="s">
        <v>1594</v>
      </c>
      <c r="M1631" s="1786" t="s">
        <v>1653</v>
      </c>
      <c r="N1631" s="1786" t="s">
        <v>1653</v>
      </c>
      <c r="O1631" s="1786">
        <v>0</v>
      </c>
      <c r="P1631" s="1786"/>
      <c r="Q1631" s="1786">
        <v>0</v>
      </c>
      <c r="R1631" s="1788"/>
      <c r="S1631" s="1786">
        <f t="shared" si="281"/>
        <v>410</v>
      </c>
      <c r="T1631" s="1786" t="str">
        <f t="shared" si="282"/>
        <v>בנק מזרחי טפחות בע"מ</v>
      </c>
      <c r="U1631" s="1786" t="str">
        <f t="shared" si="283"/>
        <v>הלמן-אלדובי גמל</v>
      </c>
      <c r="V1631" s="1786" t="str">
        <f t="shared" si="284"/>
        <v>513163105</v>
      </c>
      <c r="W1631" s="1789" t="str">
        <f t="shared" si="285"/>
        <v>הלמן - אלדובי קופות גמל ופנסיה בע"מ</v>
      </c>
      <c r="AC1631" s="1761" t="s">
        <v>1586</v>
      </c>
      <c r="AD1631" s="1762">
        <v>43479.526481481502</v>
      </c>
      <c r="AE1631" s="1762">
        <v>29252</v>
      </c>
      <c r="AF1631" s="1761" t="s">
        <v>1948</v>
      </c>
      <c r="AG1631" s="1761" t="s">
        <v>1947</v>
      </c>
      <c r="AH1631" s="1761" t="s">
        <v>1594</v>
      </c>
      <c r="AI1631" s="1761" t="s">
        <v>4421</v>
      </c>
      <c r="AJ1631" s="1761" t="s">
        <v>4421</v>
      </c>
      <c r="AK1631" s="1761">
        <v>9880</v>
      </c>
      <c r="AL1631" s="1761" t="s">
        <v>5645</v>
      </c>
      <c r="AM1631" s="1761">
        <v>410</v>
      </c>
      <c r="AN1631" s="1761" t="s">
        <v>5370</v>
      </c>
      <c r="AO1631" s="1764"/>
      <c r="AP1631" s="1761" t="s">
        <v>5371</v>
      </c>
      <c r="AQ1631" s="1761" t="s">
        <v>5372</v>
      </c>
      <c r="AR1631" s="1761" t="s">
        <v>354</v>
      </c>
      <c r="AS1631" s="1761" t="s">
        <v>355</v>
      </c>
      <c r="AT1631" s="1761" t="s">
        <v>327</v>
      </c>
      <c r="AU1631" s="1763"/>
      <c r="AV1631" s="1763"/>
    </row>
    <row r="1632" spans="1:48" ht="25" hidden="1">
      <c r="A1632" s="1785" t="str">
        <f t="shared" si="275"/>
        <v>גמל</v>
      </c>
      <c r="B1632" s="1786">
        <f t="shared" si="276"/>
        <v>9879</v>
      </c>
      <c r="C1632" s="1787">
        <v>28946</v>
      </c>
      <c r="D1632" s="1786" t="str">
        <f t="shared" si="277"/>
        <v>הלמן-אלדובי גמל מסלול לבני 60 ומעלה</v>
      </c>
      <c r="E1632" s="1786" t="s">
        <v>3929</v>
      </c>
      <c r="F1632" s="1786" t="s">
        <v>2958</v>
      </c>
      <c r="G1632" s="1786" t="s">
        <v>2959</v>
      </c>
      <c r="H1632" s="1786" t="str">
        <f t="shared" si="278"/>
        <v>פעיל</v>
      </c>
      <c r="I1632" s="1788">
        <f t="shared" si="279"/>
        <v>29252</v>
      </c>
      <c r="J1632" s="1788" t="str">
        <f t="shared" si="280"/>
        <v/>
      </c>
      <c r="K1632" s="1786">
        <v>0</v>
      </c>
      <c r="L1632" s="1786" t="s">
        <v>1594</v>
      </c>
      <c r="M1632" s="1786" t="s">
        <v>1653</v>
      </c>
      <c r="N1632" s="1786" t="s">
        <v>1653</v>
      </c>
      <c r="O1632" s="1786">
        <v>0</v>
      </c>
      <c r="P1632" s="1786"/>
      <c r="Q1632" s="1786">
        <v>0</v>
      </c>
      <c r="R1632" s="1788"/>
      <c r="S1632" s="1786">
        <f t="shared" si="281"/>
        <v>410</v>
      </c>
      <c r="T1632" s="1786" t="str">
        <f t="shared" si="282"/>
        <v>בנק מזרחי טפחות בע"מ</v>
      </c>
      <c r="U1632" s="1786" t="str">
        <f t="shared" si="283"/>
        <v>הלמן-אלדובי גמל</v>
      </c>
      <c r="V1632" s="1786" t="str">
        <f t="shared" si="284"/>
        <v>513163105</v>
      </c>
      <c r="W1632" s="1789" t="str">
        <f t="shared" si="285"/>
        <v>הלמן - אלדובי קופות גמל ופנסיה בע"מ</v>
      </c>
      <c r="AC1632" s="1759" t="s">
        <v>346</v>
      </c>
      <c r="AD1632" s="1759"/>
      <c r="AE1632" s="1760">
        <v>29252</v>
      </c>
      <c r="AF1632" s="1759" t="s">
        <v>3963</v>
      </c>
      <c r="AG1632" s="1759" t="s">
        <v>3931</v>
      </c>
      <c r="AH1632" s="1759" t="s">
        <v>3658</v>
      </c>
      <c r="AI1632" s="1759" t="s">
        <v>4534</v>
      </c>
      <c r="AJ1632" s="1759" t="s">
        <v>4534</v>
      </c>
      <c r="AK1632" s="1759">
        <v>9879</v>
      </c>
      <c r="AL1632" s="1759" t="s">
        <v>5645</v>
      </c>
      <c r="AM1632" s="1759">
        <v>410</v>
      </c>
      <c r="AN1632" s="1759" t="s">
        <v>5370</v>
      </c>
      <c r="AO1632" s="1764"/>
      <c r="AP1632" s="1759" t="s">
        <v>5371</v>
      </c>
      <c r="AQ1632" s="1759" t="s">
        <v>5372</v>
      </c>
      <c r="AR1632" s="1759" t="s">
        <v>354</v>
      </c>
      <c r="AS1632" s="1759" t="s">
        <v>355</v>
      </c>
      <c r="AT1632" s="1759" t="s">
        <v>327</v>
      </c>
      <c r="AU1632" s="1763"/>
      <c r="AV1632" s="1763"/>
    </row>
    <row r="1633" spans="1:48" ht="25" hidden="1">
      <c r="A1633" s="1785" t="str">
        <f t="shared" si="275"/>
        <v>גמל</v>
      </c>
      <c r="B1633" s="1786">
        <f t="shared" si="276"/>
        <v>9878</v>
      </c>
      <c r="C1633" s="1787">
        <v>28946</v>
      </c>
      <c r="D1633" s="1786" t="str">
        <f t="shared" si="277"/>
        <v>הלמן-אלדובי גמל מסלול לבני 50 עד 60</v>
      </c>
      <c r="E1633" s="1786" t="s">
        <v>3929</v>
      </c>
      <c r="F1633" s="1786" t="s">
        <v>2958</v>
      </c>
      <c r="G1633" s="1786" t="s">
        <v>2959</v>
      </c>
      <c r="H1633" s="1786" t="str">
        <f t="shared" si="278"/>
        <v>פעיל</v>
      </c>
      <c r="I1633" s="1788">
        <f t="shared" si="279"/>
        <v>29252</v>
      </c>
      <c r="J1633" s="1788" t="str">
        <f t="shared" si="280"/>
        <v/>
      </c>
      <c r="K1633" s="1786">
        <v>0</v>
      </c>
      <c r="L1633" s="1786" t="s">
        <v>1594</v>
      </c>
      <c r="M1633" s="1786" t="s">
        <v>1653</v>
      </c>
      <c r="N1633" s="1786" t="s">
        <v>1653</v>
      </c>
      <c r="O1633" s="1786">
        <v>0</v>
      </c>
      <c r="P1633" s="1786"/>
      <c r="Q1633" s="1786">
        <v>0</v>
      </c>
      <c r="R1633" s="1788"/>
      <c r="S1633" s="1786">
        <f t="shared" si="281"/>
        <v>410</v>
      </c>
      <c r="T1633" s="1786" t="str">
        <f t="shared" si="282"/>
        <v>בנק מזרחי טפחות בע"מ</v>
      </c>
      <c r="U1633" s="1786" t="str">
        <f t="shared" si="283"/>
        <v>הלמן-אלדובי גמל</v>
      </c>
      <c r="V1633" s="1786" t="str">
        <f t="shared" si="284"/>
        <v>513163105</v>
      </c>
      <c r="W1633" s="1789" t="str">
        <f t="shared" si="285"/>
        <v>הלמן - אלדובי קופות גמל ופנסיה בע"מ</v>
      </c>
      <c r="AC1633" s="1761" t="s">
        <v>346</v>
      </c>
      <c r="AD1633" s="1759"/>
      <c r="AE1633" s="1762">
        <v>29252</v>
      </c>
      <c r="AF1633" s="1761" t="s">
        <v>3932</v>
      </c>
      <c r="AG1633" s="1761" t="s">
        <v>3931</v>
      </c>
      <c r="AH1633" s="1761" t="s">
        <v>3658</v>
      </c>
      <c r="AI1633" s="1761" t="s">
        <v>4533</v>
      </c>
      <c r="AJ1633" s="1761" t="s">
        <v>4533</v>
      </c>
      <c r="AK1633" s="1761">
        <v>9878</v>
      </c>
      <c r="AL1633" s="1761" t="s">
        <v>5645</v>
      </c>
      <c r="AM1633" s="1761">
        <v>410</v>
      </c>
      <c r="AN1633" s="1761" t="s">
        <v>5370</v>
      </c>
      <c r="AO1633" s="1764"/>
      <c r="AP1633" s="1761" t="s">
        <v>5371</v>
      </c>
      <c r="AQ1633" s="1761" t="s">
        <v>5372</v>
      </c>
      <c r="AR1633" s="1761" t="s">
        <v>354</v>
      </c>
      <c r="AS1633" s="1761" t="s">
        <v>355</v>
      </c>
      <c r="AT1633" s="1761" t="s">
        <v>327</v>
      </c>
      <c r="AU1633" s="1763"/>
      <c r="AV1633" s="1763"/>
    </row>
    <row r="1634" spans="1:48" ht="25" hidden="1">
      <c r="A1634" s="1785" t="str">
        <f t="shared" si="275"/>
        <v>גמל</v>
      </c>
      <c r="B1634" s="1786">
        <f t="shared" si="276"/>
        <v>9877</v>
      </c>
      <c r="C1634" s="1787">
        <v>28946</v>
      </c>
      <c r="D1634" s="1786" t="str">
        <f t="shared" si="277"/>
        <v>הלמן-אלדובי גמל מסלול לבני 50 ומטה</v>
      </c>
      <c r="E1634" s="1786" t="s">
        <v>3929</v>
      </c>
      <c r="F1634" s="1786" t="s">
        <v>2958</v>
      </c>
      <c r="G1634" s="1786" t="s">
        <v>2959</v>
      </c>
      <c r="H1634" s="1786" t="str">
        <f t="shared" si="278"/>
        <v>פעיל</v>
      </c>
      <c r="I1634" s="1788">
        <f t="shared" si="279"/>
        <v>29252</v>
      </c>
      <c r="J1634" s="1788" t="str">
        <f t="shared" si="280"/>
        <v/>
      </c>
      <c r="K1634" s="1786">
        <v>0</v>
      </c>
      <c r="L1634" s="1786" t="s">
        <v>1594</v>
      </c>
      <c r="M1634" s="1786" t="s">
        <v>1653</v>
      </c>
      <c r="N1634" s="1786" t="s">
        <v>1653</v>
      </c>
      <c r="O1634" s="1786">
        <v>0</v>
      </c>
      <c r="P1634" s="1786"/>
      <c r="Q1634" s="1786">
        <v>0</v>
      </c>
      <c r="R1634" s="1788"/>
      <c r="S1634" s="1786">
        <f t="shared" si="281"/>
        <v>410</v>
      </c>
      <c r="T1634" s="1786" t="str">
        <f t="shared" si="282"/>
        <v>בנק מזרחי טפחות בע"מ</v>
      </c>
      <c r="U1634" s="1786" t="str">
        <f t="shared" si="283"/>
        <v>הלמן-אלדובי גמל</v>
      </c>
      <c r="V1634" s="1786" t="str">
        <f t="shared" si="284"/>
        <v>513163105</v>
      </c>
      <c r="W1634" s="1789" t="str">
        <f t="shared" si="285"/>
        <v>הלמן - אלדובי קופות גמל ופנסיה בע"מ</v>
      </c>
      <c r="AC1634" s="1759" t="s">
        <v>346</v>
      </c>
      <c r="AD1634" s="1759"/>
      <c r="AE1634" s="1760">
        <v>29252</v>
      </c>
      <c r="AF1634" s="1759" t="s">
        <v>4151</v>
      </c>
      <c r="AG1634" s="1759" t="s">
        <v>3931</v>
      </c>
      <c r="AH1634" s="1759" t="s">
        <v>3658</v>
      </c>
      <c r="AI1634" s="1759" t="s">
        <v>4532</v>
      </c>
      <c r="AJ1634" s="1759" t="s">
        <v>4532</v>
      </c>
      <c r="AK1634" s="1759">
        <v>9877</v>
      </c>
      <c r="AL1634" s="1759" t="s">
        <v>5645</v>
      </c>
      <c r="AM1634" s="1759">
        <v>410</v>
      </c>
      <c r="AN1634" s="1759" t="s">
        <v>5370</v>
      </c>
      <c r="AO1634" s="1764"/>
      <c r="AP1634" s="1759" t="s">
        <v>5371</v>
      </c>
      <c r="AQ1634" s="1759" t="s">
        <v>5372</v>
      </c>
      <c r="AR1634" s="1759" t="s">
        <v>354</v>
      </c>
      <c r="AS1634" s="1759" t="s">
        <v>355</v>
      </c>
      <c r="AT1634" s="1759" t="s">
        <v>327</v>
      </c>
      <c r="AU1634" s="1763"/>
      <c r="AV1634" s="1763"/>
    </row>
    <row r="1635" spans="1:48" ht="25" hidden="1">
      <c r="A1635" s="1785" t="str">
        <f t="shared" si="275"/>
        <v>גמל</v>
      </c>
      <c r="B1635" s="1786">
        <f t="shared" si="276"/>
        <v>410</v>
      </c>
      <c r="C1635" s="1787">
        <v>28946</v>
      </c>
      <c r="D1635" s="1786" t="str">
        <f t="shared" si="277"/>
        <v>יהבית</v>
      </c>
      <c r="E1635" s="1786" t="s">
        <v>3929</v>
      </c>
      <c r="F1635" s="1786" t="s">
        <v>2958</v>
      </c>
      <c r="G1635" s="1786" t="s">
        <v>2959</v>
      </c>
      <c r="H1635" s="1786" t="str">
        <f t="shared" si="278"/>
        <v>לא פעיל</v>
      </c>
      <c r="I1635" s="1788">
        <f t="shared" si="279"/>
        <v>29252</v>
      </c>
      <c r="J1635" s="1788">
        <f t="shared" si="280"/>
        <v>41828.390069444402</v>
      </c>
      <c r="K1635" s="1786">
        <v>0</v>
      </c>
      <c r="L1635" s="1786" t="s">
        <v>1594</v>
      </c>
      <c r="M1635" s="1786" t="s">
        <v>1653</v>
      </c>
      <c r="N1635" s="1786" t="s">
        <v>1653</v>
      </c>
      <c r="O1635" s="1786">
        <v>0</v>
      </c>
      <c r="P1635" s="1786"/>
      <c r="Q1635" s="1786">
        <v>0</v>
      </c>
      <c r="R1635" s="1788"/>
      <c r="S1635" s="1786">
        <f t="shared" si="281"/>
        <v>410</v>
      </c>
      <c r="T1635" s="1786" t="str">
        <f t="shared" si="282"/>
        <v>בנק מזרחי טפחות בע"מ</v>
      </c>
      <c r="U1635" s="1786" t="str">
        <f t="shared" si="283"/>
        <v>הלמן-אלדובי גמל</v>
      </c>
      <c r="V1635" s="1786" t="str">
        <f t="shared" si="284"/>
        <v>513163105</v>
      </c>
      <c r="W1635" s="1789" t="str">
        <f t="shared" si="285"/>
        <v>הלמן - אלדובי קופות גמל ופנסיה בע"מ</v>
      </c>
      <c r="AC1635" s="1761" t="s">
        <v>1586</v>
      </c>
      <c r="AD1635" s="1762">
        <v>41828.390069444402</v>
      </c>
      <c r="AE1635" s="1762">
        <v>29252</v>
      </c>
      <c r="AF1635" s="1761" t="s">
        <v>1583</v>
      </c>
      <c r="AG1635" s="1761" t="s">
        <v>1583</v>
      </c>
      <c r="AH1635" s="1761" t="s">
        <v>1583</v>
      </c>
      <c r="AI1635" s="1761" t="s">
        <v>1797</v>
      </c>
      <c r="AJ1635" s="1761" t="s">
        <v>1797</v>
      </c>
      <c r="AK1635" s="1761">
        <v>410</v>
      </c>
      <c r="AL1635" s="1761" t="s">
        <v>5645</v>
      </c>
      <c r="AM1635" s="1761">
        <v>410</v>
      </c>
      <c r="AN1635" s="1761" t="s">
        <v>5370</v>
      </c>
      <c r="AO1635" s="1764"/>
      <c r="AP1635" s="1761" t="s">
        <v>5371</v>
      </c>
      <c r="AQ1635" s="1761" t="s">
        <v>5372</v>
      </c>
      <c r="AR1635" s="1761" t="s">
        <v>354</v>
      </c>
      <c r="AS1635" s="1761" t="s">
        <v>355</v>
      </c>
      <c r="AT1635" s="1761" t="s">
        <v>327</v>
      </c>
      <c r="AU1635" s="1763"/>
      <c r="AV1635" s="1763"/>
    </row>
    <row r="1636" spans="1:48" ht="25" hidden="1">
      <c r="A1636" s="1785" t="str">
        <f t="shared" si="275"/>
        <v>גמל</v>
      </c>
      <c r="B1636" s="1786">
        <f t="shared" si="276"/>
        <v>259</v>
      </c>
      <c r="C1636" s="1787">
        <v>28946</v>
      </c>
      <c r="D1636" s="1786" t="str">
        <f t="shared" si="277"/>
        <v>הלמן-אלדובי גמל כללי (לשעבר קופת פקידי מרכנתיל דיסקונט)</v>
      </c>
      <c r="E1636" s="1786" t="s">
        <v>3929</v>
      </c>
      <c r="F1636" s="1786" t="s">
        <v>2958</v>
      </c>
      <c r="G1636" s="1786" t="s">
        <v>2959</v>
      </c>
      <c r="H1636" s="1786" t="str">
        <f t="shared" si="278"/>
        <v>פעיל</v>
      </c>
      <c r="I1636" s="1788">
        <f t="shared" si="279"/>
        <v>29252</v>
      </c>
      <c r="J1636" s="1788" t="str">
        <f t="shared" si="280"/>
        <v/>
      </c>
      <c r="K1636" s="1786">
        <v>0</v>
      </c>
      <c r="L1636" s="1786" t="s">
        <v>1594</v>
      </c>
      <c r="M1636" s="1786" t="s">
        <v>1653</v>
      </c>
      <c r="N1636" s="1786" t="s">
        <v>1653</v>
      </c>
      <c r="O1636" s="1786">
        <v>0</v>
      </c>
      <c r="P1636" s="1786"/>
      <c r="Q1636" s="1786">
        <v>0</v>
      </c>
      <c r="R1636" s="1788"/>
      <c r="S1636" s="1786">
        <f t="shared" si="281"/>
        <v>410</v>
      </c>
      <c r="T1636" s="1786" t="str">
        <f t="shared" si="282"/>
        <v>בנק מזרחי טפחות בע"מ</v>
      </c>
      <c r="U1636" s="1786" t="str">
        <f t="shared" si="283"/>
        <v>הלמן-אלדובי גמל</v>
      </c>
      <c r="V1636" s="1786" t="str">
        <f t="shared" si="284"/>
        <v>513163105</v>
      </c>
      <c r="W1636" s="1789" t="str">
        <f t="shared" si="285"/>
        <v>הלמן - אלדובי קופות גמל ופנסיה בע"מ</v>
      </c>
      <c r="AC1636" s="1759" t="s">
        <v>346</v>
      </c>
      <c r="AD1636" s="1759"/>
      <c r="AE1636" s="1760">
        <v>29252</v>
      </c>
      <c r="AF1636" s="1759" t="s">
        <v>1583</v>
      </c>
      <c r="AG1636" s="1759" t="s">
        <v>1583</v>
      </c>
      <c r="AH1636" s="1759" t="s">
        <v>1583</v>
      </c>
      <c r="AI1636" s="1759" t="s">
        <v>5648</v>
      </c>
      <c r="AJ1636" s="1759" t="s">
        <v>5648</v>
      </c>
      <c r="AK1636" s="1759">
        <v>259</v>
      </c>
      <c r="AL1636" s="1759" t="s">
        <v>5645</v>
      </c>
      <c r="AM1636" s="1759">
        <v>410</v>
      </c>
      <c r="AN1636" s="1759" t="s">
        <v>5370</v>
      </c>
      <c r="AO1636" s="1764"/>
      <c r="AP1636" s="1759" t="s">
        <v>5371</v>
      </c>
      <c r="AQ1636" s="1759" t="s">
        <v>5372</v>
      </c>
      <c r="AR1636" s="1759" t="s">
        <v>354</v>
      </c>
      <c r="AS1636" s="1759" t="s">
        <v>355</v>
      </c>
      <c r="AT1636" s="1759" t="s">
        <v>327</v>
      </c>
      <c r="AU1636" s="1763"/>
      <c r="AV1636" s="1763"/>
    </row>
    <row r="1637" spans="1:48" ht="25" hidden="1">
      <c r="A1637" s="1785" t="str">
        <f t="shared" si="275"/>
        <v>גמל</v>
      </c>
      <c r="B1637" s="1786">
        <f t="shared" si="276"/>
        <v>257</v>
      </c>
      <c r="C1637" s="1787">
        <v>28946</v>
      </c>
      <c r="D1637" s="1786" t="str">
        <f t="shared" si="277"/>
        <v>הלמן-אלדובי גמל ישראל</v>
      </c>
      <c r="E1637" s="1786" t="s">
        <v>3929</v>
      </c>
      <c r="F1637" s="1786" t="s">
        <v>2958</v>
      </c>
      <c r="G1637" s="1786" t="s">
        <v>2959</v>
      </c>
      <c r="H1637" s="1786" t="str">
        <f t="shared" si="278"/>
        <v>פעיל</v>
      </c>
      <c r="I1637" s="1788">
        <f t="shared" si="279"/>
        <v>29252</v>
      </c>
      <c r="J1637" s="1788" t="str">
        <f t="shared" si="280"/>
        <v/>
      </c>
      <c r="K1637" s="1786">
        <v>0</v>
      </c>
      <c r="L1637" s="1786" t="s">
        <v>1594</v>
      </c>
      <c r="M1637" s="1786" t="s">
        <v>1653</v>
      </c>
      <c r="N1637" s="1786" t="s">
        <v>1653</v>
      </c>
      <c r="O1637" s="1786">
        <v>0</v>
      </c>
      <c r="P1637" s="1786"/>
      <c r="Q1637" s="1786">
        <v>0</v>
      </c>
      <c r="R1637" s="1788"/>
      <c r="S1637" s="1786">
        <f t="shared" si="281"/>
        <v>410</v>
      </c>
      <c r="T1637" s="1786" t="str">
        <f t="shared" si="282"/>
        <v>בנק מזרחי טפחות בע"מ</v>
      </c>
      <c r="U1637" s="1786" t="str">
        <f t="shared" si="283"/>
        <v>הלמן-אלדובי גמל</v>
      </c>
      <c r="V1637" s="1786" t="str">
        <f t="shared" si="284"/>
        <v>513163105</v>
      </c>
      <c r="W1637" s="1789" t="str">
        <f t="shared" si="285"/>
        <v>הלמן - אלדובי קופות גמל ופנסיה בע"מ</v>
      </c>
      <c r="AC1637" s="1761" t="s">
        <v>346</v>
      </c>
      <c r="AD1637" s="1759"/>
      <c r="AE1637" s="1762">
        <v>29252</v>
      </c>
      <c r="AF1637" s="1761" t="s">
        <v>3672</v>
      </c>
      <c r="AG1637" s="1761" t="s">
        <v>3672</v>
      </c>
      <c r="AH1637" s="1761" t="s">
        <v>1594</v>
      </c>
      <c r="AI1637" s="1761" t="s">
        <v>5649</v>
      </c>
      <c r="AJ1637" s="1761" t="s">
        <v>5649</v>
      </c>
      <c r="AK1637" s="1761">
        <v>257</v>
      </c>
      <c r="AL1637" s="1761" t="s">
        <v>5645</v>
      </c>
      <c r="AM1637" s="1761">
        <v>410</v>
      </c>
      <c r="AN1637" s="1761" t="s">
        <v>5370</v>
      </c>
      <c r="AO1637" s="1764"/>
      <c r="AP1637" s="1761" t="s">
        <v>5371</v>
      </c>
      <c r="AQ1637" s="1761" t="s">
        <v>5372</v>
      </c>
      <c r="AR1637" s="1761" t="s">
        <v>354</v>
      </c>
      <c r="AS1637" s="1761" t="s">
        <v>355</v>
      </c>
      <c r="AT1637" s="1761" t="s">
        <v>327</v>
      </c>
      <c r="AU1637" s="1763"/>
      <c r="AV1637" s="1763"/>
    </row>
    <row r="1638" spans="1:48" ht="25" hidden="1">
      <c r="A1638" s="1785" t="str">
        <f t="shared" si="275"/>
        <v>גמל</v>
      </c>
      <c r="B1638" s="1786">
        <f t="shared" si="276"/>
        <v>143</v>
      </c>
      <c r="C1638" s="1787">
        <v>28946</v>
      </c>
      <c r="D1638" s="1786" t="str">
        <f t="shared" si="277"/>
        <v>תגמולים</v>
      </c>
      <c r="E1638" s="1786" t="s">
        <v>3929</v>
      </c>
      <c r="F1638" s="1786" t="s">
        <v>2958</v>
      </c>
      <c r="G1638" s="1786" t="s">
        <v>2959</v>
      </c>
      <c r="H1638" s="1786" t="str">
        <f t="shared" si="278"/>
        <v>לא פעיל</v>
      </c>
      <c r="I1638" s="1788">
        <f t="shared" si="279"/>
        <v>29252</v>
      </c>
      <c r="J1638" s="1788">
        <f t="shared" si="280"/>
        <v>41547.520555555602</v>
      </c>
      <c r="K1638" s="1786">
        <v>0</v>
      </c>
      <c r="L1638" s="1786" t="s">
        <v>1594</v>
      </c>
      <c r="M1638" s="1786" t="s">
        <v>1653</v>
      </c>
      <c r="N1638" s="1786" t="s">
        <v>1653</v>
      </c>
      <c r="O1638" s="1786">
        <v>0</v>
      </c>
      <c r="P1638" s="1786"/>
      <c r="Q1638" s="1786">
        <v>0</v>
      </c>
      <c r="R1638" s="1788"/>
      <c r="S1638" s="1786">
        <f t="shared" si="281"/>
        <v>410</v>
      </c>
      <c r="T1638" s="1786" t="str">
        <f t="shared" si="282"/>
        <v>בנק יהב לעובדי המדינה בע"מ</v>
      </c>
      <c r="U1638" s="1786" t="str">
        <f t="shared" si="283"/>
        <v>הלמן אלדובי - יהבית</v>
      </c>
      <c r="V1638" s="1786" t="str">
        <f t="shared" si="284"/>
        <v>513163105</v>
      </c>
      <c r="W1638" s="1789" t="str">
        <f t="shared" si="285"/>
        <v>הלמן - אלדובי קופות גמל ופנסיה בע"מ</v>
      </c>
      <c r="AC1638" s="1759" t="s">
        <v>1586</v>
      </c>
      <c r="AD1638" s="1760">
        <v>41547.520555555602</v>
      </c>
      <c r="AE1638" s="1760">
        <v>29252</v>
      </c>
      <c r="AF1638" s="1759" t="s">
        <v>1583</v>
      </c>
      <c r="AG1638" s="1759" t="s">
        <v>1583</v>
      </c>
      <c r="AH1638" s="1759" t="s">
        <v>1583</v>
      </c>
      <c r="AI1638" s="1759" t="s">
        <v>1623</v>
      </c>
      <c r="AJ1638" s="1759" t="s">
        <v>1623</v>
      </c>
      <c r="AK1638" s="1759">
        <v>143</v>
      </c>
      <c r="AL1638" s="1759" t="s">
        <v>528</v>
      </c>
      <c r="AM1638" s="1759">
        <v>410</v>
      </c>
      <c r="AN1638" s="1759" t="s">
        <v>5517</v>
      </c>
      <c r="AO1638" s="1764"/>
      <c r="AP1638" s="1759" t="s">
        <v>5371</v>
      </c>
      <c r="AQ1638" s="1759" t="s">
        <v>5372</v>
      </c>
      <c r="AR1638" s="1759" t="s">
        <v>354</v>
      </c>
      <c r="AS1638" s="1759" t="s">
        <v>355</v>
      </c>
      <c r="AT1638" s="1759" t="s">
        <v>327</v>
      </c>
      <c r="AU1638" s="1763"/>
      <c r="AV1638" s="1763"/>
    </row>
    <row r="1639" spans="1:48" ht="25" hidden="1">
      <c r="A1639" s="1785" t="str">
        <f t="shared" si="275"/>
        <v>גמל</v>
      </c>
      <c r="B1639" s="1786">
        <f t="shared" si="276"/>
        <v>107</v>
      </c>
      <c r="C1639" s="1787">
        <v>28946</v>
      </c>
      <c r="D1639" s="1786" t="str">
        <f t="shared" si="277"/>
        <v>הלמן-אלדובי גמל אג"ח עד 25% במניות</v>
      </c>
      <c r="E1639" s="1786" t="s">
        <v>3929</v>
      </c>
      <c r="F1639" s="1786" t="s">
        <v>2958</v>
      </c>
      <c r="G1639" s="1786" t="s">
        <v>2959</v>
      </c>
      <c r="H1639" s="1786" t="str">
        <f t="shared" si="278"/>
        <v>פעיל</v>
      </c>
      <c r="I1639" s="1788">
        <f t="shared" si="279"/>
        <v>29252</v>
      </c>
      <c r="J1639" s="1788" t="str">
        <f t="shared" si="280"/>
        <v/>
      </c>
      <c r="K1639" s="1786">
        <v>0</v>
      </c>
      <c r="L1639" s="1786" t="s">
        <v>1594</v>
      </c>
      <c r="M1639" s="1786" t="s">
        <v>1653</v>
      </c>
      <c r="N1639" s="1786" t="s">
        <v>1653</v>
      </c>
      <c r="O1639" s="1786">
        <v>0</v>
      </c>
      <c r="P1639" s="1786"/>
      <c r="Q1639" s="1786">
        <v>0</v>
      </c>
      <c r="R1639" s="1788"/>
      <c r="S1639" s="1786">
        <f t="shared" si="281"/>
        <v>410</v>
      </c>
      <c r="T1639" s="1786" t="str">
        <f t="shared" si="282"/>
        <v>בנק מזרחי טפחות בע"מ</v>
      </c>
      <c r="U1639" s="1786" t="str">
        <f t="shared" si="283"/>
        <v>הלמן-אלדובי גמל</v>
      </c>
      <c r="V1639" s="1786" t="str">
        <f t="shared" si="284"/>
        <v>513163105</v>
      </c>
      <c r="W1639" s="1789" t="str">
        <f t="shared" si="285"/>
        <v>הלמן - אלדובי קופות גמל ופנסיה בע"מ</v>
      </c>
      <c r="AC1639" s="1761" t="s">
        <v>346</v>
      </c>
      <c r="AD1639" s="1761"/>
      <c r="AE1639" s="1762">
        <v>29252</v>
      </c>
      <c r="AF1639" s="1761" t="s">
        <v>3934</v>
      </c>
      <c r="AG1639" s="1761" t="s">
        <v>1653</v>
      </c>
      <c r="AH1639" s="1761" t="s">
        <v>1594</v>
      </c>
      <c r="AI1639" s="1761" t="s">
        <v>5650</v>
      </c>
      <c r="AJ1639" s="1761" t="s">
        <v>5650</v>
      </c>
      <c r="AK1639" s="1761">
        <v>107</v>
      </c>
      <c r="AL1639" s="1761" t="s">
        <v>5645</v>
      </c>
      <c r="AM1639" s="1761">
        <v>410</v>
      </c>
      <c r="AN1639" s="1761" t="s">
        <v>5370</v>
      </c>
      <c r="AO1639" s="1764"/>
      <c r="AP1639" s="1761" t="s">
        <v>5371</v>
      </c>
      <c r="AQ1639" s="1761" t="s">
        <v>5372</v>
      </c>
      <c r="AR1639" s="1761" t="s">
        <v>354</v>
      </c>
      <c r="AS1639" s="1761" t="s">
        <v>355</v>
      </c>
      <c r="AT1639" s="1761" t="s">
        <v>327</v>
      </c>
      <c r="AU1639" s="1763"/>
      <c r="AV1639" s="1763"/>
    </row>
    <row r="1640" spans="1:48" ht="25" hidden="1">
      <c r="A1640" s="1785" t="str">
        <f t="shared" si="275"/>
        <v>גמל</v>
      </c>
      <c r="B1640" s="1786">
        <f t="shared" si="276"/>
        <v>517</v>
      </c>
      <c r="C1640" s="1787">
        <v>28946</v>
      </c>
      <c r="D1640" s="1786" t="str">
        <f t="shared" si="277"/>
        <v>תלם-חריש</v>
      </c>
      <c r="E1640" s="1786" t="s">
        <v>3929</v>
      </c>
      <c r="F1640" s="1786" t="s">
        <v>2958</v>
      </c>
      <c r="G1640" s="1786" t="s">
        <v>2959</v>
      </c>
      <c r="H1640" s="1786" t="str">
        <f t="shared" si="278"/>
        <v>לא פעיל</v>
      </c>
      <c r="I1640" s="1788">
        <f t="shared" si="279"/>
        <v>29252</v>
      </c>
      <c r="J1640" s="1788">
        <f t="shared" si="280"/>
        <v>42370.791504629597</v>
      </c>
      <c r="K1640" s="1786">
        <v>0</v>
      </c>
      <c r="L1640" s="1786" t="s">
        <v>1594</v>
      </c>
      <c r="M1640" s="1786" t="s">
        <v>1653</v>
      </c>
      <c r="N1640" s="1786" t="s">
        <v>1653</v>
      </c>
      <c r="O1640" s="1786">
        <v>0</v>
      </c>
      <c r="P1640" s="1786"/>
      <c r="Q1640" s="1786">
        <v>0</v>
      </c>
      <c r="R1640" s="1788"/>
      <c r="S1640" s="1786">
        <f t="shared" si="281"/>
        <v>410</v>
      </c>
      <c r="T1640" s="1786" t="str">
        <f t="shared" si="282"/>
        <v>בנק מזרחי טפחות בע"מ</v>
      </c>
      <c r="U1640" s="1786" t="str">
        <f t="shared" si="283"/>
        <v>הלמן-אלדובי גמל</v>
      </c>
      <c r="V1640" s="1786" t="str">
        <f t="shared" si="284"/>
        <v>513163105</v>
      </c>
      <c r="W1640" s="1789" t="str">
        <f t="shared" si="285"/>
        <v>הלמן - אלדובי קופות גמל ופנסיה בע"מ</v>
      </c>
      <c r="AC1640" s="1759" t="s">
        <v>1586</v>
      </c>
      <c r="AD1640" s="1760">
        <v>42370.791504629597</v>
      </c>
      <c r="AE1640" s="1760">
        <v>29252</v>
      </c>
      <c r="AF1640" s="1759" t="s">
        <v>1583</v>
      </c>
      <c r="AG1640" s="1759" t="s">
        <v>1583</v>
      </c>
      <c r="AH1640" s="1759" t="s">
        <v>1583</v>
      </c>
      <c r="AI1640" s="1759" t="s">
        <v>3156</v>
      </c>
      <c r="AJ1640" s="1759" t="s">
        <v>3156</v>
      </c>
      <c r="AK1640" s="1759">
        <v>517</v>
      </c>
      <c r="AL1640" s="1759" t="s">
        <v>5645</v>
      </c>
      <c r="AM1640" s="1759">
        <v>410</v>
      </c>
      <c r="AN1640" s="1759" t="s">
        <v>5370</v>
      </c>
      <c r="AO1640" s="1764"/>
      <c r="AP1640" s="1759" t="s">
        <v>5371</v>
      </c>
      <c r="AQ1640" s="1759" t="s">
        <v>5372</v>
      </c>
      <c r="AR1640" s="1759" t="s">
        <v>354</v>
      </c>
      <c r="AS1640" s="1759" t="s">
        <v>355</v>
      </c>
      <c r="AT1640" s="1759" t="s">
        <v>327</v>
      </c>
      <c r="AU1640" s="1763"/>
      <c r="AV1640" s="1763"/>
    </row>
    <row r="1641" spans="1:48" ht="25" hidden="1">
      <c r="A1641" s="1785" t="str">
        <f t="shared" si="275"/>
        <v>גמל</v>
      </c>
      <c r="B1641" s="1786">
        <f t="shared" si="276"/>
        <v>681</v>
      </c>
      <c r="C1641" s="1787">
        <v>28946</v>
      </c>
      <c r="D1641" s="1786" t="str">
        <f t="shared" si="277"/>
        <v>הלמן-אלדובי בר-יציב אג"ח עד 20% במניות</v>
      </c>
      <c r="E1641" s="1786" t="s">
        <v>3929</v>
      </c>
      <c r="F1641" s="1786" t="s">
        <v>2958</v>
      </c>
      <c r="G1641" s="1786" t="s">
        <v>2959</v>
      </c>
      <c r="H1641" s="1786" t="str">
        <f t="shared" si="278"/>
        <v>לא פעיל</v>
      </c>
      <c r="I1641" s="1788">
        <f t="shared" si="279"/>
        <v>29252</v>
      </c>
      <c r="J1641" s="1788">
        <f t="shared" si="280"/>
        <v>43479.526481481502</v>
      </c>
      <c r="K1641" s="1786">
        <v>0</v>
      </c>
      <c r="L1641" s="1786" t="s">
        <v>1594</v>
      </c>
      <c r="M1641" s="1786" t="s">
        <v>1653</v>
      </c>
      <c r="N1641" s="1786" t="s">
        <v>1653</v>
      </c>
      <c r="O1641" s="1786">
        <v>0</v>
      </c>
      <c r="P1641" s="1786"/>
      <c r="Q1641" s="1786">
        <v>0</v>
      </c>
      <c r="R1641" s="1788"/>
      <c r="S1641" s="1786">
        <f t="shared" si="281"/>
        <v>410</v>
      </c>
      <c r="T1641" s="1786" t="str">
        <f t="shared" si="282"/>
        <v>בנק מזרחי טפחות בע"מ</v>
      </c>
      <c r="U1641" s="1786" t="str">
        <f t="shared" si="283"/>
        <v>הלמן-אלדובי גמל</v>
      </c>
      <c r="V1641" s="1786" t="str">
        <f t="shared" si="284"/>
        <v>513163105</v>
      </c>
      <c r="W1641" s="1789" t="str">
        <f t="shared" si="285"/>
        <v>הלמן - אלדובי קופות גמל ופנסיה בע"מ</v>
      </c>
      <c r="AC1641" s="1761" t="s">
        <v>1586</v>
      </c>
      <c r="AD1641" s="1762">
        <v>43479.526481481502</v>
      </c>
      <c r="AE1641" s="1762">
        <v>29252</v>
      </c>
      <c r="AF1641" s="1761" t="s">
        <v>3934</v>
      </c>
      <c r="AG1641" s="1761" t="s">
        <v>1653</v>
      </c>
      <c r="AH1641" s="1761" t="s">
        <v>1594</v>
      </c>
      <c r="AI1641" s="1761" t="s">
        <v>3972</v>
      </c>
      <c r="AJ1641" s="1761" t="s">
        <v>3972</v>
      </c>
      <c r="AK1641" s="1761">
        <v>681</v>
      </c>
      <c r="AL1641" s="1761" t="s">
        <v>5645</v>
      </c>
      <c r="AM1641" s="1761">
        <v>410</v>
      </c>
      <c r="AN1641" s="1761" t="s">
        <v>5370</v>
      </c>
      <c r="AO1641" s="1764"/>
      <c r="AP1641" s="1761" t="s">
        <v>5371</v>
      </c>
      <c r="AQ1641" s="1761" t="s">
        <v>5372</v>
      </c>
      <c r="AR1641" s="1761" t="s">
        <v>354</v>
      </c>
      <c r="AS1641" s="1761" t="s">
        <v>355</v>
      </c>
      <c r="AT1641" s="1761" t="s">
        <v>327</v>
      </c>
      <c r="AU1641" s="1763"/>
      <c r="AV1641" s="1763"/>
    </row>
    <row r="1642" spans="1:48" ht="25" hidden="1">
      <c r="A1642" s="1785" t="str">
        <f t="shared" si="275"/>
        <v>גמל</v>
      </c>
      <c r="B1642" s="1786">
        <f t="shared" si="276"/>
        <v>724</v>
      </c>
      <c r="C1642" s="1787">
        <v>28946</v>
      </c>
      <c r="D1642" s="1786" t="str">
        <f t="shared" si="277"/>
        <v>הלמן-אלדובי גמל מניות</v>
      </c>
      <c r="E1642" s="1786" t="s">
        <v>3929</v>
      </c>
      <c r="F1642" s="1786" t="s">
        <v>2958</v>
      </c>
      <c r="G1642" s="1786" t="s">
        <v>2959</v>
      </c>
      <c r="H1642" s="1786" t="str">
        <f t="shared" si="278"/>
        <v>פעיל</v>
      </c>
      <c r="I1642" s="1788">
        <f t="shared" si="279"/>
        <v>29252</v>
      </c>
      <c r="J1642" s="1788" t="str">
        <f t="shared" si="280"/>
        <v/>
      </c>
      <c r="K1642" s="1786">
        <v>0</v>
      </c>
      <c r="L1642" s="1786" t="s">
        <v>1594</v>
      </c>
      <c r="M1642" s="1786" t="s">
        <v>1653</v>
      </c>
      <c r="N1642" s="1786" t="s">
        <v>1653</v>
      </c>
      <c r="O1642" s="1786">
        <v>0</v>
      </c>
      <c r="P1642" s="1786"/>
      <c r="Q1642" s="1786">
        <v>0</v>
      </c>
      <c r="R1642" s="1788"/>
      <c r="S1642" s="1786">
        <f t="shared" si="281"/>
        <v>410</v>
      </c>
      <c r="T1642" s="1786" t="str">
        <f t="shared" si="282"/>
        <v>בנק מזרחי טפחות בע"מ</v>
      </c>
      <c r="U1642" s="1786" t="str">
        <f t="shared" si="283"/>
        <v>הלמן-אלדובי גמל</v>
      </c>
      <c r="V1642" s="1786" t="str">
        <f t="shared" si="284"/>
        <v>513163105</v>
      </c>
      <c r="W1642" s="1789" t="str">
        <f t="shared" si="285"/>
        <v>הלמן - אלדובי קופות גמל ופנסיה בע"מ</v>
      </c>
      <c r="AC1642" s="1759" t="s">
        <v>346</v>
      </c>
      <c r="AD1642" s="1759"/>
      <c r="AE1642" s="1760">
        <v>29252</v>
      </c>
      <c r="AF1642" s="1759" t="s">
        <v>1595</v>
      </c>
      <c r="AG1642" s="1759" t="s">
        <v>75</v>
      </c>
      <c r="AH1642" s="1759" t="s">
        <v>1594</v>
      </c>
      <c r="AI1642" s="1759" t="s">
        <v>5651</v>
      </c>
      <c r="AJ1642" s="1759" t="s">
        <v>5651</v>
      </c>
      <c r="AK1642" s="1759">
        <v>724</v>
      </c>
      <c r="AL1642" s="1759" t="s">
        <v>5645</v>
      </c>
      <c r="AM1642" s="1759">
        <v>410</v>
      </c>
      <c r="AN1642" s="1759" t="s">
        <v>5370</v>
      </c>
      <c r="AO1642" s="1764"/>
      <c r="AP1642" s="1759" t="s">
        <v>5371</v>
      </c>
      <c r="AQ1642" s="1759" t="s">
        <v>5372</v>
      </c>
      <c r="AR1642" s="1759" t="s">
        <v>354</v>
      </c>
      <c r="AS1642" s="1759" t="s">
        <v>355</v>
      </c>
      <c r="AT1642" s="1759" t="s">
        <v>327</v>
      </c>
      <c r="AU1642" s="1763"/>
      <c r="AV1642" s="1763"/>
    </row>
    <row r="1643" spans="1:48" ht="25" hidden="1">
      <c r="A1643" s="1785" t="str">
        <f t="shared" si="275"/>
        <v>גמל</v>
      </c>
      <c r="B1643" s="1786">
        <f t="shared" si="276"/>
        <v>722</v>
      </c>
      <c r="C1643" s="1787">
        <v>28946</v>
      </c>
      <c r="D1643" s="1786" t="str">
        <f t="shared" si="277"/>
        <v>הלמן-אלדובי בר-יציב אג"ח צמוד מדד</v>
      </c>
      <c r="E1643" s="1786" t="s">
        <v>3929</v>
      </c>
      <c r="F1643" s="1786" t="s">
        <v>2958</v>
      </c>
      <c r="G1643" s="1786" t="s">
        <v>2959</v>
      </c>
      <c r="H1643" s="1786" t="str">
        <f t="shared" si="278"/>
        <v>לא פעיל</v>
      </c>
      <c r="I1643" s="1788">
        <f t="shared" si="279"/>
        <v>29252</v>
      </c>
      <c r="J1643" s="1788">
        <f t="shared" si="280"/>
        <v>43481.375833333303</v>
      </c>
      <c r="K1643" s="1786">
        <v>0</v>
      </c>
      <c r="L1643" s="1786" t="s">
        <v>1594</v>
      </c>
      <c r="M1643" s="1786" t="s">
        <v>1653</v>
      </c>
      <c r="N1643" s="1786" t="s">
        <v>1653</v>
      </c>
      <c r="O1643" s="1786">
        <v>0</v>
      </c>
      <c r="P1643" s="1786"/>
      <c r="Q1643" s="1786">
        <v>0</v>
      </c>
      <c r="R1643" s="1788"/>
      <c r="S1643" s="1786">
        <f t="shared" si="281"/>
        <v>410</v>
      </c>
      <c r="T1643" s="1786" t="str">
        <f t="shared" si="282"/>
        <v>בנק מזרחי טפחות בע"מ</v>
      </c>
      <c r="U1643" s="1786" t="str">
        <f t="shared" si="283"/>
        <v>הלמן-אלדובי גמל</v>
      </c>
      <c r="V1643" s="1786" t="str">
        <f t="shared" si="284"/>
        <v>513163105</v>
      </c>
      <c r="W1643" s="1789" t="str">
        <f t="shared" si="285"/>
        <v>הלמן - אלדובי קופות גמל ופנסיה בע"מ</v>
      </c>
      <c r="AC1643" s="1761" t="s">
        <v>1586</v>
      </c>
      <c r="AD1643" s="1762">
        <v>43481.375833333303</v>
      </c>
      <c r="AE1643" s="1762">
        <v>29252</v>
      </c>
      <c r="AF1643" s="1761" t="s">
        <v>71</v>
      </c>
      <c r="AG1643" s="1761" t="s">
        <v>1653</v>
      </c>
      <c r="AH1643" s="1761" t="s">
        <v>1594</v>
      </c>
      <c r="AI1643" s="1761" t="s">
        <v>3976</v>
      </c>
      <c r="AJ1643" s="1761" t="s">
        <v>3976</v>
      </c>
      <c r="AK1643" s="1761">
        <v>722</v>
      </c>
      <c r="AL1643" s="1761" t="s">
        <v>5645</v>
      </c>
      <c r="AM1643" s="1761">
        <v>410</v>
      </c>
      <c r="AN1643" s="1761" t="s">
        <v>5370</v>
      </c>
      <c r="AO1643" s="1764"/>
      <c r="AP1643" s="1761" t="s">
        <v>5371</v>
      </c>
      <c r="AQ1643" s="1761" t="s">
        <v>5372</v>
      </c>
      <c r="AR1643" s="1761" t="s">
        <v>354</v>
      </c>
      <c r="AS1643" s="1761" t="s">
        <v>355</v>
      </c>
      <c r="AT1643" s="1761" t="s">
        <v>327</v>
      </c>
      <c r="AU1643" s="1763"/>
      <c r="AV1643" s="1763"/>
    </row>
    <row r="1644" spans="1:48" ht="25" hidden="1">
      <c r="A1644" s="1785" t="str">
        <f t="shared" si="275"/>
        <v>גמל</v>
      </c>
      <c r="B1644" s="1786">
        <f t="shared" si="276"/>
        <v>723</v>
      </c>
      <c r="C1644" s="1787">
        <v>28946</v>
      </c>
      <c r="D1644" s="1786" t="str">
        <f t="shared" si="277"/>
        <v>הלמן-אלדובי בר-יציב שקלי</v>
      </c>
      <c r="E1644" s="1786" t="s">
        <v>3929</v>
      </c>
      <c r="F1644" s="1786" t="s">
        <v>2958</v>
      </c>
      <c r="G1644" s="1786" t="s">
        <v>2959</v>
      </c>
      <c r="H1644" s="1786" t="str">
        <f t="shared" si="278"/>
        <v>לא פעיל</v>
      </c>
      <c r="I1644" s="1788">
        <f t="shared" si="279"/>
        <v>29252</v>
      </c>
      <c r="J1644" s="1788">
        <f t="shared" si="280"/>
        <v>43481.375833333303</v>
      </c>
      <c r="K1644" s="1786">
        <v>0</v>
      </c>
      <c r="L1644" s="1786" t="s">
        <v>1594</v>
      </c>
      <c r="M1644" s="1786" t="s">
        <v>1653</v>
      </c>
      <c r="N1644" s="1786" t="s">
        <v>1653</v>
      </c>
      <c r="O1644" s="1786">
        <v>0</v>
      </c>
      <c r="P1644" s="1786"/>
      <c r="Q1644" s="1786">
        <v>0</v>
      </c>
      <c r="R1644" s="1788"/>
      <c r="S1644" s="1786">
        <f t="shared" si="281"/>
        <v>410</v>
      </c>
      <c r="T1644" s="1786" t="str">
        <f t="shared" si="282"/>
        <v>בנק מזרחי טפחות בע"מ</v>
      </c>
      <c r="U1644" s="1786" t="str">
        <f t="shared" si="283"/>
        <v>הלמן-אלדובי גמל</v>
      </c>
      <c r="V1644" s="1786" t="str">
        <f t="shared" si="284"/>
        <v>513163105</v>
      </c>
      <c r="W1644" s="1789" t="str">
        <f t="shared" si="285"/>
        <v>הלמן - אלדובי קופות גמל ופנסיה בע"מ</v>
      </c>
      <c r="AC1644" s="1759" t="s">
        <v>1586</v>
      </c>
      <c r="AD1644" s="1760">
        <v>43481.375833333303</v>
      </c>
      <c r="AE1644" s="1760">
        <v>29252</v>
      </c>
      <c r="AF1644" s="1759" t="s">
        <v>1076</v>
      </c>
      <c r="AG1644" s="1759" t="s">
        <v>1614</v>
      </c>
      <c r="AH1644" s="1759" t="s">
        <v>1594</v>
      </c>
      <c r="AI1644" s="1759" t="s">
        <v>3977</v>
      </c>
      <c r="AJ1644" s="1759" t="s">
        <v>3977</v>
      </c>
      <c r="AK1644" s="1759">
        <v>723</v>
      </c>
      <c r="AL1644" s="1759" t="s">
        <v>5645</v>
      </c>
      <c r="AM1644" s="1759">
        <v>410</v>
      </c>
      <c r="AN1644" s="1759" t="s">
        <v>5370</v>
      </c>
      <c r="AO1644" s="1764"/>
      <c r="AP1644" s="1759" t="s">
        <v>5371</v>
      </c>
      <c r="AQ1644" s="1759" t="s">
        <v>5372</v>
      </c>
      <c r="AR1644" s="1759" t="s">
        <v>354</v>
      </c>
      <c r="AS1644" s="1759" t="s">
        <v>355</v>
      </c>
      <c r="AT1644" s="1759" t="s">
        <v>327</v>
      </c>
      <c r="AU1644" s="1763"/>
      <c r="AV1644" s="1763"/>
    </row>
    <row r="1645" spans="1:48" ht="25" hidden="1">
      <c r="A1645" s="1785" t="str">
        <f t="shared" si="275"/>
        <v>גמל</v>
      </c>
      <c r="B1645" s="1786">
        <f t="shared" si="276"/>
        <v>1198</v>
      </c>
      <c r="C1645" s="1787">
        <v>28946</v>
      </c>
      <c r="D1645" s="1786" t="str">
        <f t="shared" si="277"/>
        <v>הלמן-אלדובי גמל מסלול אג"ח ללא מניות</v>
      </c>
      <c r="E1645" s="1786" t="s">
        <v>3929</v>
      </c>
      <c r="F1645" s="1786" t="s">
        <v>2958</v>
      </c>
      <c r="G1645" s="1786" t="s">
        <v>2959</v>
      </c>
      <c r="H1645" s="1786" t="str">
        <f t="shared" si="278"/>
        <v>פעיל</v>
      </c>
      <c r="I1645" s="1788">
        <f t="shared" si="279"/>
        <v>29252</v>
      </c>
      <c r="J1645" s="1788" t="str">
        <f t="shared" si="280"/>
        <v/>
      </c>
      <c r="K1645" s="1786">
        <v>0</v>
      </c>
      <c r="L1645" s="1786" t="s">
        <v>1594</v>
      </c>
      <c r="M1645" s="1786" t="s">
        <v>1653</v>
      </c>
      <c r="N1645" s="1786" t="s">
        <v>1653</v>
      </c>
      <c r="O1645" s="1786">
        <v>0</v>
      </c>
      <c r="P1645" s="1786"/>
      <c r="Q1645" s="1786">
        <v>0</v>
      </c>
      <c r="R1645" s="1788"/>
      <c r="S1645" s="1786">
        <f t="shared" si="281"/>
        <v>410</v>
      </c>
      <c r="T1645" s="1786" t="str">
        <f t="shared" si="282"/>
        <v>בנק מזרחי טפחות בע"מ</v>
      </c>
      <c r="U1645" s="1786" t="str">
        <f t="shared" si="283"/>
        <v>הלמן-אלדובי גמל</v>
      </c>
      <c r="V1645" s="1786" t="str">
        <f t="shared" si="284"/>
        <v>513163105</v>
      </c>
      <c r="W1645" s="1789" t="str">
        <f t="shared" si="285"/>
        <v>הלמן - אלדובי קופות גמל ופנסיה בע"מ</v>
      </c>
      <c r="AC1645" s="1761" t="s">
        <v>346</v>
      </c>
      <c r="AD1645" s="1761"/>
      <c r="AE1645" s="1762">
        <v>29252</v>
      </c>
      <c r="AF1645" s="1761" t="s">
        <v>1681</v>
      </c>
      <c r="AG1645" s="1761" t="s">
        <v>1653</v>
      </c>
      <c r="AH1645" s="1761" t="s">
        <v>1594</v>
      </c>
      <c r="AI1645" s="1761" t="s">
        <v>5652</v>
      </c>
      <c r="AJ1645" s="1761" t="s">
        <v>5653</v>
      </c>
      <c r="AK1645" s="1761">
        <v>1198</v>
      </c>
      <c r="AL1645" s="1761" t="s">
        <v>5645</v>
      </c>
      <c r="AM1645" s="1761">
        <v>410</v>
      </c>
      <c r="AN1645" s="1761" t="s">
        <v>5370</v>
      </c>
      <c r="AO1645" s="1764"/>
      <c r="AP1645" s="1761" t="s">
        <v>5371</v>
      </c>
      <c r="AQ1645" s="1761" t="s">
        <v>5372</v>
      </c>
      <c r="AR1645" s="1761" t="s">
        <v>354</v>
      </c>
      <c r="AS1645" s="1761" t="s">
        <v>355</v>
      </c>
      <c r="AT1645" s="1761" t="s">
        <v>327</v>
      </c>
      <c r="AU1645" s="1763"/>
      <c r="AV1645" s="1763"/>
    </row>
    <row r="1646" spans="1:48" ht="25" hidden="1">
      <c r="A1646" s="1785" t="str">
        <f t="shared" si="275"/>
        <v>גמל</v>
      </c>
      <c r="B1646" s="1786">
        <f t="shared" si="276"/>
        <v>1442</v>
      </c>
      <c r="C1646" s="1787">
        <v>28946</v>
      </c>
      <c r="D1646" s="1786" t="str">
        <f t="shared" si="277"/>
        <v>הלמן-אלדובי גמל מסלול פאסיבי - מדדי אג"ח ממשלת ישראל</v>
      </c>
      <c r="E1646" s="1786" t="s">
        <v>3929</v>
      </c>
      <c r="F1646" s="1786" t="s">
        <v>2958</v>
      </c>
      <c r="G1646" s="1786" t="s">
        <v>2959</v>
      </c>
      <c r="H1646" s="1786" t="str">
        <f t="shared" si="278"/>
        <v>פעיל</v>
      </c>
      <c r="I1646" s="1788">
        <f t="shared" si="279"/>
        <v>29252</v>
      </c>
      <c r="J1646" s="1788" t="str">
        <f t="shared" si="280"/>
        <v/>
      </c>
      <c r="K1646" s="1786">
        <v>0</v>
      </c>
      <c r="L1646" s="1786" t="s">
        <v>1594</v>
      </c>
      <c r="M1646" s="1786" t="s">
        <v>1653</v>
      </c>
      <c r="N1646" s="1786" t="s">
        <v>1653</v>
      </c>
      <c r="O1646" s="1786">
        <v>0</v>
      </c>
      <c r="P1646" s="1786"/>
      <c r="Q1646" s="1786">
        <v>0</v>
      </c>
      <c r="R1646" s="1788"/>
      <c r="S1646" s="1786">
        <f t="shared" si="281"/>
        <v>410</v>
      </c>
      <c r="T1646" s="1786" t="str">
        <f t="shared" si="282"/>
        <v>בנק מזרחי טפחות בע"מ</v>
      </c>
      <c r="U1646" s="1786" t="str">
        <f t="shared" si="283"/>
        <v>הלמן-אלדובי גמל</v>
      </c>
      <c r="V1646" s="1786" t="str">
        <f t="shared" si="284"/>
        <v>513163105</v>
      </c>
      <c r="W1646" s="1789" t="str">
        <f t="shared" si="285"/>
        <v>הלמן - אלדובי קופות גמל ופנסיה בע"מ</v>
      </c>
      <c r="AC1646" s="1759" t="s">
        <v>346</v>
      </c>
      <c r="AD1646" s="1759"/>
      <c r="AE1646" s="1760">
        <v>29252</v>
      </c>
      <c r="AF1646" s="1759" t="s">
        <v>3959</v>
      </c>
      <c r="AG1646" s="1759" t="s">
        <v>1653</v>
      </c>
      <c r="AH1646" s="1759" t="s">
        <v>1594</v>
      </c>
      <c r="AI1646" s="1759" t="s">
        <v>5654</v>
      </c>
      <c r="AJ1646" s="1759" t="s">
        <v>5655</v>
      </c>
      <c r="AK1646" s="1759">
        <v>1442</v>
      </c>
      <c r="AL1646" s="1759" t="s">
        <v>5645</v>
      </c>
      <c r="AM1646" s="1759">
        <v>410</v>
      </c>
      <c r="AN1646" s="1759" t="s">
        <v>5370</v>
      </c>
      <c r="AO1646" s="1764"/>
      <c r="AP1646" s="1759" t="s">
        <v>5371</v>
      </c>
      <c r="AQ1646" s="1759" t="s">
        <v>5372</v>
      </c>
      <c r="AR1646" s="1759" t="s">
        <v>354</v>
      </c>
      <c r="AS1646" s="1759" t="s">
        <v>355</v>
      </c>
      <c r="AT1646" s="1759" t="s">
        <v>327</v>
      </c>
      <c r="AU1646" s="1763"/>
      <c r="AV1646" s="1763"/>
    </row>
    <row r="1647" spans="1:48" ht="25" hidden="1">
      <c r="A1647" s="1785" t="str">
        <f t="shared" si="275"/>
        <v>גמל</v>
      </c>
      <c r="B1647" s="1786">
        <f t="shared" si="276"/>
        <v>1543</v>
      </c>
      <c r="C1647" s="1787">
        <v>28946</v>
      </c>
      <c r="D1647" s="1786" t="str">
        <f t="shared" si="277"/>
        <v>הלמן-אלדובי גמל מסלול מדדי מניות חו"ל (פאסיבי)</v>
      </c>
      <c r="E1647" s="1786" t="s">
        <v>3929</v>
      </c>
      <c r="F1647" s="1786" t="s">
        <v>2958</v>
      </c>
      <c r="G1647" s="1786" t="s">
        <v>2959</v>
      </c>
      <c r="H1647" s="1786" t="str">
        <f t="shared" si="278"/>
        <v>פעיל</v>
      </c>
      <c r="I1647" s="1788">
        <f t="shared" si="279"/>
        <v>29252</v>
      </c>
      <c r="J1647" s="1788" t="str">
        <f t="shared" si="280"/>
        <v/>
      </c>
      <c r="K1647" s="1786">
        <v>0</v>
      </c>
      <c r="L1647" s="1786" t="s">
        <v>1594</v>
      </c>
      <c r="M1647" s="1786" t="s">
        <v>1653</v>
      </c>
      <c r="N1647" s="1786" t="s">
        <v>1653</v>
      </c>
      <c r="O1647" s="1786">
        <v>0</v>
      </c>
      <c r="P1647" s="1786"/>
      <c r="Q1647" s="1786">
        <v>0</v>
      </c>
      <c r="R1647" s="1788"/>
      <c r="S1647" s="1786">
        <f t="shared" si="281"/>
        <v>410</v>
      </c>
      <c r="T1647" s="1786" t="str">
        <f t="shared" si="282"/>
        <v>בנק מזרחי טפחות בע"מ</v>
      </c>
      <c r="U1647" s="1786" t="str">
        <f t="shared" si="283"/>
        <v>הלמן-אלדובי גמל</v>
      </c>
      <c r="V1647" s="1786" t="str">
        <f t="shared" si="284"/>
        <v>513163105</v>
      </c>
      <c r="W1647" s="1789" t="str">
        <f t="shared" si="285"/>
        <v>הלמן - אלדובי קופות גמל ופנסיה בע"מ</v>
      </c>
      <c r="AC1647" s="1761" t="s">
        <v>346</v>
      </c>
      <c r="AD1647" s="1761"/>
      <c r="AE1647" s="1762">
        <v>29252</v>
      </c>
      <c r="AF1647" s="1761" t="s">
        <v>4618</v>
      </c>
      <c r="AG1647" s="1761" t="s">
        <v>75</v>
      </c>
      <c r="AH1647" s="1761" t="s">
        <v>1594</v>
      </c>
      <c r="AI1647" s="1761" t="s">
        <v>5656</v>
      </c>
      <c r="AJ1647" s="1761" t="s">
        <v>5657</v>
      </c>
      <c r="AK1647" s="1761">
        <v>1543</v>
      </c>
      <c r="AL1647" s="1761" t="s">
        <v>5645</v>
      </c>
      <c r="AM1647" s="1761">
        <v>410</v>
      </c>
      <c r="AN1647" s="1761" t="s">
        <v>5370</v>
      </c>
      <c r="AO1647" s="1764"/>
      <c r="AP1647" s="1761" t="s">
        <v>5371</v>
      </c>
      <c r="AQ1647" s="1761" t="s">
        <v>5372</v>
      </c>
      <c r="AR1647" s="1761" t="s">
        <v>354</v>
      </c>
      <c r="AS1647" s="1761" t="s">
        <v>355</v>
      </c>
      <c r="AT1647" s="1761" t="s">
        <v>327</v>
      </c>
      <c r="AU1647" s="1763"/>
      <c r="AV1647" s="1763"/>
    </row>
    <row r="1648" spans="1:48" ht="25" hidden="1">
      <c r="A1648" s="1785" t="str">
        <f t="shared" si="275"/>
        <v>גמל</v>
      </c>
      <c r="B1648" s="1786">
        <f t="shared" si="276"/>
        <v>2049</v>
      </c>
      <c r="C1648" s="1787">
        <v>28946</v>
      </c>
      <c r="D1648" s="1786" t="str">
        <f t="shared" si="277"/>
        <v>הלמן-אלדובי גמל שריעה</v>
      </c>
      <c r="E1648" s="1786" t="s">
        <v>3929</v>
      </c>
      <c r="F1648" s="1786" t="s">
        <v>2958</v>
      </c>
      <c r="G1648" s="1786" t="s">
        <v>2959</v>
      </c>
      <c r="H1648" s="1786" t="str">
        <f t="shared" si="278"/>
        <v>פעיל</v>
      </c>
      <c r="I1648" s="1788">
        <f t="shared" si="279"/>
        <v>29252</v>
      </c>
      <c r="J1648" s="1788" t="str">
        <f t="shared" si="280"/>
        <v/>
      </c>
      <c r="K1648" s="1786">
        <v>0</v>
      </c>
      <c r="L1648" s="1786" t="s">
        <v>1594</v>
      </c>
      <c r="M1648" s="1786" t="s">
        <v>1653</v>
      </c>
      <c r="N1648" s="1786" t="s">
        <v>1653</v>
      </c>
      <c r="O1648" s="1786">
        <v>0</v>
      </c>
      <c r="P1648" s="1786"/>
      <c r="Q1648" s="1786">
        <v>0</v>
      </c>
      <c r="R1648" s="1788"/>
      <c r="S1648" s="1786">
        <f t="shared" si="281"/>
        <v>410</v>
      </c>
      <c r="T1648" s="1786" t="str">
        <f t="shared" si="282"/>
        <v>בנק מזרחי טפחות בע"מ</v>
      </c>
      <c r="U1648" s="1786" t="str">
        <f t="shared" si="283"/>
        <v>הלמן-אלדובי גמל</v>
      </c>
      <c r="V1648" s="1786" t="str">
        <f t="shared" si="284"/>
        <v>513163105</v>
      </c>
      <c r="W1648" s="1789" t="str">
        <f t="shared" si="285"/>
        <v>הלמן - אלדובי קופות גמל ופנסיה בע"מ</v>
      </c>
      <c r="AC1648" s="1759" t="s">
        <v>346</v>
      </c>
      <c r="AD1648" s="1759"/>
      <c r="AE1648" s="1760">
        <v>29252</v>
      </c>
      <c r="AF1648" s="1759" t="s">
        <v>4631</v>
      </c>
      <c r="AG1648" s="1759" t="s">
        <v>2029</v>
      </c>
      <c r="AH1648" s="1759" t="s">
        <v>2028</v>
      </c>
      <c r="AI1648" s="1759" t="s">
        <v>5658</v>
      </c>
      <c r="AJ1648" s="1759" t="s">
        <v>5658</v>
      </c>
      <c r="AK1648" s="1759">
        <v>2049</v>
      </c>
      <c r="AL1648" s="1759" t="s">
        <v>5645</v>
      </c>
      <c r="AM1648" s="1759">
        <v>410</v>
      </c>
      <c r="AN1648" s="1759" t="s">
        <v>5370</v>
      </c>
      <c r="AO1648" s="1764"/>
      <c r="AP1648" s="1759" t="s">
        <v>5371</v>
      </c>
      <c r="AQ1648" s="1759" t="s">
        <v>5372</v>
      </c>
      <c r="AR1648" s="1759" t="s">
        <v>354</v>
      </c>
      <c r="AS1648" s="1759" t="s">
        <v>355</v>
      </c>
      <c r="AT1648" s="1759" t="s">
        <v>327</v>
      </c>
      <c r="AU1648" s="1763"/>
      <c r="AV1648" s="1763"/>
    </row>
    <row r="1649" spans="1:48" ht="25" hidden="1">
      <c r="A1649" s="1785" t="str">
        <f t="shared" si="275"/>
        <v>גמל</v>
      </c>
      <c r="B1649" s="1786">
        <f t="shared" si="276"/>
        <v>409</v>
      </c>
      <c r="C1649" s="1787">
        <v>28946</v>
      </c>
      <c r="D1649" s="1786" t="str">
        <f t="shared" si="277"/>
        <v>ביצרון-קופת גמל לתגמולים ופיצויים</v>
      </c>
      <c r="E1649" s="1786" t="s">
        <v>3929</v>
      </c>
      <c r="F1649" s="1786" t="s">
        <v>2958</v>
      </c>
      <c r="G1649" s="1786" t="s">
        <v>2959</v>
      </c>
      <c r="H1649" s="1786" t="str">
        <f t="shared" si="278"/>
        <v>לא פעיל</v>
      </c>
      <c r="I1649" s="1788">
        <f t="shared" si="279"/>
        <v>29495</v>
      </c>
      <c r="J1649" s="1788">
        <f t="shared" si="280"/>
        <v>40724</v>
      </c>
      <c r="K1649" s="1786">
        <v>0</v>
      </c>
      <c r="L1649" s="1786" t="s">
        <v>1594</v>
      </c>
      <c r="M1649" s="1786" t="s">
        <v>1653</v>
      </c>
      <c r="N1649" s="1786" t="s">
        <v>1653</v>
      </c>
      <c r="O1649" s="1786">
        <v>0</v>
      </c>
      <c r="P1649" s="1786"/>
      <c r="Q1649" s="1786">
        <v>0</v>
      </c>
      <c r="R1649" s="1788"/>
      <c r="S1649" s="1786">
        <f t="shared" si="281"/>
        <v>409</v>
      </c>
      <c r="T1649" s="1786" t="str">
        <f t="shared" si="282"/>
        <v>בנק אוצר החייל בע"מ</v>
      </c>
      <c r="U1649" s="1786" t="str">
        <f t="shared" si="283"/>
        <v>ביצרון-קופת גמל לתגמולים ופיצויים</v>
      </c>
      <c r="V1649" s="1786" t="str">
        <f t="shared" si="284"/>
        <v>520030677</v>
      </c>
      <c r="W1649" s="1789" t="str">
        <f t="shared" si="285"/>
        <v>איילון פנסיה וגמל בע"מ</v>
      </c>
      <c r="AC1649" s="1761" t="s">
        <v>1586</v>
      </c>
      <c r="AD1649" s="1762">
        <v>40724</v>
      </c>
      <c r="AE1649" s="1762">
        <v>29495</v>
      </c>
      <c r="AF1649" s="1761" t="s">
        <v>1583</v>
      </c>
      <c r="AG1649" s="1761" t="s">
        <v>1583</v>
      </c>
      <c r="AH1649" s="1761" t="s">
        <v>1583</v>
      </c>
      <c r="AI1649" s="1761" t="s">
        <v>3106</v>
      </c>
      <c r="AJ1649" s="1761" t="s">
        <v>1796</v>
      </c>
      <c r="AK1649" s="1761">
        <v>409</v>
      </c>
      <c r="AL1649" s="1761" t="s">
        <v>1796</v>
      </c>
      <c r="AM1649" s="1761">
        <v>409</v>
      </c>
      <c r="AN1649" s="1761" t="s">
        <v>5628</v>
      </c>
      <c r="AO1649" s="1764"/>
      <c r="AP1649" s="1761" t="s">
        <v>5385</v>
      </c>
      <c r="AQ1649" s="1761" t="s">
        <v>5386</v>
      </c>
      <c r="AR1649" s="1761" t="s">
        <v>2780</v>
      </c>
      <c r="AS1649" s="1761" t="s">
        <v>426</v>
      </c>
      <c r="AT1649" s="1761" t="s">
        <v>327</v>
      </c>
      <c r="AU1649" s="1763"/>
      <c r="AV1649" s="1763"/>
    </row>
    <row r="1650" spans="1:48" ht="50" hidden="1">
      <c r="A1650" s="1785" t="str">
        <f t="shared" si="275"/>
        <v>גמל</v>
      </c>
      <c r="B1650" s="1786">
        <f t="shared" si="276"/>
        <v>1257</v>
      </c>
      <c r="C1650" s="1787">
        <v>28946</v>
      </c>
      <c r="D1650" s="1786" t="str">
        <f t="shared" si="277"/>
        <v>רום קרן השתלמות לעובדי הרשויות המקומיות מסלול רום רביד אג"ח ללא מניות</v>
      </c>
      <c r="E1650" s="1786" t="s">
        <v>3929</v>
      </c>
      <c r="F1650" s="1786" t="s">
        <v>2958</v>
      </c>
      <c r="G1650" s="1786" t="s">
        <v>2959</v>
      </c>
      <c r="H1650" s="1786" t="str">
        <f t="shared" si="278"/>
        <v>פעיל</v>
      </c>
      <c r="I1650" s="1788">
        <f t="shared" si="279"/>
        <v>28581</v>
      </c>
      <c r="J1650" s="1788" t="str">
        <f t="shared" si="280"/>
        <v/>
      </c>
      <c r="K1650" s="1786">
        <v>0</v>
      </c>
      <c r="L1650" s="1786" t="s">
        <v>1594</v>
      </c>
      <c r="M1650" s="1786" t="s">
        <v>1653</v>
      </c>
      <c r="N1650" s="1786" t="s">
        <v>1653</v>
      </c>
      <c r="O1650" s="1786">
        <v>0</v>
      </c>
      <c r="P1650" s="1786"/>
      <c r="Q1650" s="1786">
        <v>0</v>
      </c>
      <c r="R1650" s="1788"/>
      <c r="S1650" s="1786">
        <f t="shared" si="281"/>
        <v>408</v>
      </c>
      <c r="T1650" s="1786">
        <f t="shared" si="282"/>
        <v>0</v>
      </c>
      <c r="U1650" s="1786" t="str">
        <f t="shared" si="283"/>
        <v>רום קרן השתלמות לעובדי הרשויות המקומיות מסלול קלאסי</v>
      </c>
      <c r="V1650" s="1786">
        <f t="shared" si="284"/>
        <v>0</v>
      </c>
      <c r="W1650" s="1789" t="str">
        <f t="shared" si="285"/>
        <v>החברה המנהלת של רום קרן ההשתלמות לעובדי הרשויות המקומיות בע"מ</v>
      </c>
      <c r="AC1650" s="1759" t="s">
        <v>346</v>
      </c>
      <c r="AD1650" s="1759"/>
      <c r="AE1650" s="1760">
        <v>28581</v>
      </c>
      <c r="AF1650" s="1759" t="s">
        <v>1681</v>
      </c>
      <c r="AG1650" s="1759" t="s">
        <v>1653</v>
      </c>
      <c r="AH1650" s="1759" t="s">
        <v>1594</v>
      </c>
      <c r="AI1650" s="1759" t="s">
        <v>4048</v>
      </c>
      <c r="AJ1650" s="1759" t="s">
        <v>4047</v>
      </c>
      <c r="AK1650" s="1759">
        <v>1257</v>
      </c>
      <c r="AL1650" s="1759" t="s">
        <v>527</v>
      </c>
      <c r="AM1650" s="1759">
        <v>408</v>
      </c>
      <c r="AN1650" s="1759"/>
      <c r="AO1650" s="1764"/>
      <c r="AP1650" s="1759" t="s">
        <v>5659</v>
      </c>
      <c r="AQ1650" s="1759"/>
      <c r="AR1650" s="1759" t="s">
        <v>525</v>
      </c>
      <c r="AS1650" s="1759" t="s">
        <v>526</v>
      </c>
      <c r="AT1650" s="1759" t="s">
        <v>327</v>
      </c>
      <c r="AU1650" s="1763"/>
      <c r="AV1650" s="1763"/>
    </row>
    <row r="1651" spans="1:48" ht="50" hidden="1">
      <c r="A1651" s="1785" t="str">
        <f t="shared" si="275"/>
        <v>גמל</v>
      </c>
      <c r="B1651" s="1786">
        <f t="shared" si="276"/>
        <v>408</v>
      </c>
      <c r="C1651" s="1787">
        <v>28946</v>
      </c>
      <c r="D1651" s="1786" t="str">
        <f t="shared" si="277"/>
        <v>רום קרן השתלמות לעובדי הרשויות המקומיות מסלול קלאסי כללי</v>
      </c>
      <c r="E1651" s="1786" t="s">
        <v>3929</v>
      </c>
      <c r="F1651" s="1786" t="s">
        <v>2958</v>
      </c>
      <c r="G1651" s="1786" t="s">
        <v>2959</v>
      </c>
      <c r="H1651" s="1786" t="str">
        <f t="shared" si="278"/>
        <v>פעיל</v>
      </c>
      <c r="I1651" s="1788">
        <f t="shared" si="279"/>
        <v>28581</v>
      </c>
      <c r="J1651" s="1788" t="str">
        <f t="shared" si="280"/>
        <v/>
      </c>
      <c r="K1651" s="1786">
        <v>0</v>
      </c>
      <c r="L1651" s="1786" t="s">
        <v>1594</v>
      </c>
      <c r="M1651" s="1786" t="s">
        <v>1653</v>
      </c>
      <c r="N1651" s="1786" t="s">
        <v>1653</v>
      </c>
      <c r="O1651" s="1786">
        <v>0</v>
      </c>
      <c r="P1651" s="1786"/>
      <c r="Q1651" s="1786">
        <v>0</v>
      </c>
      <c r="R1651" s="1788"/>
      <c r="S1651" s="1786">
        <f t="shared" si="281"/>
        <v>408</v>
      </c>
      <c r="T1651" s="1786">
        <f t="shared" si="282"/>
        <v>0</v>
      </c>
      <c r="U1651" s="1786" t="str">
        <f t="shared" si="283"/>
        <v>רום קרן השתלמות לעובדי הרשויות המקומיות מסלול קלאסי</v>
      </c>
      <c r="V1651" s="1786">
        <f t="shared" si="284"/>
        <v>0</v>
      </c>
      <c r="W1651" s="1789" t="str">
        <f t="shared" si="285"/>
        <v>החברה המנהלת של רום קרן ההשתלמות לעובדי הרשויות המקומיות בע"מ</v>
      </c>
      <c r="AC1651" s="1761" t="s">
        <v>346</v>
      </c>
      <c r="AD1651" s="1759"/>
      <c r="AE1651" s="1762">
        <v>28581</v>
      </c>
      <c r="AF1651" s="1761" t="s">
        <v>1583</v>
      </c>
      <c r="AG1651" s="1761" t="s">
        <v>1583</v>
      </c>
      <c r="AH1651" s="1761" t="s">
        <v>1583</v>
      </c>
      <c r="AI1651" s="1761" t="s">
        <v>3949</v>
      </c>
      <c r="AJ1651" s="1761" t="s">
        <v>3948</v>
      </c>
      <c r="AK1651" s="1761">
        <v>408</v>
      </c>
      <c r="AL1651" s="1761" t="s">
        <v>527</v>
      </c>
      <c r="AM1651" s="1761">
        <v>408</v>
      </c>
      <c r="AN1651" s="1761"/>
      <c r="AO1651" s="1764"/>
      <c r="AP1651" s="1761" t="s">
        <v>5659</v>
      </c>
      <c r="AQ1651" s="1761"/>
      <c r="AR1651" s="1761" t="s">
        <v>525</v>
      </c>
      <c r="AS1651" s="1761" t="s">
        <v>526</v>
      </c>
      <c r="AT1651" s="1761" t="s">
        <v>327</v>
      </c>
      <c r="AU1651" s="1763"/>
      <c r="AV1651" s="1763"/>
    </row>
    <row r="1652" spans="1:48" ht="50" hidden="1">
      <c r="A1652" s="1785" t="str">
        <f t="shared" si="275"/>
        <v>גמל</v>
      </c>
      <c r="B1652" s="1786">
        <f t="shared" si="276"/>
        <v>1258</v>
      </c>
      <c r="C1652" s="1787">
        <v>28946</v>
      </c>
      <c r="D1652" s="1786" t="str">
        <f t="shared" si="277"/>
        <v>רום קרן השתלמות לעובדי הרשויות המקומיות מסלול ספיר מניות</v>
      </c>
      <c r="E1652" s="1786" t="s">
        <v>3929</v>
      </c>
      <c r="F1652" s="1786" t="s">
        <v>2958</v>
      </c>
      <c r="G1652" s="1786" t="s">
        <v>2959</v>
      </c>
      <c r="H1652" s="1786" t="str">
        <f t="shared" si="278"/>
        <v>פעיל</v>
      </c>
      <c r="I1652" s="1788">
        <f t="shared" si="279"/>
        <v>28581</v>
      </c>
      <c r="J1652" s="1788" t="str">
        <f t="shared" si="280"/>
        <v/>
      </c>
      <c r="K1652" s="1786">
        <v>0</v>
      </c>
      <c r="L1652" s="1786" t="s">
        <v>1594</v>
      </c>
      <c r="M1652" s="1786" t="s">
        <v>1653</v>
      </c>
      <c r="N1652" s="1786" t="s">
        <v>1653</v>
      </c>
      <c r="O1652" s="1786">
        <v>0</v>
      </c>
      <c r="P1652" s="1786"/>
      <c r="Q1652" s="1786">
        <v>0</v>
      </c>
      <c r="R1652" s="1788"/>
      <c r="S1652" s="1786">
        <f t="shared" si="281"/>
        <v>408</v>
      </c>
      <c r="T1652" s="1786">
        <f t="shared" si="282"/>
        <v>0</v>
      </c>
      <c r="U1652" s="1786" t="str">
        <f t="shared" si="283"/>
        <v>רום קרן השתלמות לעובדי הרשויות המקומיות מסלול קלאסי</v>
      </c>
      <c r="V1652" s="1786">
        <f t="shared" si="284"/>
        <v>0</v>
      </c>
      <c r="W1652" s="1789" t="str">
        <f t="shared" si="285"/>
        <v>החברה המנהלת של רום קרן ההשתלמות לעובדי הרשויות המקומיות בע"מ</v>
      </c>
      <c r="AC1652" s="1759" t="s">
        <v>346</v>
      </c>
      <c r="AD1652" s="1759"/>
      <c r="AE1652" s="1760">
        <v>28581</v>
      </c>
      <c r="AF1652" s="1759" t="s">
        <v>1595</v>
      </c>
      <c r="AG1652" s="1759" t="s">
        <v>75</v>
      </c>
      <c r="AH1652" s="1759" t="s">
        <v>1594</v>
      </c>
      <c r="AI1652" s="1759" t="s">
        <v>4050</v>
      </c>
      <c r="AJ1652" s="1759" t="s">
        <v>4049</v>
      </c>
      <c r="AK1652" s="1759">
        <v>1258</v>
      </c>
      <c r="AL1652" s="1759" t="s">
        <v>527</v>
      </c>
      <c r="AM1652" s="1759">
        <v>408</v>
      </c>
      <c r="AN1652" s="1759"/>
      <c r="AO1652" s="1764"/>
      <c r="AP1652" s="1759" t="s">
        <v>5659</v>
      </c>
      <c r="AQ1652" s="1759"/>
      <c r="AR1652" s="1759" t="s">
        <v>525</v>
      </c>
      <c r="AS1652" s="1759" t="s">
        <v>526</v>
      </c>
      <c r="AT1652" s="1759" t="s">
        <v>327</v>
      </c>
      <c r="AU1652" s="1763"/>
      <c r="AV1652" s="1763"/>
    </row>
    <row r="1653" spans="1:48" ht="50" hidden="1">
      <c r="A1653" s="1785" t="str">
        <f t="shared" si="275"/>
        <v>גמל</v>
      </c>
      <c r="B1653" s="1786">
        <f t="shared" si="276"/>
        <v>13231</v>
      </c>
      <c r="C1653" s="1787">
        <v>28946</v>
      </c>
      <c r="D1653" s="1786" t="str">
        <f t="shared" si="277"/>
        <v>רום קרן השתלמות לעובדי הרשויות המקומיות מסלול הלכה</v>
      </c>
      <c r="E1653" s="1786" t="s">
        <v>3929</v>
      </c>
      <c r="F1653" s="1786" t="s">
        <v>2958</v>
      </c>
      <c r="G1653" s="1786" t="s">
        <v>2959</v>
      </c>
      <c r="H1653" s="1786" t="str">
        <f t="shared" si="278"/>
        <v>פעיל</v>
      </c>
      <c r="I1653" s="1788">
        <f t="shared" si="279"/>
        <v>28581</v>
      </c>
      <c r="J1653" s="1788" t="str">
        <f t="shared" si="280"/>
        <v/>
      </c>
      <c r="K1653" s="1786">
        <v>0</v>
      </c>
      <c r="L1653" s="1786" t="s">
        <v>1594</v>
      </c>
      <c r="M1653" s="1786" t="s">
        <v>1653</v>
      </c>
      <c r="N1653" s="1786" t="s">
        <v>1653</v>
      </c>
      <c r="O1653" s="1786">
        <v>0</v>
      </c>
      <c r="P1653" s="1786"/>
      <c r="Q1653" s="1786">
        <v>0</v>
      </c>
      <c r="R1653" s="1788"/>
      <c r="S1653" s="1786">
        <f t="shared" si="281"/>
        <v>408</v>
      </c>
      <c r="T1653" s="1786">
        <f t="shared" si="282"/>
        <v>0</v>
      </c>
      <c r="U1653" s="1786" t="str">
        <f t="shared" si="283"/>
        <v>רום קרן השתלמות לעובדי הרשויות המקומיות מסלול קלאסי</v>
      </c>
      <c r="V1653" s="1786">
        <f t="shared" si="284"/>
        <v>0</v>
      </c>
      <c r="W1653" s="1789" t="str">
        <f t="shared" si="285"/>
        <v>החברה המנהלת של רום קרן ההשתלמות לעובדי הרשויות המקומיות בע"מ</v>
      </c>
      <c r="AC1653" s="1761" t="s">
        <v>346</v>
      </c>
      <c r="AD1653" s="1761"/>
      <c r="AE1653" s="1762">
        <v>28581</v>
      </c>
      <c r="AF1653" s="1761" t="s">
        <v>4603</v>
      </c>
      <c r="AG1653" s="1761" t="s">
        <v>2029</v>
      </c>
      <c r="AH1653" s="1761" t="s">
        <v>2028</v>
      </c>
      <c r="AI1653" s="1761" t="s">
        <v>5660</v>
      </c>
      <c r="AJ1653" s="1761" t="s">
        <v>5661</v>
      </c>
      <c r="AK1653" s="1761">
        <v>13231</v>
      </c>
      <c r="AL1653" s="1761" t="s">
        <v>527</v>
      </c>
      <c r="AM1653" s="1761">
        <v>408</v>
      </c>
      <c r="AN1653" s="1761"/>
      <c r="AO1653" s="1764"/>
      <c r="AP1653" s="1761" t="s">
        <v>5659</v>
      </c>
      <c r="AQ1653" s="1761"/>
      <c r="AR1653" s="1761" t="s">
        <v>525</v>
      </c>
      <c r="AS1653" s="1761" t="s">
        <v>526</v>
      </c>
      <c r="AT1653" s="1761" t="s">
        <v>327</v>
      </c>
      <c r="AU1653" s="1763"/>
      <c r="AV1653" s="1763"/>
    </row>
    <row r="1654" spans="1:48" ht="37.5" hidden="1">
      <c r="A1654" s="1785" t="str">
        <f t="shared" si="275"/>
        <v>גמל</v>
      </c>
      <c r="B1654" s="1786">
        <f t="shared" si="276"/>
        <v>407</v>
      </c>
      <c r="C1654" s="1787">
        <v>28946</v>
      </c>
      <c r="D1654" s="1786" t="str">
        <f t="shared" si="277"/>
        <v>ישיר דרור קופה לתגמולים ופיצויים לתעשיה מקבוצת ביטוח ישיר</v>
      </c>
      <c r="E1654" s="1786" t="s">
        <v>3929</v>
      </c>
      <c r="F1654" s="1786" t="s">
        <v>2958</v>
      </c>
      <c r="G1654" s="1786" t="s">
        <v>2959</v>
      </c>
      <c r="H1654" s="1786" t="str">
        <f t="shared" si="278"/>
        <v>לא פעיל</v>
      </c>
      <c r="I1654" s="1788">
        <f t="shared" si="279"/>
        <v>29433</v>
      </c>
      <c r="J1654" s="1788">
        <f t="shared" si="280"/>
        <v>40542</v>
      </c>
      <c r="K1654" s="1786">
        <v>0</v>
      </c>
      <c r="L1654" s="1786" t="s">
        <v>1594</v>
      </c>
      <c r="M1654" s="1786" t="s">
        <v>1653</v>
      </c>
      <c r="N1654" s="1786" t="s">
        <v>1653</v>
      </c>
      <c r="O1654" s="1786">
        <v>0</v>
      </c>
      <c r="P1654" s="1786"/>
      <c r="Q1654" s="1786">
        <v>0</v>
      </c>
      <c r="R1654" s="1788"/>
      <c r="S1654" s="1786">
        <f t="shared" si="281"/>
        <v>407</v>
      </c>
      <c r="T1654" s="1786" t="str">
        <f t="shared" si="282"/>
        <v>הבנק הבינלאומי הראשון</v>
      </c>
      <c r="U1654" s="1786" t="str">
        <f t="shared" si="283"/>
        <v>ישיר דרור קופה לתגמולים ופיצויים לתעשיה מקבוצת ביטוח ישיר</v>
      </c>
      <c r="V1654" s="1786">
        <f t="shared" si="284"/>
        <v>0</v>
      </c>
      <c r="W1654" s="1789" t="str">
        <f t="shared" si="285"/>
        <v>מיטב ישיר גמל בע"מ</v>
      </c>
      <c r="AC1654" s="1759" t="s">
        <v>1586</v>
      </c>
      <c r="AD1654" s="1760">
        <v>40542</v>
      </c>
      <c r="AE1654" s="1760">
        <v>29433</v>
      </c>
      <c r="AF1654" s="1759" t="s">
        <v>1583</v>
      </c>
      <c r="AG1654" s="1759" t="s">
        <v>1583</v>
      </c>
      <c r="AH1654" s="1759" t="s">
        <v>1583</v>
      </c>
      <c r="AI1654" s="1759" t="s">
        <v>3105</v>
      </c>
      <c r="AJ1654" s="1759" t="s">
        <v>1795</v>
      </c>
      <c r="AK1654" s="1759">
        <v>407</v>
      </c>
      <c r="AL1654" s="1759" t="s">
        <v>1795</v>
      </c>
      <c r="AM1654" s="1759">
        <v>407</v>
      </c>
      <c r="AN1654" s="1759" t="s">
        <v>5384</v>
      </c>
      <c r="AO1654" s="1764"/>
      <c r="AP1654" s="1759"/>
      <c r="AQ1654" s="1759"/>
      <c r="AR1654" s="1759" t="s">
        <v>1589</v>
      </c>
      <c r="AS1654" s="1759" t="s">
        <v>1588</v>
      </c>
      <c r="AT1654" s="1759" t="s">
        <v>327</v>
      </c>
      <c r="AU1654" s="1763"/>
      <c r="AV1654" s="1763"/>
    </row>
    <row r="1655" spans="1:48" ht="25" hidden="1">
      <c r="A1655" s="1785" t="str">
        <f t="shared" si="275"/>
        <v>גמל</v>
      </c>
      <c r="B1655" s="1786">
        <f t="shared" si="276"/>
        <v>406</v>
      </c>
      <c r="C1655" s="1787">
        <v>28946</v>
      </c>
      <c r="D1655" s="1786" t="str">
        <f t="shared" si="277"/>
        <v>אקסלנס טפחות השתלמות</v>
      </c>
      <c r="E1655" s="1786" t="s">
        <v>3929</v>
      </c>
      <c r="F1655" s="1786" t="s">
        <v>2958</v>
      </c>
      <c r="G1655" s="1786" t="s">
        <v>2959</v>
      </c>
      <c r="H1655" s="1786" t="str">
        <f t="shared" si="278"/>
        <v>לא פעיל</v>
      </c>
      <c r="I1655" s="1788">
        <f t="shared" si="279"/>
        <v>29495</v>
      </c>
      <c r="J1655" s="1788">
        <f t="shared" si="280"/>
        <v>40917.731469907398</v>
      </c>
      <c r="K1655" s="1786">
        <v>0</v>
      </c>
      <c r="L1655" s="1786" t="s">
        <v>1594</v>
      </c>
      <c r="M1655" s="1786" t="s">
        <v>1653</v>
      </c>
      <c r="N1655" s="1786" t="s">
        <v>1653</v>
      </c>
      <c r="O1655" s="1786">
        <v>0</v>
      </c>
      <c r="P1655" s="1786"/>
      <c r="Q1655" s="1786">
        <v>0</v>
      </c>
      <c r="R1655" s="1788"/>
      <c r="S1655" s="1786">
        <f t="shared" si="281"/>
        <v>406</v>
      </c>
      <c r="T1655" s="1786" t="str">
        <f t="shared" si="282"/>
        <v>בנק מזרחי טפחות בע"מ</v>
      </c>
      <c r="U1655" s="1786" t="str">
        <f t="shared" si="283"/>
        <v>אקסלנס טפחות השתלמות</v>
      </c>
      <c r="V1655" s="1786" t="str">
        <f t="shared" si="284"/>
        <v>520017450</v>
      </c>
      <c r="W1655" s="1789" t="str">
        <f t="shared" si="285"/>
        <v xml:space="preserve">הפניקס אקסלנס פנסיה וגמל בע"מ </v>
      </c>
      <c r="AC1655" s="1761" t="s">
        <v>1586</v>
      </c>
      <c r="AD1655" s="1762">
        <v>40917.731469907398</v>
      </c>
      <c r="AE1655" s="1762">
        <v>29495</v>
      </c>
      <c r="AF1655" s="1761" t="s">
        <v>1583</v>
      </c>
      <c r="AG1655" s="1761" t="s">
        <v>1583</v>
      </c>
      <c r="AH1655" s="1761" t="s">
        <v>1583</v>
      </c>
      <c r="AI1655" s="1761" t="s">
        <v>1794</v>
      </c>
      <c r="AJ1655" s="1761" t="s">
        <v>1794</v>
      </c>
      <c r="AK1655" s="1761">
        <v>406</v>
      </c>
      <c r="AL1655" s="1761" t="s">
        <v>1794</v>
      </c>
      <c r="AM1655" s="1761">
        <v>406</v>
      </c>
      <c r="AN1655" s="1761" t="s">
        <v>5370</v>
      </c>
      <c r="AO1655" s="1764"/>
      <c r="AP1655" s="1761" t="s">
        <v>5379</v>
      </c>
      <c r="AQ1655" s="1761" t="s">
        <v>5380</v>
      </c>
      <c r="AR1655" s="1761" t="s">
        <v>5381</v>
      </c>
      <c r="AS1655" s="1761" t="s">
        <v>347</v>
      </c>
      <c r="AT1655" s="1761" t="s">
        <v>327</v>
      </c>
      <c r="AU1655" s="1763"/>
      <c r="AV1655" s="1763"/>
    </row>
    <row r="1656" spans="1:48" ht="37.5" hidden="1">
      <c r="A1656" s="1785" t="str">
        <f t="shared" si="275"/>
        <v>גמל</v>
      </c>
      <c r="B1656" s="1786">
        <f t="shared" si="276"/>
        <v>405</v>
      </c>
      <c r="C1656" s="1787">
        <v>28946</v>
      </c>
      <c r="D1656" s="1786" t="str">
        <f t="shared" si="277"/>
        <v>קרן לחסכון של עובדי משרד הבטחון ומערכת הבטחון 1980 בע"מ</v>
      </c>
      <c r="E1656" s="1786" t="s">
        <v>3929</v>
      </c>
      <c r="F1656" s="1786" t="s">
        <v>2958</v>
      </c>
      <c r="G1656" s="1786" t="s">
        <v>2959</v>
      </c>
      <c r="H1656" s="1786" t="str">
        <f t="shared" si="278"/>
        <v>לא פעיל</v>
      </c>
      <c r="I1656" s="1788">
        <f t="shared" si="279"/>
        <v>30956</v>
      </c>
      <c r="J1656" s="1788">
        <f t="shared" si="280"/>
        <v>38230</v>
      </c>
      <c r="K1656" s="1786">
        <v>0</v>
      </c>
      <c r="L1656" s="1786" t="s">
        <v>1594</v>
      </c>
      <c r="M1656" s="1786" t="s">
        <v>1653</v>
      </c>
      <c r="N1656" s="1786" t="s">
        <v>1653</v>
      </c>
      <c r="O1656" s="1786">
        <v>0</v>
      </c>
      <c r="P1656" s="1786"/>
      <c r="Q1656" s="1786">
        <v>0</v>
      </c>
      <c r="R1656" s="1788"/>
      <c r="S1656" s="1786">
        <f t="shared" si="281"/>
        <v>405</v>
      </c>
      <c r="T1656" s="1786" t="str">
        <f t="shared" si="282"/>
        <v>בנק אוצר החייל בע"מ</v>
      </c>
      <c r="U1656" s="1786" t="str">
        <f t="shared" si="283"/>
        <v>קרן לחסכון של עובדי משרד הבטחון ומערכת הבטחון 1980 בע"מ</v>
      </c>
      <c r="V1656" s="1786">
        <f t="shared" si="284"/>
        <v>0</v>
      </c>
      <c r="W1656" s="1789" t="str">
        <f t="shared" si="285"/>
        <v>קרן לחסכון של משה"ב 1980 בע"מ..</v>
      </c>
      <c r="AC1656" s="1759" t="s">
        <v>1586</v>
      </c>
      <c r="AD1656" s="1760">
        <v>38230</v>
      </c>
      <c r="AE1656" s="1760">
        <v>30956</v>
      </c>
      <c r="AF1656" s="1759" t="s">
        <v>1583</v>
      </c>
      <c r="AG1656" s="1759" t="s">
        <v>1583</v>
      </c>
      <c r="AH1656" s="1759" t="s">
        <v>1583</v>
      </c>
      <c r="AI1656" s="1759" t="s">
        <v>3104</v>
      </c>
      <c r="AJ1656" s="1759" t="s">
        <v>1791</v>
      </c>
      <c r="AK1656" s="1759">
        <v>405</v>
      </c>
      <c r="AL1656" s="1759" t="s">
        <v>1791</v>
      </c>
      <c r="AM1656" s="1759">
        <v>405</v>
      </c>
      <c r="AN1656" s="1759" t="s">
        <v>5628</v>
      </c>
      <c r="AO1656" s="1764"/>
      <c r="AP1656" s="1759"/>
      <c r="AQ1656" s="1759"/>
      <c r="AR1656" s="1759" t="s">
        <v>1793</v>
      </c>
      <c r="AS1656" s="1759" t="s">
        <v>1792</v>
      </c>
      <c r="AT1656" s="1759" t="s">
        <v>327</v>
      </c>
      <c r="AU1656" s="1763"/>
      <c r="AV1656" s="1763"/>
    </row>
    <row r="1657" spans="1:48" ht="25" hidden="1">
      <c r="A1657" s="1785" t="str">
        <f t="shared" si="275"/>
        <v>גמל</v>
      </c>
      <c r="B1657" s="1786">
        <f t="shared" si="276"/>
        <v>1213</v>
      </c>
      <c r="C1657" s="1787">
        <v>28946</v>
      </c>
      <c r="D1657" s="1786" t="str">
        <f t="shared" si="277"/>
        <v>אשכול ב'</v>
      </c>
      <c r="E1657" s="1786" t="s">
        <v>3929</v>
      </c>
      <c r="F1657" s="1786" t="s">
        <v>2958</v>
      </c>
      <c r="G1657" s="1786" t="s">
        <v>2959</v>
      </c>
      <c r="H1657" s="1786" t="str">
        <f t="shared" si="278"/>
        <v>לא פעיל</v>
      </c>
      <c r="I1657" s="1788">
        <f t="shared" si="279"/>
        <v>29504</v>
      </c>
      <c r="J1657" s="1788">
        <f t="shared" si="280"/>
        <v>39538</v>
      </c>
      <c r="K1657" s="1786">
        <v>0</v>
      </c>
      <c r="L1657" s="1786" t="s">
        <v>1594</v>
      </c>
      <c r="M1657" s="1786" t="s">
        <v>1653</v>
      </c>
      <c r="N1657" s="1786" t="s">
        <v>1653</v>
      </c>
      <c r="O1657" s="1786">
        <v>0</v>
      </c>
      <c r="P1657" s="1786"/>
      <c r="Q1657" s="1786">
        <v>0</v>
      </c>
      <c r="R1657" s="1788"/>
      <c r="S1657" s="1786">
        <f t="shared" si="281"/>
        <v>404</v>
      </c>
      <c r="T1657" s="1786" t="str">
        <f t="shared" si="282"/>
        <v>בנק מזרחי טפחות בע"מ</v>
      </c>
      <c r="U1657" s="1786" t="str">
        <f t="shared" si="283"/>
        <v>אשכול קופה מרכזית לפיצויי פיטורין מסלול כללי</v>
      </c>
      <c r="V1657" s="1786" t="str">
        <f t="shared" si="284"/>
        <v>511446551</v>
      </c>
      <c r="W1657" s="1789" t="str">
        <f t="shared" si="285"/>
        <v>אלטשולר שחם גמל ופנסיה בע"מ</v>
      </c>
      <c r="AC1657" s="1761" t="s">
        <v>1586</v>
      </c>
      <c r="AD1657" s="1762">
        <v>39538</v>
      </c>
      <c r="AE1657" s="1762">
        <v>29504</v>
      </c>
      <c r="AF1657" s="1761" t="s">
        <v>1583</v>
      </c>
      <c r="AG1657" s="1761" t="s">
        <v>1583</v>
      </c>
      <c r="AH1657" s="1761" t="s">
        <v>1583</v>
      </c>
      <c r="AI1657" s="1761" t="s">
        <v>2339</v>
      </c>
      <c r="AJ1657" s="1761" t="s">
        <v>2339</v>
      </c>
      <c r="AK1657" s="1761">
        <v>1213</v>
      </c>
      <c r="AL1657" s="1761" t="s">
        <v>524</v>
      </c>
      <c r="AM1657" s="1761">
        <v>404</v>
      </c>
      <c r="AN1657" s="1761" t="s">
        <v>5370</v>
      </c>
      <c r="AO1657" s="1764"/>
      <c r="AP1657" s="1761" t="s">
        <v>5375</v>
      </c>
      <c r="AQ1657" s="1761" t="s">
        <v>5376</v>
      </c>
      <c r="AR1657" s="1761" t="s">
        <v>2963</v>
      </c>
      <c r="AS1657" s="1761" t="s">
        <v>523</v>
      </c>
      <c r="AT1657" s="1761" t="s">
        <v>327</v>
      </c>
      <c r="AU1657" s="1763"/>
      <c r="AV1657" s="1763"/>
    </row>
    <row r="1658" spans="1:48" ht="25" hidden="1">
      <c r="A1658" s="1785" t="str">
        <f t="shared" si="275"/>
        <v>גמל</v>
      </c>
      <c r="B1658" s="1786">
        <f t="shared" si="276"/>
        <v>404</v>
      </c>
      <c r="C1658" s="1787">
        <v>28946</v>
      </c>
      <c r="D1658" s="1786" t="str">
        <f t="shared" si="277"/>
        <v>אשכול קופה מרכזית לפיצויי פיטורין מסלול כללי</v>
      </c>
      <c r="E1658" s="1786" t="s">
        <v>3929</v>
      </c>
      <c r="F1658" s="1786" t="s">
        <v>2958</v>
      </c>
      <c r="G1658" s="1786" t="s">
        <v>2959</v>
      </c>
      <c r="H1658" s="1786" t="str">
        <f t="shared" si="278"/>
        <v>לא פעיל</v>
      </c>
      <c r="I1658" s="1788">
        <f t="shared" si="279"/>
        <v>29504</v>
      </c>
      <c r="J1658" s="1788">
        <f t="shared" si="280"/>
        <v>41560.509131944404</v>
      </c>
      <c r="K1658" s="1786">
        <v>0</v>
      </c>
      <c r="L1658" s="1786" t="s">
        <v>1594</v>
      </c>
      <c r="M1658" s="1786" t="s">
        <v>1653</v>
      </c>
      <c r="N1658" s="1786" t="s">
        <v>1653</v>
      </c>
      <c r="O1658" s="1786">
        <v>0</v>
      </c>
      <c r="P1658" s="1786"/>
      <c r="Q1658" s="1786">
        <v>0</v>
      </c>
      <c r="R1658" s="1788"/>
      <c r="S1658" s="1786">
        <f t="shared" si="281"/>
        <v>404</v>
      </c>
      <c r="T1658" s="1786" t="str">
        <f t="shared" si="282"/>
        <v>בנק מזרחי טפחות בע"מ</v>
      </c>
      <c r="U1658" s="1786" t="str">
        <f t="shared" si="283"/>
        <v>אשכול קופה מרכזית לפיצויי פיטורין מסלול כללי</v>
      </c>
      <c r="V1658" s="1786" t="str">
        <f t="shared" si="284"/>
        <v>511446551</v>
      </c>
      <c r="W1658" s="1789" t="str">
        <f t="shared" si="285"/>
        <v>אלטשולר שחם גמל ופנסיה בע"מ</v>
      </c>
      <c r="AC1658" s="1759" t="s">
        <v>1586</v>
      </c>
      <c r="AD1658" s="1760">
        <v>41560.509131944404</v>
      </c>
      <c r="AE1658" s="1760">
        <v>29504</v>
      </c>
      <c r="AF1658" s="1759" t="s">
        <v>1583</v>
      </c>
      <c r="AG1658" s="1759" t="s">
        <v>1583</v>
      </c>
      <c r="AH1658" s="1759" t="s">
        <v>1583</v>
      </c>
      <c r="AI1658" s="1759" t="s">
        <v>3103</v>
      </c>
      <c r="AJ1658" s="1759" t="s">
        <v>524</v>
      </c>
      <c r="AK1658" s="1759">
        <v>404</v>
      </c>
      <c r="AL1658" s="1759" t="s">
        <v>524</v>
      </c>
      <c r="AM1658" s="1759">
        <v>404</v>
      </c>
      <c r="AN1658" s="1759" t="s">
        <v>5370</v>
      </c>
      <c r="AO1658" s="1764"/>
      <c r="AP1658" s="1759" t="s">
        <v>5375</v>
      </c>
      <c r="AQ1658" s="1759" t="s">
        <v>5376</v>
      </c>
      <c r="AR1658" s="1759" t="s">
        <v>2963</v>
      </c>
      <c r="AS1658" s="1759" t="s">
        <v>523</v>
      </c>
      <c r="AT1658" s="1759" t="s">
        <v>327</v>
      </c>
      <c r="AU1658" s="1763"/>
      <c r="AV1658" s="1763"/>
    </row>
    <row r="1659" spans="1:48" ht="25" hidden="1">
      <c r="A1659" s="1785" t="str">
        <f t="shared" si="275"/>
        <v>גמל</v>
      </c>
      <c r="B1659" s="1786">
        <f t="shared" si="276"/>
        <v>1005</v>
      </c>
      <c r="C1659" s="1787">
        <v>28946</v>
      </c>
      <c r="D1659" s="1786" t="str">
        <f t="shared" si="277"/>
        <v>אשכול - חו"ל</v>
      </c>
      <c r="E1659" s="1786" t="s">
        <v>3929</v>
      </c>
      <c r="F1659" s="1786" t="s">
        <v>2958</v>
      </c>
      <c r="G1659" s="1786" t="s">
        <v>2959</v>
      </c>
      <c r="H1659" s="1786" t="str">
        <f t="shared" si="278"/>
        <v>לא פעיל</v>
      </c>
      <c r="I1659" s="1788">
        <f t="shared" si="279"/>
        <v>29504</v>
      </c>
      <c r="J1659" s="1788">
        <f t="shared" si="280"/>
        <v>39538</v>
      </c>
      <c r="K1659" s="1786">
        <v>0</v>
      </c>
      <c r="L1659" s="1786" t="s">
        <v>1594</v>
      </c>
      <c r="M1659" s="1786" t="s">
        <v>1653</v>
      </c>
      <c r="N1659" s="1786" t="s">
        <v>1653</v>
      </c>
      <c r="O1659" s="1786">
        <v>0</v>
      </c>
      <c r="P1659" s="1786"/>
      <c r="Q1659" s="1786">
        <v>0</v>
      </c>
      <c r="R1659" s="1788"/>
      <c r="S1659" s="1786">
        <f t="shared" si="281"/>
        <v>404</v>
      </c>
      <c r="T1659" s="1786" t="str">
        <f t="shared" si="282"/>
        <v>בנק מזרחי טפחות בע"מ</v>
      </c>
      <c r="U1659" s="1786" t="str">
        <f t="shared" si="283"/>
        <v>אשכול קופה מרכזית לפיצויי פיטורין מסלול כללי</v>
      </c>
      <c r="V1659" s="1786" t="str">
        <f t="shared" si="284"/>
        <v>511446551</v>
      </c>
      <c r="W1659" s="1789" t="str">
        <f t="shared" si="285"/>
        <v>אלטשולר שחם גמל ופנסיה בע"מ</v>
      </c>
      <c r="AC1659" s="1761" t="s">
        <v>1586</v>
      </c>
      <c r="AD1659" s="1762">
        <v>39538</v>
      </c>
      <c r="AE1659" s="1762">
        <v>29504</v>
      </c>
      <c r="AF1659" s="1761" t="s">
        <v>1948</v>
      </c>
      <c r="AG1659" s="1761" t="s">
        <v>1947</v>
      </c>
      <c r="AH1659" s="1761" t="s">
        <v>1594</v>
      </c>
      <c r="AI1659" s="1761" t="s">
        <v>3458</v>
      </c>
      <c r="AJ1659" s="1761" t="s">
        <v>2200</v>
      </c>
      <c r="AK1659" s="1761">
        <v>1005</v>
      </c>
      <c r="AL1659" s="1761" t="s">
        <v>524</v>
      </c>
      <c r="AM1659" s="1761">
        <v>404</v>
      </c>
      <c r="AN1659" s="1761" t="s">
        <v>5370</v>
      </c>
      <c r="AO1659" s="1764"/>
      <c r="AP1659" s="1761" t="s">
        <v>5375</v>
      </c>
      <c r="AQ1659" s="1761" t="s">
        <v>5376</v>
      </c>
      <c r="AR1659" s="1761" t="s">
        <v>2963</v>
      </c>
      <c r="AS1659" s="1761" t="s">
        <v>523</v>
      </c>
      <c r="AT1659" s="1761" t="s">
        <v>327</v>
      </c>
      <c r="AU1659" s="1763"/>
      <c r="AV1659" s="1763"/>
    </row>
    <row r="1660" spans="1:48" ht="25" hidden="1">
      <c r="A1660" s="1785" t="str">
        <f t="shared" si="275"/>
        <v>גמל</v>
      </c>
      <c r="B1660" s="1786">
        <f t="shared" si="276"/>
        <v>403</v>
      </c>
      <c r="C1660" s="1787">
        <v>28946</v>
      </c>
      <c r="D1660" s="1786" t="str">
        <f t="shared" si="277"/>
        <v>הדר - קופת תגמולים</v>
      </c>
      <c r="E1660" s="1786" t="s">
        <v>3929</v>
      </c>
      <c r="F1660" s="1786" t="s">
        <v>2958</v>
      </c>
      <c r="G1660" s="1786" t="s">
        <v>2959</v>
      </c>
      <c r="H1660" s="1786" t="str">
        <f t="shared" si="278"/>
        <v>לא פעיל</v>
      </c>
      <c r="I1660" s="1788">
        <f t="shared" si="279"/>
        <v>29312</v>
      </c>
      <c r="J1660" s="1788">
        <f t="shared" si="280"/>
        <v>40694</v>
      </c>
      <c r="K1660" s="1786">
        <v>0</v>
      </c>
      <c r="L1660" s="1786" t="s">
        <v>1594</v>
      </c>
      <c r="M1660" s="1786" t="s">
        <v>1653</v>
      </c>
      <c r="N1660" s="1786" t="s">
        <v>1653</v>
      </c>
      <c r="O1660" s="1786">
        <v>0</v>
      </c>
      <c r="P1660" s="1786"/>
      <c r="Q1660" s="1786">
        <v>0</v>
      </c>
      <c r="R1660" s="1788"/>
      <c r="S1660" s="1786">
        <f t="shared" si="281"/>
        <v>403</v>
      </c>
      <c r="T1660" s="1786" t="str">
        <f t="shared" si="282"/>
        <v>בנק מזרחי טפחות בע"מ</v>
      </c>
      <c r="U1660" s="1786" t="str">
        <f t="shared" si="283"/>
        <v>הדר - קופת תגמולים</v>
      </c>
      <c r="V1660" s="1786" t="str">
        <f t="shared" si="284"/>
        <v>511446551</v>
      </c>
      <c r="W1660" s="1789" t="str">
        <f t="shared" si="285"/>
        <v>אלטשולר שחם גמל ופנסיה בע"מ</v>
      </c>
      <c r="AC1660" s="1759" t="s">
        <v>1586</v>
      </c>
      <c r="AD1660" s="1760">
        <v>40694</v>
      </c>
      <c r="AE1660" s="1760">
        <v>29312</v>
      </c>
      <c r="AF1660" s="1759" t="s">
        <v>1583</v>
      </c>
      <c r="AG1660" s="1759" t="s">
        <v>1583</v>
      </c>
      <c r="AH1660" s="1759" t="s">
        <v>1583</v>
      </c>
      <c r="AI1660" s="1759" t="s">
        <v>3102</v>
      </c>
      <c r="AJ1660" s="1759" t="s">
        <v>1790</v>
      </c>
      <c r="AK1660" s="1759">
        <v>403</v>
      </c>
      <c r="AL1660" s="1759" t="s">
        <v>1790</v>
      </c>
      <c r="AM1660" s="1759">
        <v>403</v>
      </c>
      <c r="AN1660" s="1759" t="s">
        <v>5370</v>
      </c>
      <c r="AO1660" s="1764"/>
      <c r="AP1660" s="1759" t="s">
        <v>5375</v>
      </c>
      <c r="AQ1660" s="1759" t="s">
        <v>5376</v>
      </c>
      <c r="AR1660" s="1759" t="s">
        <v>2963</v>
      </c>
      <c r="AS1660" s="1759" t="s">
        <v>523</v>
      </c>
      <c r="AT1660" s="1759" t="s">
        <v>327</v>
      </c>
      <c r="AU1660" s="1763"/>
      <c r="AV1660" s="1763"/>
    </row>
    <row r="1661" spans="1:48" ht="37.5" hidden="1">
      <c r="A1661" s="1785" t="str">
        <f t="shared" si="275"/>
        <v>גמל</v>
      </c>
      <c r="B1661" s="1786">
        <f t="shared" si="276"/>
        <v>402</v>
      </c>
      <c r="C1661" s="1787">
        <v>28946</v>
      </c>
      <c r="D1661" s="1786" t="str">
        <f t="shared" si="277"/>
        <v>קרן ביטוח הדדי מיסודה של הסתדרות המורים בע"מ</v>
      </c>
      <c r="E1661" s="1786" t="s">
        <v>3929</v>
      </c>
      <c r="F1661" s="1786" t="s">
        <v>2958</v>
      </c>
      <c r="G1661" s="1786" t="s">
        <v>2959</v>
      </c>
      <c r="H1661" s="1786" t="str">
        <f t="shared" si="278"/>
        <v>לא פעיל</v>
      </c>
      <c r="I1661" s="1788">
        <f t="shared" si="279"/>
        <v>31778</v>
      </c>
      <c r="J1661" s="1788">
        <f t="shared" si="280"/>
        <v>39203</v>
      </c>
      <c r="K1661" s="1786">
        <v>0</v>
      </c>
      <c r="L1661" s="1786" t="s">
        <v>1594</v>
      </c>
      <c r="M1661" s="1786" t="s">
        <v>1653</v>
      </c>
      <c r="N1661" s="1786" t="s">
        <v>1653</v>
      </c>
      <c r="O1661" s="1786">
        <v>0</v>
      </c>
      <c r="P1661" s="1786"/>
      <c r="Q1661" s="1786">
        <v>0</v>
      </c>
      <c r="R1661" s="1788"/>
      <c r="S1661" s="1786">
        <f t="shared" si="281"/>
        <v>402</v>
      </c>
      <c r="T1661" s="1786" t="str">
        <f t="shared" si="282"/>
        <v>בנק מסד בע"מ</v>
      </c>
      <c r="U1661" s="1786" t="str">
        <f t="shared" si="283"/>
        <v>קרן ביטוח הדדי מיסודה של הסתדרות המורים בע"מ</v>
      </c>
      <c r="V1661" s="1786">
        <f t="shared" si="284"/>
        <v>0</v>
      </c>
      <c r="W1661" s="1789" t="str">
        <f t="shared" si="285"/>
        <v>קרן ביטוח הדדי מיסודה של הסתדרות המורים בע"מ</v>
      </c>
      <c r="AC1661" s="1761" t="s">
        <v>1586</v>
      </c>
      <c r="AD1661" s="1762">
        <v>39203</v>
      </c>
      <c r="AE1661" s="1762">
        <v>31778</v>
      </c>
      <c r="AF1661" s="1761" t="s">
        <v>1583</v>
      </c>
      <c r="AG1661" s="1761" t="s">
        <v>1583</v>
      </c>
      <c r="AH1661" s="1761" t="s">
        <v>1583</v>
      </c>
      <c r="AI1661" s="1761" t="s">
        <v>3101</v>
      </c>
      <c r="AJ1661" s="1761" t="s">
        <v>1788</v>
      </c>
      <c r="AK1661" s="1761">
        <v>402</v>
      </c>
      <c r="AL1661" s="1761" t="s">
        <v>1788</v>
      </c>
      <c r="AM1661" s="1761">
        <v>402</v>
      </c>
      <c r="AN1661" s="1761" t="s">
        <v>5531</v>
      </c>
      <c r="AO1661" s="1764"/>
      <c r="AP1661" s="1761"/>
      <c r="AQ1661" s="1761"/>
      <c r="AR1661" s="1761" t="s">
        <v>1788</v>
      </c>
      <c r="AS1661" s="1761" t="s">
        <v>1789</v>
      </c>
      <c r="AT1661" s="1761" t="s">
        <v>327</v>
      </c>
      <c r="AU1661" s="1763"/>
      <c r="AV1661" s="1763"/>
    </row>
    <row r="1662" spans="1:48" ht="25" hidden="1">
      <c r="A1662" s="1785" t="str">
        <f t="shared" si="275"/>
        <v>גמל</v>
      </c>
      <c r="B1662" s="1786">
        <f t="shared" si="276"/>
        <v>399</v>
      </c>
      <c r="C1662" s="1787">
        <v>28946</v>
      </c>
      <c r="D1662" s="1786" t="str">
        <f t="shared" si="277"/>
        <v xml:space="preserve">אקסלנס השתלמות פלטינום </v>
      </c>
      <c r="E1662" s="1786" t="s">
        <v>3929</v>
      </c>
      <c r="F1662" s="1786" t="s">
        <v>2958</v>
      </c>
      <c r="G1662" s="1786" t="s">
        <v>2959</v>
      </c>
      <c r="H1662" s="1786" t="str">
        <f t="shared" si="278"/>
        <v>לא פעיל</v>
      </c>
      <c r="I1662" s="1788">
        <f t="shared" si="279"/>
        <v>28581</v>
      </c>
      <c r="J1662" s="1788">
        <f t="shared" si="280"/>
        <v>41654.679872685199</v>
      </c>
      <c r="K1662" s="1786">
        <v>0</v>
      </c>
      <c r="L1662" s="1786" t="s">
        <v>1594</v>
      </c>
      <c r="M1662" s="1786" t="s">
        <v>1653</v>
      </c>
      <c r="N1662" s="1786" t="s">
        <v>1653</v>
      </c>
      <c r="O1662" s="1786">
        <v>0</v>
      </c>
      <c r="P1662" s="1786"/>
      <c r="Q1662" s="1786">
        <v>0</v>
      </c>
      <c r="R1662" s="1788"/>
      <c r="S1662" s="1786">
        <f t="shared" si="281"/>
        <v>399</v>
      </c>
      <c r="T1662" s="1786" t="str">
        <f t="shared" si="282"/>
        <v>בנק מזרחי טפחות בע"מ</v>
      </c>
      <c r="U1662" s="1786" t="str">
        <f t="shared" si="283"/>
        <v xml:space="preserve">אקסלנס השתלמות פלטינום </v>
      </c>
      <c r="V1662" s="1786" t="str">
        <f t="shared" si="284"/>
        <v>520017450</v>
      </c>
      <c r="W1662" s="1789" t="str">
        <f t="shared" si="285"/>
        <v xml:space="preserve">הפניקס אקסלנס פנסיה וגמל בע"מ </v>
      </c>
      <c r="AC1662" s="1759" t="s">
        <v>1586</v>
      </c>
      <c r="AD1662" s="1760">
        <v>41654.679872685199</v>
      </c>
      <c r="AE1662" s="1760">
        <v>28581</v>
      </c>
      <c r="AF1662" s="1759" t="s">
        <v>1583</v>
      </c>
      <c r="AG1662" s="1759" t="s">
        <v>1583</v>
      </c>
      <c r="AH1662" s="1759" t="s">
        <v>1583</v>
      </c>
      <c r="AI1662" s="1759" t="s">
        <v>522</v>
      </c>
      <c r="AJ1662" s="1759" t="s">
        <v>522</v>
      </c>
      <c r="AK1662" s="1759">
        <v>399</v>
      </c>
      <c r="AL1662" s="1759" t="s">
        <v>522</v>
      </c>
      <c r="AM1662" s="1759">
        <v>399</v>
      </c>
      <c r="AN1662" s="1759" t="s">
        <v>5370</v>
      </c>
      <c r="AO1662" s="1764"/>
      <c r="AP1662" s="1759" t="s">
        <v>5379</v>
      </c>
      <c r="AQ1662" s="1759" t="s">
        <v>5380</v>
      </c>
      <c r="AR1662" s="1759" t="s">
        <v>5381</v>
      </c>
      <c r="AS1662" s="1759" t="s">
        <v>347</v>
      </c>
      <c r="AT1662" s="1759" t="s">
        <v>327</v>
      </c>
      <c r="AU1662" s="1763"/>
      <c r="AV1662" s="1763"/>
    </row>
    <row r="1663" spans="1:48" ht="25" hidden="1">
      <c r="A1663" s="1785" t="str">
        <f t="shared" si="275"/>
        <v>גמל</v>
      </c>
      <c r="B1663" s="1786">
        <f t="shared" si="276"/>
        <v>686</v>
      </c>
      <c r="C1663" s="1787">
        <v>28946</v>
      </c>
      <c r="D1663" s="1786" t="str">
        <f t="shared" si="277"/>
        <v>אקסלנס השתלמות לטווח קצר</v>
      </c>
      <c r="E1663" s="1786" t="s">
        <v>3929</v>
      </c>
      <c r="F1663" s="1786" t="s">
        <v>2958</v>
      </c>
      <c r="G1663" s="1786" t="s">
        <v>2959</v>
      </c>
      <c r="H1663" s="1786" t="str">
        <f t="shared" si="278"/>
        <v>פעיל</v>
      </c>
      <c r="I1663" s="1788">
        <f t="shared" si="279"/>
        <v>28581</v>
      </c>
      <c r="J1663" s="1788" t="str">
        <f t="shared" si="280"/>
        <v/>
      </c>
      <c r="K1663" s="1786">
        <v>0</v>
      </c>
      <c r="L1663" s="1786" t="s">
        <v>1594</v>
      </c>
      <c r="M1663" s="1786" t="s">
        <v>1653</v>
      </c>
      <c r="N1663" s="1786" t="s">
        <v>1653</v>
      </c>
      <c r="O1663" s="1786">
        <v>0</v>
      </c>
      <c r="P1663" s="1786"/>
      <c r="Q1663" s="1786">
        <v>0</v>
      </c>
      <c r="R1663" s="1788"/>
      <c r="S1663" s="1786">
        <f t="shared" si="281"/>
        <v>399</v>
      </c>
      <c r="T1663" s="1786" t="str">
        <f t="shared" si="282"/>
        <v>בנק מזרחי טפחות בע"מ</v>
      </c>
      <c r="U1663" s="1786" t="str">
        <f t="shared" si="283"/>
        <v xml:space="preserve">אקסלנס השתלמות </v>
      </c>
      <c r="V1663" s="1786" t="str">
        <f t="shared" si="284"/>
        <v>520017450</v>
      </c>
      <c r="W1663" s="1789" t="str">
        <f t="shared" si="285"/>
        <v xml:space="preserve">הפניקס אקסלנס פנסיה וגמל בע"מ </v>
      </c>
      <c r="AC1663" s="1761" t="s">
        <v>346</v>
      </c>
      <c r="AD1663" s="1761"/>
      <c r="AE1663" s="1762">
        <v>28581</v>
      </c>
      <c r="AF1663" s="1761" t="s">
        <v>3956</v>
      </c>
      <c r="AG1663" s="1761" t="s">
        <v>70</v>
      </c>
      <c r="AH1663" s="1761" t="s">
        <v>1594</v>
      </c>
      <c r="AI1663" s="1761" t="s">
        <v>5662</v>
      </c>
      <c r="AJ1663" s="1761" t="s">
        <v>5662</v>
      </c>
      <c r="AK1663" s="1761">
        <v>686</v>
      </c>
      <c r="AL1663" s="1761" t="s">
        <v>3249</v>
      </c>
      <c r="AM1663" s="1761">
        <v>399</v>
      </c>
      <c r="AN1663" s="1761" t="s">
        <v>5370</v>
      </c>
      <c r="AO1663" s="1764"/>
      <c r="AP1663" s="1761" t="s">
        <v>5379</v>
      </c>
      <c r="AQ1663" s="1761" t="s">
        <v>5380</v>
      </c>
      <c r="AR1663" s="1761" t="s">
        <v>5381</v>
      </c>
      <c r="AS1663" s="1761" t="s">
        <v>347</v>
      </c>
      <c r="AT1663" s="1761" t="s">
        <v>327</v>
      </c>
      <c r="AU1663" s="1763"/>
      <c r="AV1663" s="1763"/>
    </row>
    <row r="1664" spans="1:48" ht="25" hidden="1">
      <c r="A1664" s="1785" t="str">
        <f t="shared" si="275"/>
        <v>גמל</v>
      </c>
      <c r="B1664" s="1786">
        <f t="shared" si="276"/>
        <v>715</v>
      </c>
      <c r="C1664" s="1787">
        <v>28946</v>
      </c>
      <c r="D1664" s="1786" t="str">
        <f t="shared" si="277"/>
        <v>אקסלנס השתלמות שקלי טווח קצר</v>
      </c>
      <c r="E1664" s="1786" t="s">
        <v>3929</v>
      </c>
      <c r="F1664" s="1786" t="s">
        <v>2958</v>
      </c>
      <c r="G1664" s="1786" t="s">
        <v>2959</v>
      </c>
      <c r="H1664" s="1786" t="str">
        <f t="shared" si="278"/>
        <v>פעיל</v>
      </c>
      <c r="I1664" s="1788">
        <f t="shared" si="279"/>
        <v>28581</v>
      </c>
      <c r="J1664" s="1788" t="str">
        <f t="shared" si="280"/>
        <v/>
      </c>
      <c r="K1664" s="1786">
        <v>0</v>
      </c>
      <c r="L1664" s="1786" t="s">
        <v>1594</v>
      </c>
      <c r="M1664" s="1786" t="s">
        <v>1653</v>
      </c>
      <c r="N1664" s="1786" t="s">
        <v>1653</v>
      </c>
      <c r="O1664" s="1786">
        <v>0</v>
      </c>
      <c r="P1664" s="1786"/>
      <c r="Q1664" s="1786">
        <v>0</v>
      </c>
      <c r="R1664" s="1788"/>
      <c r="S1664" s="1786">
        <f t="shared" si="281"/>
        <v>399</v>
      </c>
      <c r="T1664" s="1786" t="str">
        <f t="shared" si="282"/>
        <v>בנק מזרחי טפחות בע"מ</v>
      </c>
      <c r="U1664" s="1786" t="str">
        <f t="shared" si="283"/>
        <v xml:space="preserve">אקסלנס השתלמות </v>
      </c>
      <c r="V1664" s="1786" t="str">
        <f t="shared" si="284"/>
        <v>520017450</v>
      </c>
      <c r="W1664" s="1789" t="str">
        <f t="shared" si="285"/>
        <v xml:space="preserve">הפניקס אקסלנס פנסיה וגמל בע"מ </v>
      </c>
      <c r="AC1664" s="1759" t="s">
        <v>346</v>
      </c>
      <c r="AD1664" s="1759"/>
      <c r="AE1664" s="1760">
        <v>28581</v>
      </c>
      <c r="AF1664" s="1759" t="s">
        <v>1673</v>
      </c>
      <c r="AG1664" s="1759" t="s">
        <v>1614</v>
      </c>
      <c r="AH1664" s="1759" t="s">
        <v>1594</v>
      </c>
      <c r="AI1664" s="1759" t="s">
        <v>3974</v>
      </c>
      <c r="AJ1664" s="1759" t="s">
        <v>3974</v>
      </c>
      <c r="AK1664" s="1759">
        <v>715</v>
      </c>
      <c r="AL1664" s="1759" t="s">
        <v>3249</v>
      </c>
      <c r="AM1664" s="1759">
        <v>399</v>
      </c>
      <c r="AN1664" s="1759" t="s">
        <v>5370</v>
      </c>
      <c r="AO1664" s="1764"/>
      <c r="AP1664" s="1759" t="s">
        <v>5379</v>
      </c>
      <c r="AQ1664" s="1759" t="s">
        <v>5380</v>
      </c>
      <c r="AR1664" s="1759" t="s">
        <v>5381</v>
      </c>
      <c r="AS1664" s="1759" t="s">
        <v>347</v>
      </c>
      <c r="AT1664" s="1759" t="s">
        <v>327</v>
      </c>
      <c r="AU1664" s="1763"/>
      <c r="AV1664" s="1763"/>
    </row>
    <row r="1665" spans="1:48" ht="25" hidden="1">
      <c r="A1665" s="1785" t="str">
        <f t="shared" si="275"/>
        <v>גמל</v>
      </c>
      <c r="B1665" s="1786">
        <f t="shared" si="276"/>
        <v>716</v>
      </c>
      <c r="C1665" s="1787">
        <v>28946</v>
      </c>
      <c r="D1665" s="1786" t="str">
        <f t="shared" si="277"/>
        <v>אקסלנס השתלמות אג"ח ללא מניות</v>
      </c>
      <c r="E1665" s="1786" t="s">
        <v>3929</v>
      </c>
      <c r="F1665" s="1786" t="s">
        <v>2958</v>
      </c>
      <c r="G1665" s="1786" t="s">
        <v>2959</v>
      </c>
      <c r="H1665" s="1786" t="str">
        <f t="shared" si="278"/>
        <v>פעיל</v>
      </c>
      <c r="I1665" s="1788">
        <f t="shared" si="279"/>
        <v>28581</v>
      </c>
      <c r="J1665" s="1788" t="str">
        <f t="shared" si="280"/>
        <v/>
      </c>
      <c r="K1665" s="1786">
        <v>0</v>
      </c>
      <c r="L1665" s="1786" t="s">
        <v>1594</v>
      </c>
      <c r="M1665" s="1786" t="s">
        <v>1653</v>
      </c>
      <c r="N1665" s="1786" t="s">
        <v>1653</v>
      </c>
      <c r="O1665" s="1786">
        <v>0</v>
      </c>
      <c r="P1665" s="1786"/>
      <c r="Q1665" s="1786">
        <v>0</v>
      </c>
      <c r="R1665" s="1788"/>
      <c r="S1665" s="1786">
        <f t="shared" si="281"/>
        <v>399</v>
      </c>
      <c r="T1665" s="1786" t="str">
        <f t="shared" si="282"/>
        <v>בנק מזרחי טפחות בע"מ</v>
      </c>
      <c r="U1665" s="1786" t="str">
        <f t="shared" si="283"/>
        <v xml:space="preserve">אקסלנס השתלמות </v>
      </c>
      <c r="V1665" s="1786" t="str">
        <f t="shared" si="284"/>
        <v>520017450</v>
      </c>
      <c r="W1665" s="1789" t="str">
        <f t="shared" si="285"/>
        <v xml:space="preserve">הפניקס אקסלנס פנסיה וגמל בע"מ </v>
      </c>
      <c r="AC1665" s="1761" t="s">
        <v>346</v>
      </c>
      <c r="AD1665" s="1761"/>
      <c r="AE1665" s="1762">
        <v>28581</v>
      </c>
      <c r="AF1665" s="1761" t="s">
        <v>1681</v>
      </c>
      <c r="AG1665" s="1761" t="s">
        <v>1653</v>
      </c>
      <c r="AH1665" s="1761" t="s">
        <v>1594</v>
      </c>
      <c r="AI1665" s="1761" t="s">
        <v>3975</v>
      </c>
      <c r="AJ1665" s="1761" t="s">
        <v>3975</v>
      </c>
      <c r="AK1665" s="1761">
        <v>716</v>
      </c>
      <c r="AL1665" s="1761" t="s">
        <v>3249</v>
      </c>
      <c r="AM1665" s="1761">
        <v>399</v>
      </c>
      <c r="AN1665" s="1761" t="s">
        <v>5370</v>
      </c>
      <c r="AO1665" s="1764"/>
      <c r="AP1665" s="1761" t="s">
        <v>5379</v>
      </c>
      <c r="AQ1665" s="1761" t="s">
        <v>5380</v>
      </c>
      <c r="AR1665" s="1761" t="s">
        <v>5381</v>
      </c>
      <c r="AS1665" s="1761" t="s">
        <v>347</v>
      </c>
      <c r="AT1665" s="1761" t="s">
        <v>327</v>
      </c>
      <c r="AU1665" s="1763"/>
      <c r="AV1665" s="1763"/>
    </row>
    <row r="1666" spans="1:48" ht="25" hidden="1">
      <c r="A1666" s="1785" t="str">
        <f t="shared" si="275"/>
        <v>גמל</v>
      </c>
      <c r="B1666" s="1786">
        <f t="shared" si="276"/>
        <v>794</v>
      </c>
      <c r="C1666" s="1787">
        <v>28946</v>
      </c>
      <c r="D1666" s="1786" t="str">
        <f t="shared" si="277"/>
        <v>אקסלנס השתלמות פלטינום שקלי</v>
      </c>
      <c r="E1666" s="1786" t="s">
        <v>3929</v>
      </c>
      <c r="F1666" s="1786" t="s">
        <v>2958</v>
      </c>
      <c r="G1666" s="1786" t="s">
        <v>2959</v>
      </c>
      <c r="H1666" s="1786" t="str">
        <f t="shared" si="278"/>
        <v>לא פעיל</v>
      </c>
      <c r="I1666" s="1788">
        <f t="shared" si="279"/>
        <v>28581</v>
      </c>
      <c r="J1666" s="1788">
        <f t="shared" si="280"/>
        <v>41654.679872685199</v>
      </c>
      <c r="K1666" s="1786">
        <v>0</v>
      </c>
      <c r="L1666" s="1786" t="s">
        <v>1594</v>
      </c>
      <c r="M1666" s="1786" t="s">
        <v>1653</v>
      </c>
      <c r="N1666" s="1786" t="s">
        <v>1653</v>
      </c>
      <c r="O1666" s="1786">
        <v>0</v>
      </c>
      <c r="P1666" s="1786"/>
      <c r="Q1666" s="1786">
        <v>0</v>
      </c>
      <c r="R1666" s="1788"/>
      <c r="S1666" s="1786">
        <f t="shared" si="281"/>
        <v>399</v>
      </c>
      <c r="T1666" s="1786" t="str">
        <f t="shared" si="282"/>
        <v>בנק מזרחי טפחות בע"מ</v>
      </c>
      <c r="U1666" s="1786" t="str">
        <f t="shared" si="283"/>
        <v xml:space="preserve">אקסלנס השתלמות פלטינום </v>
      </c>
      <c r="V1666" s="1786" t="str">
        <f t="shared" si="284"/>
        <v>520017450</v>
      </c>
      <c r="W1666" s="1789" t="str">
        <f t="shared" si="285"/>
        <v xml:space="preserve">הפניקס אקסלנס פנסיה וגמל בע"מ </v>
      </c>
      <c r="AC1666" s="1759" t="s">
        <v>1586</v>
      </c>
      <c r="AD1666" s="1760">
        <v>41654.679872685199</v>
      </c>
      <c r="AE1666" s="1760">
        <v>28581</v>
      </c>
      <c r="AF1666" s="1759" t="s">
        <v>1076</v>
      </c>
      <c r="AG1666" s="1759" t="s">
        <v>1614</v>
      </c>
      <c r="AH1666" s="1759" t="s">
        <v>1594</v>
      </c>
      <c r="AI1666" s="1759" t="s">
        <v>2050</v>
      </c>
      <c r="AJ1666" s="1759" t="s">
        <v>2050</v>
      </c>
      <c r="AK1666" s="1759">
        <v>794</v>
      </c>
      <c r="AL1666" s="1759" t="s">
        <v>522</v>
      </c>
      <c r="AM1666" s="1759">
        <v>399</v>
      </c>
      <c r="AN1666" s="1759" t="s">
        <v>5370</v>
      </c>
      <c r="AO1666" s="1764"/>
      <c r="AP1666" s="1759" t="s">
        <v>5379</v>
      </c>
      <c r="AQ1666" s="1759" t="s">
        <v>5380</v>
      </c>
      <c r="AR1666" s="1759" t="s">
        <v>5381</v>
      </c>
      <c r="AS1666" s="1759" t="s">
        <v>347</v>
      </c>
      <c r="AT1666" s="1759" t="s">
        <v>327</v>
      </c>
      <c r="AU1666" s="1763"/>
      <c r="AV1666" s="1763"/>
    </row>
    <row r="1667" spans="1:48" ht="25" hidden="1">
      <c r="A1667" s="1785" t="str">
        <f t="shared" si="275"/>
        <v>גמל</v>
      </c>
      <c r="B1667" s="1786">
        <f t="shared" si="276"/>
        <v>796</v>
      </c>
      <c r="C1667" s="1787">
        <v>28946</v>
      </c>
      <c r="D1667" s="1786" t="str">
        <f t="shared" si="277"/>
        <v>אקסלנס השתלמות מט"ח</v>
      </c>
      <c r="E1667" s="1786" t="s">
        <v>3929</v>
      </c>
      <c r="F1667" s="1786" t="s">
        <v>2958</v>
      </c>
      <c r="G1667" s="1786" t="s">
        <v>2959</v>
      </c>
      <c r="H1667" s="1786" t="str">
        <f t="shared" si="278"/>
        <v>לא פעיל</v>
      </c>
      <c r="I1667" s="1788">
        <f t="shared" si="279"/>
        <v>28581</v>
      </c>
      <c r="J1667" s="1788">
        <f t="shared" si="280"/>
        <v>42381.432719907403</v>
      </c>
      <c r="K1667" s="1786">
        <v>0</v>
      </c>
      <c r="L1667" s="1786" t="s">
        <v>1594</v>
      </c>
      <c r="M1667" s="1786" t="s">
        <v>1653</v>
      </c>
      <c r="N1667" s="1786" t="s">
        <v>1653</v>
      </c>
      <c r="O1667" s="1786">
        <v>0</v>
      </c>
      <c r="P1667" s="1786"/>
      <c r="Q1667" s="1786">
        <v>0</v>
      </c>
      <c r="R1667" s="1788"/>
      <c r="S1667" s="1786">
        <f t="shared" si="281"/>
        <v>399</v>
      </c>
      <c r="T1667" s="1786" t="str">
        <f t="shared" si="282"/>
        <v>בנק מזרחי טפחות בע"מ</v>
      </c>
      <c r="U1667" s="1786" t="str">
        <f t="shared" si="283"/>
        <v xml:space="preserve">אקסלנס השתלמות </v>
      </c>
      <c r="V1667" s="1786" t="str">
        <f t="shared" si="284"/>
        <v>520017450</v>
      </c>
      <c r="W1667" s="1789" t="str">
        <f t="shared" si="285"/>
        <v xml:space="preserve">הפניקס אקסלנס פנסיה וגמל בע"מ </v>
      </c>
      <c r="AC1667" s="1761" t="s">
        <v>1586</v>
      </c>
      <c r="AD1667" s="1762">
        <v>42381.432719907403</v>
      </c>
      <c r="AE1667" s="1762">
        <v>28581</v>
      </c>
      <c r="AF1667" s="1761" t="s">
        <v>1611</v>
      </c>
      <c r="AG1667" s="1761" t="s">
        <v>1611</v>
      </c>
      <c r="AH1667" s="1761" t="s">
        <v>1594</v>
      </c>
      <c r="AI1667" s="1761" t="s">
        <v>3317</v>
      </c>
      <c r="AJ1667" s="1761" t="s">
        <v>3317</v>
      </c>
      <c r="AK1667" s="1761">
        <v>796</v>
      </c>
      <c r="AL1667" s="1761" t="s">
        <v>3249</v>
      </c>
      <c r="AM1667" s="1761">
        <v>399</v>
      </c>
      <c r="AN1667" s="1761" t="s">
        <v>5370</v>
      </c>
      <c r="AO1667" s="1764"/>
      <c r="AP1667" s="1761" t="s">
        <v>5379</v>
      </c>
      <c r="AQ1667" s="1761" t="s">
        <v>5380</v>
      </c>
      <c r="AR1667" s="1761" t="s">
        <v>5381</v>
      </c>
      <c r="AS1667" s="1761" t="s">
        <v>347</v>
      </c>
      <c r="AT1667" s="1761" t="s">
        <v>327</v>
      </c>
      <c r="AU1667" s="1763"/>
      <c r="AV1667" s="1763"/>
    </row>
    <row r="1668" spans="1:48" ht="25" hidden="1">
      <c r="A1668" s="1785" t="str">
        <f t="shared" si="275"/>
        <v>גמל</v>
      </c>
      <c r="B1668" s="1786">
        <f t="shared" si="276"/>
        <v>797</v>
      </c>
      <c r="C1668" s="1787">
        <v>28946</v>
      </c>
      <c r="D1668" s="1786" t="str">
        <f t="shared" si="277"/>
        <v>אקסלנס השתלמות מניות</v>
      </c>
      <c r="E1668" s="1786" t="s">
        <v>3929</v>
      </c>
      <c r="F1668" s="1786" t="s">
        <v>2958</v>
      </c>
      <c r="G1668" s="1786" t="s">
        <v>2959</v>
      </c>
      <c r="H1668" s="1786" t="str">
        <f t="shared" si="278"/>
        <v>לא פעיל</v>
      </c>
      <c r="I1668" s="1788">
        <f t="shared" si="279"/>
        <v>28581</v>
      </c>
      <c r="J1668" s="1788">
        <f t="shared" si="280"/>
        <v>42381.432719907403</v>
      </c>
      <c r="K1668" s="1786">
        <v>0</v>
      </c>
      <c r="L1668" s="1786" t="s">
        <v>1594</v>
      </c>
      <c r="M1668" s="1786" t="s">
        <v>1653</v>
      </c>
      <c r="N1668" s="1786" t="s">
        <v>1653</v>
      </c>
      <c r="O1668" s="1786">
        <v>0</v>
      </c>
      <c r="P1668" s="1786"/>
      <c r="Q1668" s="1786">
        <v>0</v>
      </c>
      <c r="R1668" s="1788"/>
      <c r="S1668" s="1786">
        <f t="shared" si="281"/>
        <v>399</v>
      </c>
      <c r="T1668" s="1786" t="str">
        <f t="shared" si="282"/>
        <v>בנק מזרחי טפחות בע"מ</v>
      </c>
      <c r="U1668" s="1786" t="str">
        <f t="shared" si="283"/>
        <v xml:space="preserve">אקסלנס השתלמות </v>
      </c>
      <c r="V1668" s="1786" t="str">
        <f t="shared" si="284"/>
        <v>520017450</v>
      </c>
      <c r="W1668" s="1789" t="str">
        <f t="shared" si="285"/>
        <v xml:space="preserve">הפניקס אקסלנס פנסיה וגמל בע"מ </v>
      </c>
      <c r="AC1668" s="1759" t="s">
        <v>1586</v>
      </c>
      <c r="AD1668" s="1760">
        <v>42381.432719907403</v>
      </c>
      <c r="AE1668" s="1760">
        <v>28581</v>
      </c>
      <c r="AF1668" s="1759" t="s">
        <v>1595</v>
      </c>
      <c r="AG1668" s="1759" t="s">
        <v>75</v>
      </c>
      <c r="AH1668" s="1759" t="s">
        <v>1594</v>
      </c>
      <c r="AI1668" s="1759" t="s">
        <v>2553</v>
      </c>
      <c r="AJ1668" s="1759" t="s">
        <v>2553</v>
      </c>
      <c r="AK1668" s="1759">
        <v>797</v>
      </c>
      <c r="AL1668" s="1759" t="s">
        <v>3249</v>
      </c>
      <c r="AM1668" s="1759">
        <v>399</v>
      </c>
      <c r="AN1668" s="1759" t="s">
        <v>5370</v>
      </c>
      <c r="AO1668" s="1764"/>
      <c r="AP1668" s="1759" t="s">
        <v>5379</v>
      </c>
      <c r="AQ1668" s="1759" t="s">
        <v>5380</v>
      </c>
      <c r="AR1668" s="1759" t="s">
        <v>5381</v>
      </c>
      <c r="AS1668" s="1759" t="s">
        <v>347</v>
      </c>
      <c r="AT1668" s="1759" t="s">
        <v>327</v>
      </c>
      <c r="AU1668" s="1763"/>
      <c r="AV1668" s="1763"/>
    </row>
    <row r="1669" spans="1:48" ht="25" hidden="1">
      <c r="A1669" s="1785" t="str">
        <f t="shared" si="275"/>
        <v>גמל</v>
      </c>
      <c r="B1669" s="1786">
        <f t="shared" si="276"/>
        <v>799</v>
      </c>
      <c r="C1669" s="1787">
        <v>28946</v>
      </c>
      <c r="D1669" s="1786" t="str">
        <f t="shared" si="277"/>
        <v>אקסלנס השתלמות צמוד מדד</v>
      </c>
      <c r="E1669" s="1786" t="s">
        <v>3929</v>
      </c>
      <c r="F1669" s="1786" t="s">
        <v>2958</v>
      </c>
      <c r="G1669" s="1786" t="s">
        <v>2959</v>
      </c>
      <c r="H1669" s="1786" t="str">
        <f t="shared" si="278"/>
        <v>לא פעיל</v>
      </c>
      <c r="I1669" s="1788">
        <f t="shared" si="279"/>
        <v>28581</v>
      </c>
      <c r="J1669" s="1788">
        <f t="shared" si="280"/>
        <v>42381.432719907403</v>
      </c>
      <c r="K1669" s="1786">
        <v>0</v>
      </c>
      <c r="L1669" s="1786" t="s">
        <v>1594</v>
      </c>
      <c r="M1669" s="1786" t="s">
        <v>1653</v>
      </c>
      <c r="N1669" s="1786" t="s">
        <v>1653</v>
      </c>
      <c r="O1669" s="1786">
        <v>0</v>
      </c>
      <c r="P1669" s="1786"/>
      <c r="Q1669" s="1786">
        <v>0</v>
      </c>
      <c r="R1669" s="1788"/>
      <c r="S1669" s="1786">
        <f t="shared" si="281"/>
        <v>399</v>
      </c>
      <c r="T1669" s="1786" t="str">
        <f t="shared" si="282"/>
        <v>בנק מזרחי טפחות בע"מ</v>
      </c>
      <c r="U1669" s="1786" t="str">
        <f t="shared" si="283"/>
        <v xml:space="preserve">אקסלנס השתלמות </v>
      </c>
      <c r="V1669" s="1786" t="str">
        <f t="shared" si="284"/>
        <v>520017450</v>
      </c>
      <c r="W1669" s="1789" t="str">
        <f t="shared" si="285"/>
        <v xml:space="preserve">הפניקס אקסלנס פנסיה וגמל בע"מ </v>
      </c>
      <c r="AC1669" s="1761" t="s">
        <v>1586</v>
      </c>
      <c r="AD1669" s="1762">
        <v>42381.432719907403</v>
      </c>
      <c r="AE1669" s="1762">
        <v>28581</v>
      </c>
      <c r="AF1669" s="1761" t="s">
        <v>1094</v>
      </c>
      <c r="AG1669" s="1761" t="s">
        <v>1094</v>
      </c>
      <c r="AH1669" s="1761" t="s">
        <v>1594</v>
      </c>
      <c r="AI1669" s="1761" t="s">
        <v>2554</v>
      </c>
      <c r="AJ1669" s="1761" t="s">
        <v>2554</v>
      </c>
      <c r="AK1669" s="1761">
        <v>799</v>
      </c>
      <c r="AL1669" s="1761" t="s">
        <v>3249</v>
      </c>
      <c r="AM1669" s="1761">
        <v>399</v>
      </c>
      <c r="AN1669" s="1761" t="s">
        <v>5370</v>
      </c>
      <c r="AO1669" s="1764"/>
      <c r="AP1669" s="1761" t="s">
        <v>5379</v>
      </c>
      <c r="AQ1669" s="1761" t="s">
        <v>5380</v>
      </c>
      <c r="AR1669" s="1761" t="s">
        <v>5381</v>
      </c>
      <c r="AS1669" s="1761" t="s">
        <v>347</v>
      </c>
      <c r="AT1669" s="1761" t="s">
        <v>327</v>
      </c>
      <c r="AU1669" s="1763"/>
      <c r="AV1669" s="1763"/>
    </row>
    <row r="1670" spans="1:48" ht="25" hidden="1">
      <c r="A1670" s="1785" t="str">
        <f t="shared" si="275"/>
        <v>גמל</v>
      </c>
      <c r="B1670" s="1786">
        <f t="shared" si="276"/>
        <v>964</v>
      </c>
      <c r="C1670" s="1787">
        <v>28946</v>
      </c>
      <c r="D1670" s="1786" t="str">
        <f t="shared" si="277"/>
        <v>אקסלנס השתלמות כללי</v>
      </c>
      <c r="E1670" s="1786" t="s">
        <v>3929</v>
      </c>
      <c r="F1670" s="1786" t="s">
        <v>2958</v>
      </c>
      <c r="G1670" s="1786" t="s">
        <v>2959</v>
      </c>
      <c r="H1670" s="1786" t="str">
        <f t="shared" si="278"/>
        <v>פעיל</v>
      </c>
      <c r="I1670" s="1788">
        <f t="shared" si="279"/>
        <v>28581</v>
      </c>
      <c r="J1670" s="1788" t="str">
        <f t="shared" si="280"/>
        <v/>
      </c>
      <c r="K1670" s="1786">
        <v>0</v>
      </c>
      <c r="L1670" s="1786" t="s">
        <v>1594</v>
      </c>
      <c r="M1670" s="1786" t="s">
        <v>1653</v>
      </c>
      <c r="N1670" s="1786" t="s">
        <v>1653</v>
      </c>
      <c r="O1670" s="1786">
        <v>0</v>
      </c>
      <c r="P1670" s="1786"/>
      <c r="Q1670" s="1786">
        <v>0</v>
      </c>
      <c r="R1670" s="1788"/>
      <c r="S1670" s="1786">
        <f t="shared" si="281"/>
        <v>399</v>
      </c>
      <c r="T1670" s="1786" t="str">
        <f t="shared" si="282"/>
        <v>בנק מזרחי טפחות בע"מ</v>
      </c>
      <c r="U1670" s="1786" t="str">
        <f t="shared" si="283"/>
        <v xml:space="preserve">אקסלנס השתלמות </v>
      </c>
      <c r="V1670" s="1786" t="str">
        <f t="shared" si="284"/>
        <v>520017450</v>
      </c>
      <c r="W1670" s="1789" t="str">
        <f t="shared" si="285"/>
        <v xml:space="preserve">הפניקס אקסלנס פנסיה וגמל בע"מ </v>
      </c>
      <c r="AC1670" s="1759" t="s">
        <v>346</v>
      </c>
      <c r="AD1670" s="1759"/>
      <c r="AE1670" s="1760">
        <v>28581</v>
      </c>
      <c r="AF1670" s="1759" t="s">
        <v>1583</v>
      </c>
      <c r="AG1670" s="1759" t="s">
        <v>1583</v>
      </c>
      <c r="AH1670" s="1759" t="s">
        <v>1583</v>
      </c>
      <c r="AI1670" s="1759" t="s">
        <v>3973</v>
      </c>
      <c r="AJ1670" s="1759" t="s">
        <v>3973</v>
      </c>
      <c r="AK1670" s="1759">
        <v>964</v>
      </c>
      <c r="AL1670" s="1759" t="s">
        <v>3249</v>
      </c>
      <c r="AM1670" s="1759">
        <v>399</v>
      </c>
      <c r="AN1670" s="1759" t="s">
        <v>5370</v>
      </c>
      <c r="AO1670" s="1764"/>
      <c r="AP1670" s="1759" t="s">
        <v>5379</v>
      </c>
      <c r="AQ1670" s="1759" t="s">
        <v>5380</v>
      </c>
      <c r="AR1670" s="1759" t="s">
        <v>5381</v>
      </c>
      <c r="AS1670" s="1759" t="s">
        <v>347</v>
      </c>
      <c r="AT1670" s="1759" t="s">
        <v>327</v>
      </c>
      <c r="AU1670" s="1763"/>
      <c r="AV1670" s="1763"/>
    </row>
    <row r="1671" spans="1:48" ht="25" hidden="1">
      <c r="A1671" s="1785" t="str">
        <f t="shared" si="275"/>
        <v>גמל</v>
      </c>
      <c r="B1671" s="1786">
        <f t="shared" si="276"/>
        <v>968</v>
      </c>
      <c r="C1671" s="1787">
        <v>28946</v>
      </c>
      <c r="D1671" s="1786" t="str">
        <f t="shared" si="277"/>
        <v>אקסלנס השתלמות מניות</v>
      </c>
      <c r="E1671" s="1786" t="s">
        <v>3929</v>
      </c>
      <c r="F1671" s="1786" t="s">
        <v>2958</v>
      </c>
      <c r="G1671" s="1786" t="s">
        <v>2959</v>
      </c>
      <c r="H1671" s="1786" t="str">
        <f t="shared" si="278"/>
        <v>פעיל</v>
      </c>
      <c r="I1671" s="1788">
        <f t="shared" si="279"/>
        <v>28581</v>
      </c>
      <c r="J1671" s="1788" t="str">
        <f t="shared" si="280"/>
        <v/>
      </c>
      <c r="K1671" s="1786">
        <v>0</v>
      </c>
      <c r="L1671" s="1786" t="s">
        <v>1594</v>
      </c>
      <c r="M1671" s="1786" t="s">
        <v>1653</v>
      </c>
      <c r="N1671" s="1786" t="s">
        <v>1653</v>
      </c>
      <c r="O1671" s="1786">
        <v>0</v>
      </c>
      <c r="P1671" s="1786"/>
      <c r="Q1671" s="1786">
        <v>0</v>
      </c>
      <c r="R1671" s="1788"/>
      <c r="S1671" s="1786">
        <f t="shared" si="281"/>
        <v>399</v>
      </c>
      <c r="T1671" s="1786" t="str">
        <f t="shared" si="282"/>
        <v>בנק מזרחי טפחות בע"מ</v>
      </c>
      <c r="U1671" s="1786" t="str">
        <f t="shared" si="283"/>
        <v xml:space="preserve">אקסלנס השתלמות </v>
      </c>
      <c r="V1671" s="1786" t="str">
        <f t="shared" si="284"/>
        <v>520017450</v>
      </c>
      <c r="W1671" s="1789" t="str">
        <f t="shared" si="285"/>
        <v xml:space="preserve">הפניקס אקסלנס פנסיה וגמל בע"מ </v>
      </c>
      <c r="AC1671" s="1761" t="s">
        <v>346</v>
      </c>
      <c r="AD1671" s="1759"/>
      <c r="AE1671" s="1762">
        <v>28581</v>
      </c>
      <c r="AF1671" s="1761" t="s">
        <v>1595</v>
      </c>
      <c r="AG1671" s="1761" t="s">
        <v>75</v>
      </c>
      <c r="AH1671" s="1761" t="s">
        <v>1594</v>
      </c>
      <c r="AI1671" s="1761" t="s">
        <v>2553</v>
      </c>
      <c r="AJ1671" s="1761" t="s">
        <v>2553</v>
      </c>
      <c r="AK1671" s="1761">
        <v>968</v>
      </c>
      <c r="AL1671" s="1761" t="s">
        <v>3249</v>
      </c>
      <c r="AM1671" s="1761">
        <v>399</v>
      </c>
      <c r="AN1671" s="1761" t="s">
        <v>5370</v>
      </c>
      <c r="AO1671" s="1764"/>
      <c r="AP1671" s="1761" t="s">
        <v>5379</v>
      </c>
      <c r="AQ1671" s="1761" t="s">
        <v>5380</v>
      </c>
      <c r="AR1671" s="1761" t="s">
        <v>5381</v>
      </c>
      <c r="AS1671" s="1761" t="s">
        <v>347</v>
      </c>
      <c r="AT1671" s="1761" t="s">
        <v>327</v>
      </c>
      <c r="AU1671" s="1763"/>
      <c r="AV1671" s="1763"/>
    </row>
    <row r="1672" spans="1:48" ht="25" hidden="1">
      <c r="A1672" s="1785" t="str">
        <f t="shared" si="275"/>
        <v>גמל</v>
      </c>
      <c r="B1672" s="1786">
        <f t="shared" si="276"/>
        <v>1100</v>
      </c>
      <c r="C1672" s="1787">
        <v>28946</v>
      </c>
      <c r="D1672" s="1786" t="str">
        <f t="shared" si="277"/>
        <v>אקסלנס השתלמות אג"ח עד 15% מניות</v>
      </c>
      <c r="E1672" s="1786" t="s">
        <v>3929</v>
      </c>
      <c r="F1672" s="1786" t="s">
        <v>2958</v>
      </c>
      <c r="G1672" s="1786" t="s">
        <v>2959</v>
      </c>
      <c r="H1672" s="1786" t="str">
        <f t="shared" si="278"/>
        <v>פעיל</v>
      </c>
      <c r="I1672" s="1788">
        <f t="shared" si="279"/>
        <v>28581</v>
      </c>
      <c r="J1672" s="1788" t="str">
        <f t="shared" si="280"/>
        <v/>
      </c>
      <c r="K1672" s="1786">
        <v>0</v>
      </c>
      <c r="L1672" s="1786" t="s">
        <v>1594</v>
      </c>
      <c r="M1672" s="1786" t="s">
        <v>1653</v>
      </c>
      <c r="N1672" s="1786" t="s">
        <v>1653</v>
      </c>
      <c r="O1672" s="1786">
        <v>0</v>
      </c>
      <c r="P1672" s="1786"/>
      <c r="Q1672" s="1786">
        <v>0</v>
      </c>
      <c r="R1672" s="1788"/>
      <c r="S1672" s="1786">
        <f t="shared" si="281"/>
        <v>399</v>
      </c>
      <c r="T1672" s="1786" t="str">
        <f t="shared" si="282"/>
        <v>בנק מזרחי טפחות בע"מ</v>
      </c>
      <c r="U1672" s="1786" t="str">
        <f t="shared" si="283"/>
        <v xml:space="preserve">אקסלנס השתלמות </v>
      </c>
      <c r="V1672" s="1786" t="str">
        <f t="shared" si="284"/>
        <v>520017450</v>
      </c>
      <c r="W1672" s="1789" t="str">
        <f t="shared" si="285"/>
        <v xml:space="preserve">הפניקס אקסלנס פנסיה וגמל בע"מ </v>
      </c>
      <c r="AC1672" s="1759" t="s">
        <v>346</v>
      </c>
      <c r="AD1672" s="1759"/>
      <c r="AE1672" s="1760">
        <v>28581</v>
      </c>
      <c r="AF1672" s="1759" t="s">
        <v>3934</v>
      </c>
      <c r="AG1672" s="1759" t="s">
        <v>1653</v>
      </c>
      <c r="AH1672" s="1759" t="s">
        <v>1594</v>
      </c>
      <c r="AI1672" s="1759" t="s">
        <v>4033</v>
      </c>
      <c r="AJ1672" s="1759" t="s">
        <v>4033</v>
      </c>
      <c r="AK1672" s="1759">
        <v>1100</v>
      </c>
      <c r="AL1672" s="1759" t="s">
        <v>3249</v>
      </c>
      <c r="AM1672" s="1759">
        <v>399</v>
      </c>
      <c r="AN1672" s="1759" t="s">
        <v>5370</v>
      </c>
      <c r="AO1672" s="1764"/>
      <c r="AP1672" s="1759" t="s">
        <v>5379</v>
      </c>
      <c r="AQ1672" s="1759" t="s">
        <v>5380</v>
      </c>
      <c r="AR1672" s="1759" t="s">
        <v>5381</v>
      </c>
      <c r="AS1672" s="1759" t="s">
        <v>347</v>
      </c>
      <c r="AT1672" s="1759" t="s">
        <v>327</v>
      </c>
      <c r="AU1672" s="1763"/>
      <c r="AV1672" s="1763"/>
    </row>
    <row r="1673" spans="1:48" ht="25" hidden="1">
      <c r="A1673" s="1785" t="str">
        <f t="shared" si="275"/>
        <v>גמל</v>
      </c>
      <c r="B1673" s="1786">
        <f t="shared" si="276"/>
        <v>1190</v>
      </c>
      <c r="C1673" s="1787">
        <v>28946</v>
      </c>
      <c r="D1673" s="1786" t="str">
        <f t="shared" si="277"/>
        <v>אקסלנס השתלמות אג"ח עד 25% מניות</v>
      </c>
      <c r="E1673" s="1786" t="s">
        <v>3929</v>
      </c>
      <c r="F1673" s="1786" t="s">
        <v>2958</v>
      </c>
      <c r="G1673" s="1786" t="s">
        <v>2959</v>
      </c>
      <c r="H1673" s="1786" t="str">
        <f t="shared" si="278"/>
        <v>פעיל</v>
      </c>
      <c r="I1673" s="1788">
        <f t="shared" si="279"/>
        <v>28581</v>
      </c>
      <c r="J1673" s="1788" t="str">
        <f t="shared" si="280"/>
        <v/>
      </c>
      <c r="K1673" s="1786">
        <v>0</v>
      </c>
      <c r="L1673" s="1786" t="s">
        <v>1594</v>
      </c>
      <c r="M1673" s="1786" t="s">
        <v>1653</v>
      </c>
      <c r="N1673" s="1786" t="s">
        <v>1653</v>
      </c>
      <c r="O1673" s="1786">
        <v>0</v>
      </c>
      <c r="P1673" s="1786"/>
      <c r="Q1673" s="1786">
        <v>0</v>
      </c>
      <c r="R1673" s="1788"/>
      <c r="S1673" s="1786">
        <f t="shared" si="281"/>
        <v>399</v>
      </c>
      <c r="T1673" s="1786" t="str">
        <f t="shared" si="282"/>
        <v>בנק מזרחי טפחות בע"מ</v>
      </c>
      <c r="U1673" s="1786" t="str">
        <f t="shared" si="283"/>
        <v xml:space="preserve">אקסלנס השתלמות </v>
      </c>
      <c r="V1673" s="1786" t="str">
        <f t="shared" si="284"/>
        <v>520017450</v>
      </c>
      <c r="W1673" s="1789" t="str">
        <f t="shared" si="285"/>
        <v xml:space="preserve">הפניקס אקסלנס פנסיה וגמל בע"מ </v>
      </c>
      <c r="AC1673" s="1761" t="s">
        <v>346</v>
      </c>
      <c r="AD1673" s="1761"/>
      <c r="AE1673" s="1762">
        <v>28581</v>
      </c>
      <c r="AF1673" s="1761" t="s">
        <v>3934</v>
      </c>
      <c r="AG1673" s="1761" t="s">
        <v>1653</v>
      </c>
      <c r="AH1673" s="1761" t="s">
        <v>1594</v>
      </c>
      <c r="AI1673" s="1761" t="s">
        <v>4043</v>
      </c>
      <c r="AJ1673" s="1761" t="s">
        <v>4043</v>
      </c>
      <c r="AK1673" s="1761">
        <v>1190</v>
      </c>
      <c r="AL1673" s="1761" t="s">
        <v>3249</v>
      </c>
      <c r="AM1673" s="1761">
        <v>399</v>
      </c>
      <c r="AN1673" s="1761" t="s">
        <v>5370</v>
      </c>
      <c r="AO1673" s="1764"/>
      <c r="AP1673" s="1761" t="s">
        <v>5379</v>
      </c>
      <c r="AQ1673" s="1761" t="s">
        <v>5380</v>
      </c>
      <c r="AR1673" s="1761" t="s">
        <v>5381</v>
      </c>
      <c r="AS1673" s="1761" t="s">
        <v>347</v>
      </c>
      <c r="AT1673" s="1761" t="s">
        <v>327</v>
      </c>
      <c r="AU1673" s="1763"/>
      <c r="AV1673" s="1763"/>
    </row>
    <row r="1674" spans="1:48" ht="25" hidden="1">
      <c r="A1674" s="1785" t="str">
        <f t="shared" si="275"/>
        <v>גמל</v>
      </c>
      <c r="B1674" s="1786">
        <f t="shared" si="276"/>
        <v>2088</v>
      </c>
      <c r="C1674" s="1787">
        <v>28946</v>
      </c>
      <c r="D1674" s="1786" t="str">
        <f t="shared" si="277"/>
        <v>אקסלנס השתלמות אג"ח קונצרני עד 20%מניות</v>
      </c>
      <c r="E1674" s="1786" t="s">
        <v>3929</v>
      </c>
      <c r="F1674" s="1786" t="s">
        <v>2958</v>
      </c>
      <c r="G1674" s="1786" t="s">
        <v>2959</v>
      </c>
      <c r="H1674" s="1786" t="str">
        <f t="shared" si="278"/>
        <v>לא פעיל</v>
      </c>
      <c r="I1674" s="1788">
        <f t="shared" si="279"/>
        <v>28581</v>
      </c>
      <c r="J1674" s="1788">
        <f t="shared" si="280"/>
        <v>42381.432719907403</v>
      </c>
      <c r="K1674" s="1786">
        <v>0</v>
      </c>
      <c r="L1674" s="1786" t="s">
        <v>1594</v>
      </c>
      <c r="M1674" s="1786" t="s">
        <v>1653</v>
      </c>
      <c r="N1674" s="1786" t="s">
        <v>1653</v>
      </c>
      <c r="O1674" s="1786">
        <v>0</v>
      </c>
      <c r="P1674" s="1786"/>
      <c r="Q1674" s="1786">
        <v>0</v>
      </c>
      <c r="R1674" s="1788"/>
      <c r="S1674" s="1786">
        <f t="shared" si="281"/>
        <v>399</v>
      </c>
      <c r="T1674" s="1786" t="str">
        <f t="shared" si="282"/>
        <v>בנק מזרחי טפחות בע"מ</v>
      </c>
      <c r="U1674" s="1786" t="str">
        <f t="shared" si="283"/>
        <v xml:space="preserve">אקסלנס השתלמות </v>
      </c>
      <c r="V1674" s="1786" t="str">
        <f t="shared" si="284"/>
        <v>520017450</v>
      </c>
      <c r="W1674" s="1789" t="str">
        <f t="shared" si="285"/>
        <v xml:space="preserve">הפניקס אקסלנס פנסיה וגמל בע"מ </v>
      </c>
      <c r="AC1674" s="1759" t="s">
        <v>1586</v>
      </c>
      <c r="AD1674" s="1760">
        <v>42381.432719907403</v>
      </c>
      <c r="AE1674" s="1760">
        <v>28581</v>
      </c>
      <c r="AF1674" s="1759" t="s">
        <v>3010</v>
      </c>
      <c r="AG1674" s="1759" t="s">
        <v>1653</v>
      </c>
      <c r="AH1674" s="1759" t="s">
        <v>1594</v>
      </c>
      <c r="AI1674" s="1759" t="s">
        <v>3698</v>
      </c>
      <c r="AJ1674" s="1759" t="s">
        <v>3698</v>
      </c>
      <c r="AK1674" s="1759">
        <v>2088</v>
      </c>
      <c r="AL1674" s="1759" t="s">
        <v>3249</v>
      </c>
      <c r="AM1674" s="1759">
        <v>399</v>
      </c>
      <c r="AN1674" s="1759" t="s">
        <v>5370</v>
      </c>
      <c r="AO1674" s="1764"/>
      <c r="AP1674" s="1759" t="s">
        <v>5379</v>
      </c>
      <c r="AQ1674" s="1759" t="s">
        <v>5380</v>
      </c>
      <c r="AR1674" s="1759" t="s">
        <v>5381</v>
      </c>
      <c r="AS1674" s="1759" t="s">
        <v>347</v>
      </c>
      <c r="AT1674" s="1759" t="s">
        <v>327</v>
      </c>
      <c r="AU1674" s="1763"/>
      <c r="AV1674" s="1763"/>
    </row>
    <row r="1675" spans="1:48" ht="25" hidden="1">
      <c r="A1675" s="1785" t="str">
        <f t="shared" si="275"/>
        <v>גמל</v>
      </c>
      <c r="B1675" s="1786">
        <f t="shared" si="276"/>
        <v>2091</v>
      </c>
      <c r="C1675" s="1787">
        <v>28946</v>
      </c>
      <c r="D1675" s="1786" t="str">
        <f t="shared" si="277"/>
        <v>אקסלנס השתלמות אג"ח עד 20% מניות</v>
      </c>
      <c r="E1675" s="1786" t="s">
        <v>3929</v>
      </c>
      <c r="F1675" s="1786" t="s">
        <v>2958</v>
      </c>
      <c r="G1675" s="1786" t="s">
        <v>2959</v>
      </c>
      <c r="H1675" s="1786" t="str">
        <f t="shared" si="278"/>
        <v>לא פעיל</v>
      </c>
      <c r="I1675" s="1788">
        <f t="shared" si="279"/>
        <v>28581</v>
      </c>
      <c r="J1675" s="1788">
        <f t="shared" si="280"/>
        <v>43107.558981481503</v>
      </c>
      <c r="K1675" s="1786">
        <v>0</v>
      </c>
      <c r="L1675" s="1786" t="s">
        <v>1594</v>
      </c>
      <c r="M1675" s="1786" t="s">
        <v>1653</v>
      </c>
      <c r="N1675" s="1786" t="s">
        <v>1653</v>
      </c>
      <c r="O1675" s="1786">
        <v>0</v>
      </c>
      <c r="P1675" s="1786"/>
      <c r="Q1675" s="1786">
        <v>0</v>
      </c>
      <c r="R1675" s="1788"/>
      <c r="S1675" s="1786">
        <f t="shared" si="281"/>
        <v>399</v>
      </c>
      <c r="T1675" s="1786" t="str">
        <f t="shared" si="282"/>
        <v>בנק מזרחי טפחות בע"מ</v>
      </c>
      <c r="U1675" s="1786" t="str">
        <f t="shared" si="283"/>
        <v xml:space="preserve">אקסלנס השתלמות </v>
      </c>
      <c r="V1675" s="1786" t="str">
        <f t="shared" si="284"/>
        <v>520017450</v>
      </c>
      <c r="W1675" s="1789" t="str">
        <f t="shared" si="285"/>
        <v xml:space="preserve">הפניקס אקסלנס פנסיה וגמל בע"מ </v>
      </c>
      <c r="AC1675" s="1761" t="s">
        <v>1586</v>
      </c>
      <c r="AD1675" s="1762">
        <v>43107.558981481503</v>
      </c>
      <c r="AE1675" s="1762">
        <v>28581</v>
      </c>
      <c r="AF1675" s="1761" t="s">
        <v>3934</v>
      </c>
      <c r="AG1675" s="1761" t="s">
        <v>1653</v>
      </c>
      <c r="AH1675" s="1761" t="s">
        <v>1594</v>
      </c>
      <c r="AI1675" s="1761" t="s">
        <v>3700</v>
      </c>
      <c r="AJ1675" s="1761" t="s">
        <v>3700</v>
      </c>
      <c r="AK1675" s="1761">
        <v>2091</v>
      </c>
      <c r="AL1675" s="1761" t="s">
        <v>3249</v>
      </c>
      <c r="AM1675" s="1761">
        <v>399</v>
      </c>
      <c r="AN1675" s="1761" t="s">
        <v>5370</v>
      </c>
      <c r="AO1675" s="1764"/>
      <c r="AP1675" s="1761" t="s">
        <v>5379</v>
      </c>
      <c r="AQ1675" s="1761" t="s">
        <v>5380</v>
      </c>
      <c r="AR1675" s="1761" t="s">
        <v>5381</v>
      </c>
      <c r="AS1675" s="1761" t="s">
        <v>347</v>
      </c>
      <c r="AT1675" s="1761" t="s">
        <v>327</v>
      </c>
      <c r="AU1675" s="1763"/>
      <c r="AV1675" s="1763"/>
    </row>
    <row r="1676" spans="1:48" ht="25" hidden="1">
      <c r="A1676" s="1785" t="str">
        <f t="shared" si="275"/>
        <v>גמל</v>
      </c>
      <c r="B1676" s="1786">
        <f t="shared" si="276"/>
        <v>2096</v>
      </c>
      <c r="C1676" s="1787">
        <v>28946</v>
      </c>
      <c r="D1676" s="1786" t="str">
        <f t="shared" si="277"/>
        <v>אקסלנס השתלמות חו"ל</v>
      </c>
      <c r="E1676" s="1786" t="s">
        <v>3929</v>
      </c>
      <c r="F1676" s="1786" t="s">
        <v>2958</v>
      </c>
      <c r="G1676" s="1786" t="s">
        <v>2959</v>
      </c>
      <c r="H1676" s="1786" t="str">
        <f t="shared" si="278"/>
        <v>לא פעיל</v>
      </c>
      <c r="I1676" s="1788">
        <f t="shared" si="279"/>
        <v>28581</v>
      </c>
      <c r="J1676" s="1788">
        <f t="shared" si="280"/>
        <v>42367.428217592598</v>
      </c>
      <c r="K1676" s="1786">
        <v>0</v>
      </c>
      <c r="L1676" s="1786" t="s">
        <v>1594</v>
      </c>
      <c r="M1676" s="1786" t="s">
        <v>1653</v>
      </c>
      <c r="N1676" s="1786" t="s">
        <v>1653</v>
      </c>
      <c r="O1676" s="1786">
        <v>0</v>
      </c>
      <c r="P1676" s="1786"/>
      <c r="Q1676" s="1786">
        <v>0</v>
      </c>
      <c r="R1676" s="1788"/>
      <c r="S1676" s="1786">
        <f t="shared" si="281"/>
        <v>399</v>
      </c>
      <c r="T1676" s="1786" t="str">
        <f t="shared" si="282"/>
        <v>בנק מזרחי טפחות בע"מ</v>
      </c>
      <c r="U1676" s="1786" t="str">
        <f t="shared" si="283"/>
        <v xml:space="preserve">אקסלנס השתלמות </v>
      </c>
      <c r="V1676" s="1786" t="str">
        <f t="shared" si="284"/>
        <v>520017450</v>
      </c>
      <c r="W1676" s="1789" t="str">
        <f t="shared" si="285"/>
        <v xml:space="preserve">הפניקס אקסלנס פנסיה וגמל בע"מ </v>
      </c>
      <c r="AC1676" s="1759" t="s">
        <v>1586</v>
      </c>
      <c r="AD1676" s="1760">
        <v>42367.428217592598</v>
      </c>
      <c r="AE1676" s="1760">
        <v>28581</v>
      </c>
      <c r="AF1676" s="1759" t="s">
        <v>1948</v>
      </c>
      <c r="AG1676" s="1759" t="s">
        <v>1947</v>
      </c>
      <c r="AH1676" s="1759" t="s">
        <v>1594</v>
      </c>
      <c r="AI1676" s="1759" t="s">
        <v>2555</v>
      </c>
      <c r="AJ1676" s="1759" t="s">
        <v>2555</v>
      </c>
      <c r="AK1676" s="1759">
        <v>2096</v>
      </c>
      <c r="AL1676" s="1759" t="s">
        <v>3249</v>
      </c>
      <c r="AM1676" s="1759">
        <v>399</v>
      </c>
      <c r="AN1676" s="1759" t="s">
        <v>5370</v>
      </c>
      <c r="AO1676" s="1764"/>
      <c r="AP1676" s="1759" t="s">
        <v>5379</v>
      </c>
      <c r="AQ1676" s="1759" t="s">
        <v>5380</v>
      </c>
      <c r="AR1676" s="1759" t="s">
        <v>5381</v>
      </c>
      <c r="AS1676" s="1759" t="s">
        <v>347</v>
      </c>
      <c r="AT1676" s="1759" t="s">
        <v>327</v>
      </c>
      <c r="AU1676" s="1763"/>
      <c r="AV1676" s="1763"/>
    </row>
    <row r="1677" spans="1:48" ht="25" hidden="1">
      <c r="A1677" s="1785" t="str">
        <f t="shared" si="275"/>
        <v>גמל</v>
      </c>
      <c r="B1677" s="1786">
        <f t="shared" si="276"/>
        <v>8628</v>
      </c>
      <c r="C1677" s="1787">
        <v>28946</v>
      </c>
      <c r="D1677" s="1786" t="str">
        <f t="shared" si="277"/>
        <v>אקסלנס השתלמות פאסיבי-מדדי אג"ח עד 25% במדדי מניות</v>
      </c>
      <c r="E1677" s="1786" t="s">
        <v>3929</v>
      </c>
      <c r="F1677" s="1786" t="s">
        <v>2958</v>
      </c>
      <c r="G1677" s="1786" t="s">
        <v>2959</v>
      </c>
      <c r="H1677" s="1786" t="str">
        <f t="shared" si="278"/>
        <v>פעיל</v>
      </c>
      <c r="I1677" s="1788">
        <f t="shared" si="279"/>
        <v>28581</v>
      </c>
      <c r="J1677" s="1788" t="str">
        <f t="shared" si="280"/>
        <v/>
      </c>
      <c r="K1677" s="1786">
        <v>0</v>
      </c>
      <c r="L1677" s="1786" t="s">
        <v>1594</v>
      </c>
      <c r="M1677" s="1786" t="s">
        <v>1653</v>
      </c>
      <c r="N1677" s="1786" t="s">
        <v>1653</v>
      </c>
      <c r="O1677" s="1786">
        <v>0</v>
      </c>
      <c r="P1677" s="1786"/>
      <c r="Q1677" s="1786">
        <v>0</v>
      </c>
      <c r="R1677" s="1788"/>
      <c r="S1677" s="1786">
        <f t="shared" si="281"/>
        <v>399</v>
      </c>
      <c r="T1677" s="1786" t="str">
        <f t="shared" si="282"/>
        <v>בנק מזרחי טפחות בע"מ</v>
      </c>
      <c r="U1677" s="1786" t="str">
        <f t="shared" si="283"/>
        <v xml:space="preserve">אקסלנס השתלמות </v>
      </c>
      <c r="V1677" s="1786" t="str">
        <f t="shared" si="284"/>
        <v>520017450</v>
      </c>
      <c r="W1677" s="1789" t="str">
        <f t="shared" si="285"/>
        <v xml:space="preserve">הפניקס אקסלנס פנסיה וגמל בע"מ </v>
      </c>
      <c r="AC1677" s="1761" t="s">
        <v>346</v>
      </c>
      <c r="AD1677" s="1761"/>
      <c r="AE1677" s="1762">
        <v>28581</v>
      </c>
      <c r="AF1677" s="1761" t="s">
        <v>4619</v>
      </c>
      <c r="AG1677" s="1761" t="s">
        <v>1653</v>
      </c>
      <c r="AH1677" s="1761" t="s">
        <v>1594</v>
      </c>
      <c r="AI1677" s="1761" t="s">
        <v>4253</v>
      </c>
      <c r="AJ1677" s="1761" t="s">
        <v>4253</v>
      </c>
      <c r="AK1677" s="1761">
        <v>8628</v>
      </c>
      <c r="AL1677" s="1761" t="s">
        <v>3249</v>
      </c>
      <c r="AM1677" s="1761">
        <v>399</v>
      </c>
      <c r="AN1677" s="1761" t="s">
        <v>5370</v>
      </c>
      <c r="AO1677" s="1764"/>
      <c r="AP1677" s="1761" t="s">
        <v>5379</v>
      </c>
      <c r="AQ1677" s="1761" t="s">
        <v>5380</v>
      </c>
      <c r="AR1677" s="1761" t="s">
        <v>5381</v>
      </c>
      <c r="AS1677" s="1761" t="s">
        <v>347</v>
      </c>
      <c r="AT1677" s="1761" t="s">
        <v>327</v>
      </c>
      <c r="AU1677" s="1763"/>
      <c r="AV1677" s="1763"/>
    </row>
    <row r="1678" spans="1:48" ht="25" hidden="1">
      <c r="A1678" s="1785" t="str">
        <f t="shared" si="275"/>
        <v>גמל</v>
      </c>
      <c r="B1678" s="1786">
        <f t="shared" si="276"/>
        <v>8629</v>
      </c>
      <c r="C1678" s="1787">
        <v>28946</v>
      </c>
      <c r="D1678" s="1786" t="str">
        <f t="shared" si="277"/>
        <v>אקסלנס השתלמות פאסיבי - כללי</v>
      </c>
      <c r="E1678" s="1786" t="s">
        <v>3929</v>
      </c>
      <c r="F1678" s="1786" t="s">
        <v>2958</v>
      </c>
      <c r="G1678" s="1786" t="s">
        <v>2959</v>
      </c>
      <c r="H1678" s="1786" t="str">
        <f t="shared" si="278"/>
        <v>פעיל</v>
      </c>
      <c r="I1678" s="1788">
        <f t="shared" si="279"/>
        <v>28581</v>
      </c>
      <c r="J1678" s="1788" t="str">
        <f t="shared" si="280"/>
        <v/>
      </c>
      <c r="K1678" s="1786">
        <v>0</v>
      </c>
      <c r="L1678" s="1786" t="s">
        <v>1594</v>
      </c>
      <c r="M1678" s="1786" t="s">
        <v>1653</v>
      </c>
      <c r="N1678" s="1786" t="s">
        <v>1653</v>
      </c>
      <c r="O1678" s="1786">
        <v>0</v>
      </c>
      <c r="P1678" s="1786"/>
      <c r="Q1678" s="1786">
        <v>0</v>
      </c>
      <c r="R1678" s="1788"/>
      <c r="S1678" s="1786">
        <f t="shared" si="281"/>
        <v>399</v>
      </c>
      <c r="T1678" s="1786" t="str">
        <f t="shared" si="282"/>
        <v>בנק מזרחי טפחות בע"מ</v>
      </c>
      <c r="U1678" s="1786" t="str">
        <f t="shared" si="283"/>
        <v xml:space="preserve">אקסלנס השתלמות </v>
      </c>
      <c r="V1678" s="1786" t="str">
        <f t="shared" si="284"/>
        <v>520017450</v>
      </c>
      <c r="W1678" s="1789" t="str">
        <f t="shared" si="285"/>
        <v xml:space="preserve">הפניקס אקסלנס פנסיה וגמל בע"מ </v>
      </c>
      <c r="AC1678" s="1759" t="s">
        <v>346</v>
      </c>
      <c r="AD1678" s="1759"/>
      <c r="AE1678" s="1760">
        <v>28581</v>
      </c>
      <c r="AF1678" s="1759" t="s">
        <v>3959</v>
      </c>
      <c r="AG1678" s="1759" t="s">
        <v>1583</v>
      </c>
      <c r="AH1678" s="1759" t="s">
        <v>1583</v>
      </c>
      <c r="AI1678" s="1759" t="s">
        <v>4254</v>
      </c>
      <c r="AJ1678" s="1759" t="s">
        <v>4254</v>
      </c>
      <c r="AK1678" s="1759">
        <v>8629</v>
      </c>
      <c r="AL1678" s="1759" t="s">
        <v>3249</v>
      </c>
      <c r="AM1678" s="1759">
        <v>399</v>
      </c>
      <c r="AN1678" s="1759" t="s">
        <v>5370</v>
      </c>
      <c r="AO1678" s="1764"/>
      <c r="AP1678" s="1759" t="s">
        <v>5379</v>
      </c>
      <c r="AQ1678" s="1759" t="s">
        <v>5380</v>
      </c>
      <c r="AR1678" s="1759" t="s">
        <v>5381</v>
      </c>
      <c r="AS1678" s="1759" t="s">
        <v>347</v>
      </c>
      <c r="AT1678" s="1759" t="s">
        <v>327</v>
      </c>
      <c r="AU1678" s="1763"/>
      <c r="AV1678" s="1763"/>
    </row>
    <row r="1679" spans="1:48" ht="25" hidden="1">
      <c r="A1679" s="1785" t="str">
        <f t="shared" si="275"/>
        <v>גמל</v>
      </c>
      <c r="B1679" s="1786">
        <f t="shared" si="276"/>
        <v>8630</v>
      </c>
      <c r="C1679" s="1787">
        <v>28946</v>
      </c>
      <c r="D1679" s="1786" t="str">
        <f t="shared" si="277"/>
        <v xml:space="preserve">אקסלנס השתלמות פאסיבי-מדדי מניות </v>
      </c>
      <c r="E1679" s="1786" t="s">
        <v>3929</v>
      </c>
      <c r="F1679" s="1786" t="s">
        <v>2958</v>
      </c>
      <c r="G1679" s="1786" t="s">
        <v>2959</v>
      </c>
      <c r="H1679" s="1786" t="str">
        <f t="shared" si="278"/>
        <v>פעיל</v>
      </c>
      <c r="I1679" s="1788">
        <f t="shared" si="279"/>
        <v>28581</v>
      </c>
      <c r="J1679" s="1788" t="str">
        <f t="shared" si="280"/>
        <v/>
      </c>
      <c r="K1679" s="1786">
        <v>0</v>
      </c>
      <c r="L1679" s="1786" t="s">
        <v>1594</v>
      </c>
      <c r="M1679" s="1786" t="s">
        <v>1653</v>
      </c>
      <c r="N1679" s="1786" t="s">
        <v>1653</v>
      </c>
      <c r="O1679" s="1786">
        <v>0</v>
      </c>
      <c r="P1679" s="1786"/>
      <c r="Q1679" s="1786">
        <v>0</v>
      </c>
      <c r="R1679" s="1788"/>
      <c r="S1679" s="1786">
        <f t="shared" si="281"/>
        <v>399</v>
      </c>
      <c r="T1679" s="1786" t="str">
        <f t="shared" si="282"/>
        <v>בנק מזרחי טפחות בע"מ</v>
      </c>
      <c r="U1679" s="1786" t="str">
        <f t="shared" si="283"/>
        <v xml:space="preserve">אקסלנס השתלמות </v>
      </c>
      <c r="V1679" s="1786" t="str">
        <f t="shared" si="284"/>
        <v>520017450</v>
      </c>
      <c r="W1679" s="1789" t="str">
        <f t="shared" si="285"/>
        <v xml:space="preserve">הפניקס אקסלנס פנסיה וגמל בע"מ </v>
      </c>
      <c r="AC1679" s="1761" t="s">
        <v>346</v>
      </c>
      <c r="AD1679" s="1761"/>
      <c r="AE1679" s="1762">
        <v>28581</v>
      </c>
      <c r="AF1679" s="1761" t="s">
        <v>3959</v>
      </c>
      <c r="AG1679" s="1761" t="s">
        <v>75</v>
      </c>
      <c r="AH1679" s="1761" t="s">
        <v>1594</v>
      </c>
      <c r="AI1679" s="1761" t="s">
        <v>4255</v>
      </c>
      <c r="AJ1679" s="1761" t="s">
        <v>4255</v>
      </c>
      <c r="AK1679" s="1761">
        <v>8630</v>
      </c>
      <c r="AL1679" s="1761" t="s">
        <v>3249</v>
      </c>
      <c r="AM1679" s="1761">
        <v>399</v>
      </c>
      <c r="AN1679" s="1761" t="s">
        <v>5370</v>
      </c>
      <c r="AO1679" s="1764"/>
      <c r="AP1679" s="1761" t="s">
        <v>5379</v>
      </c>
      <c r="AQ1679" s="1761" t="s">
        <v>5380</v>
      </c>
      <c r="AR1679" s="1761" t="s">
        <v>5381</v>
      </c>
      <c r="AS1679" s="1761" t="s">
        <v>347</v>
      </c>
      <c r="AT1679" s="1761" t="s">
        <v>327</v>
      </c>
      <c r="AU1679" s="1763"/>
      <c r="AV1679" s="1763"/>
    </row>
    <row r="1680" spans="1:48" ht="25" hidden="1">
      <c r="A1680" s="1785" t="str">
        <f t="shared" si="275"/>
        <v>גמל</v>
      </c>
      <c r="B1680" s="1786">
        <f t="shared" si="276"/>
        <v>8631</v>
      </c>
      <c r="C1680" s="1787">
        <v>28946</v>
      </c>
      <c r="D1680" s="1786" t="str">
        <f t="shared" si="277"/>
        <v>אקסלנס השתלמות פאסיבי-מדדי אג"ח</v>
      </c>
      <c r="E1680" s="1786" t="s">
        <v>3929</v>
      </c>
      <c r="F1680" s="1786" t="s">
        <v>2958</v>
      </c>
      <c r="G1680" s="1786" t="s">
        <v>2959</v>
      </c>
      <c r="H1680" s="1786" t="str">
        <f t="shared" si="278"/>
        <v>לא פעיל</v>
      </c>
      <c r="I1680" s="1788">
        <f t="shared" si="279"/>
        <v>28581</v>
      </c>
      <c r="J1680" s="1788">
        <f t="shared" si="280"/>
        <v>43107.537928240701</v>
      </c>
      <c r="K1680" s="1786">
        <v>0</v>
      </c>
      <c r="L1680" s="1786" t="s">
        <v>1594</v>
      </c>
      <c r="M1680" s="1786" t="s">
        <v>1653</v>
      </c>
      <c r="N1680" s="1786" t="s">
        <v>1653</v>
      </c>
      <c r="O1680" s="1786">
        <v>0</v>
      </c>
      <c r="P1680" s="1786"/>
      <c r="Q1680" s="1786">
        <v>0</v>
      </c>
      <c r="R1680" s="1788"/>
      <c r="S1680" s="1786">
        <f t="shared" si="281"/>
        <v>399</v>
      </c>
      <c r="T1680" s="1786" t="str">
        <f t="shared" si="282"/>
        <v>בנק מזרחי טפחות בע"מ</v>
      </c>
      <c r="U1680" s="1786" t="str">
        <f t="shared" si="283"/>
        <v xml:space="preserve">אקסלנס השתלמות </v>
      </c>
      <c r="V1680" s="1786" t="str">
        <f t="shared" si="284"/>
        <v>520017450</v>
      </c>
      <c r="W1680" s="1789" t="str">
        <f t="shared" si="285"/>
        <v xml:space="preserve">הפניקס אקסלנס פנסיה וגמל בע"מ </v>
      </c>
      <c r="AC1680" s="1759" t="s">
        <v>1586</v>
      </c>
      <c r="AD1680" s="1760">
        <v>43107.537928240701</v>
      </c>
      <c r="AE1680" s="1760">
        <v>28581</v>
      </c>
      <c r="AF1680" s="1759" t="s">
        <v>3959</v>
      </c>
      <c r="AG1680" s="1759" t="s">
        <v>1653</v>
      </c>
      <c r="AH1680" s="1759" t="s">
        <v>1594</v>
      </c>
      <c r="AI1680" s="1759" t="s">
        <v>4256</v>
      </c>
      <c r="AJ1680" s="1759" t="s">
        <v>4256</v>
      </c>
      <c r="AK1680" s="1759">
        <v>8631</v>
      </c>
      <c r="AL1680" s="1759" t="s">
        <v>3249</v>
      </c>
      <c r="AM1680" s="1759">
        <v>399</v>
      </c>
      <c r="AN1680" s="1759" t="s">
        <v>5370</v>
      </c>
      <c r="AO1680" s="1764"/>
      <c r="AP1680" s="1759" t="s">
        <v>5379</v>
      </c>
      <c r="AQ1680" s="1759" t="s">
        <v>5380</v>
      </c>
      <c r="AR1680" s="1759" t="s">
        <v>5381</v>
      </c>
      <c r="AS1680" s="1759" t="s">
        <v>347</v>
      </c>
      <c r="AT1680" s="1759" t="s">
        <v>327</v>
      </c>
      <c r="AU1680" s="1763"/>
      <c r="AV1680" s="1763"/>
    </row>
    <row r="1681" spans="1:48" ht="25" hidden="1">
      <c r="A1681" s="1785" t="str">
        <f t="shared" si="275"/>
        <v>גמל</v>
      </c>
      <c r="B1681" s="1786">
        <f t="shared" si="276"/>
        <v>9528</v>
      </c>
      <c r="C1681" s="1787">
        <v>28946</v>
      </c>
      <c r="D1681" s="1786" t="str">
        <f t="shared" si="277"/>
        <v>אקסלנס השתלמות הלכה</v>
      </c>
      <c r="E1681" s="1786" t="s">
        <v>3929</v>
      </c>
      <c r="F1681" s="1786" t="s">
        <v>2958</v>
      </c>
      <c r="G1681" s="1786" t="s">
        <v>2959</v>
      </c>
      <c r="H1681" s="1786" t="str">
        <f t="shared" si="278"/>
        <v>פעיל</v>
      </c>
      <c r="I1681" s="1788">
        <f t="shared" si="279"/>
        <v>28581</v>
      </c>
      <c r="J1681" s="1788" t="str">
        <f t="shared" si="280"/>
        <v/>
      </c>
      <c r="K1681" s="1786">
        <v>0</v>
      </c>
      <c r="L1681" s="1786" t="s">
        <v>1594</v>
      </c>
      <c r="M1681" s="1786" t="s">
        <v>1653</v>
      </c>
      <c r="N1681" s="1786" t="s">
        <v>1653</v>
      </c>
      <c r="O1681" s="1786">
        <v>0</v>
      </c>
      <c r="P1681" s="1786"/>
      <c r="Q1681" s="1786">
        <v>0</v>
      </c>
      <c r="R1681" s="1788"/>
      <c r="S1681" s="1786">
        <f t="shared" si="281"/>
        <v>399</v>
      </c>
      <c r="T1681" s="1786" t="str">
        <f t="shared" si="282"/>
        <v>בנק מזרחי טפחות בע"מ</v>
      </c>
      <c r="U1681" s="1786" t="str">
        <f t="shared" si="283"/>
        <v xml:space="preserve">אקסלנס השתלמות </v>
      </c>
      <c r="V1681" s="1786" t="str">
        <f t="shared" si="284"/>
        <v>520017450</v>
      </c>
      <c r="W1681" s="1789" t="str">
        <f t="shared" si="285"/>
        <v xml:space="preserve">הפניקס אקסלנס פנסיה וגמל בע"מ </v>
      </c>
      <c r="AC1681" s="1761" t="s">
        <v>346</v>
      </c>
      <c r="AD1681" s="1761"/>
      <c r="AE1681" s="1762">
        <v>28581</v>
      </c>
      <c r="AF1681" s="1761" t="s">
        <v>4603</v>
      </c>
      <c r="AG1681" s="1761" t="s">
        <v>2029</v>
      </c>
      <c r="AH1681" s="1761" t="s">
        <v>2028</v>
      </c>
      <c r="AI1681" s="1761" t="s">
        <v>5663</v>
      </c>
      <c r="AJ1681" s="1761" t="s">
        <v>5663</v>
      </c>
      <c r="AK1681" s="1761">
        <v>9528</v>
      </c>
      <c r="AL1681" s="1761" t="s">
        <v>3249</v>
      </c>
      <c r="AM1681" s="1761">
        <v>399</v>
      </c>
      <c r="AN1681" s="1761" t="s">
        <v>5370</v>
      </c>
      <c r="AO1681" s="1764"/>
      <c r="AP1681" s="1761" t="s">
        <v>5379</v>
      </c>
      <c r="AQ1681" s="1761" t="s">
        <v>5380</v>
      </c>
      <c r="AR1681" s="1761" t="s">
        <v>5381</v>
      </c>
      <c r="AS1681" s="1761" t="s">
        <v>347</v>
      </c>
      <c r="AT1681" s="1761" t="s">
        <v>327</v>
      </c>
      <c r="AU1681" s="1763"/>
      <c r="AV1681" s="1763"/>
    </row>
    <row r="1682" spans="1:48" ht="25" hidden="1">
      <c r="A1682" s="1785" t="str">
        <f t="shared" si="275"/>
        <v>גמל</v>
      </c>
      <c r="B1682" s="1786">
        <f t="shared" si="276"/>
        <v>9882</v>
      </c>
      <c r="C1682" s="1787">
        <v>28946</v>
      </c>
      <c r="D1682" s="1786" t="str">
        <f t="shared" si="277"/>
        <v>אקסלנס השתלמות אג"ח עד 10% מניות</v>
      </c>
      <c r="E1682" s="1786" t="s">
        <v>3929</v>
      </c>
      <c r="F1682" s="1786" t="s">
        <v>2958</v>
      </c>
      <c r="G1682" s="1786" t="s">
        <v>2959</v>
      </c>
      <c r="H1682" s="1786" t="str">
        <f t="shared" si="278"/>
        <v>לא פעיל</v>
      </c>
      <c r="I1682" s="1788">
        <f t="shared" si="279"/>
        <v>28581</v>
      </c>
      <c r="J1682" s="1788">
        <f t="shared" si="280"/>
        <v>43107.550949074102</v>
      </c>
      <c r="K1682" s="1786">
        <v>0</v>
      </c>
      <c r="L1682" s="1786" t="s">
        <v>1594</v>
      </c>
      <c r="M1682" s="1786" t="s">
        <v>1653</v>
      </c>
      <c r="N1682" s="1786" t="s">
        <v>1653</v>
      </c>
      <c r="O1682" s="1786">
        <v>0</v>
      </c>
      <c r="P1682" s="1786"/>
      <c r="Q1682" s="1786">
        <v>0</v>
      </c>
      <c r="R1682" s="1788"/>
      <c r="S1682" s="1786">
        <f t="shared" si="281"/>
        <v>399</v>
      </c>
      <c r="T1682" s="1786" t="str">
        <f t="shared" si="282"/>
        <v>בנק מזרחי טפחות בע"מ</v>
      </c>
      <c r="U1682" s="1786" t="str">
        <f t="shared" si="283"/>
        <v xml:space="preserve">אקסלנס השתלמות </v>
      </c>
      <c r="V1682" s="1786" t="str">
        <f t="shared" si="284"/>
        <v>520017450</v>
      </c>
      <c r="W1682" s="1789" t="str">
        <f t="shared" si="285"/>
        <v xml:space="preserve">הפניקס אקסלנס פנסיה וגמל בע"מ </v>
      </c>
      <c r="AC1682" s="1759" t="s">
        <v>1586</v>
      </c>
      <c r="AD1682" s="1760">
        <v>43107.550949074102</v>
      </c>
      <c r="AE1682" s="1760">
        <v>28581</v>
      </c>
      <c r="AF1682" s="1759" t="s">
        <v>3934</v>
      </c>
      <c r="AG1682" s="1759" t="s">
        <v>1653</v>
      </c>
      <c r="AH1682" s="1759" t="s">
        <v>1594</v>
      </c>
      <c r="AI1682" s="1759" t="s">
        <v>4422</v>
      </c>
      <c r="AJ1682" s="1759" t="s">
        <v>4422</v>
      </c>
      <c r="AK1682" s="1759">
        <v>9882</v>
      </c>
      <c r="AL1682" s="1759" t="s">
        <v>3249</v>
      </c>
      <c r="AM1682" s="1759">
        <v>399</v>
      </c>
      <c r="AN1682" s="1759" t="s">
        <v>5370</v>
      </c>
      <c r="AO1682" s="1764"/>
      <c r="AP1682" s="1759" t="s">
        <v>5379</v>
      </c>
      <c r="AQ1682" s="1759" t="s">
        <v>5380</v>
      </c>
      <c r="AR1682" s="1759" t="s">
        <v>5381</v>
      </c>
      <c r="AS1682" s="1759" t="s">
        <v>347</v>
      </c>
      <c r="AT1682" s="1759" t="s">
        <v>327</v>
      </c>
      <c r="AU1682" s="1763"/>
      <c r="AV1682" s="1763"/>
    </row>
    <row r="1683" spans="1:48" ht="25" hidden="1">
      <c r="A1683" s="1785" t="str">
        <f t="shared" si="275"/>
        <v>גמל</v>
      </c>
      <c r="B1683" s="1786">
        <f t="shared" si="276"/>
        <v>9919</v>
      </c>
      <c r="C1683" s="1787">
        <v>28946</v>
      </c>
      <c r="D1683" s="1786" t="str">
        <f t="shared" si="277"/>
        <v>אקסלנס השתלמות פאסיבי- מדדי חו"ל</v>
      </c>
      <c r="E1683" s="1786" t="s">
        <v>3929</v>
      </c>
      <c r="F1683" s="1786" t="s">
        <v>2958</v>
      </c>
      <c r="G1683" s="1786" t="s">
        <v>2959</v>
      </c>
      <c r="H1683" s="1786" t="str">
        <f t="shared" si="278"/>
        <v>לא פעיל</v>
      </c>
      <c r="I1683" s="1788">
        <f t="shared" si="279"/>
        <v>28581</v>
      </c>
      <c r="J1683" s="1788">
        <f t="shared" si="280"/>
        <v>43107.565891203703</v>
      </c>
      <c r="K1683" s="1786">
        <v>0</v>
      </c>
      <c r="L1683" s="1786" t="s">
        <v>1594</v>
      </c>
      <c r="M1683" s="1786" t="s">
        <v>1653</v>
      </c>
      <c r="N1683" s="1786" t="s">
        <v>1653</v>
      </c>
      <c r="O1683" s="1786">
        <v>0</v>
      </c>
      <c r="P1683" s="1786"/>
      <c r="Q1683" s="1786">
        <v>0</v>
      </c>
      <c r="R1683" s="1788"/>
      <c r="S1683" s="1786">
        <f t="shared" si="281"/>
        <v>399</v>
      </c>
      <c r="T1683" s="1786" t="str">
        <f t="shared" si="282"/>
        <v>בנק מזרחי טפחות בע"מ</v>
      </c>
      <c r="U1683" s="1786" t="str">
        <f t="shared" si="283"/>
        <v xml:space="preserve">אקסלנס השתלמות </v>
      </c>
      <c r="V1683" s="1786" t="str">
        <f t="shared" si="284"/>
        <v>520017450</v>
      </c>
      <c r="W1683" s="1789" t="str">
        <f t="shared" si="285"/>
        <v xml:space="preserve">הפניקס אקסלנס פנסיה וגמל בע"מ </v>
      </c>
      <c r="AC1683" s="1761" t="s">
        <v>1586</v>
      </c>
      <c r="AD1683" s="1762">
        <v>43107.565891203703</v>
      </c>
      <c r="AE1683" s="1762">
        <v>28581</v>
      </c>
      <c r="AF1683" s="1761" t="s">
        <v>3959</v>
      </c>
      <c r="AG1683" s="1761" t="s">
        <v>1948</v>
      </c>
      <c r="AH1683" s="1761" t="s">
        <v>1594</v>
      </c>
      <c r="AI1683" s="1761" t="s">
        <v>4443</v>
      </c>
      <c r="AJ1683" s="1761" t="s">
        <v>4443</v>
      </c>
      <c r="AK1683" s="1761">
        <v>9919</v>
      </c>
      <c r="AL1683" s="1761" t="s">
        <v>3249</v>
      </c>
      <c r="AM1683" s="1761">
        <v>399</v>
      </c>
      <c r="AN1683" s="1761" t="s">
        <v>5370</v>
      </c>
      <c r="AO1683" s="1764"/>
      <c r="AP1683" s="1761" t="s">
        <v>5379</v>
      </c>
      <c r="AQ1683" s="1761" t="s">
        <v>5380</v>
      </c>
      <c r="AR1683" s="1761" t="s">
        <v>5381</v>
      </c>
      <c r="AS1683" s="1761" t="s">
        <v>347</v>
      </c>
      <c r="AT1683" s="1761" t="s">
        <v>327</v>
      </c>
      <c r="AU1683" s="1763"/>
      <c r="AV1683" s="1763"/>
    </row>
    <row r="1684" spans="1:48" ht="25" hidden="1">
      <c r="A1684" s="1785" t="str">
        <f t="shared" si="275"/>
        <v>גמל</v>
      </c>
      <c r="B1684" s="1786">
        <f t="shared" si="276"/>
        <v>1538</v>
      </c>
      <c r="C1684" s="1787">
        <v>28946</v>
      </c>
      <c r="D1684" s="1786" t="str">
        <f t="shared" si="277"/>
        <v>איילון השתלמות מסלול כהלכה</v>
      </c>
      <c r="E1684" s="1786" t="s">
        <v>3929</v>
      </c>
      <c r="F1684" s="1786" t="s">
        <v>2958</v>
      </c>
      <c r="G1684" s="1786" t="s">
        <v>2959</v>
      </c>
      <c r="H1684" s="1786" t="str">
        <f t="shared" si="278"/>
        <v>לא פעיל</v>
      </c>
      <c r="I1684" s="1788">
        <f t="shared" si="279"/>
        <v>28581</v>
      </c>
      <c r="J1684" s="1788">
        <f t="shared" si="280"/>
        <v>42744.3698842593</v>
      </c>
      <c r="K1684" s="1786">
        <v>0</v>
      </c>
      <c r="L1684" s="1786" t="s">
        <v>1594</v>
      </c>
      <c r="M1684" s="1786" t="s">
        <v>1653</v>
      </c>
      <c r="N1684" s="1786" t="s">
        <v>1653</v>
      </c>
      <c r="O1684" s="1786">
        <v>0</v>
      </c>
      <c r="P1684" s="1786"/>
      <c r="Q1684" s="1786">
        <v>0</v>
      </c>
      <c r="R1684" s="1788"/>
      <c r="S1684" s="1786">
        <f t="shared" si="281"/>
        <v>398</v>
      </c>
      <c r="T1684" s="1786" t="str">
        <f t="shared" si="282"/>
        <v>בנק מזרחי טפחות בע"מ</v>
      </c>
      <c r="U1684" s="1786" t="str">
        <f t="shared" si="283"/>
        <v>איילון השתלמות מסלולית</v>
      </c>
      <c r="V1684" s="1786" t="str">
        <f t="shared" si="284"/>
        <v>520030677</v>
      </c>
      <c r="W1684" s="1789" t="str">
        <f t="shared" si="285"/>
        <v>איילון פנסיה וגמל בע"מ</v>
      </c>
      <c r="AC1684" s="1759" t="s">
        <v>1586</v>
      </c>
      <c r="AD1684" s="1760">
        <v>42744.3698842593</v>
      </c>
      <c r="AE1684" s="1760">
        <v>28581</v>
      </c>
      <c r="AF1684" s="1759" t="s">
        <v>4603</v>
      </c>
      <c r="AG1684" s="1759" t="s">
        <v>2029</v>
      </c>
      <c r="AH1684" s="1759" t="s">
        <v>2028</v>
      </c>
      <c r="AI1684" s="1759" t="s">
        <v>3680</v>
      </c>
      <c r="AJ1684" s="1759" t="s">
        <v>3679</v>
      </c>
      <c r="AK1684" s="1759">
        <v>1538</v>
      </c>
      <c r="AL1684" s="1759" t="s">
        <v>3100</v>
      </c>
      <c r="AM1684" s="1759">
        <v>398</v>
      </c>
      <c r="AN1684" s="1759" t="s">
        <v>5370</v>
      </c>
      <c r="AO1684" s="1764"/>
      <c r="AP1684" s="1759" t="s">
        <v>5385</v>
      </c>
      <c r="AQ1684" s="1759" t="s">
        <v>5386</v>
      </c>
      <c r="AR1684" s="1759" t="s">
        <v>2780</v>
      </c>
      <c r="AS1684" s="1759" t="s">
        <v>426</v>
      </c>
      <c r="AT1684" s="1759" t="s">
        <v>327</v>
      </c>
      <c r="AU1684" s="1763"/>
      <c r="AV1684" s="1763"/>
    </row>
    <row r="1685" spans="1:48" ht="25" hidden="1">
      <c r="A1685" s="1785" t="str">
        <f t="shared" si="275"/>
        <v>גמל</v>
      </c>
      <c r="B1685" s="1786">
        <f t="shared" si="276"/>
        <v>9432</v>
      </c>
      <c r="C1685" s="1787">
        <v>28946</v>
      </c>
      <c r="D1685" s="1786" t="str">
        <f t="shared" si="277"/>
        <v>איילון השתלמות מסלול חו"ל</v>
      </c>
      <c r="E1685" s="1786" t="s">
        <v>3929</v>
      </c>
      <c r="F1685" s="1786" t="s">
        <v>2958</v>
      </c>
      <c r="G1685" s="1786" t="s">
        <v>2959</v>
      </c>
      <c r="H1685" s="1786" t="str">
        <f t="shared" si="278"/>
        <v>לא פעיל</v>
      </c>
      <c r="I1685" s="1788">
        <f t="shared" si="279"/>
        <v>28581</v>
      </c>
      <c r="J1685" s="1788">
        <f t="shared" si="280"/>
        <v>42744.3698842593</v>
      </c>
      <c r="K1685" s="1786">
        <v>0</v>
      </c>
      <c r="L1685" s="1786" t="s">
        <v>1594</v>
      </c>
      <c r="M1685" s="1786" t="s">
        <v>1653</v>
      </c>
      <c r="N1685" s="1786" t="s">
        <v>1653</v>
      </c>
      <c r="O1685" s="1786">
        <v>0</v>
      </c>
      <c r="P1685" s="1786"/>
      <c r="Q1685" s="1786">
        <v>0</v>
      </c>
      <c r="R1685" s="1788"/>
      <c r="S1685" s="1786">
        <f t="shared" si="281"/>
        <v>398</v>
      </c>
      <c r="T1685" s="1786" t="str">
        <f t="shared" si="282"/>
        <v>בנק מזרחי טפחות בע"מ</v>
      </c>
      <c r="U1685" s="1786" t="str">
        <f t="shared" si="283"/>
        <v>איילון השתלמות מסלולית</v>
      </c>
      <c r="V1685" s="1786" t="str">
        <f t="shared" si="284"/>
        <v>520030677</v>
      </c>
      <c r="W1685" s="1789" t="str">
        <f t="shared" si="285"/>
        <v>איילון פנסיה וגמל בע"מ</v>
      </c>
      <c r="AC1685" s="1761" t="s">
        <v>1586</v>
      </c>
      <c r="AD1685" s="1762">
        <v>42744.3698842593</v>
      </c>
      <c r="AE1685" s="1762">
        <v>28581</v>
      </c>
      <c r="AF1685" s="1761" t="s">
        <v>1948</v>
      </c>
      <c r="AG1685" s="1761" t="s">
        <v>1947</v>
      </c>
      <c r="AH1685" s="1761" t="s">
        <v>1594</v>
      </c>
      <c r="AI1685" s="1761" t="s">
        <v>4269</v>
      </c>
      <c r="AJ1685" s="1761" t="s">
        <v>4268</v>
      </c>
      <c r="AK1685" s="1761">
        <v>9432</v>
      </c>
      <c r="AL1685" s="1761" t="s">
        <v>3100</v>
      </c>
      <c r="AM1685" s="1761">
        <v>398</v>
      </c>
      <c r="AN1685" s="1761" t="s">
        <v>5370</v>
      </c>
      <c r="AO1685" s="1764"/>
      <c r="AP1685" s="1761" t="s">
        <v>5385</v>
      </c>
      <c r="AQ1685" s="1761" t="s">
        <v>5386</v>
      </c>
      <c r="AR1685" s="1761" t="s">
        <v>2780</v>
      </c>
      <c r="AS1685" s="1761" t="s">
        <v>426</v>
      </c>
      <c r="AT1685" s="1761" t="s">
        <v>327</v>
      </c>
      <c r="AU1685" s="1763"/>
      <c r="AV1685" s="1763"/>
    </row>
    <row r="1686" spans="1:48" ht="25" hidden="1">
      <c r="A1686" s="1785" t="str">
        <f t="shared" si="275"/>
        <v>גמל</v>
      </c>
      <c r="B1686" s="1786">
        <f t="shared" si="276"/>
        <v>398</v>
      </c>
      <c r="C1686" s="1787">
        <v>28946</v>
      </c>
      <c r="D1686" s="1786" t="str">
        <f t="shared" si="277"/>
        <v>איילון השתלמות מסלול כללי</v>
      </c>
      <c r="E1686" s="1786" t="s">
        <v>3929</v>
      </c>
      <c r="F1686" s="1786" t="s">
        <v>2958</v>
      </c>
      <c r="G1686" s="1786" t="s">
        <v>2959</v>
      </c>
      <c r="H1686" s="1786" t="str">
        <f t="shared" si="278"/>
        <v>לא פעיל</v>
      </c>
      <c r="I1686" s="1788">
        <f t="shared" si="279"/>
        <v>28581</v>
      </c>
      <c r="J1686" s="1788">
        <f t="shared" si="280"/>
        <v>42744.3698842593</v>
      </c>
      <c r="K1686" s="1786">
        <v>0</v>
      </c>
      <c r="L1686" s="1786" t="s">
        <v>1594</v>
      </c>
      <c r="M1686" s="1786" t="s">
        <v>1653</v>
      </c>
      <c r="N1686" s="1786" t="s">
        <v>1653</v>
      </c>
      <c r="O1686" s="1786">
        <v>0</v>
      </c>
      <c r="P1686" s="1786"/>
      <c r="Q1686" s="1786">
        <v>0</v>
      </c>
      <c r="R1686" s="1788"/>
      <c r="S1686" s="1786">
        <f t="shared" si="281"/>
        <v>398</v>
      </c>
      <c r="T1686" s="1786" t="str">
        <f t="shared" si="282"/>
        <v>בנק מזרחי טפחות בע"מ</v>
      </c>
      <c r="U1686" s="1786" t="str">
        <f t="shared" si="283"/>
        <v>איילון השתלמות מסלולית</v>
      </c>
      <c r="V1686" s="1786" t="str">
        <f t="shared" si="284"/>
        <v>520030677</v>
      </c>
      <c r="W1686" s="1789" t="str">
        <f t="shared" si="285"/>
        <v>איילון פנסיה וגמל בע"מ</v>
      </c>
      <c r="AC1686" s="1759" t="s">
        <v>1586</v>
      </c>
      <c r="AD1686" s="1760">
        <v>42744.3698842593</v>
      </c>
      <c r="AE1686" s="1760">
        <v>28581</v>
      </c>
      <c r="AF1686" s="1759" t="s">
        <v>1583</v>
      </c>
      <c r="AG1686" s="1759" t="s">
        <v>1583</v>
      </c>
      <c r="AH1686" s="1759" t="s">
        <v>1583</v>
      </c>
      <c r="AI1686" s="1759" t="s">
        <v>3099</v>
      </c>
      <c r="AJ1686" s="1759" t="s">
        <v>3098</v>
      </c>
      <c r="AK1686" s="1759">
        <v>398</v>
      </c>
      <c r="AL1686" s="1759" t="s">
        <v>3100</v>
      </c>
      <c r="AM1686" s="1759">
        <v>398</v>
      </c>
      <c r="AN1686" s="1759" t="s">
        <v>5370</v>
      </c>
      <c r="AO1686" s="1764"/>
      <c r="AP1686" s="1759" t="s">
        <v>5385</v>
      </c>
      <c r="AQ1686" s="1759" t="s">
        <v>5386</v>
      </c>
      <c r="AR1686" s="1759" t="s">
        <v>2780</v>
      </c>
      <c r="AS1686" s="1759" t="s">
        <v>426</v>
      </c>
      <c r="AT1686" s="1759" t="s">
        <v>327</v>
      </c>
      <c r="AU1686" s="1763"/>
      <c r="AV1686" s="1763"/>
    </row>
    <row r="1687" spans="1:48" ht="25" hidden="1">
      <c r="A1687" s="1785" t="str">
        <f t="shared" ref="A1687:A1750" si="286">AT1687</f>
        <v>גמל</v>
      </c>
      <c r="B1687" s="1786">
        <f t="shared" ref="B1687:B1750" si="287">AK1687</f>
        <v>1061</v>
      </c>
      <c r="C1687" s="1787">
        <v>28946</v>
      </c>
      <c r="D1687" s="1786" t="str">
        <f t="shared" ref="D1687:D1750" si="288">AJ1687</f>
        <v>איילון השתלמות מסלול שקלי</v>
      </c>
      <c r="E1687" s="1786" t="s">
        <v>3929</v>
      </c>
      <c r="F1687" s="1786" t="s">
        <v>2958</v>
      </c>
      <c r="G1687" s="1786" t="s">
        <v>2959</v>
      </c>
      <c r="H1687" s="1786" t="str">
        <f t="shared" ref="H1687:H1750" si="289">AC1687</f>
        <v>לא פעיל</v>
      </c>
      <c r="I1687" s="1788">
        <f t="shared" ref="I1687:I1750" si="290">IF(AE1687="","",AE1687)</f>
        <v>28581</v>
      </c>
      <c r="J1687" s="1788">
        <f t="shared" ref="J1687:J1750" si="291">IF(AD1687="","",AD1687)</f>
        <v>42744.3698842593</v>
      </c>
      <c r="K1687" s="1786">
        <v>0</v>
      </c>
      <c r="L1687" s="1786" t="s">
        <v>1594</v>
      </c>
      <c r="M1687" s="1786" t="s">
        <v>1653</v>
      </c>
      <c r="N1687" s="1786" t="s">
        <v>1653</v>
      </c>
      <c r="O1687" s="1786">
        <v>0</v>
      </c>
      <c r="P1687" s="1786"/>
      <c r="Q1687" s="1786">
        <v>0</v>
      </c>
      <c r="R1687" s="1788"/>
      <c r="S1687" s="1786">
        <f t="shared" ref="S1687:S1750" si="292">AM1687</f>
        <v>398</v>
      </c>
      <c r="T1687" s="1786" t="str">
        <f t="shared" ref="T1687:T1750" si="293">AN1687</f>
        <v>בנק מזרחי טפחות בע"מ</v>
      </c>
      <c r="U1687" s="1786" t="str">
        <f t="shared" ref="U1687:U1750" si="294">AL1687</f>
        <v>איילון השתלמות מסלולית</v>
      </c>
      <c r="V1687" s="1786" t="str">
        <f t="shared" ref="V1687:V1750" si="295">AQ1687</f>
        <v>520030677</v>
      </c>
      <c r="W1687" s="1789" t="str">
        <f t="shared" ref="W1687:W1750" si="296">AR1687</f>
        <v>איילון פנסיה וגמל בע"מ</v>
      </c>
      <c r="AC1687" s="1761" t="s">
        <v>1586</v>
      </c>
      <c r="AD1687" s="1762">
        <v>42744.3698842593</v>
      </c>
      <c r="AE1687" s="1762">
        <v>28581</v>
      </c>
      <c r="AF1687" s="1761" t="s">
        <v>1076</v>
      </c>
      <c r="AG1687" s="1761" t="s">
        <v>1614</v>
      </c>
      <c r="AH1687" s="1761" t="s">
        <v>1594</v>
      </c>
      <c r="AI1687" s="1761" t="s">
        <v>2243</v>
      </c>
      <c r="AJ1687" s="1761" t="s">
        <v>2243</v>
      </c>
      <c r="AK1687" s="1761">
        <v>1061</v>
      </c>
      <c r="AL1687" s="1761" t="s">
        <v>3100</v>
      </c>
      <c r="AM1687" s="1761">
        <v>398</v>
      </c>
      <c r="AN1687" s="1761" t="s">
        <v>5370</v>
      </c>
      <c r="AO1687" s="1764"/>
      <c r="AP1687" s="1761" t="s">
        <v>5385</v>
      </c>
      <c r="AQ1687" s="1761" t="s">
        <v>5386</v>
      </c>
      <c r="AR1687" s="1761" t="s">
        <v>2780</v>
      </c>
      <c r="AS1687" s="1761" t="s">
        <v>426</v>
      </c>
      <c r="AT1687" s="1761" t="s">
        <v>327</v>
      </c>
      <c r="AU1687" s="1763"/>
      <c r="AV1687" s="1763"/>
    </row>
    <row r="1688" spans="1:48" ht="25" hidden="1">
      <c r="A1688" s="1785" t="str">
        <f t="shared" si="286"/>
        <v>גמל</v>
      </c>
      <c r="B1688" s="1786">
        <f t="shared" si="287"/>
        <v>1055</v>
      </c>
      <c r="C1688" s="1787">
        <v>28946</v>
      </c>
      <c r="D1688" s="1786" t="str">
        <f t="shared" si="288"/>
        <v>איילון השתלמות מסלול מניות</v>
      </c>
      <c r="E1688" s="1786" t="s">
        <v>3929</v>
      </c>
      <c r="F1688" s="1786" t="s">
        <v>2958</v>
      </c>
      <c r="G1688" s="1786" t="s">
        <v>2959</v>
      </c>
      <c r="H1688" s="1786" t="str">
        <f t="shared" si="289"/>
        <v>לא פעיל</v>
      </c>
      <c r="I1688" s="1788">
        <f t="shared" si="290"/>
        <v>28581</v>
      </c>
      <c r="J1688" s="1788">
        <f t="shared" si="291"/>
        <v>42744.3698842593</v>
      </c>
      <c r="K1688" s="1786">
        <v>0</v>
      </c>
      <c r="L1688" s="1786" t="s">
        <v>1594</v>
      </c>
      <c r="M1688" s="1786" t="s">
        <v>1653</v>
      </c>
      <c r="N1688" s="1786" t="s">
        <v>1653</v>
      </c>
      <c r="O1688" s="1786">
        <v>0</v>
      </c>
      <c r="P1688" s="1786"/>
      <c r="Q1688" s="1786">
        <v>0</v>
      </c>
      <c r="R1688" s="1788"/>
      <c r="S1688" s="1786">
        <f t="shared" si="292"/>
        <v>398</v>
      </c>
      <c r="T1688" s="1786" t="str">
        <f t="shared" si="293"/>
        <v>בנק מזרחי טפחות בע"מ</v>
      </c>
      <c r="U1688" s="1786" t="str">
        <f t="shared" si="294"/>
        <v>איילון השתלמות מסלולית</v>
      </c>
      <c r="V1688" s="1786" t="str">
        <f t="shared" si="295"/>
        <v>520030677</v>
      </c>
      <c r="W1688" s="1789" t="str">
        <f t="shared" si="296"/>
        <v>איילון פנסיה וגמל בע"מ</v>
      </c>
      <c r="AC1688" s="1759" t="s">
        <v>1586</v>
      </c>
      <c r="AD1688" s="1760">
        <v>42744.3698842593</v>
      </c>
      <c r="AE1688" s="1760">
        <v>28581</v>
      </c>
      <c r="AF1688" s="1759" t="s">
        <v>1595</v>
      </c>
      <c r="AG1688" s="1759" t="s">
        <v>75</v>
      </c>
      <c r="AH1688" s="1759" t="s">
        <v>1594</v>
      </c>
      <c r="AI1688" s="1759" t="s">
        <v>3486</v>
      </c>
      <c r="AJ1688" s="1759" t="s">
        <v>647</v>
      </c>
      <c r="AK1688" s="1759">
        <v>1055</v>
      </c>
      <c r="AL1688" s="1759" t="s">
        <v>3100</v>
      </c>
      <c r="AM1688" s="1759">
        <v>398</v>
      </c>
      <c r="AN1688" s="1759" t="s">
        <v>5370</v>
      </c>
      <c r="AO1688" s="1764"/>
      <c r="AP1688" s="1759" t="s">
        <v>5385</v>
      </c>
      <c r="AQ1688" s="1759" t="s">
        <v>5386</v>
      </c>
      <c r="AR1688" s="1759" t="s">
        <v>2780</v>
      </c>
      <c r="AS1688" s="1759" t="s">
        <v>426</v>
      </c>
      <c r="AT1688" s="1759" t="s">
        <v>327</v>
      </c>
      <c r="AU1688" s="1763"/>
      <c r="AV1688" s="1763"/>
    </row>
    <row r="1689" spans="1:48" ht="25" hidden="1">
      <c r="A1689" s="1785" t="str">
        <f t="shared" si="286"/>
        <v>גמל</v>
      </c>
      <c r="B1689" s="1786">
        <f t="shared" si="287"/>
        <v>1056</v>
      </c>
      <c r="C1689" s="1787">
        <v>28946</v>
      </c>
      <c r="D1689" s="1786" t="str">
        <f t="shared" si="288"/>
        <v>איילון השתלמות מסלול מט"ח</v>
      </c>
      <c r="E1689" s="1786" t="s">
        <v>3929</v>
      </c>
      <c r="F1689" s="1786" t="s">
        <v>2958</v>
      </c>
      <c r="G1689" s="1786" t="s">
        <v>2959</v>
      </c>
      <c r="H1689" s="1786" t="str">
        <f t="shared" si="289"/>
        <v>לא פעיל</v>
      </c>
      <c r="I1689" s="1788">
        <f t="shared" si="290"/>
        <v>28581</v>
      </c>
      <c r="J1689" s="1788">
        <f t="shared" si="291"/>
        <v>42744.3698842593</v>
      </c>
      <c r="K1689" s="1786">
        <v>0</v>
      </c>
      <c r="L1689" s="1786" t="s">
        <v>1594</v>
      </c>
      <c r="M1689" s="1786" t="s">
        <v>1653</v>
      </c>
      <c r="N1689" s="1786" t="s">
        <v>1653</v>
      </c>
      <c r="O1689" s="1786">
        <v>0</v>
      </c>
      <c r="P1689" s="1786"/>
      <c r="Q1689" s="1786">
        <v>0</v>
      </c>
      <c r="R1689" s="1788"/>
      <c r="S1689" s="1786">
        <f t="shared" si="292"/>
        <v>398</v>
      </c>
      <c r="T1689" s="1786" t="str">
        <f t="shared" si="293"/>
        <v>בנק מזרחי טפחות בע"מ</v>
      </c>
      <c r="U1689" s="1786" t="str">
        <f t="shared" si="294"/>
        <v>איילון השתלמות מסלולית</v>
      </c>
      <c r="V1689" s="1786" t="str">
        <f t="shared" si="295"/>
        <v>520030677</v>
      </c>
      <c r="W1689" s="1789" t="str">
        <f t="shared" si="296"/>
        <v>איילון פנסיה וגמל בע"מ</v>
      </c>
      <c r="AC1689" s="1761" t="s">
        <v>1586</v>
      </c>
      <c r="AD1689" s="1762">
        <v>42744.3698842593</v>
      </c>
      <c r="AE1689" s="1762">
        <v>28581</v>
      </c>
      <c r="AF1689" s="1761" t="s">
        <v>1611</v>
      </c>
      <c r="AG1689" s="1761" t="s">
        <v>1611</v>
      </c>
      <c r="AH1689" s="1761" t="s">
        <v>1594</v>
      </c>
      <c r="AI1689" s="1761" t="s">
        <v>3487</v>
      </c>
      <c r="AJ1689" s="1761" t="s">
        <v>2242</v>
      </c>
      <c r="AK1689" s="1761">
        <v>1056</v>
      </c>
      <c r="AL1689" s="1761" t="s">
        <v>3100</v>
      </c>
      <c r="AM1689" s="1761">
        <v>398</v>
      </c>
      <c r="AN1689" s="1761" t="s">
        <v>5370</v>
      </c>
      <c r="AO1689" s="1764"/>
      <c r="AP1689" s="1761" t="s">
        <v>5385</v>
      </c>
      <c r="AQ1689" s="1761" t="s">
        <v>5386</v>
      </c>
      <c r="AR1689" s="1761" t="s">
        <v>2780</v>
      </c>
      <c r="AS1689" s="1761" t="s">
        <v>426</v>
      </c>
      <c r="AT1689" s="1761" t="s">
        <v>327</v>
      </c>
      <c r="AU1689" s="1763"/>
      <c r="AV1689" s="1763"/>
    </row>
    <row r="1690" spans="1:48" ht="25" hidden="1">
      <c r="A1690" s="1785" t="str">
        <f t="shared" si="286"/>
        <v>גמל</v>
      </c>
      <c r="B1690" s="1786">
        <f t="shared" si="287"/>
        <v>1057</v>
      </c>
      <c r="C1690" s="1787">
        <v>28946</v>
      </c>
      <c r="D1690" s="1786" t="str">
        <f t="shared" si="288"/>
        <v>איילון השתלמות מסלול אג"ח</v>
      </c>
      <c r="E1690" s="1786" t="s">
        <v>3929</v>
      </c>
      <c r="F1690" s="1786" t="s">
        <v>2958</v>
      </c>
      <c r="G1690" s="1786" t="s">
        <v>2959</v>
      </c>
      <c r="H1690" s="1786" t="str">
        <f t="shared" si="289"/>
        <v>לא פעיל</v>
      </c>
      <c r="I1690" s="1788">
        <f t="shared" si="290"/>
        <v>28581</v>
      </c>
      <c r="J1690" s="1788">
        <f t="shared" si="291"/>
        <v>42744.3698842593</v>
      </c>
      <c r="K1690" s="1786">
        <v>0</v>
      </c>
      <c r="L1690" s="1786" t="s">
        <v>1594</v>
      </c>
      <c r="M1690" s="1786" t="s">
        <v>1653</v>
      </c>
      <c r="N1690" s="1786" t="s">
        <v>1653</v>
      </c>
      <c r="O1690" s="1786">
        <v>0</v>
      </c>
      <c r="P1690" s="1786"/>
      <c r="Q1690" s="1786">
        <v>0</v>
      </c>
      <c r="R1690" s="1788"/>
      <c r="S1690" s="1786">
        <f t="shared" si="292"/>
        <v>398</v>
      </c>
      <c r="T1690" s="1786" t="str">
        <f t="shared" si="293"/>
        <v>בנק מזרחי טפחות בע"מ</v>
      </c>
      <c r="U1690" s="1786" t="str">
        <f t="shared" si="294"/>
        <v>איילון השתלמות מסלולית</v>
      </c>
      <c r="V1690" s="1786" t="str">
        <f t="shared" si="295"/>
        <v>520030677</v>
      </c>
      <c r="W1690" s="1789" t="str">
        <f t="shared" si="296"/>
        <v>איילון פנסיה וגמל בע"מ</v>
      </c>
      <c r="AC1690" s="1759" t="s">
        <v>1586</v>
      </c>
      <c r="AD1690" s="1760">
        <v>42744.3698842593</v>
      </c>
      <c r="AE1690" s="1760">
        <v>28581</v>
      </c>
      <c r="AF1690" s="1759" t="s">
        <v>1653</v>
      </c>
      <c r="AG1690" s="1759" t="s">
        <v>1653</v>
      </c>
      <c r="AH1690" s="1759" t="s">
        <v>1594</v>
      </c>
      <c r="AI1690" s="1759" t="s">
        <v>3489</v>
      </c>
      <c r="AJ1690" s="1759" t="s">
        <v>3488</v>
      </c>
      <c r="AK1690" s="1759">
        <v>1057</v>
      </c>
      <c r="AL1690" s="1759" t="s">
        <v>3100</v>
      </c>
      <c r="AM1690" s="1759">
        <v>398</v>
      </c>
      <c r="AN1690" s="1759" t="s">
        <v>5370</v>
      </c>
      <c r="AO1690" s="1764"/>
      <c r="AP1690" s="1759" t="s">
        <v>5385</v>
      </c>
      <c r="AQ1690" s="1759" t="s">
        <v>5386</v>
      </c>
      <c r="AR1690" s="1759" t="s">
        <v>2780</v>
      </c>
      <c r="AS1690" s="1759" t="s">
        <v>426</v>
      </c>
      <c r="AT1690" s="1759" t="s">
        <v>327</v>
      </c>
      <c r="AU1690" s="1763"/>
      <c r="AV1690" s="1763"/>
    </row>
    <row r="1691" spans="1:48" ht="25" hidden="1">
      <c r="A1691" s="1785" t="str">
        <f t="shared" si="286"/>
        <v>גמל</v>
      </c>
      <c r="B1691" s="1786">
        <f t="shared" si="287"/>
        <v>397</v>
      </c>
      <c r="C1691" s="1787">
        <v>28946</v>
      </c>
      <c r="D1691" s="1786" t="str">
        <f t="shared" si="288"/>
        <v>פסגות קשת</v>
      </c>
      <c r="E1691" s="1786" t="s">
        <v>3929</v>
      </c>
      <c r="F1691" s="1786" t="s">
        <v>2958</v>
      </c>
      <c r="G1691" s="1786" t="s">
        <v>2959</v>
      </c>
      <c r="H1691" s="1786" t="str">
        <f t="shared" si="289"/>
        <v>לא פעיל</v>
      </c>
      <c r="I1691" s="1788">
        <f t="shared" si="290"/>
        <v>29310</v>
      </c>
      <c r="J1691" s="1788">
        <f t="shared" si="291"/>
        <v>40063</v>
      </c>
      <c r="K1691" s="1786">
        <v>0</v>
      </c>
      <c r="L1691" s="1786" t="s">
        <v>1594</v>
      </c>
      <c r="M1691" s="1786" t="s">
        <v>1653</v>
      </c>
      <c r="N1691" s="1786" t="s">
        <v>1653</v>
      </c>
      <c r="O1691" s="1786">
        <v>0</v>
      </c>
      <c r="P1691" s="1786"/>
      <c r="Q1691" s="1786">
        <v>0</v>
      </c>
      <c r="R1691" s="1788"/>
      <c r="S1691" s="1786">
        <f t="shared" si="292"/>
        <v>397</v>
      </c>
      <c r="T1691" s="1786" t="str">
        <f t="shared" si="293"/>
        <v>בנק לאומי בע"מ</v>
      </c>
      <c r="U1691" s="1786" t="str">
        <f t="shared" si="294"/>
        <v>פסגות קשת</v>
      </c>
      <c r="V1691" s="1786" t="str">
        <f t="shared" si="295"/>
        <v>513767079</v>
      </c>
      <c r="W1691" s="1789" t="str">
        <f t="shared" si="296"/>
        <v>פסגות קופות גמל ופנסיה בע"מ</v>
      </c>
      <c r="AC1691" s="1761" t="s">
        <v>1586</v>
      </c>
      <c r="AD1691" s="1762">
        <v>40063</v>
      </c>
      <c r="AE1691" s="1762">
        <v>29310</v>
      </c>
      <c r="AF1691" s="1761" t="s">
        <v>1583</v>
      </c>
      <c r="AG1691" s="1761" t="s">
        <v>1583</v>
      </c>
      <c r="AH1691" s="1761" t="s">
        <v>1583</v>
      </c>
      <c r="AI1691" s="1761" t="s">
        <v>1787</v>
      </c>
      <c r="AJ1691" s="1761" t="s">
        <v>1787</v>
      </c>
      <c r="AK1691" s="1761">
        <v>397</v>
      </c>
      <c r="AL1691" s="1761" t="s">
        <v>1787</v>
      </c>
      <c r="AM1691" s="1761">
        <v>397</v>
      </c>
      <c r="AN1691" s="1761" t="s">
        <v>5470</v>
      </c>
      <c r="AO1691" s="1764"/>
      <c r="AP1691" s="1761" t="s">
        <v>5365</v>
      </c>
      <c r="AQ1691" s="1761" t="s">
        <v>5366</v>
      </c>
      <c r="AR1691" s="1761" t="s">
        <v>351</v>
      </c>
      <c r="AS1691" s="1761" t="s">
        <v>352</v>
      </c>
      <c r="AT1691" s="1761" t="s">
        <v>327</v>
      </c>
      <c r="AU1691" s="1763"/>
      <c r="AV1691" s="1763"/>
    </row>
    <row r="1692" spans="1:48" ht="25" hidden="1">
      <c r="A1692" s="1785" t="str">
        <f t="shared" si="286"/>
        <v>גמל</v>
      </c>
      <c r="B1692" s="1786">
        <f t="shared" si="287"/>
        <v>1183</v>
      </c>
      <c r="C1692" s="1787">
        <v>28946</v>
      </c>
      <c r="D1692" s="1786" t="str">
        <f t="shared" si="288"/>
        <v>פסגות שיא השתלמות ישראל</v>
      </c>
      <c r="E1692" s="1786" t="s">
        <v>3929</v>
      </c>
      <c r="F1692" s="1786" t="s">
        <v>2958</v>
      </c>
      <c r="G1692" s="1786" t="s">
        <v>2959</v>
      </c>
      <c r="H1692" s="1786" t="str">
        <f t="shared" si="289"/>
        <v>פעיל</v>
      </c>
      <c r="I1692" s="1788">
        <f t="shared" si="290"/>
        <v>28914</v>
      </c>
      <c r="J1692" s="1788" t="str">
        <f t="shared" si="291"/>
        <v/>
      </c>
      <c r="K1692" s="1786">
        <v>0</v>
      </c>
      <c r="L1692" s="1786" t="s">
        <v>1594</v>
      </c>
      <c r="M1692" s="1786" t="s">
        <v>1653</v>
      </c>
      <c r="N1692" s="1786" t="s">
        <v>1653</v>
      </c>
      <c r="O1692" s="1786">
        <v>0</v>
      </c>
      <c r="P1692" s="1786"/>
      <c r="Q1692" s="1786">
        <v>0</v>
      </c>
      <c r="R1692" s="1788"/>
      <c r="S1692" s="1786">
        <f t="shared" si="292"/>
        <v>396</v>
      </c>
      <c r="T1692" s="1786" t="str">
        <f t="shared" si="293"/>
        <v>בנק הפועלים בע"מ</v>
      </c>
      <c r="U1692" s="1786" t="str">
        <f t="shared" si="294"/>
        <v>פסגות שיא השתלמות</v>
      </c>
      <c r="V1692" s="1786" t="str">
        <f t="shared" si="295"/>
        <v>513767079</v>
      </c>
      <c r="W1692" s="1789" t="str">
        <f t="shared" si="296"/>
        <v>פסגות קופות גמל ופנסיה בע"מ</v>
      </c>
      <c r="AC1692" s="1759" t="s">
        <v>346</v>
      </c>
      <c r="AD1692" s="1759"/>
      <c r="AE1692" s="1760">
        <v>28914</v>
      </c>
      <c r="AF1692" s="1759" t="s">
        <v>3672</v>
      </c>
      <c r="AG1692" s="1759" t="s">
        <v>3672</v>
      </c>
      <c r="AH1692" s="1759" t="s">
        <v>1594</v>
      </c>
      <c r="AI1692" s="1759" t="s">
        <v>4042</v>
      </c>
      <c r="AJ1692" s="1759" t="s">
        <v>4042</v>
      </c>
      <c r="AK1692" s="1759">
        <v>1183</v>
      </c>
      <c r="AL1692" s="1759" t="s">
        <v>521</v>
      </c>
      <c r="AM1692" s="1759">
        <v>396</v>
      </c>
      <c r="AN1692" s="1759" t="s">
        <v>1695</v>
      </c>
      <c r="AO1692" s="1764"/>
      <c r="AP1692" s="1759" t="s">
        <v>5365</v>
      </c>
      <c r="AQ1692" s="1759" t="s">
        <v>5366</v>
      </c>
      <c r="AR1692" s="1759" t="s">
        <v>351</v>
      </c>
      <c r="AS1692" s="1759" t="s">
        <v>352</v>
      </c>
      <c r="AT1692" s="1759" t="s">
        <v>327</v>
      </c>
      <c r="AU1692" s="1763"/>
      <c r="AV1692" s="1763"/>
    </row>
    <row r="1693" spans="1:48" ht="25" hidden="1">
      <c r="A1693" s="1785" t="str">
        <f t="shared" si="286"/>
        <v>גמל</v>
      </c>
      <c r="B1693" s="1786">
        <f t="shared" si="287"/>
        <v>1218</v>
      </c>
      <c r="C1693" s="1787">
        <v>28946</v>
      </c>
      <c r="D1693" s="1786" t="str">
        <f t="shared" si="288"/>
        <v>פסגות שיא השתלמות כללי</v>
      </c>
      <c r="E1693" s="1786" t="s">
        <v>3929</v>
      </c>
      <c r="F1693" s="1786" t="s">
        <v>2958</v>
      </c>
      <c r="G1693" s="1786" t="s">
        <v>2959</v>
      </c>
      <c r="H1693" s="1786" t="str">
        <f t="shared" si="289"/>
        <v>לא פעיל</v>
      </c>
      <c r="I1693" s="1788">
        <f t="shared" si="290"/>
        <v>28914</v>
      </c>
      <c r="J1693" s="1788">
        <f t="shared" si="291"/>
        <v>41647.451655092598</v>
      </c>
      <c r="K1693" s="1786">
        <v>0</v>
      </c>
      <c r="L1693" s="1786" t="s">
        <v>1594</v>
      </c>
      <c r="M1693" s="1786" t="s">
        <v>1653</v>
      </c>
      <c r="N1693" s="1786" t="s">
        <v>1653</v>
      </c>
      <c r="O1693" s="1786">
        <v>0</v>
      </c>
      <c r="P1693" s="1786"/>
      <c r="Q1693" s="1786">
        <v>0</v>
      </c>
      <c r="R1693" s="1788"/>
      <c r="S1693" s="1786">
        <f t="shared" si="292"/>
        <v>396</v>
      </c>
      <c r="T1693" s="1786" t="str">
        <f t="shared" si="293"/>
        <v>בנק הפועלים בע"מ</v>
      </c>
      <c r="U1693" s="1786" t="str">
        <f t="shared" si="294"/>
        <v>פסגות שיא השתלמות</v>
      </c>
      <c r="V1693" s="1786" t="str">
        <f t="shared" si="295"/>
        <v>513767079</v>
      </c>
      <c r="W1693" s="1789" t="str">
        <f t="shared" si="296"/>
        <v>פסגות קופות גמל ופנסיה בע"מ</v>
      </c>
      <c r="AC1693" s="1761" t="s">
        <v>1586</v>
      </c>
      <c r="AD1693" s="1762">
        <v>41647.451655092598</v>
      </c>
      <c r="AE1693" s="1762">
        <v>28914</v>
      </c>
      <c r="AF1693" s="1761" t="s">
        <v>1583</v>
      </c>
      <c r="AG1693" s="1761" t="s">
        <v>1583</v>
      </c>
      <c r="AH1693" s="1761" t="s">
        <v>1583</v>
      </c>
      <c r="AI1693" s="1761" t="s">
        <v>2344</v>
      </c>
      <c r="AJ1693" s="1761" t="s">
        <v>2344</v>
      </c>
      <c r="AK1693" s="1761">
        <v>1218</v>
      </c>
      <c r="AL1693" s="1761" t="s">
        <v>521</v>
      </c>
      <c r="AM1693" s="1761">
        <v>396</v>
      </c>
      <c r="AN1693" s="1761" t="s">
        <v>1695</v>
      </c>
      <c r="AO1693" s="1764"/>
      <c r="AP1693" s="1761" t="s">
        <v>5365</v>
      </c>
      <c r="AQ1693" s="1761" t="s">
        <v>5366</v>
      </c>
      <c r="AR1693" s="1761" t="s">
        <v>351</v>
      </c>
      <c r="AS1693" s="1761" t="s">
        <v>352</v>
      </c>
      <c r="AT1693" s="1761" t="s">
        <v>327</v>
      </c>
      <c r="AU1693" s="1763"/>
      <c r="AV1693" s="1763"/>
    </row>
    <row r="1694" spans="1:48" ht="25" hidden="1">
      <c r="A1694" s="1785" t="str">
        <f t="shared" si="286"/>
        <v>גמל</v>
      </c>
      <c r="B1694" s="1786">
        <f t="shared" si="287"/>
        <v>1260</v>
      </c>
      <c r="C1694" s="1787">
        <v>28946</v>
      </c>
      <c r="D1694" s="1786" t="str">
        <f t="shared" si="288"/>
        <v>פסגות שיא השתלמות בטא</v>
      </c>
      <c r="E1694" s="1786" t="s">
        <v>3929</v>
      </c>
      <c r="F1694" s="1786" t="s">
        <v>2958</v>
      </c>
      <c r="G1694" s="1786" t="s">
        <v>2959</v>
      </c>
      <c r="H1694" s="1786" t="str">
        <f t="shared" si="289"/>
        <v>לא פעיל</v>
      </c>
      <c r="I1694" s="1788">
        <f t="shared" si="290"/>
        <v>28914</v>
      </c>
      <c r="J1694" s="1788">
        <f t="shared" si="291"/>
        <v>42375.3532291667</v>
      </c>
      <c r="K1694" s="1786">
        <v>0</v>
      </c>
      <c r="L1694" s="1786" t="s">
        <v>1594</v>
      </c>
      <c r="M1694" s="1786" t="s">
        <v>1653</v>
      </c>
      <c r="N1694" s="1786" t="s">
        <v>1653</v>
      </c>
      <c r="O1694" s="1786">
        <v>0</v>
      </c>
      <c r="P1694" s="1786"/>
      <c r="Q1694" s="1786">
        <v>0</v>
      </c>
      <c r="R1694" s="1788"/>
      <c r="S1694" s="1786">
        <f t="shared" si="292"/>
        <v>396</v>
      </c>
      <c r="T1694" s="1786" t="str">
        <f t="shared" si="293"/>
        <v>בנק הפועלים בע"מ</v>
      </c>
      <c r="U1694" s="1786" t="str">
        <f t="shared" si="294"/>
        <v>פסגות שיא השתלמות</v>
      </c>
      <c r="V1694" s="1786" t="str">
        <f t="shared" si="295"/>
        <v>513767079</v>
      </c>
      <c r="W1694" s="1789" t="str">
        <f t="shared" si="296"/>
        <v>פסגות קופות גמל ופנסיה בע"מ</v>
      </c>
      <c r="AC1694" s="1759" t="s">
        <v>1586</v>
      </c>
      <c r="AD1694" s="1760">
        <v>42375.3532291667</v>
      </c>
      <c r="AE1694" s="1760">
        <v>28914</v>
      </c>
      <c r="AF1694" s="1759" t="s">
        <v>1583</v>
      </c>
      <c r="AG1694" s="1759" t="s">
        <v>1583</v>
      </c>
      <c r="AH1694" s="1759" t="s">
        <v>1583</v>
      </c>
      <c r="AI1694" s="1759" t="s">
        <v>2361</v>
      </c>
      <c r="AJ1694" s="1759" t="s">
        <v>2361</v>
      </c>
      <c r="AK1694" s="1759">
        <v>1260</v>
      </c>
      <c r="AL1694" s="1759" t="s">
        <v>521</v>
      </c>
      <c r="AM1694" s="1759">
        <v>396</v>
      </c>
      <c r="AN1694" s="1759" t="s">
        <v>1695</v>
      </c>
      <c r="AO1694" s="1764"/>
      <c r="AP1694" s="1759" t="s">
        <v>5365</v>
      </c>
      <c r="AQ1694" s="1759" t="s">
        <v>5366</v>
      </c>
      <c r="AR1694" s="1759" t="s">
        <v>351</v>
      </c>
      <c r="AS1694" s="1759" t="s">
        <v>352</v>
      </c>
      <c r="AT1694" s="1759" t="s">
        <v>327</v>
      </c>
      <c r="AU1694" s="1763"/>
      <c r="AV1694" s="1763"/>
    </row>
    <row r="1695" spans="1:48" ht="25" hidden="1">
      <c r="A1695" s="1785" t="str">
        <f t="shared" si="286"/>
        <v>גמל</v>
      </c>
      <c r="B1695" s="1786">
        <f t="shared" si="287"/>
        <v>1424</v>
      </c>
      <c r="C1695" s="1787">
        <v>28946</v>
      </c>
      <c r="D1695" s="1786" t="str">
        <f t="shared" si="288"/>
        <v>פסגות שיא השתלמות אגח עד 10% מניות</v>
      </c>
      <c r="E1695" s="1786" t="s">
        <v>3929</v>
      </c>
      <c r="F1695" s="1786" t="s">
        <v>2958</v>
      </c>
      <c r="G1695" s="1786" t="s">
        <v>2959</v>
      </c>
      <c r="H1695" s="1786" t="str">
        <f t="shared" si="289"/>
        <v>פעיל</v>
      </c>
      <c r="I1695" s="1788">
        <f t="shared" si="290"/>
        <v>28914</v>
      </c>
      <c r="J1695" s="1788" t="str">
        <f t="shared" si="291"/>
        <v/>
      </c>
      <c r="K1695" s="1786">
        <v>0</v>
      </c>
      <c r="L1695" s="1786" t="s">
        <v>1594</v>
      </c>
      <c r="M1695" s="1786" t="s">
        <v>1653</v>
      </c>
      <c r="N1695" s="1786" t="s">
        <v>1653</v>
      </c>
      <c r="O1695" s="1786">
        <v>0</v>
      </c>
      <c r="P1695" s="1786"/>
      <c r="Q1695" s="1786">
        <v>0</v>
      </c>
      <c r="R1695" s="1788"/>
      <c r="S1695" s="1786">
        <f t="shared" si="292"/>
        <v>396</v>
      </c>
      <c r="T1695" s="1786" t="str">
        <f t="shared" si="293"/>
        <v>בנק הפועלים בע"מ</v>
      </c>
      <c r="U1695" s="1786" t="str">
        <f t="shared" si="294"/>
        <v>פסגות שיא השתלמות</v>
      </c>
      <c r="V1695" s="1786" t="str">
        <f t="shared" si="295"/>
        <v>513767079</v>
      </c>
      <c r="W1695" s="1789" t="str">
        <f t="shared" si="296"/>
        <v>פסגות קופות גמל ופנסיה בע"מ</v>
      </c>
      <c r="AC1695" s="1761" t="s">
        <v>346</v>
      </c>
      <c r="AD1695" s="1761"/>
      <c r="AE1695" s="1762">
        <v>28914</v>
      </c>
      <c r="AF1695" s="1761" t="s">
        <v>3934</v>
      </c>
      <c r="AG1695" s="1761" t="s">
        <v>1653</v>
      </c>
      <c r="AH1695" s="1761" t="s">
        <v>1594</v>
      </c>
      <c r="AI1695" s="1761" t="s">
        <v>4096</v>
      </c>
      <c r="AJ1695" s="1761" t="s">
        <v>4096</v>
      </c>
      <c r="AK1695" s="1761">
        <v>1424</v>
      </c>
      <c r="AL1695" s="1761" t="s">
        <v>521</v>
      </c>
      <c r="AM1695" s="1761">
        <v>396</v>
      </c>
      <c r="AN1695" s="1761" t="s">
        <v>1695</v>
      </c>
      <c r="AO1695" s="1764"/>
      <c r="AP1695" s="1761" t="s">
        <v>5365</v>
      </c>
      <c r="AQ1695" s="1761" t="s">
        <v>5366</v>
      </c>
      <c r="AR1695" s="1761" t="s">
        <v>351</v>
      </c>
      <c r="AS1695" s="1761" t="s">
        <v>352</v>
      </c>
      <c r="AT1695" s="1761" t="s">
        <v>327</v>
      </c>
      <c r="AU1695" s="1763"/>
      <c r="AV1695" s="1763"/>
    </row>
    <row r="1696" spans="1:48" ht="25" hidden="1">
      <c r="A1696" s="1785" t="str">
        <f t="shared" si="286"/>
        <v>גמל</v>
      </c>
      <c r="B1696" s="1786">
        <f t="shared" si="287"/>
        <v>1429</v>
      </c>
      <c r="C1696" s="1787">
        <v>28946</v>
      </c>
      <c r="D1696" s="1786" t="str">
        <f t="shared" si="288"/>
        <v>פסגות שיא השתלמות אג"ח ממשלת ישראל</v>
      </c>
      <c r="E1696" s="1786" t="s">
        <v>3929</v>
      </c>
      <c r="F1696" s="1786" t="s">
        <v>2958</v>
      </c>
      <c r="G1696" s="1786" t="s">
        <v>2959</v>
      </c>
      <c r="H1696" s="1786" t="str">
        <f t="shared" si="289"/>
        <v>פעיל</v>
      </c>
      <c r="I1696" s="1788">
        <f t="shared" si="290"/>
        <v>28914</v>
      </c>
      <c r="J1696" s="1788" t="str">
        <f t="shared" si="291"/>
        <v/>
      </c>
      <c r="K1696" s="1786">
        <v>0</v>
      </c>
      <c r="L1696" s="1786" t="s">
        <v>1594</v>
      </c>
      <c r="M1696" s="1786" t="s">
        <v>1653</v>
      </c>
      <c r="N1696" s="1786" t="s">
        <v>1653</v>
      </c>
      <c r="O1696" s="1786">
        <v>0</v>
      </c>
      <c r="P1696" s="1786"/>
      <c r="Q1696" s="1786">
        <v>0</v>
      </c>
      <c r="R1696" s="1788"/>
      <c r="S1696" s="1786">
        <f t="shared" si="292"/>
        <v>396</v>
      </c>
      <c r="T1696" s="1786" t="str">
        <f t="shared" si="293"/>
        <v>בנק הפועלים בע"מ</v>
      </c>
      <c r="U1696" s="1786" t="str">
        <f t="shared" si="294"/>
        <v>פסגות שיא השתלמות</v>
      </c>
      <c r="V1696" s="1786" t="str">
        <f t="shared" si="295"/>
        <v>513767079</v>
      </c>
      <c r="W1696" s="1789" t="str">
        <f t="shared" si="296"/>
        <v>פסגות קופות גמל ופנסיה בע"מ</v>
      </c>
      <c r="AC1696" s="1759" t="s">
        <v>346</v>
      </c>
      <c r="AD1696" s="1759"/>
      <c r="AE1696" s="1760">
        <v>28914</v>
      </c>
      <c r="AF1696" s="1759" t="s">
        <v>2009</v>
      </c>
      <c r="AG1696" s="1759" t="s">
        <v>1653</v>
      </c>
      <c r="AH1696" s="1759" t="s">
        <v>1594</v>
      </c>
      <c r="AI1696" s="1759" t="s">
        <v>4097</v>
      </c>
      <c r="AJ1696" s="1759" t="s">
        <v>4097</v>
      </c>
      <c r="AK1696" s="1759">
        <v>1429</v>
      </c>
      <c r="AL1696" s="1759" t="s">
        <v>521</v>
      </c>
      <c r="AM1696" s="1759">
        <v>396</v>
      </c>
      <c r="AN1696" s="1759" t="s">
        <v>1695</v>
      </c>
      <c r="AO1696" s="1764"/>
      <c r="AP1696" s="1759" t="s">
        <v>5365</v>
      </c>
      <c r="AQ1696" s="1759" t="s">
        <v>5366</v>
      </c>
      <c r="AR1696" s="1759" t="s">
        <v>351</v>
      </c>
      <c r="AS1696" s="1759" t="s">
        <v>352</v>
      </c>
      <c r="AT1696" s="1759" t="s">
        <v>327</v>
      </c>
      <c r="AU1696" s="1763"/>
      <c r="AV1696" s="1763"/>
    </row>
    <row r="1697" spans="1:48" ht="25" hidden="1">
      <c r="A1697" s="1785" t="str">
        <f t="shared" si="286"/>
        <v>גמל</v>
      </c>
      <c r="B1697" s="1786">
        <f t="shared" si="287"/>
        <v>2018</v>
      </c>
      <c r="C1697" s="1787">
        <v>28946</v>
      </c>
      <c r="D1697" s="1786" t="str">
        <f t="shared" si="288"/>
        <v>פסגות שיא השתלמות הלכה</v>
      </c>
      <c r="E1697" s="1786" t="s">
        <v>3929</v>
      </c>
      <c r="F1697" s="1786" t="s">
        <v>2958</v>
      </c>
      <c r="G1697" s="1786" t="s">
        <v>2959</v>
      </c>
      <c r="H1697" s="1786" t="str">
        <f t="shared" si="289"/>
        <v>פעיל</v>
      </c>
      <c r="I1697" s="1788">
        <f t="shared" si="290"/>
        <v>28914</v>
      </c>
      <c r="J1697" s="1788" t="str">
        <f t="shared" si="291"/>
        <v/>
      </c>
      <c r="K1697" s="1786">
        <v>0</v>
      </c>
      <c r="L1697" s="1786" t="s">
        <v>1594</v>
      </c>
      <c r="M1697" s="1786" t="s">
        <v>1653</v>
      </c>
      <c r="N1697" s="1786" t="s">
        <v>1653</v>
      </c>
      <c r="O1697" s="1786">
        <v>0</v>
      </c>
      <c r="P1697" s="1786"/>
      <c r="Q1697" s="1786">
        <v>0</v>
      </c>
      <c r="R1697" s="1788"/>
      <c r="S1697" s="1786">
        <f t="shared" si="292"/>
        <v>396</v>
      </c>
      <c r="T1697" s="1786" t="str">
        <f t="shared" si="293"/>
        <v>בנק הפועלים בע"מ</v>
      </c>
      <c r="U1697" s="1786" t="str">
        <f t="shared" si="294"/>
        <v>פסגות שיא השתלמות</v>
      </c>
      <c r="V1697" s="1786" t="str">
        <f t="shared" si="295"/>
        <v>513767079</v>
      </c>
      <c r="W1697" s="1789" t="str">
        <f t="shared" si="296"/>
        <v>פסגות קופות גמל ופנסיה בע"מ</v>
      </c>
      <c r="AC1697" s="1761" t="s">
        <v>346</v>
      </c>
      <c r="AD1697" s="1761"/>
      <c r="AE1697" s="1762">
        <v>28914</v>
      </c>
      <c r="AF1697" s="1761" t="s">
        <v>4603</v>
      </c>
      <c r="AG1697" s="1761" t="s">
        <v>2029</v>
      </c>
      <c r="AH1697" s="1761" t="s">
        <v>2028</v>
      </c>
      <c r="AI1697" s="1761" t="s">
        <v>4139</v>
      </c>
      <c r="AJ1697" s="1761" t="s">
        <v>4138</v>
      </c>
      <c r="AK1697" s="1761">
        <v>2018</v>
      </c>
      <c r="AL1697" s="1761" t="s">
        <v>521</v>
      </c>
      <c r="AM1697" s="1761">
        <v>396</v>
      </c>
      <c r="AN1697" s="1761" t="s">
        <v>1695</v>
      </c>
      <c r="AO1697" s="1764"/>
      <c r="AP1697" s="1761" t="s">
        <v>5365</v>
      </c>
      <c r="AQ1697" s="1761" t="s">
        <v>5366</v>
      </c>
      <c r="AR1697" s="1761" t="s">
        <v>351</v>
      </c>
      <c r="AS1697" s="1761" t="s">
        <v>352</v>
      </c>
      <c r="AT1697" s="1761" t="s">
        <v>327</v>
      </c>
      <c r="AU1697" s="1763"/>
      <c r="AV1697" s="1763"/>
    </row>
    <row r="1698" spans="1:48" ht="25" hidden="1">
      <c r="A1698" s="1785" t="str">
        <f t="shared" si="286"/>
        <v>גמל</v>
      </c>
      <c r="B1698" s="1786">
        <f t="shared" si="287"/>
        <v>2244</v>
      </c>
      <c r="C1698" s="1787">
        <v>28946</v>
      </c>
      <c r="D1698" s="1786" t="str">
        <f t="shared" si="288"/>
        <v>פסגות שיא השתלמות חו"ל</v>
      </c>
      <c r="E1698" s="1786" t="s">
        <v>3929</v>
      </c>
      <c r="F1698" s="1786" t="s">
        <v>2958</v>
      </c>
      <c r="G1698" s="1786" t="s">
        <v>2959</v>
      </c>
      <c r="H1698" s="1786" t="str">
        <f t="shared" si="289"/>
        <v>פעיל</v>
      </c>
      <c r="I1698" s="1788">
        <f t="shared" si="290"/>
        <v>28914</v>
      </c>
      <c r="J1698" s="1788" t="str">
        <f t="shared" si="291"/>
        <v/>
      </c>
      <c r="K1698" s="1786">
        <v>0</v>
      </c>
      <c r="L1698" s="1786" t="s">
        <v>1594</v>
      </c>
      <c r="M1698" s="1786" t="s">
        <v>1653</v>
      </c>
      <c r="N1698" s="1786" t="s">
        <v>1653</v>
      </c>
      <c r="O1698" s="1786">
        <v>0</v>
      </c>
      <c r="P1698" s="1786"/>
      <c r="Q1698" s="1786">
        <v>0</v>
      </c>
      <c r="R1698" s="1788"/>
      <c r="S1698" s="1786">
        <f t="shared" si="292"/>
        <v>396</v>
      </c>
      <c r="T1698" s="1786" t="str">
        <f t="shared" si="293"/>
        <v>בנק הפועלים בע"מ</v>
      </c>
      <c r="U1698" s="1786" t="str">
        <f t="shared" si="294"/>
        <v>פסגות שיא השתלמות</v>
      </c>
      <c r="V1698" s="1786" t="str">
        <f t="shared" si="295"/>
        <v>513767079</v>
      </c>
      <c r="W1698" s="1789" t="str">
        <f t="shared" si="296"/>
        <v>פסגות קופות גמל ופנסיה בע"מ</v>
      </c>
      <c r="AC1698" s="1759" t="s">
        <v>346</v>
      </c>
      <c r="AD1698" s="1759"/>
      <c r="AE1698" s="1760">
        <v>28914</v>
      </c>
      <c r="AF1698" s="1759" t="s">
        <v>1948</v>
      </c>
      <c r="AG1698" s="1759" t="s">
        <v>1947</v>
      </c>
      <c r="AH1698" s="1759" t="s">
        <v>1594</v>
      </c>
      <c r="AI1698" s="1759" t="s">
        <v>2907</v>
      </c>
      <c r="AJ1698" s="1759" t="s">
        <v>2907</v>
      </c>
      <c r="AK1698" s="1759">
        <v>2244</v>
      </c>
      <c r="AL1698" s="1759" t="s">
        <v>521</v>
      </c>
      <c r="AM1698" s="1759">
        <v>396</v>
      </c>
      <c r="AN1698" s="1759" t="s">
        <v>1695</v>
      </c>
      <c r="AO1698" s="1764"/>
      <c r="AP1698" s="1759" t="s">
        <v>5365</v>
      </c>
      <c r="AQ1698" s="1759" t="s">
        <v>5366</v>
      </c>
      <c r="AR1698" s="1759" t="s">
        <v>351</v>
      </c>
      <c r="AS1698" s="1759" t="s">
        <v>352</v>
      </c>
      <c r="AT1698" s="1759" t="s">
        <v>327</v>
      </c>
      <c r="AU1698" s="1763"/>
      <c r="AV1698" s="1763"/>
    </row>
    <row r="1699" spans="1:48" ht="25" hidden="1">
      <c r="A1699" s="1785" t="str">
        <f t="shared" si="286"/>
        <v>גמל</v>
      </c>
      <c r="B1699" s="1786">
        <f t="shared" si="287"/>
        <v>396</v>
      </c>
      <c r="C1699" s="1787">
        <v>28946</v>
      </c>
      <c r="D1699" s="1786" t="str">
        <f t="shared" si="288"/>
        <v>פסגות שיא השתלמות כללי</v>
      </c>
      <c r="E1699" s="1786" t="s">
        <v>3929</v>
      </c>
      <c r="F1699" s="1786" t="s">
        <v>2958</v>
      </c>
      <c r="G1699" s="1786" t="s">
        <v>2959</v>
      </c>
      <c r="H1699" s="1786" t="str">
        <f t="shared" si="289"/>
        <v>פעיל</v>
      </c>
      <c r="I1699" s="1788">
        <f t="shared" si="290"/>
        <v>28914</v>
      </c>
      <c r="J1699" s="1788" t="str">
        <f t="shared" si="291"/>
        <v/>
      </c>
      <c r="K1699" s="1786">
        <v>0</v>
      </c>
      <c r="L1699" s="1786" t="s">
        <v>1594</v>
      </c>
      <c r="M1699" s="1786" t="s">
        <v>1653</v>
      </c>
      <c r="N1699" s="1786" t="s">
        <v>1653</v>
      </c>
      <c r="O1699" s="1786">
        <v>0</v>
      </c>
      <c r="P1699" s="1786"/>
      <c r="Q1699" s="1786">
        <v>0</v>
      </c>
      <c r="R1699" s="1788"/>
      <c r="S1699" s="1786">
        <f t="shared" si="292"/>
        <v>396</v>
      </c>
      <c r="T1699" s="1786" t="str">
        <f t="shared" si="293"/>
        <v>בנק הפועלים בע"מ</v>
      </c>
      <c r="U1699" s="1786" t="str">
        <f t="shared" si="294"/>
        <v>פסגות שיא השתלמות</v>
      </c>
      <c r="V1699" s="1786" t="str">
        <f t="shared" si="295"/>
        <v>513767079</v>
      </c>
      <c r="W1699" s="1789" t="str">
        <f t="shared" si="296"/>
        <v>פסגות קופות גמל ופנסיה בע"מ</v>
      </c>
      <c r="AC1699" s="1761" t="s">
        <v>346</v>
      </c>
      <c r="AD1699" s="1761"/>
      <c r="AE1699" s="1762">
        <v>28914</v>
      </c>
      <c r="AF1699" s="1761" t="s">
        <v>1583</v>
      </c>
      <c r="AG1699" s="1761" t="s">
        <v>1583</v>
      </c>
      <c r="AH1699" s="1761" t="s">
        <v>1583</v>
      </c>
      <c r="AI1699" s="1761" t="s">
        <v>2344</v>
      </c>
      <c r="AJ1699" s="1761" t="s">
        <v>2344</v>
      </c>
      <c r="AK1699" s="1761">
        <v>396</v>
      </c>
      <c r="AL1699" s="1761" t="s">
        <v>521</v>
      </c>
      <c r="AM1699" s="1761">
        <v>396</v>
      </c>
      <c r="AN1699" s="1761" t="s">
        <v>1695</v>
      </c>
      <c r="AO1699" s="1764"/>
      <c r="AP1699" s="1761" t="s">
        <v>5365</v>
      </c>
      <c r="AQ1699" s="1761" t="s">
        <v>5366</v>
      </c>
      <c r="AR1699" s="1761" t="s">
        <v>351</v>
      </c>
      <c r="AS1699" s="1761" t="s">
        <v>352</v>
      </c>
      <c r="AT1699" s="1761" t="s">
        <v>327</v>
      </c>
      <c r="AU1699" s="1763"/>
      <c r="AV1699" s="1763"/>
    </row>
    <row r="1700" spans="1:48" ht="25" hidden="1">
      <c r="A1700" s="1785" t="str">
        <f t="shared" si="286"/>
        <v>גמל</v>
      </c>
      <c r="B1700" s="1786">
        <f t="shared" si="287"/>
        <v>610</v>
      </c>
      <c r="C1700" s="1787">
        <v>28946</v>
      </c>
      <c r="D1700" s="1786" t="str">
        <f t="shared" si="288"/>
        <v>פסגות שיא השתלמות אג"ח</v>
      </c>
      <c r="E1700" s="1786" t="s">
        <v>3929</v>
      </c>
      <c r="F1700" s="1786" t="s">
        <v>2958</v>
      </c>
      <c r="G1700" s="1786" t="s">
        <v>2959</v>
      </c>
      <c r="H1700" s="1786" t="str">
        <f t="shared" si="289"/>
        <v>פעיל</v>
      </c>
      <c r="I1700" s="1788">
        <f t="shared" si="290"/>
        <v>28914</v>
      </c>
      <c r="J1700" s="1788" t="str">
        <f t="shared" si="291"/>
        <v/>
      </c>
      <c r="K1700" s="1786">
        <v>0</v>
      </c>
      <c r="L1700" s="1786" t="s">
        <v>1594</v>
      </c>
      <c r="M1700" s="1786" t="s">
        <v>1653</v>
      </c>
      <c r="N1700" s="1786" t="s">
        <v>1653</v>
      </c>
      <c r="O1700" s="1786">
        <v>0</v>
      </c>
      <c r="P1700" s="1786"/>
      <c r="Q1700" s="1786">
        <v>0</v>
      </c>
      <c r="R1700" s="1788"/>
      <c r="S1700" s="1786">
        <f t="shared" si="292"/>
        <v>396</v>
      </c>
      <c r="T1700" s="1786" t="str">
        <f t="shared" si="293"/>
        <v>בנק הפועלים בע"מ</v>
      </c>
      <c r="U1700" s="1786" t="str">
        <f t="shared" si="294"/>
        <v>פסגות שיא השתלמות</v>
      </c>
      <c r="V1700" s="1786" t="str">
        <f t="shared" si="295"/>
        <v>513767079</v>
      </c>
      <c r="W1700" s="1789" t="str">
        <f t="shared" si="296"/>
        <v>פסגות קופות גמל ופנסיה בע"מ</v>
      </c>
      <c r="AC1700" s="1759" t="s">
        <v>346</v>
      </c>
      <c r="AD1700" s="1759"/>
      <c r="AE1700" s="1760">
        <v>28914</v>
      </c>
      <c r="AF1700" s="1759" t="s">
        <v>1681</v>
      </c>
      <c r="AG1700" s="1759" t="s">
        <v>1653</v>
      </c>
      <c r="AH1700" s="1759" t="s">
        <v>1594</v>
      </c>
      <c r="AI1700" s="1759" t="s">
        <v>1924</v>
      </c>
      <c r="AJ1700" s="1759" t="s">
        <v>1924</v>
      </c>
      <c r="AK1700" s="1759">
        <v>610</v>
      </c>
      <c r="AL1700" s="1759" t="s">
        <v>521</v>
      </c>
      <c r="AM1700" s="1759">
        <v>396</v>
      </c>
      <c r="AN1700" s="1759" t="s">
        <v>1695</v>
      </c>
      <c r="AO1700" s="1764"/>
      <c r="AP1700" s="1759" t="s">
        <v>5365</v>
      </c>
      <c r="AQ1700" s="1759" t="s">
        <v>5366</v>
      </c>
      <c r="AR1700" s="1759" t="s">
        <v>351</v>
      </c>
      <c r="AS1700" s="1759" t="s">
        <v>352</v>
      </c>
      <c r="AT1700" s="1759" t="s">
        <v>327</v>
      </c>
      <c r="AU1700" s="1763"/>
      <c r="AV1700" s="1763"/>
    </row>
    <row r="1701" spans="1:48" ht="25" hidden="1">
      <c r="A1701" s="1785" t="str">
        <f t="shared" si="286"/>
        <v>גמל</v>
      </c>
      <c r="B1701" s="1786">
        <f t="shared" si="287"/>
        <v>611</v>
      </c>
      <c r="C1701" s="1787">
        <v>28946</v>
      </c>
      <c r="D1701" s="1786" t="str">
        <f t="shared" si="288"/>
        <v>פסגות שיא השתלמות כספי</v>
      </c>
      <c r="E1701" s="1786" t="s">
        <v>3929</v>
      </c>
      <c r="F1701" s="1786" t="s">
        <v>2958</v>
      </c>
      <c r="G1701" s="1786" t="s">
        <v>2959</v>
      </c>
      <c r="H1701" s="1786" t="str">
        <f t="shared" si="289"/>
        <v>פעיל</v>
      </c>
      <c r="I1701" s="1788">
        <f t="shared" si="290"/>
        <v>28914</v>
      </c>
      <c r="J1701" s="1788" t="str">
        <f t="shared" si="291"/>
        <v/>
      </c>
      <c r="K1701" s="1786">
        <v>0</v>
      </c>
      <c r="L1701" s="1786" t="s">
        <v>1594</v>
      </c>
      <c r="M1701" s="1786" t="s">
        <v>1653</v>
      </c>
      <c r="N1701" s="1786" t="s">
        <v>1653</v>
      </c>
      <c r="O1701" s="1786">
        <v>0</v>
      </c>
      <c r="P1701" s="1786"/>
      <c r="Q1701" s="1786">
        <v>0</v>
      </c>
      <c r="R1701" s="1788"/>
      <c r="S1701" s="1786">
        <f t="shared" si="292"/>
        <v>396</v>
      </c>
      <c r="T1701" s="1786" t="str">
        <f t="shared" si="293"/>
        <v>בנק הפועלים בע"מ</v>
      </c>
      <c r="U1701" s="1786" t="str">
        <f t="shared" si="294"/>
        <v>פסגות שיא השתלמות</v>
      </c>
      <c r="V1701" s="1786" t="str">
        <f t="shared" si="295"/>
        <v>513767079</v>
      </c>
      <c r="W1701" s="1789" t="str">
        <f t="shared" si="296"/>
        <v>פסגות קופות גמל ופנסיה בע"מ</v>
      </c>
      <c r="AC1701" s="1761" t="s">
        <v>346</v>
      </c>
      <c r="AD1701" s="1761"/>
      <c r="AE1701" s="1762">
        <v>28914</v>
      </c>
      <c r="AF1701" s="1761" t="s">
        <v>2409</v>
      </c>
      <c r="AG1701" s="1761" t="s">
        <v>1614</v>
      </c>
      <c r="AH1701" s="1761" t="s">
        <v>1594</v>
      </c>
      <c r="AI1701" s="1761" t="s">
        <v>3971</v>
      </c>
      <c r="AJ1701" s="1761" t="s">
        <v>3971</v>
      </c>
      <c r="AK1701" s="1761">
        <v>611</v>
      </c>
      <c r="AL1701" s="1761" t="s">
        <v>521</v>
      </c>
      <c r="AM1701" s="1761">
        <v>396</v>
      </c>
      <c r="AN1701" s="1761" t="s">
        <v>1695</v>
      </c>
      <c r="AO1701" s="1764"/>
      <c r="AP1701" s="1761" t="s">
        <v>5365</v>
      </c>
      <c r="AQ1701" s="1761" t="s">
        <v>5366</v>
      </c>
      <c r="AR1701" s="1761" t="s">
        <v>351</v>
      </c>
      <c r="AS1701" s="1761" t="s">
        <v>352</v>
      </c>
      <c r="AT1701" s="1761" t="s">
        <v>327</v>
      </c>
      <c r="AU1701" s="1763"/>
      <c r="AV1701" s="1763"/>
    </row>
    <row r="1702" spans="1:48" ht="25" hidden="1">
      <c r="A1702" s="1785" t="str">
        <f t="shared" si="286"/>
        <v>גמל</v>
      </c>
      <c r="B1702" s="1786">
        <f t="shared" si="287"/>
        <v>612</v>
      </c>
      <c r="C1702" s="1787">
        <v>28946</v>
      </c>
      <c r="D1702" s="1786" t="str">
        <f t="shared" si="288"/>
        <v>פסגות שיא השתלמות מניות</v>
      </c>
      <c r="E1702" s="1786" t="s">
        <v>3929</v>
      </c>
      <c r="F1702" s="1786" t="s">
        <v>2958</v>
      </c>
      <c r="G1702" s="1786" t="s">
        <v>2959</v>
      </c>
      <c r="H1702" s="1786" t="str">
        <f t="shared" si="289"/>
        <v>פעיל</v>
      </c>
      <c r="I1702" s="1788">
        <f t="shared" si="290"/>
        <v>28914</v>
      </c>
      <c r="J1702" s="1788" t="str">
        <f t="shared" si="291"/>
        <v/>
      </c>
      <c r="K1702" s="1786">
        <v>0</v>
      </c>
      <c r="L1702" s="1786" t="s">
        <v>1594</v>
      </c>
      <c r="M1702" s="1786" t="s">
        <v>1653</v>
      </c>
      <c r="N1702" s="1786" t="s">
        <v>1653</v>
      </c>
      <c r="O1702" s="1786">
        <v>0</v>
      </c>
      <c r="P1702" s="1786"/>
      <c r="Q1702" s="1786">
        <v>0</v>
      </c>
      <c r="R1702" s="1788"/>
      <c r="S1702" s="1786">
        <f t="shared" si="292"/>
        <v>396</v>
      </c>
      <c r="T1702" s="1786" t="str">
        <f t="shared" si="293"/>
        <v>בנק הפועלים בע"מ</v>
      </c>
      <c r="U1702" s="1786" t="str">
        <f t="shared" si="294"/>
        <v>פסגות שיא השתלמות</v>
      </c>
      <c r="V1702" s="1786" t="str">
        <f t="shared" si="295"/>
        <v>513767079</v>
      </c>
      <c r="W1702" s="1789" t="str">
        <f t="shared" si="296"/>
        <v>פסגות קופות גמל ופנסיה בע"מ</v>
      </c>
      <c r="AC1702" s="1759" t="s">
        <v>346</v>
      </c>
      <c r="AD1702" s="1759"/>
      <c r="AE1702" s="1760">
        <v>28914</v>
      </c>
      <c r="AF1702" s="1759" t="s">
        <v>1595</v>
      </c>
      <c r="AG1702" s="1759" t="s">
        <v>75</v>
      </c>
      <c r="AH1702" s="1759" t="s">
        <v>1594</v>
      </c>
      <c r="AI1702" s="1759" t="s">
        <v>1925</v>
      </c>
      <c r="AJ1702" s="1759" t="s">
        <v>1925</v>
      </c>
      <c r="AK1702" s="1759">
        <v>612</v>
      </c>
      <c r="AL1702" s="1759" t="s">
        <v>521</v>
      </c>
      <c r="AM1702" s="1759">
        <v>396</v>
      </c>
      <c r="AN1702" s="1759" t="s">
        <v>1695</v>
      </c>
      <c r="AO1702" s="1764"/>
      <c r="AP1702" s="1759" t="s">
        <v>5365</v>
      </c>
      <c r="AQ1702" s="1759" t="s">
        <v>5366</v>
      </c>
      <c r="AR1702" s="1759" t="s">
        <v>351</v>
      </c>
      <c r="AS1702" s="1759" t="s">
        <v>352</v>
      </c>
      <c r="AT1702" s="1759" t="s">
        <v>327</v>
      </c>
      <c r="AU1702" s="1763"/>
      <c r="AV1702" s="1763"/>
    </row>
    <row r="1703" spans="1:48" ht="25" hidden="1">
      <c r="A1703" s="1785" t="str">
        <f t="shared" si="286"/>
        <v>גמל</v>
      </c>
      <c r="B1703" s="1786">
        <f t="shared" si="287"/>
        <v>1059</v>
      </c>
      <c r="C1703" s="1787">
        <v>28946</v>
      </c>
      <c r="D1703" s="1786" t="str">
        <f t="shared" si="288"/>
        <v>פסגות שיא השתלמות פאסיבי- כללי</v>
      </c>
      <c r="E1703" s="1786" t="s">
        <v>3929</v>
      </c>
      <c r="F1703" s="1786" t="s">
        <v>2958</v>
      </c>
      <c r="G1703" s="1786" t="s">
        <v>2959</v>
      </c>
      <c r="H1703" s="1786" t="str">
        <f t="shared" si="289"/>
        <v>פעיל</v>
      </c>
      <c r="I1703" s="1788">
        <f t="shared" si="290"/>
        <v>28914</v>
      </c>
      <c r="J1703" s="1788" t="str">
        <f t="shared" si="291"/>
        <v/>
      </c>
      <c r="K1703" s="1786">
        <v>0</v>
      </c>
      <c r="L1703" s="1786" t="s">
        <v>1594</v>
      </c>
      <c r="M1703" s="1786" t="s">
        <v>1653</v>
      </c>
      <c r="N1703" s="1786" t="s">
        <v>1653</v>
      </c>
      <c r="O1703" s="1786">
        <v>0</v>
      </c>
      <c r="P1703" s="1786"/>
      <c r="Q1703" s="1786">
        <v>0</v>
      </c>
      <c r="R1703" s="1788"/>
      <c r="S1703" s="1786">
        <f t="shared" si="292"/>
        <v>396</v>
      </c>
      <c r="T1703" s="1786" t="str">
        <f t="shared" si="293"/>
        <v>בנק הפועלים בע"מ</v>
      </c>
      <c r="U1703" s="1786" t="str">
        <f t="shared" si="294"/>
        <v>פסגות שיא השתלמות</v>
      </c>
      <c r="V1703" s="1786" t="str">
        <f t="shared" si="295"/>
        <v>513767079</v>
      </c>
      <c r="W1703" s="1789" t="str">
        <f t="shared" si="296"/>
        <v>פסגות קופות גמל ופנסיה בע"מ</v>
      </c>
      <c r="AC1703" s="1761" t="s">
        <v>346</v>
      </c>
      <c r="AD1703" s="1761"/>
      <c r="AE1703" s="1762">
        <v>28914</v>
      </c>
      <c r="AF1703" s="1761" t="s">
        <v>3959</v>
      </c>
      <c r="AG1703" s="1761" t="s">
        <v>1583</v>
      </c>
      <c r="AH1703" s="1761" t="s">
        <v>1583</v>
      </c>
      <c r="AI1703" s="1761" t="s">
        <v>4024</v>
      </c>
      <c r="AJ1703" s="1761" t="s">
        <v>4023</v>
      </c>
      <c r="AK1703" s="1761">
        <v>1059</v>
      </c>
      <c r="AL1703" s="1761" t="s">
        <v>521</v>
      </c>
      <c r="AM1703" s="1761">
        <v>396</v>
      </c>
      <c r="AN1703" s="1761" t="s">
        <v>1695</v>
      </c>
      <c r="AO1703" s="1764"/>
      <c r="AP1703" s="1761" t="s">
        <v>5365</v>
      </c>
      <c r="AQ1703" s="1761" t="s">
        <v>5366</v>
      </c>
      <c r="AR1703" s="1761" t="s">
        <v>351</v>
      </c>
      <c r="AS1703" s="1761" t="s">
        <v>352</v>
      </c>
      <c r="AT1703" s="1761" t="s">
        <v>327</v>
      </c>
      <c r="AU1703" s="1763"/>
      <c r="AV1703" s="1763"/>
    </row>
    <row r="1704" spans="1:48" ht="37.5" hidden="1">
      <c r="A1704" s="1785" t="str">
        <f t="shared" si="286"/>
        <v>גמל</v>
      </c>
      <c r="B1704" s="1786">
        <f t="shared" si="287"/>
        <v>394</v>
      </c>
      <c r="C1704" s="1787">
        <v>28946</v>
      </c>
      <c r="D1704" s="1786" t="str">
        <f t="shared" si="288"/>
        <v>קרן השתלמות עוצ"מ</v>
      </c>
      <c r="E1704" s="1786" t="s">
        <v>3929</v>
      </c>
      <c r="F1704" s="1786" t="s">
        <v>2958</v>
      </c>
      <c r="G1704" s="1786" t="s">
        <v>2959</v>
      </c>
      <c r="H1704" s="1786" t="str">
        <f t="shared" si="289"/>
        <v>פעיל</v>
      </c>
      <c r="I1704" s="1788">
        <f t="shared" si="290"/>
        <v>28581</v>
      </c>
      <c r="J1704" s="1788" t="str">
        <f t="shared" si="291"/>
        <v/>
      </c>
      <c r="K1704" s="1786">
        <v>0</v>
      </c>
      <c r="L1704" s="1786" t="s">
        <v>1594</v>
      </c>
      <c r="M1704" s="1786" t="s">
        <v>1653</v>
      </c>
      <c r="N1704" s="1786" t="s">
        <v>1653</v>
      </c>
      <c r="O1704" s="1786">
        <v>0</v>
      </c>
      <c r="P1704" s="1786"/>
      <c r="Q1704" s="1786">
        <v>0</v>
      </c>
      <c r="R1704" s="1788"/>
      <c r="S1704" s="1786">
        <f t="shared" si="292"/>
        <v>394</v>
      </c>
      <c r="T1704" s="1786" t="str">
        <f t="shared" si="293"/>
        <v>ניהול  עצמי</v>
      </c>
      <c r="U1704" s="1786" t="str">
        <f t="shared" si="294"/>
        <v>קרן השתלמות עוצ"מ</v>
      </c>
      <c r="V1704" s="1786" t="str">
        <f t="shared" si="295"/>
        <v>570017400</v>
      </c>
      <c r="W1704" s="1789" t="str">
        <f t="shared" si="296"/>
        <v>עוצ"מ חברה לניהול קופות גמל והשתלמות בע"מ</v>
      </c>
      <c r="AC1704" s="1759" t="s">
        <v>346</v>
      </c>
      <c r="AD1704" s="1759"/>
      <c r="AE1704" s="1760">
        <v>28581</v>
      </c>
      <c r="AF1704" s="1759" t="s">
        <v>1583</v>
      </c>
      <c r="AG1704" s="1759" t="s">
        <v>1583</v>
      </c>
      <c r="AH1704" s="1759" t="s">
        <v>1583</v>
      </c>
      <c r="AI1704" s="1759" t="s">
        <v>520</v>
      </c>
      <c r="AJ1704" s="1759" t="s">
        <v>520</v>
      </c>
      <c r="AK1704" s="1759">
        <v>394</v>
      </c>
      <c r="AL1704" s="1759" t="s">
        <v>520</v>
      </c>
      <c r="AM1704" s="1759">
        <v>394</v>
      </c>
      <c r="AN1704" s="1759" t="s">
        <v>5524</v>
      </c>
      <c r="AO1704" s="1764"/>
      <c r="AP1704" s="1759" t="s">
        <v>5664</v>
      </c>
      <c r="AQ1704" s="1759" t="s">
        <v>5665</v>
      </c>
      <c r="AR1704" s="1759" t="s">
        <v>518</v>
      </c>
      <c r="AS1704" s="1759" t="s">
        <v>519</v>
      </c>
      <c r="AT1704" s="1759" t="s">
        <v>327</v>
      </c>
      <c r="AU1704" s="1763"/>
      <c r="AV1704" s="1763"/>
    </row>
    <row r="1705" spans="1:48" ht="25" hidden="1">
      <c r="A1705" s="1785" t="str">
        <f t="shared" si="286"/>
        <v>גמל</v>
      </c>
      <c r="B1705" s="1786">
        <f t="shared" si="287"/>
        <v>393</v>
      </c>
      <c r="C1705" s="1787">
        <v>28946</v>
      </c>
      <c r="D1705" s="1786" t="str">
        <f t="shared" si="288"/>
        <v>פסגות שיאון</v>
      </c>
      <c r="E1705" s="1786" t="s">
        <v>3929</v>
      </c>
      <c r="F1705" s="1786" t="s">
        <v>2958</v>
      </c>
      <c r="G1705" s="1786" t="s">
        <v>2959</v>
      </c>
      <c r="H1705" s="1786" t="str">
        <f t="shared" si="289"/>
        <v>לא פעיל</v>
      </c>
      <c r="I1705" s="1788">
        <f t="shared" si="290"/>
        <v>29240</v>
      </c>
      <c r="J1705" s="1788">
        <f t="shared" si="291"/>
        <v>40063</v>
      </c>
      <c r="K1705" s="1786">
        <v>0</v>
      </c>
      <c r="L1705" s="1786" t="s">
        <v>1594</v>
      </c>
      <c r="M1705" s="1786" t="s">
        <v>1653</v>
      </c>
      <c r="N1705" s="1786" t="s">
        <v>1653</v>
      </c>
      <c r="O1705" s="1786">
        <v>0</v>
      </c>
      <c r="P1705" s="1786"/>
      <c r="Q1705" s="1786">
        <v>0</v>
      </c>
      <c r="R1705" s="1788"/>
      <c r="S1705" s="1786">
        <f t="shared" si="292"/>
        <v>393</v>
      </c>
      <c r="T1705" s="1786" t="str">
        <f t="shared" si="293"/>
        <v>בנק לאומי בע"מ</v>
      </c>
      <c r="U1705" s="1786" t="str">
        <f t="shared" si="294"/>
        <v>פסגות שיאון</v>
      </c>
      <c r="V1705" s="1786" t="str">
        <f t="shared" si="295"/>
        <v>513767079</v>
      </c>
      <c r="W1705" s="1789" t="str">
        <f t="shared" si="296"/>
        <v>פסגות קופות גמל ופנסיה בע"מ</v>
      </c>
      <c r="AC1705" s="1761" t="s">
        <v>1586</v>
      </c>
      <c r="AD1705" s="1762">
        <v>40063</v>
      </c>
      <c r="AE1705" s="1762">
        <v>29240</v>
      </c>
      <c r="AF1705" s="1761" t="s">
        <v>1583</v>
      </c>
      <c r="AG1705" s="1761" t="s">
        <v>1583</v>
      </c>
      <c r="AH1705" s="1761" t="s">
        <v>1583</v>
      </c>
      <c r="AI1705" s="1761" t="s">
        <v>1786</v>
      </c>
      <c r="AJ1705" s="1761" t="s">
        <v>1786</v>
      </c>
      <c r="AK1705" s="1761">
        <v>393</v>
      </c>
      <c r="AL1705" s="1761" t="s">
        <v>1786</v>
      </c>
      <c r="AM1705" s="1761">
        <v>393</v>
      </c>
      <c r="AN1705" s="1761" t="s">
        <v>5470</v>
      </c>
      <c r="AO1705" s="1764"/>
      <c r="AP1705" s="1761" t="s">
        <v>5365</v>
      </c>
      <c r="AQ1705" s="1761" t="s">
        <v>5366</v>
      </c>
      <c r="AR1705" s="1761" t="s">
        <v>351</v>
      </c>
      <c r="AS1705" s="1761" t="s">
        <v>352</v>
      </c>
      <c r="AT1705" s="1761" t="s">
        <v>327</v>
      </c>
      <c r="AU1705" s="1763"/>
      <c r="AV1705" s="1763"/>
    </row>
    <row r="1706" spans="1:48" ht="37.5" hidden="1">
      <c r="A1706" s="1785" t="str">
        <f t="shared" si="286"/>
        <v>גמל</v>
      </c>
      <c r="B1706" s="1786">
        <f t="shared" si="287"/>
        <v>1316</v>
      </c>
      <c r="C1706" s="1787">
        <v>28946</v>
      </c>
      <c r="D1706" s="1786" t="str">
        <f t="shared" si="288"/>
        <v>רעות קרן השתלמות אג"ח ללא מניות</v>
      </c>
      <c r="E1706" s="1786" t="s">
        <v>3929</v>
      </c>
      <c r="F1706" s="1786" t="s">
        <v>2958</v>
      </c>
      <c r="G1706" s="1786" t="s">
        <v>2959</v>
      </c>
      <c r="H1706" s="1786" t="str">
        <f t="shared" si="289"/>
        <v>פעיל</v>
      </c>
      <c r="I1706" s="1788">
        <f t="shared" si="290"/>
        <v>28946</v>
      </c>
      <c r="J1706" s="1788" t="str">
        <f t="shared" si="291"/>
        <v/>
      </c>
      <c r="K1706" s="1786">
        <v>0</v>
      </c>
      <c r="L1706" s="1786" t="s">
        <v>1594</v>
      </c>
      <c r="M1706" s="1786" t="s">
        <v>1653</v>
      </c>
      <c r="N1706" s="1786" t="s">
        <v>1653</v>
      </c>
      <c r="O1706" s="1786">
        <v>0</v>
      </c>
      <c r="P1706" s="1786"/>
      <c r="Q1706" s="1786">
        <v>0</v>
      </c>
      <c r="R1706" s="1788"/>
      <c r="S1706" s="1786">
        <f t="shared" si="292"/>
        <v>392</v>
      </c>
      <c r="T1706" s="1786" t="str">
        <f t="shared" si="293"/>
        <v>בנק הפועלים בע"מ</v>
      </c>
      <c r="U1706" s="1786" t="str">
        <f t="shared" si="294"/>
        <v>רעות קרן השתלמות</v>
      </c>
      <c r="V1706" s="1786">
        <f t="shared" si="295"/>
        <v>0</v>
      </c>
      <c r="W1706" s="1789" t="str">
        <f t="shared" si="296"/>
        <v>רעות חברה לניהול קופות גמל בע"מ</v>
      </c>
      <c r="AC1706" s="1759" t="s">
        <v>346</v>
      </c>
      <c r="AD1706" s="1759"/>
      <c r="AE1706" s="1760">
        <v>28946</v>
      </c>
      <c r="AF1706" s="1759" t="s">
        <v>1681</v>
      </c>
      <c r="AG1706" s="1759" t="s">
        <v>1653</v>
      </c>
      <c r="AH1706" s="1759" t="s">
        <v>1594</v>
      </c>
      <c r="AI1706" s="1759" t="s">
        <v>3606</v>
      </c>
      <c r="AJ1706" s="1759" t="s">
        <v>4055</v>
      </c>
      <c r="AK1706" s="1759">
        <v>1316</v>
      </c>
      <c r="AL1706" s="1759" t="s">
        <v>5666</v>
      </c>
      <c r="AM1706" s="1759">
        <v>392</v>
      </c>
      <c r="AN1706" s="1759" t="s">
        <v>1695</v>
      </c>
      <c r="AO1706" s="1764"/>
      <c r="AP1706" s="1759" t="s">
        <v>5667</v>
      </c>
      <c r="AQ1706" s="1759"/>
      <c r="AR1706" s="1759" t="s">
        <v>516</v>
      </c>
      <c r="AS1706" s="1759" t="s">
        <v>517</v>
      </c>
      <c r="AT1706" s="1759" t="s">
        <v>327</v>
      </c>
      <c r="AU1706" s="1763"/>
      <c r="AV1706" s="1763"/>
    </row>
    <row r="1707" spans="1:48" ht="37.5" hidden="1">
      <c r="A1707" s="1785" t="str">
        <f t="shared" si="286"/>
        <v>גמל</v>
      </c>
      <c r="B1707" s="1786">
        <f t="shared" si="287"/>
        <v>1317</v>
      </c>
      <c r="C1707" s="1787">
        <v>28946</v>
      </c>
      <c r="D1707" s="1786" t="str">
        <f t="shared" si="288"/>
        <v xml:space="preserve">רעות קרן השתלמות - מניות </v>
      </c>
      <c r="E1707" s="1786" t="s">
        <v>3929</v>
      </c>
      <c r="F1707" s="1786" t="s">
        <v>2958</v>
      </c>
      <c r="G1707" s="1786" t="s">
        <v>2959</v>
      </c>
      <c r="H1707" s="1786" t="str">
        <f t="shared" si="289"/>
        <v>פעיל</v>
      </c>
      <c r="I1707" s="1788">
        <f t="shared" si="290"/>
        <v>28946</v>
      </c>
      <c r="J1707" s="1788" t="str">
        <f t="shared" si="291"/>
        <v/>
      </c>
      <c r="K1707" s="1786">
        <v>0</v>
      </c>
      <c r="L1707" s="1786" t="s">
        <v>1594</v>
      </c>
      <c r="M1707" s="1786" t="s">
        <v>1653</v>
      </c>
      <c r="N1707" s="1786" t="s">
        <v>1653</v>
      </c>
      <c r="O1707" s="1786">
        <v>0</v>
      </c>
      <c r="P1707" s="1786"/>
      <c r="Q1707" s="1786">
        <v>0</v>
      </c>
      <c r="R1707" s="1788"/>
      <c r="S1707" s="1786">
        <f t="shared" si="292"/>
        <v>392</v>
      </c>
      <c r="T1707" s="1786" t="str">
        <f t="shared" si="293"/>
        <v>בנק הפועלים בע"מ</v>
      </c>
      <c r="U1707" s="1786" t="str">
        <f t="shared" si="294"/>
        <v>רעות קרן השתלמות</v>
      </c>
      <c r="V1707" s="1786">
        <f t="shared" si="295"/>
        <v>0</v>
      </c>
      <c r="W1707" s="1789" t="str">
        <f t="shared" si="296"/>
        <v>רעות חברה לניהול קופות גמל בע"מ</v>
      </c>
      <c r="AC1707" s="1761" t="s">
        <v>346</v>
      </c>
      <c r="AD1707" s="1759"/>
      <c r="AE1707" s="1762">
        <v>28946</v>
      </c>
      <c r="AF1707" s="1761" t="s">
        <v>1595</v>
      </c>
      <c r="AG1707" s="1761" t="s">
        <v>75</v>
      </c>
      <c r="AH1707" s="1761" t="s">
        <v>1594</v>
      </c>
      <c r="AI1707" s="1761" t="s">
        <v>3608</v>
      </c>
      <c r="AJ1707" s="1761" t="s">
        <v>3607</v>
      </c>
      <c r="AK1707" s="1761">
        <v>1317</v>
      </c>
      <c r="AL1707" s="1761" t="s">
        <v>5666</v>
      </c>
      <c r="AM1707" s="1761">
        <v>392</v>
      </c>
      <c r="AN1707" s="1761" t="s">
        <v>1695</v>
      </c>
      <c r="AO1707" s="1764"/>
      <c r="AP1707" s="1761" t="s">
        <v>5667</v>
      </c>
      <c r="AQ1707" s="1761"/>
      <c r="AR1707" s="1761" t="s">
        <v>516</v>
      </c>
      <c r="AS1707" s="1761" t="s">
        <v>517</v>
      </c>
      <c r="AT1707" s="1761" t="s">
        <v>327</v>
      </c>
      <c r="AU1707" s="1763"/>
      <c r="AV1707" s="1763"/>
    </row>
    <row r="1708" spans="1:48" ht="37.5" hidden="1">
      <c r="A1708" s="1785" t="str">
        <f t="shared" si="286"/>
        <v>גמל</v>
      </c>
      <c r="B1708" s="1786">
        <f t="shared" si="287"/>
        <v>392</v>
      </c>
      <c r="C1708" s="1787">
        <v>28946</v>
      </c>
      <c r="D1708" s="1786" t="str">
        <f t="shared" si="288"/>
        <v>רעות קרן השתלמות - כללי</v>
      </c>
      <c r="E1708" s="1786" t="s">
        <v>3929</v>
      </c>
      <c r="F1708" s="1786" t="s">
        <v>2958</v>
      </c>
      <c r="G1708" s="1786" t="s">
        <v>2959</v>
      </c>
      <c r="H1708" s="1786" t="str">
        <f t="shared" si="289"/>
        <v>פעיל</v>
      </c>
      <c r="I1708" s="1788">
        <f t="shared" si="290"/>
        <v>28946</v>
      </c>
      <c r="J1708" s="1788" t="str">
        <f t="shared" si="291"/>
        <v/>
      </c>
      <c r="K1708" s="1786">
        <v>0</v>
      </c>
      <c r="L1708" s="1786" t="s">
        <v>1594</v>
      </c>
      <c r="M1708" s="1786" t="s">
        <v>1653</v>
      </c>
      <c r="N1708" s="1786" t="s">
        <v>1653</v>
      </c>
      <c r="O1708" s="1786">
        <v>0</v>
      </c>
      <c r="P1708" s="1786"/>
      <c r="Q1708" s="1786">
        <v>0</v>
      </c>
      <c r="R1708" s="1788"/>
      <c r="S1708" s="1786">
        <f t="shared" si="292"/>
        <v>392</v>
      </c>
      <c r="T1708" s="1786" t="str">
        <f t="shared" si="293"/>
        <v>בנק הפועלים בע"מ</v>
      </c>
      <c r="U1708" s="1786" t="str">
        <f t="shared" si="294"/>
        <v>רעות קרן השתלמות</v>
      </c>
      <c r="V1708" s="1786">
        <f t="shared" si="295"/>
        <v>0</v>
      </c>
      <c r="W1708" s="1789" t="str">
        <f t="shared" si="296"/>
        <v>רעות חברה לניהול קופות גמל בע"מ</v>
      </c>
      <c r="AC1708" s="1759" t="s">
        <v>346</v>
      </c>
      <c r="AD1708" s="1759"/>
      <c r="AE1708" s="1760">
        <v>28946</v>
      </c>
      <c r="AF1708" s="1759" t="s">
        <v>1583</v>
      </c>
      <c r="AG1708" s="1759" t="s">
        <v>1583</v>
      </c>
      <c r="AH1708" s="1759" t="s">
        <v>1583</v>
      </c>
      <c r="AI1708" s="1759" t="s">
        <v>3097</v>
      </c>
      <c r="AJ1708" s="1759" t="s">
        <v>3096</v>
      </c>
      <c r="AK1708" s="1759">
        <v>392</v>
      </c>
      <c r="AL1708" s="1759" t="s">
        <v>5666</v>
      </c>
      <c r="AM1708" s="1759">
        <v>392</v>
      </c>
      <c r="AN1708" s="1759" t="s">
        <v>1695</v>
      </c>
      <c r="AO1708" s="1764"/>
      <c r="AP1708" s="1759" t="s">
        <v>5667</v>
      </c>
      <c r="AQ1708" s="1759"/>
      <c r="AR1708" s="1759" t="s">
        <v>516</v>
      </c>
      <c r="AS1708" s="1759" t="s">
        <v>517</v>
      </c>
      <c r="AT1708" s="1759" t="s">
        <v>327</v>
      </c>
      <c r="AU1708" s="1763"/>
      <c r="AV1708" s="1763"/>
    </row>
    <row r="1709" spans="1:48" ht="37.5" hidden="1">
      <c r="A1709" s="1785" t="str">
        <f t="shared" si="286"/>
        <v>גמל</v>
      </c>
      <c r="B1709" s="1786">
        <f t="shared" si="287"/>
        <v>8891</v>
      </c>
      <c r="C1709" s="1787">
        <v>28946</v>
      </c>
      <c r="D1709" s="1786" t="str">
        <f t="shared" si="288"/>
        <v>רעות קרן השתלמות - אג"ח עד 10% במניות</v>
      </c>
      <c r="E1709" s="1786" t="s">
        <v>3929</v>
      </c>
      <c r="F1709" s="1786" t="s">
        <v>2958</v>
      </c>
      <c r="G1709" s="1786" t="s">
        <v>2959</v>
      </c>
      <c r="H1709" s="1786" t="str">
        <f t="shared" si="289"/>
        <v>פעיל</v>
      </c>
      <c r="I1709" s="1788">
        <f t="shared" si="290"/>
        <v>28946</v>
      </c>
      <c r="J1709" s="1788" t="str">
        <f t="shared" si="291"/>
        <v/>
      </c>
      <c r="K1709" s="1786">
        <v>0</v>
      </c>
      <c r="L1709" s="1786" t="s">
        <v>1594</v>
      </c>
      <c r="M1709" s="1786" t="s">
        <v>1653</v>
      </c>
      <c r="N1709" s="1786" t="s">
        <v>1653</v>
      </c>
      <c r="O1709" s="1786">
        <v>0</v>
      </c>
      <c r="P1709" s="1786"/>
      <c r="Q1709" s="1786">
        <v>0</v>
      </c>
      <c r="R1709" s="1788"/>
      <c r="S1709" s="1786">
        <f t="shared" si="292"/>
        <v>392</v>
      </c>
      <c r="T1709" s="1786" t="str">
        <f t="shared" si="293"/>
        <v>בנק הפועלים בע"מ</v>
      </c>
      <c r="U1709" s="1786" t="str">
        <f t="shared" si="294"/>
        <v>רעות קרן השתלמות</v>
      </c>
      <c r="V1709" s="1786">
        <f t="shared" si="295"/>
        <v>0</v>
      </c>
      <c r="W1709" s="1789" t="str">
        <f t="shared" si="296"/>
        <v>רעות חברה לניהול קופות גמל בע"מ</v>
      </c>
      <c r="AC1709" s="1761" t="s">
        <v>346</v>
      </c>
      <c r="AD1709" s="1761"/>
      <c r="AE1709" s="1762">
        <v>28946</v>
      </c>
      <c r="AF1709" s="1761" t="s">
        <v>1653</v>
      </c>
      <c r="AG1709" s="1761" t="s">
        <v>1653</v>
      </c>
      <c r="AH1709" s="1761" t="s">
        <v>1594</v>
      </c>
      <c r="AI1709" s="1761" t="s">
        <v>3754</v>
      </c>
      <c r="AJ1709" s="1761" t="s">
        <v>3753</v>
      </c>
      <c r="AK1709" s="1761">
        <v>8891</v>
      </c>
      <c r="AL1709" s="1761" t="s">
        <v>5666</v>
      </c>
      <c r="AM1709" s="1761">
        <v>392</v>
      </c>
      <c r="AN1709" s="1761" t="s">
        <v>1695</v>
      </c>
      <c r="AO1709" s="1764"/>
      <c r="AP1709" s="1761" t="s">
        <v>5667</v>
      </c>
      <c r="AQ1709" s="1761"/>
      <c r="AR1709" s="1761" t="s">
        <v>516</v>
      </c>
      <c r="AS1709" s="1761" t="s">
        <v>517</v>
      </c>
      <c r="AT1709" s="1761" t="s">
        <v>327</v>
      </c>
      <c r="AU1709" s="1763"/>
      <c r="AV1709" s="1763"/>
    </row>
    <row r="1710" spans="1:48" ht="37.5" hidden="1">
      <c r="A1710" s="1785" t="str">
        <f t="shared" si="286"/>
        <v>גמל</v>
      </c>
      <c r="B1710" s="1786">
        <f t="shared" si="287"/>
        <v>1430</v>
      </c>
      <c r="C1710" s="1787">
        <v>28946</v>
      </c>
      <c r="D1710" s="1786" t="str">
        <f t="shared" si="288"/>
        <v xml:space="preserve">רעות קרן השתלמות - שיקלי </v>
      </c>
      <c r="E1710" s="1786" t="s">
        <v>3929</v>
      </c>
      <c r="F1710" s="1786" t="s">
        <v>2958</v>
      </c>
      <c r="G1710" s="1786" t="s">
        <v>2959</v>
      </c>
      <c r="H1710" s="1786" t="str">
        <f t="shared" si="289"/>
        <v>פעיל</v>
      </c>
      <c r="I1710" s="1788">
        <f t="shared" si="290"/>
        <v>28946</v>
      </c>
      <c r="J1710" s="1788" t="str">
        <f t="shared" si="291"/>
        <v/>
      </c>
      <c r="K1710" s="1786">
        <v>0</v>
      </c>
      <c r="L1710" s="1786" t="s">
        <v>1594</v>
      </c>
      <c r="M1710" s="1786" t="s">
        <v>1653</v>
      </c>
      <c r="N1710" s="1786" t="s">
        <v>1653</v>
      </c>
      <c r="O1710" s="1786">
        <v>0</v>
      </c>
      <c r="P1710" s="1786"/>
      <c r="Q1710" s="1786">
        <v>0</v>
      </c>
      <c r="R1710" s="1788"/>
      <c r="S1710" s="1786">
        <f t="shared" si="292"/>
        <v>392</v>
      </c>
      <c r="T1710" s="1786" t="str">
        <f t="shared" si="293"/>
        <v>בנק הפועלים בע"מ</v>
      </c>
      <c r="U1710" s="1786" t="str">
        <f t="shared" si="294"/>
        <v>רעות קרן השתלמות</v>
      </c>
      <c r="V1710" s="1786">
        <f t="shared" si="295"/>
        <v>0</v>
      </c>
      <c r="W1710" s="1789" t="str">
        <f t="shared" si="296"/>
        <v>רעות חברה לניהול קופות גמל בע"מ</v>
      </c>
      <c r="AC1710" s="1759" t="s">
        <v>346</v>
      </c>
      <c r="AD1710" s="1759"/>
      <c r="AE1710" s="1760">
        <v>28946</v>
      </c>
      <c r="AF1710" s="1759" t="s">
        <v>1673</v>
      </c>
      <c r="AG1710" s="1759" t="s">
        <v>1614</v>
      </c>
      <c r="AH1710" s="1759" t="s">
        <v>1594</v>
      </c>
      <c r="AI1710" s="1759" t="s">
        <v>3636</v>
      </c>
      <c r="AJ1710" s="1759" t="s">
        <v>3635</v>
      </c>
      <c r="AK1710" s="1759">
        <v>1430</v>
      </c>
      <c r="AL1710" s="1759" t="s">
        <v>5666</v>
      </c>
      <c r="AM1710" s="1759">
        <v>392</v>
      </c>
      <c r="AN1710" s="1759" t="s">
        <v>1695</v>
      </c>
      <c r="AO1710" s="1764"/>
      <c r="AP1710" s="1759" t="s">
        <v>5667</v>
      </c>
      <c r="AQ1710" s="1759"/>
      <c r="AR1710" s="1759" t="s">
        <v>516</v>
      </c>
      <c r="AS1710" s="1759" t="s">
        <v>517</v>
      </c>
      <c r="AT1710" s="1759" t="s">
        <v>327</v>
      </c>
      <c r="AU1710" s="1763"/>
      <c r="AV1710" s="1763"/>
    </row>
    <row r="1711" spans="1:48" ht="25" hidden="1">
      <c r="A1711" s="1785" t="str">
        <f t="shared" si="286"/>
        <v>גמל</v>
      </c>
      <c r="B1711" s="1786">
        <f t="shared" si="287"/>
        <v>391</v>
      </c>
      <c r="C1711" s="1787">
        <v>28946</v>
      </c>
      <c r="D1711" s="1786" t="str">
        <f t="shared" si="288"/>
        <v>ישיר מרתון השתלמות</v>
      </c>
      <c r="E1711" s="1786" t="s">
        <v>3929</v>
      </c>
      <c r="F1711" s="1786" t="s">
        <v>2958</v>
      </c>
      <c r="G1711" s="1786" t="s">
        <v>2959</v>
      </c>
      <c r="H1711" s="1786" t="str">
        <f t="shared" si="289"/>
        <v>לא פעיל</v>
      </c>
      <c r="I1711" s="1788">
        <f t="shared" si="290"/>
        <v>28946</v>
      </c>
      <c r="J1711" s="1788">
        <f t="shared" si="291"/>
        <v>40542</v>
      </c>
      <c r="K1711" s="1786">
        <v>0</v>
      </c>
      <c r="L1711" s="1786" t="s">
        <v>1594</v>
      </c>
      <c r="M1711" s="1786" t="s">
        <v>1653</v>
      </c>
      <c r="N1711" s="1786" t="s">
        <v>1653</v>
      </c>
      <c r="O1711" s="1786">
        <v>0</v>
      </c>
      <c r="P1711" s="1786"/>
      <c r="Q1711" s="1786">
        <v>0</v>
      </c>
      <c r="R1711" s="1788"/>
      <c r="S1711" s="1786">
        <f t="shared" si="292"/>
        <v>391</v>
      </c>
      <c r="T1711" s="1786" t="str">
        <f t="shared" si="293"/>
        <v>הבנק הבינלאומי הראשון</v>
      </c>
      <c r="U1711" s="1786" t="str">
        <f t="shared" si="294"/>
        <v>ישיר מרתון השתלמות</v>
      </c>
      <c r="V1711" s="1786">
        <f t="shared" si="295"/>
        <v>0</v>
      </c>
      <c r="W1711" s="1789" t="str">
        <f t="shared" si="296"/>
        <v>מיטב ישיר גמל בע"מ</v>
      </c>
      <c r="AC1711" s="1761" t="s">
        <v>1586</v>
      </c>
      <c r="AD1711" s="1762">
        <v>40542</v>
      </c>
      <c r="AE1711" s="1762">
        <v>28946</v>
      </c>
      <c r="AF1711" s="1761" t="s">
        <v>1583</v>
      </c>
      <c r="AG1711" s="1761" t="s">
        <v>1583</v>
      </c>
      <c r="AH1711" s="1761" t="s">
        <v>1583</v>
      </c>
      <c r="AI1711" s="1761" t="s">
        <v>1785</v>
      </c>
      <c r="AJ1711" s="1761" t="s">
        <v>1785</v>
      </c>
      <c r="AK1711" s="1761">
        <v>391</v>
      </c>
      <c r="AL1711" s="1761" t="s">
        <v>1785</v>
      </c>
      <c r="AM1711" s="1761">
        <v>391</v>
      </c>
      <c r="AN1711" s="1761" t="s">
        <v>5384</v>
      </c>
      <c r="AO1711" s="1764"/>
      <c r="AP1711" s="1761"/>
      <c r="AQ1711" s="1761"/>
      <c r="AR1711" s="1761" t="s">
        <v>1589</v>
      </c>
      <c r="AS1711" s="1761" t="s">
        <v>1588</v>
      </c>
      <c r="AT1711" s="1761" t="s">
        <v>327</v>
      </c>
      <c r="AU1711" s="1763"/>
      <c r="AV1711" s="1763"/>
    </row>
    <row r="1712" spans="1:48" ht="37.5" hidden="1">
      <c r="A1712" s="1785" t="str">
        <f t="shared" si="286"/>
        <v>גמל</v>
      </c>
      <c r="B1712" s="1786">
        <f t="shared" si="287"/>
        <v>390</v>
      </c>
      <c r="C1712" s="1787">
        <v>28946</v>
      </c>
      <c r="D1712" s="1786" t="str">
        <f t="shared" si="288"/>
        <v>גג הבינלאומי</v>
      </c>
      <c r="E1712" s="1786" t="s">
        <v>3929</v>
      </c>
      <c r="F1712" s="1786" t="s">
        <v>2958</v>
      </c>
      <c r="G1712" s="1786" t="s">
        <v>2959</v>
      </c>
      <c r="H1712" s="1786" t="str">
        <f t="shared" si="289"/>
        <v>לא פעיל</v>
      </c>
      <c r="I1712" s="1788">
        <f t="shared" si="290"/>
        <v>25569</v>
      </c>
      <c r="J1712" s="1788">
        <f t="shared" si="291"/>
        <v>25569</v>
      </c>
      <c r="K1712" s="1786">
        <v>0</v>
      </c>
      <c r="L1712" s="1786" t="s">
        <v>1594</v>
      </c>
      <c r="M1712" s="1786" t="s">
        <v>1653</v>
      </c>
      <c r="N1712" s="1786" t="s">
        <v>1653</v>
      </c>
      <c r="O1712" s="1786">
        <v>0</v>
      </c>
      <c r="P1712" s="1786"/>
      <c r="Q1712" s="1786">
        <v>0</v>
      </c>
      <c r="R1712" s="1788"/>
      <c r="S1712" s="1786">
        <f t="shared" si="292"/>
        <v>390</v>
      </c>
      <c r="T1712" s="1786" t="str">
        <f t="shared" si="293"/>
        <v>בנק לאומי בע"מ</v>
      </c>
      <c r="U1712" s="1786" t="str">
        <f t="shared" si="294"/>
        <v>גג הבינלאומי</v>
      </c>
      <c r="V1712" s="1786">
        <f t="shared" si="295"/>
        <v>0</v>
      </c>
      <c r="W1712" s="1789" t="str">
        <f t="shared" si="296"/>
        <v>קופת התגמולים לעצמאים "עצמה" ליד בל"ל בע"מ</v>
      </c>
      <c r="AC1712" s="1759" t="s">
        <v>1586</v>
      </c>
      <c r="AD1712" s="1760">
        <v>25569</v>
      </c>
      <c r="AE1712" s="1760">
        <v>25569</v>
      </c>
      <c r="AF1712" s="1759" t="s">
        <v>1583</v>
      </c>
      <c r="AG1712" s="1759" t="s">
        <v>1583</v>
      </c>
      <c r="AH1712" s="1759" t="s">
        <v>1583</v>
      </c>
      <c r="AI1712" s="1759" t="s">
        <v>1784</v>
      </c>
      <c r="AJ1712" s="1759" t="s">
        <v>1784</v>
      </c>
      <c r="AK1712" s="1759">
        <v>390</v>
      </c>
      <c r="AL1712" s="1759" t="s">
        <v>1784</v>
      </c>
      <c r="AM1712" s="1759">
        <v>390</v>
      </c>
      <c r="AN1712" s="1759" t="s">
        <v>5470</v>
      </c>
      <c r="AO1712" s="1764"/>
      <c r="AP1712" s="1759"/>
      <c r="AQ1712" s="1759"/>
      <c r="AR1712" s="1759" t="s">
        <v>1661</v>
      </c>
      <c r="AS1712" s="1759" t="s">
        <v>1660</v>
      </c>
      <c r="AT1712" s="1759" t="s">
        <v>327</v>
      </c>
      <c r="AU1712" s="1763"/>
      <c r="AV1712" s="1763"/>
    </row>
    <row r="1713" spans="1:48" ht="37.5" hidden="1">
      <c r="A1713" s="1785" t="str">
        <f t="shared" si="286"/>
        <v>גמל</v>
      </c>
      <c r="B1713" s="1786">
        <f t="shared" si="287"/>
        <v>388</v>
      </c>
      <c r="C1713" s="1787">
        <v>28946</v>
      </c>
      <c r="D1713" s="1786" t="str">
        <f t="shared" si="288"/>
        <v>קרן השתלמות לעובדי הקואופרציה  הצרכנית א.ש. בע"מ</v>
      </c>
      <c r="E1713" s="1786" t="s">
        <v>3929</v>
      </c>
      <c r="F1713" s="1786" t="s">
        <v>2958</v>
      </c>
      <c r="G1713" s="1786" t="s">
        <v>2959</v>
      </c>
      <c r="H1713" s="1786" t="str">
        <f t="shared" si="289"/>
        <v>לא פעיל</v>
      </c>
      <c r="I1713" s="1788">
        <f t="shared" si="290"/>
        <v>29312</v>
      </c>
      <c r="J1713" s="1788">
        <f t="shared" si="291"/>
        <v>41066.614351851902</v>
      </c>
      <c r="K1713" s="1786">
        <v>0</v>
      </c>
      <c r="L1713" s="1786" t="s">
        <v>1594</v>
      </c>
      <c r="M1713" s="1786" t="s">
        <v>1653</v>
      </c>
      <c r="N1713" s="1786" t="s">
        <v>1653</v>
      </c>
      <c r="O1713" s="1786">
        <v>0</v>
      </c>
      <c r="P1713" s="1786"/>
      <c r="Q1713" s="1786">
        <v>0</v>
      </c>
      <c r="R1713" s="1788"/>
      <c r="S1713" s="1786">
        <f t="shared" si="292"/>
        <v>388</v>
      </c>
      <c r="T1713" s="1786" t="str">
        <f t="shared" si="293"/>
        <v>ניהול  עצמי</v>
      </c>
      <c r="U1713" s="1786" t="str">
        <f t="shared" si="294"/>
        <v>קרן השתלמות לעובדי הקואופרציה  הצרכנית א.ש. בע"מ</v>
      </c>
      <c r="V1713" s="1786" t="str">
        <f t="shared" si="295"/>
        <v>513163105</v>
      </c>
      <c r="W1713" s="1789" t="str">
        <f t="shared" si="296"/>
        <v>הלמן - אלדובי קופות גמל ופנסיה בע"מ</v>
      </c>
      <c r="AC1713" s="1761" t="s">
        <v>1586</v>
      </c>
      <c r="AD1713" s="1762">
        <v>41066.614351851902</v>
      </c>
      <c r="AE1713" s="1762">
        <v>29312</v>
      </c>
      <c r="AF1713" s="1761" t="s">
        <v>1583</v>
      </c>
      <c r="AG1713" s="1761" t="s">
        <v>1583</v>
      </c>
      <c r="AH1713" s="1761" t="s">
        <v>1583</v>
      </c>
      <c r="AI1713" s="1761" t="s">
        <v>3095</v>
      </c>
      <c r="AJ1713" s="1761" t="s">
        <v>515</v>
      </c>
      <c r="AK1713" s="1761">
        <v>388</v>
      </c>
      <c r="AL1713" s="1761" t="s">
        <v>515</v>
      </c>
      <c r="AM1713" s="1761">
        <v>388</v>
      </c>
      <c r="AN1713" s="1761" t="s">
        <v>5524</v>
      </c>
      <c r="AO1713" s="1764"/>
      <c r="AP1713" s="1761" t="s">
        <v>5371</v>
      </c>
      <c r="AQ1713" s="1761" t="s">
        <v>5372</v>
      </c>
      <c r="AR1713" s="1761" t="s">
        <v>354</v>
      </c>
      <c r="AS1713" s="1761" t="s">
        <v>355</v>
      </c>
      <c r="AT1713" s="1761" t="s">
        <v>327</v>
      </c>
      <c r="AU1713" s="1763"/>
      <c r="AV1713" s="1763"/>
    </row>
    <row r="1714" spans="1:48" ht="25" hidden="1">
      <c r="A1714" s="1785" t="str">
        <f t="shared" si="286"/>
        <v>גמל</v>
      </c>
      <c r="B1714" s="1786">
        <f t="shared" si="287"/>
        <v>387</v>
      </c>
      <c r="C1714" s="1787">
        <v>28946</v>
      </c>
      <c r="D1714" s="1786" t="str">
        <f t="shared" si="288"/>
        <v>מיטב משתלם א'</v>
      </c>
      <c r="E1714" s="1786" t="s">
        <v>3929</v>
      </c>
      <c r="F1714" s="1786" t="s">
        <v>2958</v>
      </c>
      <c r="G1714" s="1786" t="s">
        <v>2959</v>
      </c>
      <c r="H1714" s="1786" t="str">
        <f t="shared" si="289"/>
        <v>לא פעיל</v>
      </c>
      <c r="I1714" s="1788">
        <f t="shared" si="290"/>
        <v>28946</v>
      </c>
      <c r="J1714" s="1788">
        <f t="shared" si="291"/>
        <v>41283.4778703704</v>
      </c>
      <c r="K1714" s="1786">
        <v>0</v>
      </c>
      <c r="L1714" s="1786" t="s">
        <v>1594</v>
      </c>
      <c r="M1714" s="1786" t="s">
        <v>1653</v>
      </c>
      <c r="N1714" s="1786" t="s">
        <v>1653</v>
      </c>
      <c r="O1714" s="1786">
        <v>0</v>
      </c>
      <c r="P1714" s="1786"/>
      <c r="Q1714" s="1786">
        <v>0</v>
      </c>
      <c r="R1714" s="1788"/>
      <c r="S1714" s="1786">
        <f t="shared" si="292"/>
        <v>387</v>
      </c>
      <c r="T1714" s="1786" t="str">
        <f t="shared" si="293"/>
        <v>הבנק הבינלאומי הראשון</v>
      </c>
      <c r="U1714" s="1786" t="str">
        <f t="shared" si="294"/>
        <v>מיטב משתלם א'</v>
      </c>
      <c r="V1714" s="1786">
        <f t="shared" si="295"/>
        <v>0</v>
      </c>
      <c r="W1714" s="1789" t="str">
        <f t="shared" si="296"/>
        <v>מיטב גמל ופנסיה בע"מ</v>
      </c>
      <c r="AC1714" s="1759" t="s">
        <v>1586</v>
      </c>
      <c r="AD1714" s="1760">
        <v>41283.4778703704</v>
      </c>
      <c r="AE1714" s="1760">
        <v>28946</v>
      </c>
      <c r="AF1714" s="1759" t="s">
        <v>1583</v>
      </c>
      <c r="AG1714" s="1759" t="s">
        <v>1583</v>
      </c>
      <c r="AH1714" s="1759" t="s">
        <v>1583</v>
      </c>
      <c r="AI1714" s="1759" t="s">
        <v>3094</v>
      </c>
      <c r="AJ1714" s="1759" t="s">
        <v>514</v>
      </c>
      <c r="AK1714" s="1759">
        <v>387</v>
      </c>
      <c r="AL1714" s="1759" t="s">
        <v>514</v>
      </c>
      <c r="AM1714" s="1759">
        <v>387</v>
      </c>
      <c r="AN1714" s="1759" t="s">
        <v>5384</v>
      </c>
      <c r="AO1714" s="1764"/>
      <c r="AP1714" s="1759"/>
      <c r="AQ1714" s="1759"/>
      <c r="AR1714" s="1759" t="s">
        <v>365</v>
      </c>
      <c r="AS1714" s="1759" t="s">
        <v>366</v>
      </c>
      <c r="AT1714" s="1759" t="s">
        <v>327</v>
      </c>
      <c r="AU1714" s="1763"/>
      <c r="AV1714" s="1763"/>
    </row>
    <row r="1715" spans="1:48" ht="37.5" hidden="1">
      <c r="A1715" s="1785" t="str">
        <f t="shared" si="286"/>
        <v>גמל</v>
      </c>
      <c r="B1715" s="1786">
        <f t="shared" si="287"/>
        <v>386</v>
      </c>
      <c r="C1715" s="1787">
        <v>28946</v>
      </c>
      <c r="D1715" s="1786" t="str">
        <f t="shared" si="288"/>
        <v>מגדל קהל השתלמות מסלול כללי</v>
      </c>
      <c r="E1715" s="1786" t="s">
        <v>3929</v>
      </c>
      <c r="F1715" s="1786" t="s">
        <v>2958</v>
      </c>
      <c r="G1715" s="1786" t="s">
        <v>2959</v>
      </c>
      <c r="H1715" s="1786" t="str">
        <f t="shared" si="289"/>
        <v>לא פעיל</v>
      </c>
      <c r="I1715" s="1788">
        <f t="shared" si="290"/>
        <v>29312</v>
      </c>
      <c r="J1715" s="1788">
        <f t="shared" si="291"/>
        <v>41645.541469907403</v>
      </c>
      <c r="K1715" s="1786">
        <v>0</v>
      </c>
      <c r="L1715" s="1786" t="s">
        <v>1594</v>
      </c>
      <c r="M1715" s="1786" t="s">
        <v>1653</v>
      </c>
      <c r="N1715" s="1786" t="s">
        <v>1653</v>
      </c>
      <c r="O1715" s="1786">
        <v>0</v>
      </c>
      <c r="P1715" s="1786"/>
      <c r="Q1715" s="1786">
        <v>0</v>
      </c>
      <c r="R1715" s="1788"/>
      <c r="S1715" s="1786">
        <f t="shared" si="292"/>
        <v>386</v>
      </c>
      <c r="T1715" s="1786" t="str">
        <f t="shared" si="293"/>
        <v>בנק לאומי בע"מ</v>
      </c>
      <c r="U1715" s="1786" t="str">
        <f t="shared" si="294"/>
        <v>מגדל קהל השתלמות</v>
      </c>
      <c r="V1715" s="1786" t="str">
        <f t="shared" si="295"/>
        <v>510464803</v>
      </c>
      <c r="W1715" s="1789" t="str">
        <f t="shared" si="296"/>
        <v>מגדל מקפת קרנות פנסיה וקופות גמל בע"מ</v>
      </c>
      <c r="AC1715" s="1761" t="s">
        <v>1586</v>
      </c>
      <c r="AD1715" s="1762">
        <v>41645.541469907403</v>
      </c>
      <c r="AE1715" s="1762">
        <v>29312</v>
      </c>
      <c r="AF1715" s="1761" t="s">
        <v>1583</v>
      </c>
      <c r="AG1715" s="1761" t="s">
        <v>1583</v>
      </c>
      <c r="AH1715" s="1761" t="s">
        <v>1583</v>
      </c>
      <c r="AI1715" s="1761" t="s">
        <v>1783</v>
      </c>
      <c r="AJ1715" s="1761" t="s">
        <v>1783</v>
      </c>
      <c r="AK1715" s="1761">
        <v>386</v>
      </c>
      <c r="AL1715" s="1761" t="s">
        <v>513</v>
      </c>
      <c r="AM1715" s="1761">
        <v>386</v>
      </c>
      <c r="AN1715" s="1761" t="s">
        <v>5470</v>
      </c>
      <c r="AO1715" s="1764"/>
      <c r="AP1715" s="1761" t="s">
        <v>5382</v>
      </c>
      <c r="AQ1715" s="1761" t="s">
        <v>5383</v>
      </c>
      <c r="AR1715" s="1761" t="s">
        <v>394</v>
      </c>
      <c r="AS1715" s="1761" t="s">
        <v>395</v>
      </c>
      <c r="AT1715" s="1761" t="s">
        <v>327</v>
      </c>
      <c r="AU1715" s="1763"/>
      <c r="AV1715" s="1763"/>
    </row>
    <row r="1716" spans="1:48" ht="50" hidden="1">
      <c r="A1716" s="1785" t="str">
        <f t="shared" si="286"/>
        <v>גמל</v>
      </c>
      <c r="B1716" s="1786">
        <f t="shared" si="287"/>
        <v>383</v>
      </c>
      <c r="C1716" s="1787">
        <v>28946</v>
      </c>
      <c r="D1716" s="1786" t="str">
        <f t="shared" si="288"/>
        <v>קרן ביטוח הדדי לחברי הסתדרות עובדי המדינה בישראל בע"מ</v>
      </c>
      <c r="E1716" s="1786" t="s">
        <v>3929</v>
      </c>
      <c r="F1716" s="1786" t="s">
        <v>2958</v>
      </c>
      <c r="G1716" s="1786" t="s">
        <v>2959</v>
      </c>
      <c r="H1716" s="1786" t="str">
        <f t="shared" si="289"/>
        <v>פעיל</v>
      </c>
      <c r="I1716" s="1788">
        <f t="shared" si="290"/>
        <v>31778</v>
      </c>
      <c r="J1716" s="1788" t="str">
        <f t="shared" si="291"/>
        <v/>
      </c>
      <c r="K1716" s="1786">
        <v>0</v>
      </c>
      <c r="L1716" s="1786" t="s">
        <v>1594</v>
      </c>
      <c r="M1716" s="1786" t="s">
        <v>1653</v>
      </c>
      <c r="N1716" s="1786" t="s">
        <v>1653</v>
      </c>
      <c r="O1716" s="1786">
        <v>0</v>
      </c>
      <c r="P1716" s="1786"/>
      <c r="Q1716" s="1786">
        <v>0</v>
      </c>
      <c r="R1716" s="1788"/>
      <c r="S1716" s="1786">
        <f t="shared" si="292"/>
        <v>383</v>
      </c>
      <c r="T1716" s="1786">
        <f t="shared" si="293"/>
        <v>0</v>
      </c>
      <c r="U1716" s="1786" t="str">
        <f t="shared" si="294"/>
        <v>קרן ביטוח הדדי לחברי הסתדרות עובדי המדינה בישראל בע"מ</v>
      </c>
      <c r="V1716" s="1786">
        <f t="shared" si="295"/>
        <v>0</v>
      </c>
      <c r="W1716" s="1789" t="str">
        <f t="shared" si="296"/>
        <v>קרן ביטוח הדדי לחברי הסתדרות עובדי המדינה בישראל בע"מ</v>
      </c>
      <c r="AC1716" s="1759" t="s">
        <v>346</v>
      </c>
      <c r="AD1716" s="1759"/>
      <c r="AE1716" s="1760">
        <v>31778</v>
      </c>
      <c r="AF1716" s="1759" t="s">
        <v>1583</v>
      </c>
      <c r="AG1716" s="1759" t="s">
        <v>1583</v>
      </c>
      <c r="AH1716" s="1759" t="s">
        <v>1583</v>
      </c>
      <c r="AI1716" s="1759" t="s">
        <v>3092</v>
      </c>
      <c r="AJ1716" s="1759" t="s">
        <v>511</v>
      </c>
      <c r="AK1716" s="1759">
        <v>383</v>
      </c>
      <c r="AL1716" s="1759" t="s">
        <v>511</v>
      </c>
      <c r="AM1716" s="1759">
        <v>383</v>
      </c>
      <c r="AN1716" s="1759"/>
      <c r="AO1716" s="1764"/>
      <c r="AP1716" s="1759"/>
      <c r="AQ1716" s="1759"/>
      <c r="AR1716" s="1759" t="s">
        <v>511</v>
      </c>
      <c r="AS1716" s="1759" t="s">
        <v>512</v>
      </c>
      <c r="AT1716" s="1759" t="s">
        <v>327</v>
      </c>
      <c r="AU1716" s="1763"/>
      <c r="AV1716" s="1763"/>
    </row>
    <row r="1717" spans="1:48" ht="37.5" hidden="1">
      <c r="A1717" s="1785" t="str">
        <f t="shared" si="286"/>
        <v>גמל</v>
      </c>
      <c r="B1717" s="1786">
        <f t="shared" si="287"/>
        <v>1404</v>
      </c>
      <c r="C1717" s="1787">
        <v>28946</v>
      </c>
      <c r="D1717" s="1786" t="str">
        <f t="shared" si="288"/>
        <v>עובדי המדינה - מסלול אג"ח ממשלת ישראל</v>
      </c>
      <c r="E1717" s="1786" t="s">
        <v>3929</v>
      </c>
      <c r="F1717" s="1786" t="s">
        <v>2958</v>
      </c>
      <c r="G1717" s="1786" t="s">
        <v>2959</v>
      </c>
      <c r="H1717" s="1786" t="str">
        <f t="shared" si="289"/>
        <v>פעיל</v>
      </c>
      <c r="I1717" s="1788">
        <f t="shared" si="290"/>
        <v>28946</v>
      </c>
      <c r="J1717" s="1788" t="str">
        <f t="shared" si="291"/>
        <v/>
      </c>
      <c r="K1717" s="1786">
        <v>0</v>
      </c>
      <c r="L1717" s="1786" t="s">
        <v>1594</v>
      </c>
      <c r="M1717" s="1786" t="s">
        <v>1653</v>
      </c>
      <c r="N1717" s="1786" t="s">
        <v>1653</v>
      </c>
      <c r="O1717" s="1786">
        <v>0</v>
      </c>
      <c r="P1717" s="1786"/>
      <c r="Q1717" s="1786">
        <v>0</v>
      </c>
      <c r="R1717" s="1788"/>
      <c r="S1717" s="1786">
        <f t="shared" si="292"/>
        <v>382</v>
      </c>
      <c r="T1717" s="1786" t="str">
        <f t="shared" si="293"/>
        <v>לאומי</v>
      </c>
      <c r="U1717" s="1786" t="str">
        <f t="shared" si="294"/>
        <v xml:space="preserve">קרן השתלמות לעובדי המדינה </v>
      </c>
      <c r="V1717" s="1786">
        <f t="shared" si="295"/>
        <v>0</v>
      </c>
      <c r="W1717" s="1789" t="str">
        <f t="shared" si="296"/>
        <v>החברה לניהול קרן ההשתלמות לעובדי המדינה בע"מ</v>
      </c>
      <c r="AC1717" s="1761" t="s">
        <v>346</v>
      </c>
      <c r="AD1717" s="1759"/>
      <c r="AE1717" s="1762">
        <v>28946</v>
      </c>
      <c r="AF1717" s="1761" t="s">
        <v>2009</v>
      </c>
      <c r="AG1717" s="1761" t="s">
        <v>1653</v>
      </c>
      <c r="AH1717" s="1761" t="s">
        <v>1594</v>
      </c>
      <c r="AI1717" s="1761" t="s">
        <v>4613</v>
      </c>
      <c r="AJ1717" s="1761" t="s">
        <v>4612</v>
      </c>
      <c r="AK1717" s="1761">
        <v>1404</v>
      </c>
      <c r="AL1717" s="1761" t="s">
        <v>4592</v>
      </c>
      <c r="AM1717" s="1761">
        <v>382</v>
      </c>
      <c r="AN1717" s="1761" t="s">
        <v>5305</v>
      </c>
      <c r="AO1717" s="1764"/>
      <c r="AP1717" s="1761" t="s">
        <v>5668</v>
      </c>
      <c r="AQ1717" s="1761"/>
      <c r="AR1717" s="1761" t="s">
        <v>3091</v>
      </c>
      <c r="AS1717" s="1761" t="s">
        <v>510</v>
      </c>
      <c r="AT1717" s="1761" t="s">
        <v>327</v>
      </c>
      <c r="AU1717" s="1763"/>
      <c r="AV1717" s="1763"/>
    </row>
    <row r="1718" spans="1:48" ht="37.5" hidden="1">
      <c r="A1718" s="1785" t="str">
        <f t="shared" si="286"/>
        <v>גמל</v>
      </c>
      <c r="B1718" s="1786">
        <f t="shared" si="287"/>
        <v>9479</v>
      </c>
      <c r="C1718" s="1787">
        <v>28946</v>
      </c>
      <c r="D1718" s="1786" t="str">
        <f t="shared" si="288"/>
        <v xml:space="preserve">עובדי מדינה - מסלול מניות </v>
      </c>
      <c r="E1718" s="1786" t="s">
        <v>3929</v>
      </c>
      <c r="F1718" s="1786" t="s">
        <v>2958</v>
      </c>
      <c r="G1718" s="1786" t="s">
        <v>2959</v>
      </c>
      <c r="H1718" s="1786" t="str">
        <f t="shared" si="289"/>
        <v>פעיל</v>
      </c>
      <c r="I1718" s="1788">
        <f t="shared" si="290"/>
        <v>28946</v>
      </c>
      <c r="J1718" s="1788" t="str">
        <f t="shared" si="291"/>
        <v/>
      </c>
      <c r="K1718" s="1786">
        <v>0</v>
      </c>
      <c r="L1718" s="1786" t="s">
        <v>1594</v>
      </c>
      <c r="M1718" s="1786" t="s">
        <v>1653</v>
      </c>
      <c r="N1718" s="1786" t="s">
        <v>1653</v>
      </c>
      <c r="O1718" s="1786">
        <v>0</v>
      </c>
      <c r="P1718" s="1786"/>
      <c r="Q1718" s="1786">
        <v>0</v>
      </c>
      <c r="R1718" s="1788"/>
      <c r="S1718" s="1786">
        <f t="shared" si="292"/>
        <v>382</v>
      </c>
      <c r="T1718" s="1786" t="str">
        <f t="shared" si="293"/>
        <v>לאומי</v>
      </c>
      <c r="U1718" s="1786" t="str">
        <f t="shared" si="294"/>
        <v xml:space="preserve">קרן השתלמות לעובדי המדינה </v>
      </c>
      <c r="V1718" s="1786">
        <f t="shared" si="295"/>
        <v>0</v>
      </c>
      <c r="W1718" s="1789" t="str">
        <f t="shared" si="296"/>
        <v>החברה לניהול קרן ההשתלמות לעובדי המדינה בע"מ</v>
      </c>
      <c r="AC1718" s="1759" t="s">
        <v>346</v>
      </c>
      <c r="AD1718" s="1759"/>
      <c r="AE1718" s="1760">
        <v>28946</v>
      </c>
      <c r="AF1718" s="1759" t="s">
        <v>1595</v>
      </c>
      <c r="AG1718" s="1759" t="s">
        <v>75</v>
      </c>
      <c r="AH1718" s="1759" t="s">
        <v>1594</v>
      </c>
      <c r="AI1718" s="1759" t="s">
        <v>4762</v>
      </c>
      <c r="AJ1718" s="1759" t="s">
        <v>4761</v>
      </c>
      <c r="AK1718" s="1759">
        <v>9479</v>
      </c>
      <c r="AL1718" s="1759" t="s">
        <v>4592</v>
      </c>
      <c r="AM1718" s="1759">
        <v>382</v>
      </c>
      <c r="AN1718" s="1759" t="s">
        <v>5305</v>
      </c>
      <c r="AO1718" s="1764"/>
      <c r="AP1718" s="1759" t="s">
        <v>5668</v>
      </c>
      <c r="AQ1718" s="1759"/>
      <c r="AR1718" s="1759" t="s">
        <v>3091</v>
      </c>
      <c r="AS1718" s="1759" t="s">
        <v>510</v>
      </c>
      <c r="AT1718" s="1759" t="s">
        <v>327</v>
      </c>
      <c r="AU1718" s="1763"/>
      <c r="AV1718" s="1763"/>
    </row>
    <row r="1719" spans="1:48" ht="37.5" hidden="1">
      <c r="A1719" s="1785" t="str">
        <f t="shared" si="286"/>
        <v>גמל</v>
      </c>
      <c r="B1719" s="1786">
        <f t="shared" si="287"/>
        <v>382</v>
      </c>
      <c r="C1719" s="1787">
        <v>28946</v>
      </c>
      <c r="D1719" s="1786" t="str">
        <f t="shared" si="288"/>
        <v>עובדי מדינה - מסלול כללי</v>
      </c>
      <c r="E1719" s="1786" t="s">
        <v>3929</v>
      </c>
      <c r="F1719" s="1786" t="s">
        <v>2958</v>
      </c>
      <c r="G1719" s="1786" t="s">
        <v>2959</v>
      </c>
      <c r="H1719" s="1786" t="str">
        <f t="shared" si="289"/>
        <v>פעיל</v>
      </c>
      <c r="I1719" s="1788">
        <f t="shared" si="290"/>
        <v>28946</v>
      </c>
      <c r="J1719" s="1788" t="str">
        <f t="shared" si="291"/>
        <v/>
      </c>
      <c r="K1719" s="1786">
        <v>0</v>
      </c>
      <c r="L1719" s="1786" t="s">
        <v>1594</v>
      </c>
      <c r="M1719" s="1786" t="s">
        <v>1653</v>
      </c>
      <c r="N1719" s="1786" t="s">
        <v>1653</v>
      </c>
      <c r="O1719" s="1786">
        <v>0</v>
      </c>
      <c r="P1719" s="1786"/>
      <c r="Q1719" s="1786">
        <v>0</v>
      </c>
      <c r="R1719" s="1788"/>
      <c r="S1719" s="1786">
        <f t="shared" si="292"/>
        <v>382</v>
      </c>
      <c r="T1719" s="1786" t="str">
        <f t="shared" si="293"/>
        <v>לאומי</v>
      </c>
      <c r="U1719" s="1786" t="str">
        <f t="shared" si="294"/>
        <v xml:space="preserve">קרן השתלמות לעובדי המדינה </v>
      </c>
      <c r="V1719" s="1786">
        <f t="shared" si="295"/>
        <v>0</v>
      </c>
      <c r="W1719" s="1789" t="str">
        <f t="shared" si="296"/>
        <v>החברה לניהול קרן ההשתלמות לעובדי המדינה בע"מ</v>
      </c>
      <c r="AC1719" s="1761" t="s">
        <v>346</v>
      </c>
      <c r="AD1719" s="1761"/>
      <c r="AE1719" s="1762">
        <v>28946</v>
      </c>
      <c r="AF1719" s="1761" t="s">
        <v>1583</v>
      </c>
      <c r="AG1719" s="1761" t="s">
        <v>1583</v>
      </c>
      <c r="AH1719" s="1761" t="s">
        <v>1583</v>
      </c>
      <c r="AI1719" s="1761" t="s">
        <v>4591</v>
      </c>
      <c r="AJ1719" s="1761" t="s">
        <v>4590</v>
      </c>
      <c r="AK1719" s="1761">
        <v>382</v>
      </c>
      <c r="AL1719" s="1761" t="s">
        <v>4592</v>
      </c>
      <c r="AM1719" s="1761">
        <v>382</v>
      </c>
      <c r="AN1719" s="1761" t="s">
        <v>5305</v>
      </c>
      <c r="AO1719" s="1764"/>
      <c r="AP1719" s="1761" t="s">
        <v>5668</v>
      </c>
      <c r="AQ1719" s="1761"/>
      <c r="AR1719" s="1761" t="s">
        <v>3091</v>
      </c>
      <c r="AS1719" s="1761" t="s">
        <v>510</v>
      </c>
      <c r="AT1719" s="1761" t="s">
        <v>327</v>
      </c>
      <c r="AU1719" s="1763"/>
      <c r="AV1719" s="1763"/>
    </row>
    <row r="1720" spans="1:48" ht="37.5" hidden="1">
      <c r="A1720" s="1785" t="str">
        <f t="shared" si="286"/>
        <v>גמל</v>
      </c>
      <c r="B1720" s="1786">
        <f t="shared" si="287"/>
        <v>11414</v>
      </c>
      <c r="C1720" s="1787">
        <v>28946</v>
      </c>
      <c r="D1720" s="1786" t="str">
        <f t="shared" si="288"/>
        <v>קרן השתלמות לעובדי המדינה  הלכתי הלכה יהודית</v>
      </c>
      <c r="E1720" s="1786" t="s">
        <v>3929</v>
      </c>
      <c r="F1720" s="1786" t="s">
        <v>2958</v>
      </c>
      <c r="G1720" s="1786" t="s">
        <v>2959</v>
      </c>
      <c r="H1720" s="1786" t="str">
        <f t="shared" si="289"/>
        <v>פעיל</v>
      </c>
      <c r="I1720" s="1788">
        <f t="shared" si="290"/>
        <v>28946</v>
      </c>
      <c r="J1720" s="1788" t="str">
        <f t="shared" si="291"/>
        <v/>
      </c>
      <c r="K1720" s="1786">
        <v>0</v>
      </c>
      <c r="L1720" s="1786" t="s">
        <v>1594</v>
      </c>
      <c r="M1720" s="1786" t="s">
        <v>1653</v>
      </c>
      <c r="N1720" s="1786" t="s">
        <v>1653</v>
      </c>
      <c r="O1720" s="1786">
        <v>0</v>
      </c>
      <c r="P1720" s="1786"/>
      <c r="Q1720" s="1786">
        <v>0</v>
      </c>
      <c r="R1720" s="1788"/>
      <c r="S1720" s="1786">
        <f t="shared" si="292"/>
        <v>382</v>
      </c>
      <c r="T1720" s="1786" t="str">
        <f t="shared" si="293"/>
        <v>לאומי</v>
      </c>
      <c r="U1720" s="1786" t="str">
        <f t="shared" si="294"/>
        <v xml:space="preserve">קרן השתלמות לעובדי המדינה </v>
      </c>
      <c r="V1720" s="1786">
        <f t="shared" si="295"/>
        <v>0</v>
      </c>
      <c r="W1720" s="1789" t="str">
        <f t="shared" si="296"/>
        <v>החברה לניהול קרן ההשתלמות לעובדי המדינה בע"מ</v>
      </c>
      <c r="AC1720" s="1759" t="s">
        <v>346</v>
      </c>
      <c r="AD1720" s="1759"/>
      <c r="AE1720" s="1760">
        <v>28946</v>
      </c>
      <c r="AF1720" s="1759" t="s">
        <v>4603</v>
      </c>
      <c r="AG1720" s="1759" t="s">
        <v>2029</v>
      </c>
      <c r="AH1720" s="1759" t="s">
        <v>2028</v>
      </c>
      <c r="AI1720" s="1759" t="s">
        <v>4848</v>
      </c>
      <c r="AJ1720" s="1759" t="s">
        <v>5669</v>
      </c>
      <c r="AK1720" s="1759">
        <v>11414</v>
      </c>
      <c r="AL1720" s="1759" t="s">
        <v>4592</v>
      </c>
      <c r="AM1720" s="1759">
        <v>382</v>
      </c>
      <c r="AN1720" s="1759" t="s">
        <v>5305</v>
      </c>
      <c r="AO1720" s="1764"/>
      <c r="AP1720" s="1759" t="s">
        <v>5668</v>
      </c>
      <c r="AQ1720" s="1759"/>
      <c r="AR1720" s="1759" t="s">
        <v>3091</v>
      </c>
      <c r="AS1720" s="1759" t="s">
        <v>510</v>
      </c>
      <c r="AT1720" s="1759" t="s">
        <v>327</v>
      </c>
      <c r="AU1720" s="1763"/>
      <c r="AV1720" s="1763"/>
    </row>
    <row r="1721" spans="1:48" ht="37.5" hidden="1">
      <c r="A1721" s="1785" t="str">
        <f t="shared" si="286"/>
        <v>גמל</v>
      </c>
      <c r="B1721" s="1786">
        <f t="shared" si="287"/>
        <v>7635</v>
      </c>
      <c r="C1721" s="1787">
        <v>28946</v>
      </c>
      <c r="D1721" s="1786" t="str">
        <f t="shared" si="288"/>
        <v xml:space="preserve">עובדי מדינה - מסלול מתמחה משולב-אג"ח עד 15 אחוז מניות
</v>
      </c>
      <c r="E1721" s="1786" t="s">
        <v>3929</v>
      </c>
      <c r="F1721" s="1786" t="s">
        <v>2958</v>
      </c>
      <c r="G1721" s="1786" t="s">
        <v>2959</v>
      </c>
      <c r="H1721" s="1786" t="str">
        <f t="shared" si="289"/>
        <v>פעיל</v>
      </c>
      <c r="I1721" s="1788">
        <f t="shared" si="290"/>
        <v>28946</v>
      </c>
      <c r="J1721" s="1788" t="str">
        <f t="shared" si="291"/>
        <v/>
      </c>
      <c r="K1721" s="1786">
        <v>0</v>
      </c>
      <c r="L1721" s="1786" t="s">
        <v>1594</v>
      </c>
      <c r="M1721" s="1786" t="s">
        <v>1653</v>
      </c>
      <c r="N1721" s="1786" t="s">
        <v>1653</v>
      </c>
      <c r="O1721" s="1786">
        <v>0</v>
      </c>
      <c r="P1721" s="1786"/>
      <c r="Q1721" s="1786">
        <v>0</v>
      </c>
      <c r="R1721" s="1788"/>
      <c r="S1721" s="1786">
        <f t="shared" si="292"/>
        <v>382</v>
      </c>
      <c r="T1721" s="1786" t="str">
        <f t="shared" si="293"/>
        <v>לאומי</v>
      </c>
      <c r="U1721" s="1786" t="str">
        <f t="shared" si="294"/>
        <v xml:space="preserve">קרן השתלמות לעובדי המדינה </v>
      </c>
      <c r="V1721" s="1786">
        <f t="shared" si="295"/>
        <v>0</v>
      </c>
      <c r="W1721" s="1789" t="str">
        <f t="shared" si="296"/>
        <v>החברה לניהול קרן ההשתלמות לעובדי המדינה בע"מ</v>
      </c>
      <c r="AC1721" s="1761" t="s">
        <v>346</v>
      </c>
      <c r="AD1721" s="1761"/>
      <c r="AE1721" s="1762">
        <v>28946</v>
      </c>
      <c r="AF1721" s="1761" t="s">
        <v>3934</v>
      </c>
      <c r="AG1721" s="1761" t="s">
        <v>1653</v>
      </c>
      <c r="AH1721" s="1761" t="s">
        <v>1594</v>
      </c>
      <c r="AI1721" s="1761" t="s">
        <v>4633</v>
      </c>
      <c r="AJ1721" s="1761" t="s">
        <v>4632</v>
      </c>
      <c r="AK1721" s="1761">
        <v>7635</v>
      </c>
      <c r="AL1721" s="1761" t="s">
        <v>4592</v>
      </c>
      <c r="AM1721" s="1761">
        <v>382</v>
      </c>
      <c r="AN1721" s="1761" t="s">
        <v>5305</v>
      </c>
      <c r="AO1721" s="1764"/>
      <c r="AP1721" s="1761" t="s">
        <v>5668</v>
      </c>
      <c r="AQ1721" s="1761"/>
      <c r="AR1721" s="1761" t="s">
        <v>3091</v>
      </c>
      <c r="AS1721" s="1761" t="s">
        <v>510</v>
      </c>
      <c r="AT1721" s="1761" t="s">
        <v>327</v>
      </c>
      <c r="AU1721" s="1763"/>
      <c r="AV1721" s="1763"/>
    </row>
    <row r="1722" spans="1:48" ht="50" hidden="1">
      <c r="A1722" s="1785" t="str">
        <f t="shared" si="286"/>
        <v>גמל</v>
      </c>
      <c r="B1722" s="1786">
        <f t="shared" si="287"/>
        <v>381</v>
      </c>
      <c r="C1722" s="1787">
        <v>28946</v>
      </c>
      <c r="D1722" s="1786" t="str">
        <f t="shared" si="288"/>
        <v>קרן לביטוח ועזרה הדדית של עובדי סוכנות בטוח לא"י בע"מ</v>
      </c>
      <c r="E1722" s="1786" t="s">
        <v>3929</v>
      </c>
      <c r="F1722" s="1786" t="s">
        <v>2958</v>
      </c>
      <c r="G1722" s="1786" t="s">
        <v>2959</v>
      </c>
      <c r="H1722" s="1786" t="str">
        <f t="shared" si="289"/>
        <v>לא פעיל</v>
      </c>
      <c r="I1722" s="1788">
        <f t="shared" si="290"/>
        <v>31778</v>
      </c>
      <c r="J1722" s="1788">
        <f t="shared" si="291"/>
        <v>39083</v>
      </c>
      <c r="K1722" s="1786">
        <v>0</v>
      </c>
      <c r="L1722" s="1786" t="s">
        <v>1594</v>
      </c>
      <c r="M1722" s="1786" t="s">
        <v>1653</v>
      </c>
      <c r="N1722" s="1786" t="s">
        <v>1653</v>
      </c>
      <c r="O1722" s="1786">
        <v>0</v>
      </c>
      <c r="P1722" s="1786"/>
      <c r="Q1722" s="1786">
        <v>0</v>
      </c>
      <c r="R1722" s="1788"/>
      <c r="S1722" s="1786">
        <f t="shared" si="292"/>
        <v>381</v>
      </c>
      <c r="T1722" s="1786">
        <f t="shared" si="293"/>
        <v>0</v>
      </c>
      <c r="U1722" s="1786" t="str">
        <f t="shared" si="294"/>
        <v>קרן לביטוח ועזרה הדדית של עובדי סוכנות בטוח לא"י בע"מ</v>
      </c>
      <c r="V1722" s="1786">
        <f t="shared" si="295"/>
        <v>0</v>
      </c>
      <c r="W1722" s="1789" t="str">
        <f t="shared" si="296"/>
        <v>קרן לביטוח ועזרה הדדית של עובדי סוכנות בטוח לא"י בע"מ</v>
      </c>
      <c r="AC1722" s="1759" t="s">
        <v>1586</v>
      </c>
      <c r="AD1722" s="1760">
        <v>39083</v>
      </c>
      <c r="AE1722" s="1760">
        <v>31778</v>
      </c>
      <c r="AF1722" s="1759" t="s">
        <v>1583</v>
      </c>
      <c r="AG1722" s="1759" t="s">
        <v>1583</v>
      </c>
      <c r="AH1722" s="1759" t="s">
        <v>1583</v>
      </c>
      <c r="AI1722" s="1759" t="s">
        <v>3090</v>
      </c>
      <c r="AJ1722" s="1759" t="s">
        <v>1781</v>
      </c>
      <c r="AK1722" s="1759">
        <v>381</v>
      </c>
      <c r="AL1722" s="1759" t="s">
        <v>1781</v>
      </c>
      <c r="AM1722" s="1759">
        <v>381</v>
      </c>
      <c r="AN1722" s="1759"/>
      <c r="AO1722" s="1764"/>
      <c r="AP1722" s="1759"/>
      <c r="AQ1722" s="1759"/>
      <c r="AR1722" s="1759" t="s">
        <v>1781</v>
      </c>
      <c r="AS1722" s="1759" t="s">
        <v>1782</v>
      </c>
      <c r="AT1722" s="1759" t="s">
        <v>327</v>
      </c>
      <c r="AU1722" s="1763"/>
      <c r="AV1722" s="1763"/>
    </row>
    <row r="1723" spans="1:48" ht="37.5" hidden="1">
      <c r="A1723" s="1785" t="str">
        <f t="shared" si="286"/>
        <v>גמל</v>
      </c>
      <c r="B1723" s="1786">
        <f t="shared" si="287"/>
        <v>380</v>
      </c>
      <c r="C1723" s="1787">
        <v>28946</v>
      </c>
      <c r="D1723" s="1786" t="str">
        <f t="shared" si="288"/>
        <v>מרום ב' גמל גמישה</v>
      </c>
      <c r="E1723" s="1786" t="s">
        <v>3929</v>
      </c>
      <c r="F1723" s="1786" t="s">
        <v>2958</v>
      </c>
      <c r="G1723" s="1786" t="s">
        <v>2959</v>
      </c>
      <c r="H1723" s="1786" t="str">
        <f t="shared" si="289"/>
        <v>לא פעיל</v>
      </c>
      <c r="I1723" s="1788">
        <f t="shared" si="290"/>
        <v>25569</v>
      </c>
      <c r="J1723" s="1788">
        <f t="shared" si="291"/>
        <v>25569</v>
      </c>
      <c r="K1723" s="1786">
        <v>0</v>
      </c>
      <c r="L1723" s="1786" t="s">
        <v>1594</v>
      </c>
      <c r="M1723" s="1786" t="s">
        <v>1653</v>
      </c>
      <c r="N1723" s="1786" t="s">
        <v>1653</v>
      </c>
      <c r="O1723" s="1786">
        <v>0</v>
      </c>
      <c r="P1723" s="1786"/>
      <c r="Q1723" s="1786">
        <v>0</v>
      </c>
      <c r="R1723" s="1788"/>
      <c r="S1723" s="1786">
        <f t="shared" si="292"/>
        <v>380</v>
      </c>
      <c r="T1723" s="1786" t="str">
        <f t="shared" si="293"/>
        <v>בנק לאומי בע"מ</v>
      </c>
      <c r="U1723" s="1786" t="str">
        <f t="shared" si="294"/>
        <v>מרום ב' גמל גמישה</v>
      </c>
      <c r="V1723" s="1786">
        <f t="shared" si="295"/>
        <v>0</v>
      </c>
      <c r="W1723" s="1789" t="str">
        <f t="shared" si="296"/>
        <v>קופת התגמולים לעצמאים "עצמה" ליד בל"ל בע"מ</v>
      </c>
      <c r="AC1723" s="1761" t="s">
        <v>1586</v>
      </c>
      <c r="AD1723" s="1762">
        <v>25569</v>
      </c>
      <c r="AE1723" s="1762">
        <v>25569</v>
      </c>
      <c r="AF1723" s="1761" t="s">
        <v>1583</v>
      </c>
      <c r="AG1723" s="1761" t="s">
        <v>1583</v>
      </c>
      <c r="AH1723" s="1761" t="s">
        <v>1583</v>
      </c>
      <c r="AI1723" s="1761" t="s">
        <v>3089</v>
      </c>
      <c r="AJ1723" s="1761" t="s">
        <v>1780</v>
      </c>
      <c r="AK1723" s="1761">
        <v>380</v>
      </c>
      <c r="AL1723" s="1761" t="s">
        <v>1780</v>
      </c>
      <c r="AM1723" s="1761">
        <v>380</v>
      </c>
      <c r="AN1723" s="1761" t="s">
        <v>5470</v>
      </c>
      <c r="AO1723" s="1764"/>
      <c r="AP1723" s="1761"/>
      <c r="AQ1723" s="1761"/>
      <c r="AR1723" s="1761" t="s">
        <v>1661</v>
      </c>
      <c r="AS1723" s="1761" t="s">
        <v>1660</v>
      </c>
      <c r="AT1723" s="1761" t="s">
        <v>327</v>
      </c>
      <c r="AU1723" s="1763"/>
      <c r="AV1723" s="1763"/>
    </row>
    <row r="1724" spans="1:48" ht="37.5" hidden="1">
      <c r="A1724" s="1785" t="str">
        <f t="shared" si="286"/>
        <v>גמל</v>
      </c>
      <c r="B1724" s="1786">
        <f t="shared" si="287"/>
        <v>379</v>
      </c>
      <c r="C1724" s="1787">
        <v>28946</v>
      </c>
      <c r="D1724" s="1786" t="str">
        <f t="shared" si="288"/>
        <v>מרום קופת גמל</v>
      </c>
      <c r="E1724" s="1786" t="s">
        <v>3929</v>
      </c>
      <c r="F1724" s="1786" t="s">
        <v>2958</v>
      </c>
      <c r="G1724" s="1786" t="s">
        <v>2959</v>
      </c>
      <c r="H1724" s="1786" t="str">
        <f t="shared" si="289"/>
        <v>לא פעיל</v>
      </c>
      <c r="I1724" s="1788">
        <f t="shared" si="290"/>
        <v>25569</v>
      </c>
      <c r="J1724" s="1788">
        <f t="shared" si="291"/>
        <v>25569</v>
      </c>
      <c r="K1724" s="1786">
        <v>0</v>
      </c>
      <c r="L1724" s="1786" t="s">
        <v>1594</v>
      </c>
      <c r="M1724" s="1786" t="s">
        <v>1653</v>
      </c>
      <c r="N1724" s="1786" t="s">
        <v>1653</v>
      </c>
      <c r="O1724" s="1786">
        <v>0</v>
      </c>
      <c r="P1724" s="1786"/>
      <c r="Q1724" s="1786">
        <v>0</v>
      </c>
      <c r="R1724" s="1788"/>
      <c r="S1724" s="1786">
        <f t="shared" si="292"/>
        <v>379</v>
      </c>
      <c r="T1724" s="1786" t="str">
        <f t="shared" si="293"/>
        <v>בנק לאומי בע"מ</v>
      </c>
      <c r="U1724" s="1786" t="str">
        <f t="shared" si="294"/>
        <v>מרום קופת גמל</v>
      </c>
      <c r="V1724" s="1786">
        <f t="shared" si="295"/>
        <v>0</v>
      </c>
      <c r="W1724" s="1789" t="str">
        <f t="shared" si="296"/>
        <v>קופת התגמולים לעצמאים "עצמה" ליד בל"ל בע"מ</v>
      </c>
      <c r="AC1724" s="1759" t="s">
        <v>1586</v>
      </c>
      <c r="AD1724" s="1760">
        <v>25569</v>
      </c>
      <c r="AE1724" s="1760">
        <v>25569</v>
      </c>
      <c r="AF1724" s="1759" t="s">
        <v>1583</v>
      </c>
      <c r="AG1724" s="1759" t="s">
        <v>1583</v>
      </c>
      <c r="AH1724" s="1759" t="s">
        <v>1583</v>
      </c>
      <c r="AI1724" s="1759" t="s">
        <v>1779</v>
      </c>
      <c r="AJ1724" s="1759" t="s">
        <v>1779</v>
      </c>
      <c r="AK1724" s="1759">
        <v>379</v>
      </c>
      <c r="AL1724" s="1759" t="s">
        <v>1779</v>
      </c>
      <c r="AM1724" s="1759">
        <v>379</v>
      </c>
      <c r="AN1724" s="1759" t="s">
        <v>5470</v>
      </c>
      <c r="AO1724" s="1764"/>
      <c r="AP1724" s="1759"/>
      <c r="AQ1724" s="1759"/>
      <c r="AR1724" s="1759" t="s">
        <v>1661</v>
      </c>
      <c r="AS1724" s="1759" t="s">
        <v>1660</v>
      </c>
      <c r="AT1724" s="1759" t="s">
        <v>327</v>
      </c>
      <c r="AU1724" s="1763"/>
      <c r="AV1724" s="1763"/>
    </row>
    <row r="1725" spans="1:48" ht="50" hidden="1">
      <c r="A1725" s="1785" t="str">
        <f t="shared" si="286"/>
        <v>גמל</v>
      </c>
      <c r="B1725" s="1786">
        <f t="shared" si="287"/>
        <v>378</v>
      </c>
      <c r="C1725" s="1787">
        <v>28946</v>
      </c>
      <c r="D1725" s="1786" t="str">
        <f t="shared" si="288"/>
        <v>ק.ל.ע - קרן השתלמות לעובדים סוציאלים מסלול כללי</v>
      </c>
      <c r="E1725" s="1786" t="s">
        <v>3929</v>
      </c>
      <c r="F1725" s="1786" t="s">
        <v>2958</v>
      </c>
      <c r="G1725" s="1786" t="s">
        <v>2959</v>
      </c>
      <c r="H1725" s="1786" t="str">
        <f t="shared" si="289"/>
        <v>פעיל</v>
      </c>
      <c r="I1725" s="1788">
        <f t="shared" si="290"/>
        <v>23833</v>
      </c>
      <c r="J1725" s="1788" t="str">
        <f t="shared" si="291"/>
        <v/>
      </c>
      <c r="K1725" s="1786">
        <v>0</v>
      </c>
      <c r="L1725" s="1786" t="s">
        <v>1594</v>
      </c>
      <c r="M1725" s="1786" t="s">
        <v>1653</v>
      </c>
      <c r="N1725" s="1786" t="s">
        <v>1653</v>
      </c>
      <c r="O1725" s="1786">
        <v>0</v>
      </c>
      <c r="P1725" s="1786"/>
      <c r="Q1725" s="1786">
        <v>0</v>
      </c>
      <c r="R1725" s="1788"/>
      <c r="S1725" s="1786">
        <f t="shared" si="292"/>
        <v>378</v>
      </c>
      <c r="T1725" s="1786" t="str">
        <f t="shared" si="293"/>
        <v>הבנק הבינלאומי הראשון</v>
      </c>
      <c r="U1725" s="1786" t="str">
        <f t="shared" si="294"/>
        <v>ק.ל.ע - קרן השתלמות לעובדים סוציאלים מסלול כללי</v>
      </c>
      <c r="V1725" s="1786">
        <f t="shared" si="295"/>
        <v>0</v>
      </c>
      <c r="W1725" s="1789" t="str">
        <f t="shared" si="296"/>
        <v>ק.ל.ע. - חברה לניהול קרן השתלמות לעובדים סוציאליים בע"מ</v>
      </c>
      <c r="AC1725" s="1761" t="s">
        <v>346</v>
      </c>
      <c r="AD1725" s="1761"/>
      <c r="AE1725" s="1762">
        <v>23833</v>
      </c>
      <c r="AF1725" s="1761" t="s">
        <v>1583</v>
      </c>
      <c r="AG1725" s="1761" t="s">
        <v>1583</v>
      </c>
      <c r="AH1725" s="1761" t="s">
        <v>1583</v>
      </c>
      <c r="AI1725" s="1761" t="s">
        <v>3088</v>
      </c>
      <c r="AJ1725" s="1761" t="s">
        <v>509</v>
      </c>
      <c r="AK1725" s="1761">
        <v>378</v>
      </c>
      <c r="AL1725" s="1761" t="s">
        <v>509</v>
      </c>
      <c r="AM1725" s="1761">
        <v>378</v>
      </c>
      <c r="AN1725" s="1761" t="s">
        <v>5384</v>
      </c>
      <c r="AO1725" s="1764"/>
      <c r="AP1725" s="1761" t="s">
        <v>5670</v>
      </c>
      <c r="AQ1725" s="1761"/>
      <c r="AR1725" s="1761" t="s">
        <v>507</v>
      </c>
      <c r="AS1725" s="1761" t="s">
        <v>508</v>
      </c>
      <c r="AT1725" s="1761" t="s">
        <v>327</v>
      </c>
      <c r="AU1725" s="1763"/>
      <c r="AV1725" s="1763"/>
    </row>
    <row r="1726" spans="1:48" ht="50" hidden="1">
      <c r="A1726" s="1785" t="str">
        <f t="shared" si="286"/>
        <v>גמל</v>
      </c>
      <c r="B1726" s="1786">
        <f t="shared" si="287"/>
        <v>1433</v>
      </c>
      <c r="C1726" s="1787">
        <v>28946</v>
      </c>
      <c r="D1726" s="1786" t="str">
        <f t="shared" si="288"/>
        <v>ק.ל.ע - קרן השתלמות לעובדים סוציאלים מסלול  אג"ח עד 25% מניות</v>
      </c>
      <c r="E1726" s="1786" t="s">
        <v>3929</v>
      </c>
      <c r="F1726" s="1786" t="s">
        <v>2958</v>
      </c>
      <c r="G1726" s="1786" t="s">
        <v>2959</v>
      </c>
      <c r="H1726" s="1786" t="str">
        <f t="shared" si="289"/>
        <v>פעיל</v>
      </c>
      <c r="I1726" s="1788">
        <f t="shared" si="290"/>
        <v>23833</v>
      </c>
      <c r="J1726" s="1788" t="str">
        <f t="shared" si="291"/>
        <v/>
      </c>
      <c r="K1726" s="1786">
        <v>0</v>
      </c>
      <c r="L1726" s="1786" t="s">
        <v>1594</v>
      </c>
      <c r="M1726" s="1786" t="s">
        <v>1653</v>
      </c>
      <c r="N1726" s="1786" t="s">
        <v>1653</v>
      </c>
      <c r="O1726" s="1786">
        <v>0</v>
      </c>
      <c r="P1726" s="1786"/>
      <c r="Q1726" s="1786">
        <v>0</v>
      </c>
      <c r="R1726" s="1788"/>
      <c r="S1726" s="1786">
        <f t="shared" si="292"/>
        <v>378</v>
      </c>
      <c r="T1726" s="1786" t="str">
        <f t="shared" si="293"/>
        <v>הבנק הבינלאומי הראשון</v>
      </c>
      <c r="U1726" s="1786" t="str">
        <f t="shared" si="294"/>
        <v>ק.ל.ע - קרן השתלמות לעובדים סוציאלים מסלול כללי</v>
      </c>
      <c r="V1726" s="1786">
        <f t="shared" si="295"/>
        <v>0</v>
      </c>
      <c r="W1726" s="1789" t="str">
        <f t="shared" si="296"/>
        <v>ק.ל.ע. - חברה לניהול קרן השתלמות לעובדים סוציאליים בע"מ</v>
      </c>
      <c r="AC1726" s="1759" t="s">
        <v>346</v>
      </c>
      <c r="AD1726" s="1759"/>
      <c r="AE1726" s="1760">
        <v>23833</v>
      </c>
      <c r="AF1726" s="1759" t="s">
        <v>1653</v>
      </c>
      <c r="AG1726" s="1759" t="s">
        <v>1653</v>
      </c>
      <c r="AH1726" s="1759" t="s">
        <v>1594</v>
      </c>
      <c r="AI1726" s="1759" t="s">
        <v>4100</v>
      </c>
      <c r="AJ1726" s="1759" t="s">
        <v>4099</v>
      </c>
      <c r="AK1726" s="1759">
        <v>1433</v>
      </c>
      <c r="AL1726" s="1759" t="s">
        <v>509</v>
      </c>
      <c r="AM1726" s="1759">
        <v>378</v>
      </c>
      <c r="AN1726" s="1759" t="s">
        <v>5384</v>
      </c>
      <c r="AO1726" s="1764"/>
      <c r="AP1726" s="1759" t="s">
        <v>5670</v>
      </c>
      <c r="AQ1726" s="1759"/>
      <c r="AR1726" s="1759" t="s">
        <v>507</v>
      </c>
      <c r="AS1726" s="1759" t="s">
        <v>508</v>
      </c>
      <c r="AT1726" s="1759" t="s">
        <v>327</v>
      </c>
      <c r="AU1726" s="1763"/>
      <c r="AV1726" s="1763"/>
    </row>
    <row r="1727" spans="1:48" ht="25" hidden="1">
      <c r="A1727" s="1785" t="str">
        <f t="shared" si="286"/>
        <v>גמל</v>
      </c>
      <c r="B1727" s="1786">
        <f t="shared" si="287"/>
        <v>377</v>
      </c>
      <c r="C1727" s="1787">
        <v>28946</v>
      </c>
      <c r="D1727" s="1786" t="str">
        <f t="shared" si="288"/>
        <v>ענבר - קופת תגמולים ליד כלל (ישראל)</v>
      </c>
      <c r="E1727" s="1786" t="s">
        <v>3929</v>
      </c>
      <c r="F1727" s="1786" t="s">
        <v>2958</v>
      </c>
      <c r="G1727" s="1786" t="s">
        <v>2959</v>
      </c>
      <c r="H1727" s="1786" t="str">
        <f t="shared" si="289"/>
        <v>לא פעיל</v>
      </c>
      <c r="I1727" s="1788">
        <f t="shared" si="290"/>
        <v>23102</v>
      </c>
      <c r="J1727" s="1788">
        <f t="shared" si="291"/>
        <v>40917.815532407403</v>
      </c>
      <c r="K1727" s="1786">
        <v>0</v>
      </c>
      <c r="L1727" s="1786" t="s">
        <v>1594</v>
      </c>
      <c r="M1727" s="1786" t="s">
        <v>1653</v>
      </c>
      <c r="N1727" s="1786" t="s">
        <v>1653</v>
      </c>
      <c r="O1727" s="1786">
        <v>0</v>
      </c>
      <c r="P1727" s="1786"/>
      <c r="Q1727" s="1786">
        <v>0</v>
      </c>
      <c r="R1727" s="1788"/>
      <c r="S1727" s="1786">
        <f t="shared" si="292"/>
        <v>377</v>
      </c>
      <c r="T1727" s="1786" t="str">
        <f t="shared" si="293"/>
        <v>ד.ס.ש ייעוץ ושירותים בע"מ</v>
      </c>
      <c r="U1727" s="1786" t="str">
        <f t="shared" si="294"/>
        <v>ענבר - קופת תגמולים ליד כלל (ישראל)</v>
      </c>
      <c r="V1727" s="1786">
        <f t="shared" si="295"/>
        <v>0</v>
      </c>
      <c r="W1727" s="1789" t="str">
        <f t="shared" si="296"/>
        <v>כלל פנסיה וגמל בע"מ</v>
      </c>
      <c r="AC1727" s="1761" t="s">
        <v>1586</v>
      </c>
      <c r="AD1727" s="1762">
        <v>40917.815532407403</v>
      </c>
      <c r="AE1727" s="1762">
        <v>23102</v>
      </c>
      <c r="AF1727" s="1761" t="s">
        <v>1583</v>
      </c>
      <c r="AG1727" s="1761" t="s">
        <v>1583</v>
      </c>
      <c r="AH1727" s="1761" t="s">
        <v>1583</v>
      </c>
      <c r="AI1727" s="1761" t="s">
        <v>3087</v>
      </c>
      <c r="AJ1727" s="1761" t="s">
        <v>1778</v>
      </c>
      <c r="AK1727" s="1761">
        <v>377</v>
      </c>
      <c r="AL1727" s="1761" t="s">
        <v>1778</v>
      </c>
      <c r="AM1727" s="1761">
        <v>377</v>
      </c>
      <c r="AN1727" s="1761" t="s">
        <v>5393</v>
      </c>
      <c r="AO1727" s="1764"/>
      <c r="AP1727" s="1761"/>
      <c r="AQ1727" s="1761"/>
      <c r="AR1727" s="1761" t="s">
        <v>378</v>
      </c>
      <c r="AS1727" s="1761" t="s">
        <v>379</v>
      </c>
      <c r="AT1727" s="1761" t="s">
        <v>327</v>
      </c>
      <c r="AU1727" s="1763"/>
      <c r="AV1727" s="1763"/>
    </row>
    <row r="1728" spans="1:48" ht="50" hidden="1">
      <c r="A1728" s="1785" t="str">
        <f t="shared" si="286"/>
        <v>גמל</v>
      </c>
      <c r="B1728" s="1786">
        <f t="shared" si="287"/>
        <v>1439</v>
      </c>
      <c r="C1728" s="1787">
        <v>28946</v>
      </c>
      <c r="D1728" s="1786" t="str">
        <f t="shared" si="288"/>
        <v>תעשיה אוירית מסלול אג"ח ממשלות</v>
      </c>
      <c r="E1728" s="1786" t="s">
        <v>3929</v>
      </c>
      <c r="F1728" s="1786" t="s">
        <v>2958</v>
      </c>
      <c r="G1728" s="1786" t="s">
        <v>2959</v>
      </c>
      <c r="H1728" s="1786" t="str">
        <f t="shared" si="289"/>
        <v>לא פעיל</v>
      </c>
      <c r="I1728" s="1788">
        <f t="shared" si="290"/>
        <v>21374</v>
      </c>
      <c r="J1728" s="1788">
        <f t="shared" si="291"/>
        <v>42578.604918981502</v>
      </c>
      <c r="K1728" s="1786">
        <v>0</v>
      </c>
      <c r="L1728" s="1786" t="s">
        <v>1594</v>
      </c>
      <c r="M1728" s="1786" t="s">
        <v>1653</v>
      </c>
      <c r="N1728" s="1786" t="s">
        <v>1653</v>
      </c>
      <c r="O1728" s="1786">
        <v>0</v>
      </c>
      <c r="P1728" s="1786"/>
      <c r="Q1728" s="1786">
        <v>0</v>
      </c>
      <c r="R1728" s="1788"/>
      <c r="S1728" s="1786">
        <f t="shared" si="292"/>
        <v>376</v>
      </c>
      <c r="T1728" s="1786" t="str">
        <f t="shared" si="293"/>
        <v>ניהול  עצמי</v>
      </c>
      <c r="U1728" s="1786" t="str">
        <f t="shared" si="294"/>
        <v>אגודה שיתופית של עובדי התעשיה האוירית לניהול קופות גמל בע"מ מסלול כללי</v>
      </c>
      <c r="V1728" s="1786">
        <f t="shared" si="295"/>
        <v>0</v>
      </c>
      <c r="W1728" s="1789" t="str">
        <f t="shared" si="296"/>
        <v>קופת תגמולים של עובדי התעשיה האוירית לישראל בע"מ</v>
      </c>
      <c r="AC1728" s="1759" t="s">
        <v>1586</v>
      </c>
      <c r="AD1728" s="1760">
        <v>42578.604918981502</v>
      </c>
      <c r="AE1728" s="1760">
        <v>21374</v>
      </c>
      <c r="AF1728" s="1759" t="s">
        <v>2009</v>
      </c>
      <c r="AG1728" s="1759" t="s">
        <v>1653</v>
      </c>
      <c r="AH1728" s="1759" t="s">
        <v>1594</v>
      </c>
      <c r="AI1728" s="1759" t="s">
        <v>4104</v>
      </c>
      <c r="AJ1728" s="1759" t="s">
        <v>4104</v>
      </c>
      <c r="AK1728" s="1759">
        <v>1439</v>
      </c>
      <c r="AL1728" s="1759" t="s">
        <v>506</v>
      </c>
      <c r="AM1728" s="1759">
        <v>376</v>
      </c>
      <c r="AN1728" s="1759" t="s">
        <v>5524</v>
      </c>
      <c r="AO1728" s="1764"/>
      <c r="AP1728" s="1759"/>
      <c r="AQ1728" s="1759"/>
      <c r="AR1728" s="1759" t="s">
        <v>504</v>
      </c>
      <c r="AS1728" s="1759" t="s">
        <v>505</v>
      </c>
      <c r="AT1728" s="1759" t="s">
        <v>327</v>
      </c>
      <c r="AU1728" s="1763"/>
      <c r="AV1728" s="1763"/>
    </row>
    <row r="1729" spans="1:48" ht="50" hidden="1">
      <c r="A1729" s="1785" t="str">
        <f t="shared" si="286"/>
        <v>גמל</v>
      </c>
      <c r="B1729" s="1786">
        <f t="shared" si="287"/>
        <v>1525</v>
      </c>
      <c r="C1729" s="1787">
        <v>28946</v>
      </c>
      <c r="D1729" s="1786" t="str">
        <f t="shared" si="288"/>
        <v>תעשיה אוירית מסלול מניות</v>
      </c>
      <c r="E1729" s="1786" t="s">
        <v>3929</v>
      </c>
      <c r="F1729" s="1786" t="s">
        <v>2958</v>
      </c>
      <c r="G1729" s="1786" t="s">
        <v>2959</v>
      </c>
      <c r="H1729" s="1786" t="str">
        <f t="shared" si="289"/>
        <v>לא פעיל</v>
      </c>
      <c r="I1729" s="1788">
        <f t="shared" si="290"/>
        <v>21374</v>
      </c>
      <c r="J1729" s="1788">
        <f t="shared" si="291"/>
        <v>42578.602314814802</v>
      </c>
      <c r="K1729" s="1786">
        <v>0</v>
      </c>
      <c r="L1729" s="1786" t="s">
        <v>1594</v>
      </c>
      <c r="M1729" s="1786" t="s">
        <v>1653</v>
      </c>
      <c r="N1729" s="1786" t="s">
        <v>1653</v>
      </c>
      <c r="O1729" s="1786">
        <v>0</v>
      </c>
      <c r="P1729" s="1786"/>
      <c r="Q1729" s="1786">
        <v>0</v>
      </c>
      <c r="R1729" s="1788"/>
      <c r="S1729" s="1786">
        <f t="shared" si="292"/>
        <v>376</v>
      </c>
      <c r="T1729" s="1786" t="str">
        <f t="shared" si="293"/>
        <v>ניהול  עצמי</v>
      </c>
      <c r="U1729" s="1786" t="str">
        <f t="shared" si="294"/>
        <v>אגודה שיתופית של עובדי התעשיה האוירית לניהול קופות גמל בע"מ מסלול כללי</v>
      </c>
      <c r="V1729" s="1786">
        <f t="shared" si="295"/>
        <v>0</v>
      </c>
      <c r="W1729" s="1789" t="str">
        <f t="shared" si="296"/>
        <v>קופת תגמולים של עובדי התעשיה האוירית לישראל בע"מ</v>
      </c>
      <c r="AC1729" s="1761" t="s">
        <v>1586</v>
      </c>
      <c r="AD1729" s="1762">
        <v>42578.602314814802</v>
      </c>
      <c r="AE1729" s="1762">
        <v>21374</v>
      </c>
      <c r="AF1729" s="1761" t="s">
        <v>1595</v>
      </c>
      <c r="AG1729" s="1761" t="s">
        <v>75</v>
      </c>
      <c r="AH1729" s="1761" t="s">
        <v>1594</v>
      </c>
      <c r="AI1729" s="1761" t="s">
        <v>2497</v>
      </c>
      <c r="AJ1729" s="1761" t="s">
        <v>2497</v>
      </c>
      <c r="AK1729" s="1761">
        <v>1525</v>
      </c>
      <c r="AL1729" s="1761" t="s">
        <v>506</v>
      </c>
      <c r="AM1729" s="1761">
        <v>376</v>
      </c>
      <c r="AN1729" s="1761" t="s">
        <v>5524</v>
      </c>
      <c r="AO1729" s="1764"/>
      <c r="AP1729" s="1761"/>
      <c r="AQ1729" s="1761"/>
      <c r="AR1729" s="1761" t="s">
        <v>504</v>
      </c>
      <c r="AS1729" s="1761" t="s">
        <v>505</v>
      </c>
      <c r="AT1729" s="1761" t="s">
        <v>327</v>
      </c>
      <c r="AU1729" s="1763"/>
      <c r="AV1729" s="1763"/>
    </row>
    <row r="1730" spans="1:48" ht="50" hidden="1">
      <c r="A1730" s="1785" t="str">
        <f t="shared" si="286"/>
        <v>גמל</v>
      </c>
      <c r="B1730" s="1786">
        <f t="shared" si="287"/>
        <v>376</v>
      </c>
      <c r="C1730" s="1787">
        <v>28946</v>
      </c>
      <c r="D1730" s="1786" t="str">
        <f t="shared" si="288"/>
        <v>אגודה שיתופית של עובדי התעשיה האוירית לניהול קופות גמל בע"מ מסלול כללי</v>
      </c>
      <c r="E1730" s="1786" t="s">
        <v>3929</v>
      </c>
      <c r="F1730" s="1786" t="s">
        <v>2958</v>
      </c>
      <c r="G1730" s="1786" t="s">
        <v>2959</v>
      </c>
      <c r="H1730" s="1786" t="str">
        <f t="shared" si="289"/>
        <v>לא פעיל</v>
      </c>
      <c r="I1730" s="1788">
        <f t="shared" si="290"/>
        <v>21374</v>
      </c>
      <c r="J1730" s="1788">
        <f t="shared" si="291"/>
        <v>42370.490439814799</v>
      </c>
      <c r="K1730" s="1786">
        <v>0</v>
      </c>
      <c r="L1730" s="1786" t="s">
        <v>1594</v>
      </c>
      <c r="M1730" s="1786" t="s">
        <v>1653</v>
      </c>
      <c r="N1730" s="1786" t="s">
        <v>1653</v>
      </c>
      <c r="O1730" s="1786">
        <v>0</v>
      </c>
      <c r="P1730" s="1786"/>
      <c r="Q1730" s="1786">
        <v>0</v>
      </c>
      <c r="R1730" s="1788"/>
      <c r="S1730" s="1786">
        <f t="shared" si="292"/>
        <v>376</v>
      </c>
      <c r="T1730" s="1786" t="str">
        <f t="shared" si="293"/>
        <v>ניהול  עצמי</v>
      </c>
      <c r="U1730" s="1786" t="str">
        <f t="shared" si="294"/>
        <v>אגודה שיתופית של עובדי התעשיה האוירית לניהול קופות גמל בע"מ מסלול כללי</v>
      </c>
      <c r="V1730" s="1786">
        <f t="shared" si="295"/>
        <v>0</v>
      </c>
      <c r="W1730" s="1789" t="str">
        <f t="shared" si="296"/>
        <v>קופת תגמולים של עובדי התעשיה האוירית לישראל בע"מ</v>
      </c>
      <c r="AC1730" s="1759" t="s">
        <v>1586</v>
      </c>
      <c r="AD1730" s="1760">
        <v>42370.490439814799</v>
      </c>
      <c r="AE1730" s="1760">
        <v>21374</v>
      </c>
      <c r="AF1730" s="1759" t="s">
        <v>1583</v>
      </c>
      <c r="AG1730" s="1759" t="s">
        <v>1583</v>
      </c>
      <c r="AH1730" s="1759" t="s">
        <v>1583</v>
      </c>
      <c r="AI1730" s="1759" t="s">
        <v>4520</v>
      </c>
      <c r="AJ1730" s="1759" t="s">
        <v>506</v>
      </c>
      <c r="AK1730" s="1759">
        <v>376</v>
      </c>
      <c r="AL1730" s="1759" t="s">
        <v>506</v>
      </c>
      <c r="AM1730" s="1759">
        <v>376</v>
      </c>
      <c r="AN1730" s="1759" t="s">
        <v>5524</v>
      </c>
      <c r="AO1730" s="1764"/>
      <c r="AP1730" s="1759"/>
      <c r="AQ1730" s="1759"/>
      <c r="AR1730" s="1759" t="s">
        <v>504</v>
      </c>
      <c r="AS1730" s="1759" t="s">
        <v>505</v>
      </c>
      <c r="AT1730" s="1759" t="s">
        <v>327</v>
      </c>
      <c r="AU1730" s="1763"/>
      <c r="AV1730" s="1763"/>
    </row>
    <row r="1731" spans="1:48" ht="50" hidden="1">
      <c r="A1731" s="1785" t="str">
        <f t="shared" si="286"/>
        <v>גמל</v>
      </c>
      <c r="B1731" s="1786">
        <f t="shared" si="287"/>
        <v>9892</v>
      </c>
      <c r="C1731" s="1787">
        <v>28946</v>
      </c>
      <c r="D1731" s="1786" t="str">
        <f t="shared" si="288"/>
        <v>אגודה שיתופית של עובדי התעשיה האוירית לניהול קופות גמל בע"מ מסלול לבני 50 עד 60</v>
      </c>
      <c r="E1731" s="1786" t="s">
        <v>3929</v>
      </c>
      <c r="F1731" s="1786" t="s">
        <v>2958</v>
      </c>
      <c r="G1731" s="1786" t="s">
        <v>2959</v>
      </c>
      <c r="H1731" s="1786" t="str">
        <f t="shared" si="289"/>
        <v>פעיל</v>
      </c>
      <c r="I1731" s="1788">
        <f t="shared" si="290"/>
        <v>21374</v>
      </c>
      <c r="J1731" s="1788" t="str">
        <f t="shared" si="291"/>
        <v/>
      </c>
      <c r="K1731" s="1786">
        <v>0</v>
      </c>
      <c r="L1731" s="1786" t="s">
        <v>1594</v>
      </c>
      <c r="M1731" s="1786" t="s">
        <v>1653</v>
      </c>
      <c r="N1731" s="1786" t="s">
        <v>1653</v>
      </c>
      <c r="O1731" s="1786">
        <v>0</v>
      </c>
      <c r="P1731" s="1786"/>
      <c r="Q1731" s="1786">
        <v>0</v>
      </c>
      <c r="R1731" s="1788"/>
      <c r="S1731" s="1786">
        <f t="shared" si="292"/>
        <v>376</v>
      </c>
      <c r="T1731" s="1786" t="str">
        <f t="shared" si="293"/>
        <v>ניהול  עצמי</v>
      </c>
      <c r="U1731" s="1786" t="str">
        <f t="shared" si="294"/>
        <v>אגודה שיתופית של עובדי התעשיה האוירית לניהול קופות גמל בע"מ מסלול כללי</v>
      </c>
      <c r="V1731" s="1786">
        <f t="shared" si="295"/>
        <v>0</v>
      </c>
      <c r="W1731" s="1789" t="str">
        <f t="shared" si="296"/>
        <v>קופת תגמולים של עובדי התעשיה האוירית לישראל בע"מ</v>
      </c>
      <c r="AC1731" s="1761" t="s">
        <v>346</v>
      </c>
      <c r="AD1731" s="1761"/>
      <c r="AE1731" s="1762">
        <v>21374</v>
      </c>
      <c r="AF1731" s="1761" t="s">
        <v>3932</v>
      </c>
      <c r="AG1731" s="1761" t="s">
        <v>3931</v>
      </c>
      <c r="AH1731" s="1761" t="s">
        <v>3658</v>
      </c>
      <c r="AI1731" s="1761" t="s">
        <v>4431</v>
      </c>
      <c r="AJ1731" s="1761" t="s">
        <v>4430</v>
      </c>
      <c r="AK1731" s="1761">
        <v>9892</v>
      </c>
      <c r="AL1731" s="1761" t="s">
        <v>506</v>
      </c>
      <c r="AM1731" s="1761">
        <v>376</v>
      </c>
      <c r="AN1731" s="1761" t="s">
        <v>5524</v>
      </c>
      <c r="AO1731" s="1764"/>
      <c r="AP1731" s="1761"/>
      <c r="AQ1731" s="1761"/>
      <c r="AR1731" s="1761" t="s">
        <v>504</v>
      </c>
      <c r="AS1731" s="1761" t="s">
        <v>505</v>
      </c>
      <c r="AT1731" s="1761" t="s">
        <v>327</v>
      </c>
      <c r="AU1731" s="1763"/>
      <c r="AV1731" s="1763"/>
    </row>
    <row r="1732" spans="1:48" ht="50" hidden="1">
      <c r="A1732" s="1785" t="str">
        <f t="shared" si="286"/>
        <v>גמל</v>
      </c>
      <c r="B1732" s="1786">
        <f t="shared" si="287"/>
        <v>9893</v>
      </c>
      <c r="C1732" s="1787">
        <v>28946</v>
      </c>
      <c r="D1732" s="1786" t="str">
        <f t="shared" si="288"/>
        <v>אגודה שיתופית של עובדי התעשיה האוירית לניהול קופות גמל בע"מ מסלול לבני 50 ומטה</v>
      </c>
      <c r="E1732" s="1786" t="s">
        <v>3929</v>
      </c>
      <c r="F1732" s="1786" t="s">
        <v>2958</v>
      </c>
      <c r="G1732" s="1786" t="s">
        <v>2959</v>
      </c>
      <c r="H1732" s="1786" t="str">
        <f t="shared" si="289"/>
        <v>פעיל</v>
      </c>
      <c r="I1732" s="1788">
        <f t="shared" si="290"/>
        <v>21374</v>
      </c>
      <c r="J1732" s="1788" t="str">
        <f t="shared" si="291"/>
        <v/>
      </c>
      <c r="K1732" s="1786">
        <v>0</v>
      </c>
      <c r="L1732" s="1786" t="s">
        <v>1594</v>
      </c>
      <c r="M1732" s="1786" t="s">
        <v>1653</v>
      </c>
      <c r="N1732" s="1786" t="s">
        <v>1653</v>
      </c>
      <c r="O1732" s="1786">
        <v>0</v>
      </c>
      <c r="P1732" s="1786"/>
      <c r="Q1732" s="1786">
        <v>0</v>
      </c>
      <c r="R1732" s="1788"/>
      <c r="S1732" s="1786">
        <f t="shared" si="292"/>
        <v>376</v>
      </c>
      <c r="T1732" s="1786" t="str">
        <f t="shared" si="293"/>
        <v>ניהול  עצמי</v>
      </c>
      <c r="U1732" s="1786" t="str">
        <f t="shared" si="294"/>
        <v>אגודה שיתופית של עובדי התעשיה האוירית לניהול קופות גמל בע"מ מסלול כללי</v>
      </c>
      <c r="V1732" s="1786">
        <f t="shared" si="295"/>
        <v>0</v>
      </c>
      <c r="W1732" s="1789" t="str">
        <f t="shared" si="296"/>
        <v>קופת תגמולים של עובדי התעשיה האוירית לישראל בע"מ</v>
      </c>
      <c r="AC1732" s="1759" t="s">
        <v>346</v>
      </c>
      <c r="AD1732" s="1759"/>
      <c r="AE1732" s="1760">
        <v>21374</v>
      </c>
      <c r="AF1732" s="1759" t="s">
        <v>4151</v>
      </c>
      <c r="AG1732" s="1759" t="s">
        <v>3931</v>
      </c>
      <c r="AH1732" s="1759" t="s">
        <v>3658</v>
      </c>
      <c r="AI1732" s="1759" t="s">
        <v>4433</v>
      </c>
      <c r="AJ1732" s="1759" t="s">
        <v>4432</v>
      </c>
      <c r="AK1732" s="1759">
        <v>9893</v>
      </c>
      <c r="AL1732" s="1759" t="s">
        <v>506</v>
      </c>
      <c r="AM1732" s="1759">
        <v>376</v>
      </c>
      <c r="AN1732" s="1759" t="s">
        <v>5524</v>
      </c>
      <c r="AO1732" s="1764"/>
      <c r="AP1732" s="1759"/>
      <c r="AQ1732" s="1759"/>
      <c r="AR1732" s="1759" t="s">
        <v>504</v>
      </c>
      <c r="AS1732" s="1759" t="s">
        <v>505</v>
      </c>
      <c r="AT1732" s="1759" t="s">
        <v>327</v>
      </c>
      <c r="AU1732" s="1763"/>
      <c r="AV1732" s="1763"/>
    </row>
    <row r="1733" spans="1:48" ht="50" hidden="1">
      <c r="A1733" s="1785" t="str">
        <f t="shared" si="286"/>
        <v>גמל</v>
      </c>
      <c r="B1733" s="1786">
        <f t="shared" si="287"/>
        <v>9625</v>
      </c>
      <c r="C1733" s="1787">
        <v>28946</v>
      </c>
      <c r="D1733" s="1786" t="str">
        <f t="shared" si="288"/>
        <v>אגודה שיתופית של עובדי התעשיה האוירית לניהול קופות גמל בע"מ ממסלול לבני 60 ומעלה</v>
      </c>
      <c r="E1733" s="1786" t="s">
        <v>3929</v>
      </c>
      <c r="F1733" s="1786" t="s">
        <v>2958</v>
      </c>
      <c r="G1733" s="1786" t="s">
        <v>2959</v>
      </c>
      <c r="H1733" s="1786" t="str">
        <f t="shared" si="289"/>
        <v>פעיל</v>
      </c>
      <c r="I1733" s="1788">
        <f t="shared" si="290"/>
        <v>21374</v>
      </c>
      <c r="J1733" s="1788" t="str">
        <f t="shared" si="291"/>
        <v/>
      </c>
      <c r="K1733" s="1786">
        <v>0</v>
      </c>
      <c r="L1733" s="1786" t="s">
        <v>1594</v>
      </c>
      <c r="M1733" s="1786" t="s">
        <v>1653</v>
      </c>
      <c r="N1733" s="1786" t="s">
        <v>1653</v>
      </c>
      <c r="O1733" s="1786">
        <v>0</v>
      </c>
      <c r="P1733" s="1786"/>
      <c r="Q1733" s="1786">
        <v>0</v>
      </c>
      <c r="R1733" s="1788"/>
      <c r="S1733" s="1786">
        <f t="shared" si="292"/>
        <v>376</v>
      </c>
      <c r="T1733" s="1786" t="str">
        <f t="shared" si="293"/>
        <v>ניהול  עצמי</v>
      </c>
      <c r="U1733" s="1786" t="str">
        <f t="shared" si="294"/>
        <v>אגודה שיתופית של עובדי התעשיה האוירית לניהול קופות גמל בע"מ מסלול כללי</v>
      </c>
      <c r="V1733" s="1786">
        <f t="shared" si="295"/>
        <v>0</v>
      </c>
      <c r="W1733" s="1789" t="str">
        <f t="shared" si="296"/>
        <v>קופת תגמולים של עובדי התעשיה האוירית לישראל בע"מ</v>
      </c>
      <c r="AC1733" s="1761" t="s">
        <v>346</v>
      </c>
      <c r="AD1733" s="1761"/>
      <c r="AE1733" s="1762">
        <v>21374</v>
      </c>
      <c r="AF1733" s="1761" t="s">
        <v>3963</v>
      </c>
      <c r="AG1733" s="1761" t="s">
        <v>3931</v>
      </c>
      <c r="AH1733" s="1761" t="s">
        <v>3658</v>
      </c>
      <c r="AI1733" s="1761" t="s">
        <v>4300</v>
      </c>
      <c r="AJ1733" s="1761" t="s">
        <v>4299</v>
      </c>
      <c r="AK1733" s="1761">
        <v>9625</v>
      </c>
      <c r="AL1733" s="1761" t="s">
        <v>506</v>
      </c>
      <c r="AM1733" s="1761">
        <v>376</v>
      </c>
      <c r="AN1733" s="1761" t="s">
        <v>5524</v>
      </c>
      <c r="AO1733" s="1764"/>
      <c r="AP1733" s="1761"/>
      <c r="AQ1733" s="1761"/>
      <c r="AR1733" s="1761" t="s">
        <v>504</v>
      </c>
      <c r="AS1733" s="1761" t="s">
        <v>505</v>
      </c>
      <c r="AT1733" s="1761" t="s">
        <v>327</v>
      </c>
      <c r="AU1733" s="1763"/>
      <c r="AV1733" s="1763"/>
    </row>
    <row r="1734" spans="1:48" ht="25" hidden="1">
      <c r="A1734" s="1785" t="str">
        <f t="shared" si="286"/>
        <v>גמל</v>
      </c>
      <c r="B1734" s="1786">
        <f t="shared" si="287"/>
        <v>374</v>
      </c>
      <c r="C1734" s="1787">
        <v>28946</v>
      </c>
      <c r="D1734" s="1786" t="str">
        <f t="shared" si="288"/>
        <v>אפסילון תגמולים מעיין (לשעבר קופת תה"ל)</v>
      </c>
      <c r="E1734" s="1786" t="s">
        <v>3929</v>
      </c>
      <c r="F1734" s="1786" t="s">
        <v>2958</v>
      </c>
      <c r="G1734" s="1786" t="s">
        <v>2959</v>
      </c>
      <c r="H1734" s="1786" t="str">
        <f t="shared" si="289"/>
        <v>לא פעיל</v>
      </c>
      <c r="I1734" s="1788">
        <f t="shared" si="290"/>
        <v>31778</v>
      </c>
      <c r="J1734" s="1788">
        <f t="shared" si="291"/>
        <v>40917.805104166699</v>
      </c>
      <c r="K1734" s="1786">
        <v>0</v>
      </c>
      <c r="L1734" s="1786" t="s">
        <v>1594</v>
      </c>
      <c r="M1734" s="1786" t="s">
        <v>1653</v>
      </c>
      <c r="N1734" s="1786" t="s">
        <v>1653</v>
      </c>
      <c r="O1734" s="1786">
        <v>0</v>
      </c>
      <c r="P1734" s="1786"/>
      <c r="Q1734" s="1786">
        <v>0</v>
      </c>
      <c r="R1734" s="1788"/>
      <c r="S1734" s="1786">
        <f t="shared" si="292"/>
        <v>374</v>
      </c>
      <c r="T1734" s="1786" t="str">
        <f t="shared" si="293"/>
        <v>בנק הפועלים בע"מ</v>
      </c>
      <c r="U1734" s="1786" t="str">
        <f t="shared" si="294"/>
        <v>אפסילון תגמולים מעיין (לשעבר קופת תה"ל)</v>
      </c>
      <c r="V1734" s="1786">
        <f t="shared" si="295"/>
        <v>0</v>
      </c>
      <c r="W1734" s="1789" t="str">
        <f t="shared" si="296"/>
        <v>אפסילון ניהול קופות גמל בע"מ</v>
      </c>
      <c r="AC1734" s="1759" t="s">
        <v>1586</v>
      </c>
      <c r="AD1734" s="1760">
        <v>40917.805104166699</v>
      </c>
      <c r="AE1734" s="1760">
        <v>31778</v>
      </c>
      <c r="AF1734" s="1759" t="s">
        <v>1583</v>
      </c>
      <c r="AG1734" s="1759" t="s">
        <v>1583</v>
      </c>
      <c r="AH1734" s="1759" t="s">
        <v>1583</v>
      </c>
      <c r="AI1734" s="1759" t="s">
        <v>3086</v>
      </c>
      <c r="AJ1734" s="1759" t="s">
        <v>1777</v>
      </c>
      <c r="AK1734" s="1759">
        <v>374</v>
      </c>
      <c r="AL1734" s="1759" t="s">
        <v>1777</v>
      </c>
      <c r="AM1734" s="1759">
        <v>374</v>
      </c>
      <c r="AN1734" s="1759" t="s">
        <v>1695</v>
      </c>
      <c r="AO1734" s="1764"/>
      <c r="AP1734" s="1759"/>
      <c r="AQ1734" s="1759"/>
      <c r="AR1734" s="1759" t="s">
        <v>632</v>
      </c>
      <c r="AS1734" s="1759" t="s">
        <v>633</v>
      </c>
      <c r="AT1734" s="1759" t="s">
        <v>327</v>
      </c>
      <c r="AU1734" s="1763"/>
      <c r="AV1734" s="1763"/>
    </row>
    <row r="1735" spans="1:48" ht="37.5" hidden="1">
      <c r="A1735" s="1785" t="str">
        <f t="shared" si="286"/>
        <v>גמל</v>
      </c>
      <c r="B1735" s="1786">
        <f t="shared" si="287"/>
        <v>372</v>
      </c>
      <c r="C1735" s="1787">
        <v>28946</v>
      </c>
      <c r="D1735" s="1786" t="str">
        <f t="shared" si="288"/>
        <v>שיבולת קופת תגמולים</v>
      </c>
      <c r="E1735" s="1786" t="s">
        <v>3929</v>
      </c>
      <c r="F1735" s="1786" t="s">
        <v>2958</v>
      </c>
      <c r="G1735" s="1786" t="s">
        <v>2959</v>
      </c>
      <c r="H1735" s="1786" t="str">
        <f t="shared" si="289"/>
        <v>פעיל</v>
      </c>
      <c r="I1735" s="1788">
        <f t="shared" si="290"/>
        <v>28034</v>
      </c>
      <c r="J1735" s="1788" t="str">
        <f t="shared" si="291"/>
        <v/>
      </c>
      <c r="K1735" s="1786">
        <v>0</v>
      </c>
      <c r="L1735" s="1786" t="s">
        <v>1594</v>
      </c>
      <c r="M1735" s="1786" t="s">
        <v>1653</v>
      </c>
      <c r="N1735" s="1786" t="s">
        <v>1653</v>
      </c>
      <c r="O1735" s="1786">
        <v>0</v>
      </c>
      <c r="P1735" s="1786"/>
      <c r="Q1735" s="1786">
        <v>0</v>
      </c>
      <c r="R1735" s="1788"/>
      <c r="S1735" s="1786">
        <f t="shared" si="292"/>
        <v>372</v>
      </c>
      <c r="T1735" s="1786" t="str">
        <f t="shared" si="293"/>
        <v>בנק מזרחי טפחות בע"מ</v>
      </c>
      <c r="U1735" s="1786" t="str">
        <f t="shared" si="294"/>
        <v>שיבולת קופת תגמולים</v>
      </c>
      <c r="V1735" s="1786" t="str">
        <f t="shared" si="295"/>
        <v>570018044</v>
      </c>
      <c r="W1735" s="1789" t="str">
        <f t="shared" si="296"/>
        <v>שיבולת - חברה לניהול קופות גמל בע"מ</v>
      </c>
      <c r="AC1735" s="1761" t="s">
        <v>346</v>
      </c>
      <c r="AD1735" s="1761"/>
      <c r="AE1735" s="1762">
        <v>28034</v>
      </c>
      <c r="AF1735" s="1761" t="s">
        <v>1583</v>
      </c>
      <c r="AG1735" s="1761" t="s">
        <v>1583</v>
      </c>
      <c r="AH1735" s="1761" t="s">
        <v>1583</v>
      </c>
      <c r="AI1735" s="1761" t="s">
        <v>3085</v>
      </c>
      <c r="AJ1735" s="1761" t="s">
        <v>503</v>
      </c>
      <c r="AK1735" s="1761">
        <v>372</v>
      </c>
      <c r="AL1735" s="1761" t="s">
        <v>503</v>
      </c>
      <c r="AM1735" s="1761">
        <v>372</v>
      </c>
      <c r="AN1735" s="1761" t="s">
        <v>5370</v>
      </c>
      <c r="AO1735" s="1764"/>
      <c r="AP1735" s="1761" t="s">
        <v>5621</v>
      </c>
      <c r="AQ1735" s="1761" t="s">
        <v>5622</v>
      </c>
      <c r="AR1735" s="1761" t="s">
        <v>501</v>
      </c>
      <c r="AS1735" s="1761" t="s">
        <v>502</v>
      </c>
      <c r="AT1735" s="1761" t="s">
        <v>327</v>
      </c>
      <c r="AU1735" s="1763"/>
      <c r="AV1735" s="1763"/>
    </row>
    <row r="1736" spans="1:48" ht="37.5" hidden="1">
      <c r="A1736" s="1785" t="str">
        <f t="shared" si="286"/>
        <v>גמל</v>
      </c>
      <c r="B1736" s="1786">
        <f t="shared" si="287"/>
        <v>13188</v>
      </c>
      <c r="C1736" s="1787">
        <v>28946</v>
      </c>
      <c r="D1736" s="1786" t="str">
        <f t="shared" si="288"/>
        <v xml:space="preserve">שיבולת קופת תגמולים מניות מניות </v>
      </c>
      <c r="E1736" s="1786" t="s">
        <v>3929</v>
      </c>
      <c r="F1736" s="1786" t="s">
        <v>2958</v>
      </c>
      <c r="G1736" s="1786" t="s">
        <v>2959</v>
      </c>
      <c r="H1736" s="1786" t="str">
        <f t="shared" si="289"/>
        <v>פעיל</v>
      </c>
      <c r="I1736" s="1788">
        <f t="shared" si="290"/>
        <v>28034</v>
      </c>
      <c r="J1736" s="1788" t="str">
        <f t="shared" si="291"/>
        <v/>
      </c>
      <c r="K1736" s="1786">
        <v>0</v>
      </c>
      <c r="L1736" s="1786" t="s">
        <v>1594</v>
      </c>
      <c r="M1736" s="1786" t="s">
        <v>1653</v>
      </c>
      <c r="N1736" s="1786" t="s">
        <v>1653</v>
      </c>
      <c r="O1736" s="1786">
        <v>0</v>
      </c>
      <c r="P1736" s="1786"/>
      <c r="Q1736" s="1786">
        <v>0</v>
      </c>
      <c r="R1736" s="1788"/>
      <c r="S1736" s="1786">
        <f t="shared" si="292"/>
        <v>372</v>
      </c>
      <c r="T1736" s="1786" t="str">
        <f t="shared" si="293"/>
        <v>בנק מזרחי טפחות בע"מ</v>
      </c>
      <c r="U1736" s="1786" t="str">
        <f t="shared" si="294"/>
        <v>שיבולת קופת תגמולים</v>
      </c>
      <c r="V1736" s="1786" t="str">
        <f t="shared" si="295"/>
        <v>570018044</v>
      </c>
      <c r="W1736" s="1789" t="str">
        <f t="shared" si="296"/>
        <v>שיבולת - חברה לניהול קופות גמל בע"מ</v>
      </c>
      <c r="AC1736" s="1759" t="s">
        <v>346</v>
      </c>
      <c r="AD1736" s="1759"/>
      <c r="AE1736" s="1760">
        <v>28034</v>
      </c>
      <c r="AF1736" s="1759" t="s">
        <v>1595</v>
      </c>
      <c r="AG1736" s="1759" t="s">
        <v>75</v>
      </c>
      <c r="AH1736" s="1759" t="s">
        <v>1594</v>
      </c>
      <c r="AI1736" s="1759" t="s">
        <v>5671</v>
      </c>
      <c r="AJ1736" s="1759" t="s">
        <v>5672</v>
      </c>
      <c r="AK1736" s="1759">
        <v>13188</v>
      </c>
      <c r="AL1736" s="1759" t="s">
        <v>503</v>
      </c>
      <c r="AM1736" s="1759">
        <v>372</v>
      </c>
      <c r="AN1736" s="1759" t="s">
        <v>5370</v>
      </c>
      <c r="AO1736" s="1764"/>
      <c r="AP1736" s="1759" t="s">
        <v>5621</v>
      </c>
      <c r="AQ1736" s="1759" t="s">
        <v>5622</v>
      </c>
      <c r="AR1736" s="1759" t="s">
        <v>501</v>
      </c>
      <c r="AS1736" s="1759" t="s">
        <v>502</v>
      </c>
      <c r="AT1736" s="1759" t="s">
        <v>327</v>
      </c>
      <c r="AU1736" s="1763"/>
      <c r="AV1736" s="1763"/>
    </row>
    <row r="1737" spans="1:48" ht="50" hidden="1">
      <c r="A1737" s="1785" t="str">
        <f t="shared" si="286"/>
        <v>גמל</v>
      </c>
      <c r="B1737" s="1786">
        <f t="shared" si="287"/>
        <v>367</v>
      </c>
      <c r="C1737" s="1787">
        <v>28946</v>
      </c>
      <c r="D1737" s="1786" t="str">
        <f t="shared" si="288"/>
        <v>קופת"ג  ופנסיה של רופאי החקלאית ועובדיה בחיפה אגודה שיתופית בע"מ</v>
      </c>
      <c r="E1737" s="1786" t="s">
        <v>3929</v>
      </c>
      <c r="F1737" s="1786" t="s">
        <v>2958</v>
      </c>
      <c r="G1737" s="1786" t="s">
        <v>2959</v>
      </c>
      <c r="H1737" s="1786" t="str">
        <f t="shared" si="289"/>
        <v>לא פעיל</v>
      </c>
      <c r="I1737" s="1788">
        <f t="shared" si="290"/>
        <v>31778</v>
      </c>
      <c r="J1737" s="1788">
        <f t="shared" si="291"/>
        <v>38717</v>
      </c>
      <c r="K1737" s="1786">
        <v>0</v>
      </c>
      <c r="L1737" s="1786" t="s">
        <v>1594</v>
      </c>
      <c r="M1737" s="1786" t="s">
        <v>1653</v>
      </c>
      <c r="N1737" s="1786" t="s">
        <v>1653</v>
      </c>
      <c r="O1737" s="1786">
        <v>0</v>
      </c>
      <c r="P1737" s="1786"/>
      <c r="Q1737" s="1786">
        <v>0</v>
      </c>
      <c r="R1737" s="1788"/>
      <c r="S1737" s="1786">
        <f t="shared" si="292"/>
        <v>367</v>
      </c>
      <c r="T1737" s="1786" t="str">
        <f t="shared" si="293"/>
        <v>בנק אוצר החייל בע"מ</v>
      </c>
      <c r="U1737" s="1786" t="str">
        <f t="shared" si="294"/>
        <v>קופת"ג  ופנסיה של רופאי החקלאית ועובדיה בחיפה אגודה שיתופית בע"מ</v>
      </c>
      <c r="V1737" s="1786">
        <f t="shared" si="295"/>
        <v>0</v>
      </c>
      <c r="W1737" s="1789" t="str">
        <f t="shared" si="296"/>
        <v>קופת"ג ופנסיה של  רופאי "החקלאית" ועובדיה בחיפה א.ש. בע"מ</v>
      </c>
      <c r="AC1737" s="1761" t="s">
        <v>1586</v>
      </c>
      <c r="AD1737" s="1762">
        <v>38717</v>
      </c>
      <c r="AE1737" s="1762">
        <v>31778</v>
      </c>
      <c r="AF1737" s="1761" t="s">
        <v>1583</v>
      </c>
      <c r="AG1737" s="1761" t="s">
        <v>1583</v>
      </c>
      <c r="AH1737" s="1761" t="s">
        <v>1583</v>
      </c>
      <c r="AI1737" s="1761" t="s">
        <v>3084</v>
      </c>
      <c r="AJ1737" s="1761" t="s">
        <v>1774</v>
      </c>
      <c r="AK1737" s="1761">
        <v>367</v>
      </c>
      <c r="AL1737" s="1761" t="s">
        <v>1774</v>
      </c>
      <c r="AM1737" s="1761">
        <v>367</v>
      </c>
      <c r="AN1737" s="1761" t="s">
        <v>5628</v>
      </c>
      <c r="AO1737" s="1764"/>
      <c r="AP1737" s="1761"/>
      <c r="AQ1737" s="1761"/>
      <c r="AR1737" s="1761" t="s">
        <v>1776</v>
      </c>
      <c r="AS1737" s="1761" t="s">
        <v>1775</v>
      </c>
      <c r="AT1737" s="1761" t="s">
        <v>327</v>
      </c>
      <c r="AU1737" s="1763"/>
      <c r="AV1737" s="1763"/>
    </row>
    <row r="1738" spans="1:48" ht="25" hidden="1">
      <c r="A1738" s="1785" t="str">
        <f t="shared" si="286"/>
        <v>גמל</v>
      </c>
      <c r="B1738" s="1786">
        <f t="shared" si="287"/>
        <v>366</v>
      </c>
      <c r="C1738" s="1787">
        <v>28946</v>
      </c>
      <c r="D1738" s="1786" t="str">
        <f t="shared" si="288"/>
        <v>קרן תגמולים לעובדי רסקו בע"מ</v>
      </c>
      <c r="E1738" s="1786" t="s">
        <v>3929</v>
      </c>
      <c r="F1738" s="1786" t="s">
        <v>2958</v>
      </c>
      <c r="G1738" s="1786" t="s">
        <v>2959</v>
      </c>
      <c r="H1738" s="1786" t="str">
        <f t="shared" si="289"/>
        <v>לא פעיל</v>
      </c>
      <c r="I1738" s="1788">
        <f t="shared" si="290"/>
        <v>35431</v>
      </c>
      <c r="J1738" s="1788">
        <f t="shared" si="291"/>
        <v>36811.428761574098</v>
      </c>
      <c r="K1738" s="1786">
        <v>0</v>
      </c>
      <c r="L1738" s="1786" t="s">
        <v>1594</v>
      </c>
      <c r="M1738" s="1786" t="s">
        <v>1653</v>
      </c>
      <c r="N1738" s="1786" t="s">
        <v>1653</v>
      </c>
      <c r="O1738" s="1786">
        <v>0</v>
      </c>
      <c r="P1738" s="1786"/>
      <c r="Q1738" s="1786">
        <v>0</v>
      </c>
      <c r="R1738" s="1788"/>
      <c r="S1738" s="1786">
        <f t="shared" si="292"/>
        <v>366</v>
      </c>
      <c r="T1738" s="1786">
        <f t="shared" si="293"/>
        <v>0</v>
      </c>
      <c r="U1738" s="1786" t="str">
        <f t="shared" si="294"/>
        <v>קרן תגמולים לעובדי רסקו בע"מ</v>
      </c>
      <c r="V1738" s="1786">
        <f t="shared" si="295"/>
        <v>0</v>
      </c>
      <c r="W1738" s="1789" t="str">
        <f t="shared" si="296"/>
        <v>קרן התגמולים לעובדי רסקו בע"מ</v>
      </c>
      <c r="AC1738" s="1759" t="s">
        <v>1586</v>
      </c>
      <c r="AD1738" s="1760">
        <v>36811.428761574098</v>
      </c>
      <c r="AE1738" s="1760">
        <v>35431</v>
      </c>
      <c r="AF1738" s="1759" t="s">
        <v>1583</v>
      </c>
      <c r="AG1738" s="1759" t="s">
        <v>1583</v>
      </c>
      <c r="AH1738" s="1759" t="s">
        <v>1583</v>
      </c>
      <c r="AI1738" s="1759" t="s">
        <v>1771</v>
      </c>
      <c r="AJ1738" s="1759" t="s">
        <v>1771</v>
      </c>
      <c r="AK1738" s="1759">
        <v>366</v>
      </c>
      <c r="AL1738" s="1759" t="s">
        <v>1771</v>
      </c>
      <c r="AM1738" s="1759">
        <v>366</v>
      </c>
      <c r="AN1738" s="1759"/>
      <c r="AO1738" s="1764"/>
      <c r="AP1738" s="1759"/>
      <c r="AQ1738" s="1759"/>
      <c r="AR1738" s="1759" t="s">
        <v>1773</v>
      </c>
      <c r="AS1738" s="1759" t="s">
        <v>1772</v>
      </c>
      <c r="AT1738" s="1759" t="s">
        <v>327</v>
      </c>
      <c r="AU1738" s="1763"/>
      <c r="AV1738" s="1763"/>
    </row>
    <row r="1739" spans="1:48" ht="37.5" hidden="1">
      <c r="A1739" s="1785" t="str">
        <f t="shared" si="286"/>
        <v>גמל</v>
      </c>
      <c r="B1739" s="1786">
        <f t="shared" si="287"/>
        <v>365</v>
      </c>
      <c r="C1739" s="1787">
        <v>28946</v>
      </c>
      <c r="D1739" s="1786" t="str">
        <f t="shared" si="288"/>
        <v>קופת תגמולים של עובדי הקואופרציה הצרכנית אגודה שיתופית בע"מ</v>
      </c>
      <c r="E1739" s="1786" t="s">
        <v>3929</v>
      </c>
      <c r="F1739" s="1786" t="s">
        <v>2958</v>
      </c>
      <c r="G1739" s="1786" t="s">
        <v>2959</v>
      </c>
      <c r="H1739" s="1786" t="str">
        <f t="shared" si="289"/>
        <v>לא פעיל</v>
      </c>
      <c r="I1739" s="1788">
        <f t="shared" si="290"/>
        <v>23833</v>
      </c>
      <c r="J1739" s="1788">
        <f t="shared" si="291"/>
        <v>41066.6109027778</v>
      </c>
      <c r="K1739" s="1786">
        <v>0</v>
      </c>
      <c r="L1739" s="1786" t="s">
        <v>1594</v>
      </c>
      <c r="M1739" s="1786" t="s">
        <v>1653</v>
      </c>
      <c r="N1739" s="1786" t="s">
        <v>1653</v>
      </c>
      <c r="O1739" s="1786">
        <v>0</v>
      </c>
      <c r="P1739" s="1786"/>
      <c r="Q1739" s="1786">
        <v>0</v>
      </c>
      <c r="R1739" s="1788"/>
      <c r="S1739" s="1786">
        <f t="shared" si="292"/>
        <v>365</v>
      </c>
      <c r="T1739" s="1786" t="str">
        <f t="shared" si="293"/>
        <v>ניהול  עצמי</v>
      </c>
      <c r="U1739" s="1786" t="str">
        <f t="shared" si="294"/>
        <v>קופת תגמולים של עובדי הקואופרציה הצרכנית אגודה שיתופית בע"מ</v>
      </c>
      <c r="V1739" s="1786" t="str">
        <f t="shared" si="295"/>
        <v>513163105</v>
      </c>
      <c r="W1739" s="1789" t="str">
        <f t="shared" si="296"/>
        <v>הלמן - אלדובי קופות גמל ופנסיה בע"מ</v>
      </c>
      <c r="AC1739" s="1761" t="s">
        <v>1586</v>
      </c>
      <c r="AD1739" s="1762">
        <v>41066.6109027778</v>
      </c>
      <c r="AE1739" s="1762">
        <v>23833</v>
      </c>
      <c r="AF1739" s="1761" t="s">
        <v>1583</v>
      </c>
      <c r="AG1739" s="1761" t="s">
        <v>1583</v>
      </c>
      <c r="AH1739" s="1761" t="s">
        <v>1583</v>
      </c>
      <c r="AI1739" s="1761" t="s">
        <v>3083</v>
      </c>
      <c r="AJ1739" s="1761" t="s">
        <v>500</v>
      </c>
      <c r="AK1739" s="1761">
        <v>365</v>
      </c>
      <c r="AL1739" s="1761" t="s">
        <v>500</v>
      </c>
      <c r="AM1739" s="1761">
        <v>365</v>
      </c>
      <c r="AN1739" s="1761" t="s">
        <v>5524</v>
      </c>
      <c r="AO1739" s="1764"/>
      <c r="AP1739" s="1761" t="s">
        <v>5371</v>
      </c>
      <c r="AQ1739" s="1761" t="s">
        <v>5372</v>
      </c>
      <c r="AR1739" s="1761" t="s">
        <v>354</v>
      </c>
      <c r="AS1739" s="1761" t="s">
        <v>355</v>
      </c>
      <c r="AT1739" s="1761" t="s">
        <v>327</v>
      </c>
      <c r="AU1739" s="1763"/>
      <c r="AV1739" s="1763"/>
    </row>
    <row r="1740" spans="1:48" ht="37.5" hidden="1">
      <c r="A1740" s="1785" t="str">
        <f t="shared" si="286"/>
        <v>גמל</v>
      </c>
      <c r="B1740" s="1786">
        <f t="shared" si="287"/>
        <v>364</v>
      </c>
      <c r="C1740" s="1787">
        <v>28946</v>
      </c>
      <c r="D1740" s="1786" t="str">
        <f t="shared" si="288"/>
        <v>קופת תגמולים של עובדי קסלמן וקסלמן אגודה שיתופית בע"מ</v>
      </c>
      <c r="E1740" s="1786" t="s">
        <v>3929</v>
      </c>
      <c r="F1740" s="1786" t="s">
        <v>2958</v>
      </c>
      <c r="G1740" s="1786" t="s">
        <v>2959</v>
      </c>
      <c r="H1740" s="1786" t="str">
        <f t="shared" si="289"/>
        <v>לא פעיל</v>
      </c>
      <c r="I1740" s="1788">
        <f t="shared" si="290"/>
        <v>23833</v>
      </c>
      <c r="J1740" s="1788">
        <f t="shared" si="291"/>
        <v>36892</v>
      </c>
      <c r="K1740" s="1786">
        <v>0</v>
      </c>
      <c r="L1740" s="1786" t="s">
        <v>1594</v>
      </c>
      <c r="M1740" s="1786" t="s">
        <v>1653</v>
      </c>
      <c r="N1740" s="1786" t="s">
        <v>1653</v>
      </c>
      <c r="O1740" s="1786">
        <v>0</v>
      </c>
      <c r="P1740" s="1786"/>
      <c r="Q1740" s="1786">
        <v>0</v>
      </c>
      <c r="R1740" s="1788"/>
      <c r="S1740" s="1786">
        <f t="shared" si="292"/>
        <v>364</v>
      </c>
      <c r="T1740" s="1786">
        <f t="shared" si="293"/>
        <v>0</v>
      </c>
      <c r="U1740" s="1786" t="str">
        <f t="shared" si="294"/>
        <v>קופת תגמולים של עובדי קסלמן וקסלמן אגודה שיתופית בע"מ</v>
      </c>
      <c r="V1740" s="1786">
        <f t="shared" si="295"/>
        <v>0</v>
      </c>
      <c r="W1740" s="1789" t="str">
        <f t="shared" si="296"/>
        <v>קופ"ג של עובדי קסלמן וקסלמן א"ש בע"מ</v>
      </c>
      <c r="AC1740" s="1759" t="s">
        <v>1586</v>
      </c>
      <c r="AD1740" s="1760">
        <v>36892</v>
      </c>
      <c r="AE1740" s="1760">
        <v>23833</v>
      </c>
      <c r="AF1740" s="1759" t="s">
        <v>1583</v>
      </c>
      <c r="AG1740" s="1759" t="s">
        <v>1583</v>
      </c>
      <c r="AH1740" s="1759" t="s">
        <v>1583</v>
      </c>
      <c r="AI1740" s="1759" t="s">
        <v>3082</v>
      </c>
      <c r="AJ1740" s="1759" t="s">
        <v>1768</v>
      </c>
      <c r="AK1740" s="1759">
        <v>364</v>
      </c>
      <c r="AL1740" s="1759" t="s">
        <v>1768</v>
      </c>
      <c r="AM1740" s="1759">
        <v>364</v>
      </c>
      <c r="AN1740" s="1759"/>
      <c r="AO1740" s="1764"/>
      <c r="AP1740" s="1759"/>
      <c r="AQ1740" s="1759"/>
      <c r="AR1740" s="1759" t="s">
        <v>1770</v>
      </c>
      <c r="AS1740" s="1759" t="s">
        <v>1769</v>
      </c>
      <c r="AT1740" s="1759" t="s">
        <v>327</v>
      </c>
      <c r="AU1740" s="1763"/>
      <c r="AV1740" s="1763"/>
    </row>
    <row r="1741" spans="1:48" ht="50" hidden="1">
      <c r="A1741" s="1785" t="str">
        <f t="shared" si="286"/>
        <v>גמל</v>
      </c>
      <c r="B1741" s="1786">
        <f t="shared" si="287"/>
        <v>361</v>
      </c>
      <c r="C1741" s="1787">
        <v>28946</v>
      </c>
      <c r="D1741" s="1786" t="str">
        <f t="shared" si="288"/>
        <v>קרן חופשה לפועלי בנין ועבודות ציבוריות בע"מ</v>
      </c>
      <c r="E1741" s="1786" t="s">
        <v>3929</v>
      </c>
      <c r="F1741" s="1786" t="s">
        <v>2958</v>
      </c>
      <c r="G1741" s="1786" t="s">
        <v>2959</v>
      </c>
      <c r="H1741" s="1786" t="str">
        <f t="shared" si="289"/>
        <v>לא פעיל</v>
      </c>
      <c r="I1741" s="1788">
        <f t="shared" si="290"/>
        <v>23833</v>
      </c>
      <c r="J1741" s="1788">
        <f t="shared" si="291"/>
        <v>39506</v>
      </c>
      <c r="K1741" s="1786">
        <v>0</v>
      </c>
      <c r="L1741" s="1786" t="s">
        <v>1594</v>
      </c>
      <c r="M1741" s="1786" t="s">
        <v>1653</v>
      </c>
      <c r="N1741" s="1786" t="s">
        <v>1653</v>
      </c>
      <c r="O1741" s="1786">
        <v>0</v>
      </c>
      <c r="P1741" s="1786"/>
      <c r="Q1741" s="1786">
        <v>0</v>
      </c>
      <c r="R1741" s="1788"/>
      <c r="S1741" s="1786">
        <f t="shared" si="292"/>
        <v>361</v>
      </c>
      <c r="T1741" s="1786" t="str">
        <f t="shared" si="293"/>
        <v>ניהול  עצמי</v>
      </c>
      <c r="U1741" s="1786" t="str">
        <f t="shared" si="294"/>
        <v>קרן חופשה לפועלי בנין ועבודות ציבוריות בע"מ</v>
      </c>
      <c r="V1741" s="1786">
        <f t="shared" si="295"/>
        <v>0</v>
      </c>
      <c r="W1741" s="1789" t="str">
        <f t="shared" si="296"/>
        <v>קרן הביטוח והפנסיה של פועלי בנין ועבודות ציבוריות אגודה שיתופית בע"מ</v>
      </c>
      <c r="AC1741" s="1761" t="s">
        <v>1586</v>
      </c>
      <c r="AD1741" s="1762">
        <v>39506</v>
      </c>
      <c r="AE1741" s="1762">
        <v>23833</v>
      </c>
      <c r="AF1741" s="1761" t="s">
        <v>1583</v>
      </c>
      <c r="AG1741" s="1761" t="s">
        <v>1583</v>
      </c>
      <c r="AH1741" s="1761" t="s">
        <v>1583</v>
      </c>
      <c r="AI1741" s="1761" t="s">
        <v>3081</v>
      </c>
      <c r="AJ1741" s="1761" t="s">
        <v>1767</v>
      </c>
      <c r="AK1741" s="1761">
        <v>361</v>
      </c>
      <c r="AL1741" s="1761" t="s">
        <v>1767</v>
      </c>
      <c r="AM1741" s="1761">
        <v>361</v>
      </c>
      <c r="AN1741" s="1761" t="s">
        <v>5524</v>
      </c>
      <c r="AO1741" s="1764"/>
      <c r="AP1741" s="1761"/>
      <c r="AQ1741" s="1761"/>
      <c r="AR1741" s="1761" t="s">
        <v>498</v>
      </c>
      <c r="AS1741" s="1761" t="s">
        <v>499</v>
      </c>
      <c r="AT1741" s="1761" t="s">
        <v>327</v>
      </c>
      <c r="AU1741" s="1763"/>
      <c r="AV1741" s="1763"/>
    </row>
    <row r="1742" spans="1:48" ht="25" hidden="1">
      <c r="A1742" s="1785" t="str">
        <f t="shared" si="286"/>
        <v>גמל</v>
      </c>
      <c r="B1742" s="1786">
        <f t="shared" si="287"/>
        <v>355</v>
      </c>
      <c r="C1742" s="1787">
        <v>28946</v>
      </c>
      <c r="D1742" s="1786" t="str">
        <f t="shared" si="288"/>
        <v>דש שבעת הכוכבים</v>
      </c>
      <c r="E1742" s="1786" t="s">
        <v>3929</v>
      </c>
      <c r="F1742" s="1786" t="s">
        <v>2958</v>
      </c>
      <c r="G1742" s="1786" t="s">
        <v>2959</v>
      </c>
      <c r="H1742" s="1786" t="str">
        <f t="shared" si="289"/>
        <v>לא פעיל</v>
      </c>
      <c r="I1742" s="1788">
        <f t="shared" si="290"/>
        <v>21641</v>
      </c>
      <c r="J1742" s="1788">
        <f t="shared" si="291"/>
        <v>41841.635706018496</v>
      </c>
      <c r="K1742" s="1786">
        <v>0</v>
      </c>
      <c r="L1742" s="1786" t="s">
        <v>1594</v>
      </c>
      <c r="M1742" s="1786" t="s">
        <v>1653</v>
      </c>
      <c r="N1742" s="1786" t="s">
        <v>1653</v>
      </c>
      <c r="O1742" s="1786">
        <v>0</v>
      </c>
      <c r="P1742" s="1786"/>
      <c r="Q1742" s="1786">
        <v>0</v>
      </c>
      <c r="R1742" s="1788"/>
      <c r="S1742" s="1786">
        <f t="shared" si="292"/>
        <v>355</v>
      </c>
      <c r="T1742" s="1786" t="str">
        <f t="shared" si="293"/>
        <v>בנק הפועלים בע"מ</v>
      </c>
      <c r="U1742" s="1786" t="str">
        <f t="shared" si="294"/>
        <v>דש שבעת הכוכבים</v>
      </c>
      <c r="V1742" s="1786" t="str">
        <f t="shared" si="295"/>
        <v>520043795</v>
      </c>
      <c r="W1742" s="1789" t="str">
        <f t="shared" si="296"/>
        <v>מיטב דש גמל ופנסיה בע"מ</v>
      </c>
      <c r="AC1742" s="1759" t="s">
        <v>1586</v>
      </c>
      <c r="AD1742" s="1760">
        <v>41841.635706018496</v>
      </c>
      <c r="AE1742" s="1760">
        <v>21641</v>
      </c>
      <c r="AF1742" s="1759" t="s">
        <v>1583</v>
      </c>
      <c r="AG1742" s="1759" t="s">
        <v>1583</v>
      </c>
      <c r="AH1742" s="1759" t="s">
        <v>1583</v>
      </c>
      <c r="AI1742" s="1759" t="s">
        <v>497</v>
      </c>
      <c r="AJ1742" s="1759" t="s">
        <v>497</v>
      </c>
      <c r="AK1742" s="1759">
        <v>355</v>
      </c>
      <c r="AL1742" s="1759" t="s">
        <v>497</v>
      </c>
      <c r="AM1742" s="1759">
        <v>355</v>
      </c>
      <c r="AN1742" s="1759" t="s">
        <v>1695</v>
      </c>
      <c r="AO1742" s="1764"/>
      <c r="AP1742" s="1759" t="s">
        <v>5373</v>
      </c>
      <c r="AQ1742" s="1759" t="s">
        <v>5374</v>
      </c>
      <c r="AR1742" s="1759" t="s">
        <v>2899</v>
      </c>
      <c r="AS1742" s="1759" t="s">
        <v>349</v>
      </c>
      <c r="AT1742" s="1759" t="s">
        <v>327</v>
      </c>
      <c r="AU1742" s="1763"/>
      <c r="AV1742" s="1763"/>
    </row>
    <row r="1743" spans="1:48" ht="25" hidden="1">
      <c r="A1743" s="1785" t="str">
        <f t="shared" si="286"/>
        <v>גמל</v>
      </c>
      <c r="B1743" s="1786">
        <f t="shared" si="287"/>
        <v>355</v>
      </c>
      <c r="C1743" s="1787">
        <v>28946</v>
      </c>
      <c r="D1743" s="1786" t="str">
        <f t="shared" si="288"/>
        <v>דש שבעת הכוכבים</v>
      </c>
      <c r="E1743" s="1786" t="s">
        <v>3929</v>
      </c>
      <c r="F1743" s="1786" t="s">
        <v>2958</v>
      </c>
      <c r="G1743" s="1786" t="s">
        <v>2959</v>
      </c>
      <c r="H1743" s="1786" t="str">
        <f t="shared" si="289"/>
        <v>לא פעיל</v>
      </c>
      <c r="I1743" s="1788">
        <f t="shared" si="290"/>
        <v>21641</v>
      </c>
      <c r="J1743" s="1788">
        <f t="shared" si="291"/>
        <v>41841.635706018496</v>
      </c>
      <c r="K1743" s="1786">
        <v>0</v>
      </c>
      <c r="L1743" s="1786" t="s">
        <v>1594</v>
      </c>
      <c r="M1743" s="1786" t="s">
        <v>1653</v>
      </c>
      <c r="N1743" s="1786" t="s">
        <v>1653</v>
      </c>
      <c r="O1743" s="1786">
        <v>0</v>
      </c>
      <c r="P1743" s="1786"/>
      <c r="Q1743" s="1786">
        <v>0</v>
      </c>
      <c r="R1743" s="1788"/>
      <c r="S1743" s="1786">
        <f t="shared" si="292"/>
        <v>355</v>
      </c>
      <c r="T1743" s="1786" t="str">
        <f t="shared" si="293"/>
        <v>בנק הפועלים בע"מ</v>
      </c>
      <c r="U1743" s="1786" t="str">
        <f t="shared" si="294"/>
        <v>דש שבעת הכוכבים</v>
      </c>
      <c r="V1743" s="1786" t="str">
        <f t="shared" si="295"/>
        <v>520043795</v>
      </c>
      <c r="W1743" s="1789" t="str">
        <f t="shared" si="296"/>
        <v>מיטב דש גמל ופנסיה בע"מ</v>
      </c>
      <c r="AC1743" s="1761" t="s">
        <v>1586</v>
      </c>
      <c r="AD1743" s="1762">
        <v>41841.635706018496</v>
      </c>
      <c r="AE1743" s="1762">
        <v>21641</v>
      </c>
      <c r="AF1743" s="1761" t="s">
        <v>1583</v>
      </c>
      <c r="AG1743" s="1761" t="s">
        <v>1583</v>
      </c>
      <c r="AH1743" s="1761" t="s">
        <v>1583</v>
      </c>
      <c r="AI1743" s="1761" t="s">
        <v>497</v>
      </c>
      <c r="AJ1743" s="1761" t="s">
        <v>497</v>
      </c>
      <c r="AK1743" s="1761">
        <v>355</v>
      </c>
      <c r="AL1743" s="1761" t="s">
        <v>497</v>
      </c>
      <c r="AM1743" s="1761">
        <v>355</v>
      </c>
      <c r="AN1743" s="1761" t="s">
        <v>1695</v>
      </c>
      <c r="AO1743" s="1764"/>
      <c r="AP1743" s="1761" t="s">
        <v>5373</v>
      </c>
      <c r="AQ1743" s="1761" t="s">
        <v>5374</v>
      </c>
      <c r="AR1743" s="1761" t="s">
        <v>2899</v>
      </c>
      <c r="AS1743" s="1761" t="s">
        <v>349</v>
      </c>
      <c r="AT1743" s="1761" t="s">
        <v>327</v>
      </c>
      <c r="AU1743" s="1763"/>
      <c r="AV1743" s="1763"/>
    </row>
    <row r="1744" spans="1:48" ht="37.5" hidden="1">
      <c r="A1744" s="1785" t="str">
        <f t="shared" si="286"/>
        <v>גמל</v>
      </c>
      <c r="B1744" s="1786">
        <f t="shared" si="287"/>
        <v>352</v>
      </c>
      <c r="C1744" s="1787">
        <v>28946</v>
      </c>
      <c r="D1744" s="1786" t="str">
        <f t="shared" si="288"/>
        <v>פרי תנובה</v>
      </c>
      <c r="E1744" s="1786" t="s">
        <v>3929</v>
      </c>
      <c r="F1744" s="1786" t="s">
        <v>2958</v>
      </c>
      <c r="G1744" s="1786" t="s">
        <v>2959</v>
      </c>
      <c r="H1744" s="1786" t="str">
        <f t="shared" si="289"/>
        <v>לא פעיל</v>
      </c>
      <c r="I1744" s="1788">
        <f t="shared" si="290"/>
        <v>25569</v>
      </c>
      <c r="J1744" s="1788">
        <f t="shared" si="291"/>
        <v>32874</v>
      </c>
      <c r="K1744" s="1786">
        <v>0</v>
      </c>
      <c r="L1744" s="1786" t="s">
        <v>1594</v>
      </c>
      <c r="M1744" s="1786" t="s">
        <v>1653</v>
      </c>
      <c r="N1744" s="1786" t="s">
        <v>1653</v>
      </c>
      <c r="O1744" s="1786">
        <v>0</v>
      </c>
      <c r="P1744" s="1786"/>
      <c r="Q1744" s="1786">
        <v>0</v>
      </c>
      <c r="R1744" s="1788"/>
      <c r="S1744" s="1786">
        <f t="shared" si="292"/>
        <v>352</v>
      </c>
      <c r="T1744" s="1786" t="str">
        <f t="shared" si="293"/>
        <v>בנק לאומי בע"מ</v>
      </c>
      <c r="U1744" s="1786" t="str">
        <f t="shared" si="294"/>
        <v>פרי תנובה</v>
      </c>
      <c r="V1744" s="1786">
        <f t="shared" si="295"/>
        <v>0</v>
      </c>
      <c r="W1744" s="1789" t="str">
        <f t="shared" si="296"/>
        <v>קופת התגמולים לעצמאים "עצמה" ליד בל"ל בע"מ</v>
      </c>
      <c r="AC1744" s="1759" t="s">
        <v>1586</v>
      </c>
      <c r="AD1744" s="1760">
        <v>32874</v>
      </c>
      <c r="AE1744" s="1760">
        <v>25569</v>
      </c>
      <c r="AF1744" s="1759" t="s">
        <v>1583</v>
      </c>
      <c r="AG1744" s="1759" t="s">
        <v>1583</v>
      </c>
      <c r="AH1744" s="1759" t="s">
        <v>1583</v>
      </c>
      <c r="AI1744" s="1759" t="s">
        <v>1766</v>
      </c>
      <c r="AJ1744" s="1759" t="s">
        <v>1766</v>
      </c>
      <c r="AK1744" s="1759">
        <v>352</v>
      </c>
      <c r="AL1744" s="1759" t="s">
        <v>1766</v>
      </c>
      <c r="AM1744" s="1759">
        <v>352</v>
      </c>
      <c r="AN1744" s="1759" t="s">
        <v>5470</v>
      </c>
      <c r="AO1744" s="1764"/>
      <c r="AP1744" s="1759"/>
      <c r="AQ1744" s="1759"/>
      <c r="AR1744" s="1759" t="s">
        <v>1661</v>
      </c>
      <c r="AS1744" s="1759" t="s">
        <v>1660</v>
      </c>
      <c r="AT1744" s="1759" t="s">
        <v>327</v>
      </c>
      <c r="AU1744" s="1763"/>
      <c r="AV1744" s="1763"/>
    </row>
    <row r="1745" spans="1:48" ht="14" hidden="1">
      <c r="A1745" s="1785" t="str">
        <f t="shared" si="286"/>
        <v>גמל</v>
      </c>
      <c r="B1745" s="1786">
        <f t="shared" si="287"/>
        <v>351</v>
      </c>
      <c r="C1745" s="1787">
        <v>28946</v>
      </c>
      <c r="D1745" s="1786" t="str">
        <f t="shared" si="288"/>
        <v>קופת פז לפיצויים בע"מ</v>
      </c>
      <c r="E1745" s="1786" t="s">
        <v>3929</v>
      </c>
      <c r="F1745" s="1786" t="s">
        <v>2958</v>
      </c>
      <c r="G1745" s="1786" t="s">
        <v>2959</v>
      </c>
      <c r="H1745" s="1786" t="str">
        <f t="shared" si="289"/>
        <v>לא פעיל</v>
      </c>
      <c r="I1745" s="1788">
        <f t="shared" si="290"/>
        <v>35431</v>
      </c>
      <c r="J1745" s="1788">
        <f t="shared" si="291"/>
        <v>32874</v>
      </c>
      <c r="K1745" s="1786">
        <v>0</v>
      </c>
      <c r="L1745" s="1786" t="s">
        <v>1594</v>
      </c>
      <c r="M1745" s="1786" t="s">
        <v>1653</v>
      </c>
      <c r="N1745" s="1786" t="s">
        <v>1653</v>
      </c>
      <c r="O1745" s="1786">
        <v>0</v>
      </c>
      <c r="P1745" s="1786"/>
      <c r="Q1745" s="1786">
        <v>0</v>
      </c>
      <c r="R1745" s="1788"/>
      <c r="S1745" s="1786">
        <f t="shared" si="292"/>
        <v>351</v>
      </c>
      <c r="T1745" s="1786">
        <f t="shared" si="293"/>
        <v>0</v>
      </c>
      <c r="U1745" s="1786" t="str">
        <f t="shared" si="294"/>
        <v>קופת פז לפיצויים בע"מ</v>
      </c>
      <c r="V1745" s="1786">
        <f t="shared" si="295"/>
        <v>0</v>
      </c>
      <c r="W1745" s="1789" t="str">
        <f t="shared" si="296"/>
        <v>פז חברת נפט בע"מ</v>
      </c>
      <c r="AC1745" s="1761" t="s">
        <v>1586</v>
      </c>
      <c r="AD1745" s="1762">
        <v>32874</v>
      </c>
      <c r="AE1745" s="1762">
        <v>35431</v>
      </c>
      <c r="AF1745" s="1761" t="s">
        <v>1583</v>
      </c>
      <c r="AG1745" s="1761" t="s">
        <v>1583</v>
      </c>
      <c r="AH1745" s="1761" t="s">
        <v>1583</v>
      </c>
      <c r="AI1745" s="1761" t="s">
        <v>3079</v>
      </c>
      <c r="AJ1745" s="1761" t="s">
        <v>1763</v>
      </c>
      <c r="AK1745" s="1761">
        <v>351</v>
      </c>
      <c r="AL1745" s="1761" t="s">
        <v>1763</v>
      </c>
      <c r="AM1745" s="1761">
        <v>351</v>
      </c>
      <c r="AN1745" s="1761"/>
      <c r="AO1745" s="1764"/>
      <c r="AP1745" s="1761"/>
      <c r="AQ1745" s="1761"/>
      <c r="AR1745" s="1761" t="s">
        <v>1765</v>
      </c>
      <c r="AS1745" s="1761" t="s">
        <v>1764</v>
      </c>
      <c r="AT1745" s="1761" t="s">
        <v>327</v>
      </c>
      <c r="AU1745" s="1763"/>
      <c r="AV1745" s="1763"/>
    </row>
    <row r="1746" spans="1:48" ht="37.5" hidden="1">
      <c r="A1746" s="1785" t="str">
        <f t="shared" si="286"/>
        <v>גמל</v>
      </c>
      <c r="B1746" s="1786">
        <f t="shared" si="287"/>
        <v>350</v>
      </c>
      <c r="C1746" s="1787">
        <v>28946</v>
      </c>
      <c r="D1746" s="1786" t="str">
        <f t="shared" si="288"/>
        <v>פל</v>
      </c>
      <c r="E1746" s="1786" t="s">
        <v>3929</v>
      </c>
      <c r="F1746" s="1786" t="s">
        <v>2958</v>
      </c>
      <c r="G1746" s="1786" t="s">
        <v>2959</v>
      </c>
      <c r="H1746" s="1786" t="str">
        <f t="shared" si="289"/>
        <v>לא פעיל</v>
      </c>
      <c r="I1746" s="1788">
        <f t="shared" si="290"/>
        <v>25569</v>
      </c>
      <c r="J1746" s="1788">
        <f t="shared" si="291"/>
        <v>25569</v>
      </c>
      <c r="K1746" s="1786">
        <v>0</v>
      </c>
      <c r="L1746" s="1786" t="s">
        <v>1594</v>
      </c>
      <c r="M1746" s="1786" t="s">
        <v>1653</v>
      </c>
      <c r="N1746" s="1786" t="s">
        <v>1653</v>
      </c>
      <c r="O1746" s="1786">
        <v>0</v>
      </c>
      <c r="P1746" s="1786"/>
      <c r="Q1746" s="1786">
        <v>0</v>
      </c>
      <c r="R1746" s="1788"/>
      <c r="S1746" s="1786">
        <f t="shared" si="292"/>
        <v>350</v>
      </c>
      <c r="T1746" s="1786" t="str">
        <f t="shared" si="293"/>
        <v>בנק לאומי בע"מ</v>
      </c>
      <c r="U1746" s="1786" t="str">
        <f t="shared" si="294"/>
        <v>פל</v>
      </c>
      <c r="V1746" s="1786">
        <f t="shared" si="295"/>
        <v>0</v>
      </c>
      <c r="W1746" s="1789" t="str">
        <f t="shared" si="296"/>
        <v>קופת התגמולים לעצמאים "עצמה" ליד בל"ל בע"מ</v>
      </c>
      <c r="AC1746" s="1759" t="s">
        <v>1586</v>
      </c>
      <c r="AD1746" s="1760">
        <v>25569</v>
      </c>
      <c r="AE1746" s="1760">
        <v>25569</v>
      </c>
      <c r="AF1746" s="1759" t="s">
        <v>1583</v>
      </c>
      <c r="AG1746" s="1759" t="s">
        <v>1583</v>
      </c>
      <c r="AH1746" s="1759" t="s">
        <v>1583</v>
      </c>
      <c r="AI1746" s="1759" t="s">
        <v>1762</v>
      </c>
      <c r="AJ1746" s="1759" t="s">
        <v>1762</v>
      </c>
      <c r="AK1746" s="1759">
        <v>350</v>
      </c>
      <c r="AL1746" s="1759" t="s">
        <v>1762</v>
      </c>
      <c r="AM1746" s="1759">
        <v>350</v>
      </c>
      <c r="AN1746" s="1759" t="s">
        <v>5470</v>
      </c>
      <c r="AO1746" s="1764"/>
      <c r="AP1746" s="1759"/>
      <c r="AQ1746" s="1759"/>
      <c r="AR1746" s="1759" t="s">
        <v>1661</v>
      </c>
      <c r="AS1746" s="1759" t="s">
        <v>1660</v>
      </c>
      <c r="AT1746" s="1759" t="s">
        <v>327</v>
      </c>
      <c r="AU1746" s="1763"/>
      <c r="AV1746" s="1763"/>
    </row>
    <row r="1747" spans="1:48" ht="37.5" hidden="1">
      <c r="A1747" s="1785" t="str">
        <f t="shared" si="286"/>
        <v>גמל</v>
      </c>
      <c r="B1747" s="1786">
        <f t="shared" si="287"/>
        <v>348</v>
      </c>
      <c r="C1747" s="1787">
        <v>28946</v>
      </c>
      <c r="D1747" s="1786" t="str">
        <f t="shared" si="288"/>
        <v>אי.בי.אי עתודה תגמולים ופיצויים</v>
      </c>
      <c r="E1747" s="1786" t="s">
        <v>3929</v>
      </c>
      <c r="F1747" s="1786" t="s">
        <v>2958</v>
      </c>
      <c r="G1747" s="1786" t="s">
        <v>2959</v>
      </c>
      <c r="H1747" s="1786" t="str">
        <f t="shared" si="289"/>
        <v>לא פעיל</v>
      </c>
      <c r="I1747" s="1788">
        <f t="shared" si="290"/>
        <v>28216</v>
      </c>
      <c r="J1747" s="1788">
        <f t="shared" si="291"/>
        <v>40792.593877314801</v>
      </c>
      <c r="K1747" s="1786">
        <v>0</v>
      </c>
      <c r="L1747" s="1786" t="s">
        <v>1594</v>
      </c>
      <c r="M1747" s="1786" t="s">
        <v>1653</v>
      </c>
      <c r="N1747" s="1786" t="s">
        <v>1653</v>
      </c>
      <c r="O1747" s="1786">
        <v>0</v>
      </c>
      <c r="P1747" s="1786"/>
      <c r="Q1747" s="1786">
        <v>0</v>
      </c>
      <c r="R1747" s="1788"/>
      <c r="S1747" s="1786">
        <f t="shared" si="292"/>
        <v>348</v>
      </c>
      <c r="T1747" s="1786" t="str">
        <f t="shared" si="293"/>
        <v>בנק הפועלים בע"מ</v>
      </c>
      <c r="U1747" s="1786" t="str">
        <f t="shared" si="294"/>
        <v>אי.בי.אי עתודה תגמולים ופיצויים</v>
      </c>
      <c r="V1747" s="1786">
        <f t="shared" si="295"/>
        <v>0</v>
      </c>
      <c r="W1747" s="1789" t="str">
        <f t="shared" si="296"/>
        <v xml:space="preserve">אי.בי.אי. חברת ניהול קופות גמל וקרנות השתלמות בע"מ </v>
      </c>
      <c r="AC1747" s="1761" t="s">
        <v>1586</v>
      </c>
      <c r="AD1747" s="1762">
        <v>40792.593877314801</v>
      </c>
      <c r="AE1747" s="1762">
        <v>28216</v>
      </c>
      <c r="AF1747" s="1761" t="s">
        <v>1583</v>
      </c>
      <c r="AG1747" s="1761" t="s">
        <v>1583</v>
      </c>
      <c r="AH1747" s="1761" t="s">
        <v>1583</v>
      </c>
      <c r="AI1747" s="1761" t="s">
        <v>3078</v>
      </c>
      <c r="AJ1747" s="1761" t="s">
        <v>1761</v>
      </c>
      <c r="AK1747" s="1761">
        <v>348</v>
      </c>
      <c r="AL1747" s="1761" t="s">
        <v>1761</v>
      </c>
      <c r="AM1747" s="1761">
        <v>348</v>
      </c>
      <c r="AN1747" s="1761" t="s">
        <v>1695</v>
      </c>
      <c r="AO1747" s="1764"/>
      <c r="AP1747" s="1761"/>
      <c r="AQ1747" s="1761"/>
      <c r="AR1747" s="1761" t="s">
        <v>5395</v>
      </c>
      <c r="AS1747" s="1761" t="s">
        <v>677</v>
      </c>
      <c r="AT1747" s="1761" t="s">
        <v>327</v>
      </c>
      <c r="AU1747" s="1763"/>
      <c r="AV1747" s="1763"/>
    </row>
    <row r="1748" spans="1:48" ht="37.5" hidden="1">
      <c r="A1748" s="1785" t="str">
        <f t="shared" si="286"/>
        <v>גמל</v>
      </c>
      <c r="B1748" s="1786">
        <f t="shared" si="287"/>
        <v>1438</v>
      </c>
      <c r="C1748" s="1787">
        <v>28946</v>
      </c>
      <c r="D1748" s="1786" t="str">
        <f t="shared" si="288"/>
        <v>עוצ"מ - אגודה שיתופית לניהול קופות גמל בע"מ - מסלול אג"ח ממשלות</v>
      </c>
      <c r="E1748" s="1786" t="s">
        <v>3929</v>
      </c>
      <c r="F1748" s="1786" t="s">
        <v>2958</v>
      </c>
      <c r="G1748" s="1786" t="s">
        <v>2959</v>
      </c>
      <c r="H1748" s="1786" t="str">
        <f t="shared" si="289"/>
        <v>פעיל</v>
      </c>
      <c r="I1748" s="1788">
        <f t="shared" si="290"/>
        <v>23833</v>
      </c>
      <c r="J1748" s="1788" t="str">
        <f t="shared" si="291"/>
        <v/>
      </c>
      <c r="K1748" s="1786">
        <v>0</v>
      </c>
      <c r="L1748" s="1786" t="s">
        <v>1594</v>
      </c>
      <c r="M1748" s="1786" t="s">
        <v>1653</v>
      </c>
      <c r="N1748" s="1786" t="s">
        <v>1653</v>
      </c>
      <c r="O1748" s="1786">
        <v>0</v>
      </c>
      <c r="P1748" s="1786"/>
      <c r="Q1748" s="1786">
        <v>0</v>
      </c>
      <c r="R1748" s="1788"/>
      <c r="S1748" s="1786">
        <f t="shared" si="292"/>
        <v>346</v>
      </c>
      <c r="T1748" s="1786" t="str">
        <f t="shared" si="293"/>
        <v>ניהול  עצמי</v>
      </c>
      <c r="U1748" s="1786" t="str">
        <f t="shared" si="294"/>
        <v>עוצ"מ - אגודה שיתופית לניהול קופות גמל בע"מ - מסלול כללי</v>
      </c>
      <c r="V1748" s="1786">
        <f t="shared" si="295"/>
        <v>0</v>
      </c>
      <c r="W1748" s="1789" t="str">
        <f t="shared" si="296"/>
        <v>עוצ"מ - אגודה שיתופית לניהול קופות גמל בע"מ</v>
      </c>
      <c r="AC1748" s="1759" t="s">
        <v>346</v>
      </c>
      <c r="AD1748" s="1759"/>
      <c r="AE1748" s="1760">
        <v>23833</v>
      </c>
      <c r="AF1748" s="1759" t="s">
        <v>2009</v>
      </c>
      <c r="AG1748" s="1759" t="s">
        <v>1653</v>
      </c>
      <c r="AH1748" s="1759" t="s">
        <v>1594</v>
      </c>
      <c r="AI1748" s="1759" t="s">
        <v>4103</v>
      </c>
      <c r="AJ1748" s="1759" t="s">
        <v>4102</v>
      </c>
      <c r="AK1748" s="1759">
        <v>1438</v>
      </c>
      <c r="AL1748" s="1759" t="s">
        <v>494</v>
      </c>
      <c r="AM1748" s="1759">
        <v>346</v>
      </c>
      <c r="AN1748" s="1759" t="s">
        <v>5524</v>
      </c>
      <c r="AO1748" s="1764"/>
      <c r="AP1748" s="1759"/>
      <c r="AQ1748" s="1759"/>
      <c r="AR1748" s="1759" t="s">
        <v>3077</v>
      </c>
      <c r="AS1748" s="1759" t="s">
        <v>493</v>
      </c>
      <c r="AT1748" s="1759" t="s">
        <v>327</v>
      </c>
      <c r="AU1748" s="1763"/>
      <c r="AV1748" s="1763"/>
    </row>
    <row r="1749" spans="1:48" ht="37.5" hidden="1">
      <c r="A1749" s="1785" t="str">
        <f t="shared" si="286"/>
        <v>גמל</v>
      </c>
      <c r="B1749" s="1786">
        <f t="shared" si="287"/>
        <v>9783</v>
      </c>
      <c r="C1749" s="1787">
        <v>28946</v>
      </c>
      <c r="D1749" s="1786" t="str">
        <f t="shared" si="288"/>
        <v>עוצ"מ - אגודה שיתופית לניהול קופות גמל בע"מ - מסלול לבני 50 ומטה</v>
      </c>
      <c r="E1749" s="1786" t="s">
        <v>3929</v>
      </c>
      <c r="F1749" s="1786" t="s">
        <v>2958</v>
      </c>
      <c r="G1749" s="1786" t="s">
        <v>2959</v>
      </c>
      <c r="H1749" s="1786" t="str">
        <f t="shared" si="289"/>
        <v>פעיל</v>
      </c>
      <c r="I1749" s="1788">
        <f t="shared" si="290"/>
        <v>23833</v>
      </c>
      <c r="J1749" s="1788" t="str">
        <f t="shared" si="291"/>
        <v/>
      </c>
      <c r="K1749" s="1786">
        <v>0</v>
      </c>
      <c r="L1749" s="1786" t="s">
        <v>1594</v>
      </c>
      <c r="M1749" s="1786" t="s">
        <v>1653</v>
      </c>
      <c r="N1749" s="1786" t="s">
        <v>1653</v>
      </c>
      <c r="O1749" s="1786">
        <v>0</v>
      </c>
      <c r="P1749" s="1786"/>
      <c r="Q1749" s="1786">
        <v>0</v>
      </c>
      <c r="R1749" s="1788"/>
      <c r="S1749" s="1786">
        <f t="shared" si="292"/>
        <v>346</v>
      </c>
      <c r="T1749" s="1786" t="str">
        <f t="shared" si="293"/>
        <v>ניהול  עצמי</v>
      </c>
      <c r="U1749" s="1786" t="str">
        <f t="shared" si="294"/>
        <v>עוצ"מ - אגודה שיתופית לניהול קופות גמל בע"מ - מסלול כללי</v>
      </c>
      <c r="V1749" s="1786">
        <f t="shared" si="295"/>
        <v>0</v>
      </c>
      <c r="W1749" s="1789" t="str">
        <f t="shared" si="296"/>
        <v>עוצ"מ - אגודה שיתופית לניהול קופות גמל בע"מ</v>
      </c>
      <c r="AC1749" s="1761" t="s">
        <v>346</v>
      </c>
      <c r="AD1749" s="1759"/>
      <c r="AE1749" s="1762">
        <v>23833</v>
      </c>
      <c r="AF1749" s="1761" t="s">
        <v>4151</v>
      </c>
      <c r="AG1749" s="1761" t="s">
        <v>3931</v>
      </c>
      <c r="AH1749" s="1761" t="s">
        <v>3658</v>
      </c>
      <c r="AI1749" s="1761" t="s">
        <v>4349</v>
      </c>
      <c r="AJ1749" s="1761" t="s">
        <v>4348</v>
      </c>
      <c r="AK1749" s="1761">
        <v>9783</v>
      </c>
      <c r="AL1749" s="1761" t="s">
        <v>494</v>
      </c>
      <c r="AM1749" s="1761">
        <v>346</v>
      </c>
      <c r="AN1749" s="1761" t="s">
        <v>5524</v>
      </c>
      <c r="AO1749" s="1764"/>
      <c r="AP1749" s="1761"/>
      <c r="AQ1749" s="1761"/>
      <c r="AR1749" s="1761" t="s">
        <v>3077</v>
      </c>
      <c r="AS1749" s="1761" t="s">
        <v>493</v>
      </c>
      <c r="AT1749" s="1761" t="s">
        <v>327</v>
      </c>
      <c r="AU1749" s="1763"/>
      <c r="AV1749" s="1763"/>
    </row>
    <row r="1750" spans="1:48" ht="37.5" hidden="1">
      <c r="A1750" s="1785" t="str">
        <f t="shared" si="286"/>
        <v>גמל</v>
      </c>
      <c r="B1750" s="1786">
        <f t="shared" si="287"/>
        <v>346</v>
      </c>
      <c r="C1750" s="1787">
        <v>28946</v>
      </c>
      <c r="D1750" s="1786" t="str">
        <f t="shared" si="288"/>
        <v>עוצ"מ - אגודה שיתופית לניהול קופות גמל בע"מ - מסלול כללי</v>
      </c>
      <c r="E1750" s="1786" t="s">
        <v>3929</v>
      </c>
      <c r="F1750" s="1786" t="s">
        <v>2958</v>
      </c>
      <c r="G1750" s="1786" t="s">
        <v>2959</v>
      </c>
      <c r="H1750" s="1786" t="str">
        <f t="shared" si="289"/>
        <v>לא פעיל</v>
      </c>
      <c r="I1750" s="1788">
        <f t="shared" si="290"/>
        <v>23833</v>
      </c>
      <c r="J1750" s="1788">
        <f t="shared" si="291"/>
        <v>42373.418831018498</v>
      </c>
      <c r="K1750" s="1786">
        <v>0</v>
      </c>
      <c r="L1750" s="1786" t="s">
        <v>1594</v>
      </c>
      <c r="M1750" s="1786" t="s">
        <v>1653</v>
      </c>
      <c r="N1750" s="1786" t="s">
        <v>1653</v>
      </c>
      <c r="O1750" s="1786">
        <v>0</v>
      </c>
      <c r="P1750" s="1786"/>
      <c r="Q1750" s="1786">
        <v>0</v>
      </c>
      <c r="R1750" s="1788"/>
      <c r="S1750" s="1786">
        <f t="shared" si="292"/>
        <v>346</v>
      </c>
      <c r="T1750" s="1786" t="str">
        <f t="shared" si="293"/>
        <v>ניהול  עצמי</v>
      </c>
      <c r="U1750" s="1786" t="str">
        <f t="shared" si="294"/>
        <v>עוצ"מ - אגודה שיתופית לניהול קופות גמל בע"מ - מסלול כללי</v>
      </c>
      <c r="V1750" s="1786">
        <f t="shared" si="295"/>
        <v>0</v>
      </c>
      <c r="W1750" s="1789" t="str">
        <f t="shared" si="296"/>
        <v>עוצ"מ - אגודה שיתופית לניהול קופות גמל בע"מ</v>
      </c>
      <c r="AC1750" s="1759" t="s">
        <v>1586</v>
      </c>
      <c r="AD1750" s="1760">
        <v>42373.418831018498</v>
      </c>
      <c r="AE1750" s="1760">
        <v>23833</v>
      </c>
      <c r="AF1750" s="1759" t="s">
        <v>1583</v>
      </c>
      <c r="AG1750" s="1759" t="s">
        <v>1583</v>
      </c>
      <c r="AH1750" s="1759" t="s">
        <v>1583</v>
      </c>
      <c r="AI1750" s="1759" t="s">
        <v>4519</v>
      </c>
      <c r="AJ1750" s="1759" t="s">
        <v>494</v>
      </c>
      <c r="AK1750" s="1759">
        <v>346</v>
      </c>
      <c r="AL1750" s="1759" t="s">
        <v>494</v>
      </c>
      <c r="AM1750" s="1759">
        <v>346</v>
      </c>
      <c r="AN1750" s="1759" t="s">
        <v>5524</v>
      </c>
      <c r="AO1750" s="1764"/>
      <c r="AP1750" s="1759"/>
      <c r="AQ1750" s="1759"/>
      <c r="AR1750" s="1759" t="s">
        <v>3077</v>
      </c>
      <c r="AS1750" s="1759" t="s">
        <v>493</v>
      </c>
      <c r="AT1750" s="1759" t="s">
        <v>327</v>
      </c>
      <c r="AU1750" s="1763"/>
      <c r="AV1750" s="1763"/>
    </row>
    <row r="1751" spans="1:48" ht="37.5" hidden="1">
      <c r="A1751" s="1785" t="str">
        <f t="shared" ref="A1751:A1814" si="297">AT1751</f>
        <v>גמל</v>
      </c>
      <c r="B1751" s="1786">
        <f t="shared" ref="B1751:B1814" si="298">AK1751</f>
        <v>9785</v>
      </c>
      <c r="C1751" s="1787">
        <v>28946</v>
      </c>
      <c r="D1751" s="1786" t="str">
        <f t="shared" ref="D1751:D1814" si="299">AJ1751</f>
        <v>עוצ"מ - אגודה שיתופית לניהול קופות גמל בע"מ - מסלול לבני 60 ומעלה</v>
      </c>
      <c r="E1751" s="1786" t="s">
        <v>3929</v>
      </c>
      <c r="F1751" s="1786" t="s">
        <v>2958</v>
      </c>
      <c r="G1751" s="1786" t="s">
        <v>2959</v>
      </c>
      <c r="H1751" s="1786" t="str">
        <f t="shared" ref="H1751:H1814" si="300">AC1751</f>
        <v>פעיל</v>
      </c>
      <c r="I1751" s="1788">
        <f t="shared" ref="I1751:I1814" si="301">IF(AE1751="","",AE1751)</f>
        <v>23833</v>
      </c>
      <c r="J1751" s="1788" t="str">
        <f t="shared" ref="J1751:J1814" si="302">IF(AD1751="","",AD1751)</f>
        <v/>
      </c>
      <c r="K1751" s="1786">
        <v>0</v>
      </c>
      <c r="L1751" s="1786" t="s">
        <v>1594</v>
      </c>
      <c r="M1751" s="1786" t="s">
        <v>1653</v>
      </c>
      <c r="N1751" s="1786" t="s">
        <v>1653</v>
      </c>
      <c r="O1751" s="1786">
        <v>0</v>
      </c>
      <c r="P1751" s="1786"/>
      <c r="Q1751" s="1786">
        <v>0</v>
      </c>
      <c r="R1751" s="1788"/>
      <c r="S1751" s="1786">
        <f t="shared" ref="S1751:S1814" si="303">AM1751</f>
        <v>346</v>
      </c>
      <c r="T1751" s="1786" t="str">
        <f t="shared" ref="T1751:T1814" si="304">AN1751</f>
        <v>ניהול  עצמי</v>
      </c>
      <c r="U1751" s="1786" t="str">
        <f t="shared" ref="U1751:U1814" si="305">AL1751</f>
        <v>עוצ"מ - אגודה שיתופית לניהול קופות גמל בע"מ - מסלול כללי</v>
      </c>
      <c r="V1751" s="1786">
        <f t="shared" ref="V1751:V1814" si="306">AQ1751</f>
        <v>0</v>
      </c>
      <c r="W1751" s="1789" t="str">
        <f t="shared" ref="W1751:W1814" si="307">AR1751</f>
        <v>עוצ"מ - אגודה שיתופית לניהול קופות גמל בע"מ</v>
      </c>
      <c r="AC1751" s="1761" t="s">
        <v>346</v>
      </c>
      <c r="AD1751" s="1761"/>
      <c r="AE1751" s="1762">
        <v>23833</v>
      </c>
      <c r="AF1751" s="1761" t="s">
        <v>3963</v>
      </c>
      <c r="AG1751" s="1761" t="s">
        <v>3931</v>
      </c>
      <c r="AH1751" s="1761" t="s">
        <v>3658</v>
      </c>
      <c r="AI1751" s="1761" t="s">
        <v>4353</v>
      </c>
      <c r="AJ1751" s="1761" t="s">
        <v>4352</v>
      </c>
      <c r="AK1751" s="1761">
        <v>9785</v>
      </c>
      <c r="AL1751" s="1761" t="s">
        <v>494</v>
      </c>
      <c r="AM1751" s="1761">
        <v>346</v>
      </c>
      <c r="AN1751" s="1761" t="s">
        <v>5524</v>
      </c>
      <c r="AO1751" s="1764"/>
      <c r="AP1751" s="1761"/>
      <c r="AQ1751" s="1761"/>
      <c r="AR1751" s="1761" t="s">
        <v>3077</v>
      </c>
      <c r="AS1751" s="1761" t="s">
        <v>493</v>
      </c>
      <c r="AT1751" s="1761" t="s">
        <v>327</v>
      </c>
      <c r="AU1751" s="1763"/>
      <c r="AV1751" s="1763"/>
    </row>
    <row r="1752" spans="1:48" ht="37.5" hidden="1">
      <c r="A1752" s="1785" t="str">
        <f t="shared" si="297"/>
        <v>גמל</v>
      </c>
      <c r="B1752" s="1786">
        <f t="shared" si="298"/>
        <v>9784</v>
      </c>
      <c r="C1752" s="1787">
        <v>28946</v>
      </c>
      <c r="D1752" s="1786" t="str">
        <f t="shared" si="299"/>
        <v>עוצ"מ - אגודה שיתופית לניהול קופות גמל בע"מ - מסלול לבני 50 עד 60</v>
      </c>
      <c r="E1752" s="1786" t="s">
        <v>3929</v>
      </c>
      <c r="F1752" s="1786" t="s">
        <v>2958</v>
      </c>
      <c r="G1752" s="1786" t="s">
        <v>2959</v>
      </c>
      <c r="H1752" s="1786" t="str">
        <f t="shared" si="300"/>
        <v>פעיל</v>
      </c>
      <c r="I1752" s="1788">
        <f t="shared" si="301"/>
        <v>23833</v>
      </c>
      <c r="J1752" s="1788" t="str">
        <f t="shared" si="302"/>
        <v/>
      </c>
      <c r="K1752" s="1786">
        <v>0</v>
      </c>
      <c r="L1752" s="1786" t="s">
        <v>1594</v>
      </c>
      <c r="M1752" s="1786" t="s">
        <v>1653</v>
      </c>
      <c r="N1752" s="1786" t="s">
        <v>1653</v>
      </c>
      <c r="O1752" s="1786">
        <v>0</v>
      </c>
      <c r="P1752" s="1786"/>
      <c r="Q1752" s="1786">
        <v>0</v>
      </c>
      <c r="R1752" s="1788"/>
      <c r="S1752" s="1786">
        <f t="shared" si="303"/>
        <v>346</v>
      </c>
      <c r="T1752" s="1786" t="str">
        <f t="shared" si="304"/>
        <v>ניהול  עצמי</v>
      </c>
      <c r="U1752" s="1786" t="str">
        <f t="shared" si="305"/>
        <v>עוצ"מ - אגודה שיתופית לניהול קופות גמל בע"מ - מסלול כללי</v>
      </c>
      <c r="V1752" s="1786">
        <f t="shared" si="306"/>
        <v>0</v>
      </c>
      <c r="W1752" s="1789" t="str">
        <f t="shared" si="307"/>
        <v>עוצ"מ - אגודה שיתופית לניהול קופות גמל בע"מ</v>
      </c>
      <c r="AC1752" s="1759" t="s">
        <v>346</v>
      </c>
      <c r="AD1752" s="1759"/>
      <c r="AE1752" s="1760">
        <v>23833</v>
      </c>
      <c r="AF1752" s="1759" t="s">
        <v>3932</v>
      </c>
      <c r="AG1752" s="1759" t="s">
        <v>3931</v>
      </c>
      <c r="AH1752" s="1759" t="s">
        <v>3658</v>
      </c>
      <c r="AI1752" s="1759" t="s">
        <v>4351</v>
      </c>
      <c r="AJ1752" s="1759" t="s">
        <v>4350</v>
      </c>
      <c r="AK1752" s="1759">
        <v>9784</v>
      </c>
      <c r="AL1752" s="1759" t="s">
        <v>494</v>
      </c>
      <c r="AM1752" s="1759">
        <v>346</v>
      </c>
      <c r="AN1752" s="1759" t="s">
        <v>5524</v>
      </c>
      <c r="AO1752" s="1764"/>
      <c r="AP1752" s="1759"/>
      <c r="AQ1752" s="1759"/>
      <c r="AR1752" s="1759" t="s">
        <v>3077</v>
      </c>
      <c r="AS1752" s="1759" t="s">
        <v>493</v>
      </c>
      <c r="AT1752" s="1759" t="s">
        <v>327</v>
      </c>
      <c r="AU1752" s="1763"/>
      <c r="AV1752" s="1763"/>
    </row>
    <row r="1753" spans="1:48" ht="37.5" hidden="1">
      <c r="A1753" s="1785" t="str">
        <f t="shared" si="297"/>
        <v>גמל</v>
      </c>
      <c r="B1753" s="1786">
        <f t="shared" si="298"/>
        <v>344</v>
      </c>
      <c r="C1753" s="1787">
        <v>28946</v>
      </c>
      <c r="D1753" s="1786" t="str">
        <f t="shared" si="299"/>
        <v>קופת תגמולים של הפקידים והפועלים בעירית ר"ג אגודה שיתופית בע"מ</v>
      </c>
      <c r="E1753" s="1786" t="s">
        <v>3929</v>
      </c>
      <c r="F1753" s="1786" t="s">
        <v>2958</v>
      </c>
      <c r="G1753" s="1786" t="s">
        <v>2959</v>
      </c>
      <c r="H1753" s="1786" t="str">
        <f t="shared" si="300"/>
        <v>לא פעיל</v>
      </c>
      <c r="I1753" s="1788">
        <f t="shared" si="301"/>
        <v>17989</v>
      </c>
      <c r="J1753" s="1788">
        <f t="shared" si="302"/>
        <v>39713</v>
      </c>
      <c r="K1753" s="1786">
        <v>0</v>
      </c>
      <c r="L1753" s="1786" t="s">
        <v>1594</v>
      </c>
      <c r="M1753" s="1786" t="s">
        <v>1653</v>
      </c>
      <c r="N1753" s="1786" t="s">
        <v>1653</v>
      </c>
      <c r="O1753" s="1786">
        <v>0</v>
      </c>
      <c r="P1753" s="1786"/>
      <c r="Q1753" s="1786">
        <v>0</v>
      </c>
      <c r="R1753" s="1788"/>
      <c r="S1753" s="1786">
        <f t="shared" si="303"/>
        <v>344</v>
      </c>
      <c r="T1753" s="1786" t="str">
        <f t="shared" si="304"/>
        <v>אמן בע"מ</v>
      </c>
      <c r="U1753" s="1786" t="str">
        <f t="shared" si="305"/>
        <v>קופת תגמולים של הפקידים והפועלים בעירית ר"ג אגודה שיתופית בע"מ</v>
      </c>
      <c r="V1753" s="1786">
        <f t="shared" si="306"/>
        <v>0</v>
      </c>
      <c r="W1753" s="1789" t="str">
        <f t="shared" si="307"/>
        <v>קופ"ג של הפקידים והפועלים בעירית רמת גן</v>
      </c>
      <c r="AC1753" s="1761" t="s">
        <v>1586</v>
      </c>
      <c r="AD1753" s="1762">
        <v>39713</v>
      </c>
      <c r="AE1753" s="1762">
        <v>17989</v>
      </c>
      <c r="AF1753" s="1761" t="s">
        <v>1583</v>
      </c>
      <c r="AG1753" s="1761" t="s">
        <v>1583</v>
      </c>
      <c r="AH1753" s="1761" t="s">
        <v>1583</v>
      </c>
      <c r="AI1753" s="1761" t="s">
        <v>3076</v>
      </c>
      <c r="AJ1753" s="1761" t="s">
        <v>1758</v>
      </c>
      <c r="AK1753" s="1761">
        <v>344</v>
      </c>
      <c r="AL1753" s="1761" t="s">
        <v>1758</v>
      </c>
      <c r="AM1753" s="1761">
        <v>344</v>
      </c>
      <c r="AN1753" s="1761" t="s">
        <v>5549</v>
      </c>
      <c r="AO1753" s="1764"/>
      <c r="AP1753" s="1761"/>
      <c r="AQ1753" s="1761"/>
      <c r="AR1753" s="1761" t="s">
        <v>1760</v>
      </c>
      <c r="AS1753" s="1761" t="s">
        <v>1759</v>
      </c>
      <c r="AT1753" s="1761" t="s">
        <v>327</v>
      </c>
      <c r="AU1753" s="1763"/>
      <c r="AV1753" s="1763"/>
    </row>
    <row r="1754" spans="1:48" ht="37.5" hidden="1">
      <c r="A1754" s="1785" t="str">
        <f t="shared" si="297"/>
        <v>גמל</v>
      </c>
      <c r="B1754" s="1786">
        <f t="shared" si="298"/>
        <v>7218</v>
      </c>
      <c r="C1754" s="1787">
        <v>28946</v>
      </c>
      <c r="D1754" s="1786" t="str">
        <f t="shared" si="299"/>
        <v xml:space="preserve">קופת תגמולים  עיריית חיפה מסלול לבני 50 ומטה </v>
      </c>
      <c r="E1754" s="1786" t="s">
        <v>3929</v>
      </c>
      <c r="F1754" s="1786" t="s">
        <v>2958</v>
      </c>
      <c r="G1754" s="1786" t="s">
        <v>2959</v>
      </c>
      <c r="H1754" s="1786" t="str">
        <f t="shared" si="300"/>
        <v>פעיל</v>
      </c>
      <c r="I1754" s="1788">
        <f t="shared" si="301"/>
        <v>23833</v>
      </c>
      <c r="J1754" s="1788" t="str">
        <f t="shared" si="302"/>
        <v/>
      </c>
      <c r="K1754" s="1786">
        <v>0</v>
      </c>
      <c r="L1754" s="1786" t="s">
        <v>1594</v>
      </c>
      <c r="M1754" s="1786" t="s">
        <v>1653</v>
      </c>
      <c r="N1754" s="1786" t="s">
        <v>1653</v>
      </c>
      <c r="O1754" s="1786">
        <v>0</v>
      </c>
      <c r="P1754" s="1786"/>
      <c r="Q1754" s="1786">
        <v>0</v>
      </c>
      <c r="R1754" s="1788"/>
      <c r="S1754" s="1786">
        <f t="shared" si="303"/>
        <v>340</v>
      </c>
      <c r="T1754" s="1786" t="str">
        <f t="shared" si="304"/>
        <v>בנק הפועלים בע"מ</v>
      </c>
      <c r="U1754" s="1786" t="str">
        <f t="shared" si="305"/>
        <v>קופת התגמולים של עובדי עירית חיפה אגודה שיתופית בע"מ</v>
      </c>
      <c r="V1754" s="1786">
        <f t="shared" si="306"/>
        <v>0</v>
      </c>
      <c r="W1754" s="1789" t="str">
        <f t="shared" si="307"/>
        <v>קופת"ג של עובדי עירית חיפה</v>
      </c>
      <c r="AC1754" s="1759" t="s">
        <v>346</v>
      </c>
      <c r="AD1754" s="1759"/>
      <c r="AE1754" s="1760">
        <v>23833</v>
      </c>
      <c r="AF1754" s="1759" t="s">
        <v>4151</v>
      </c>
      <c r="AG1754" s="1759" t="s">
        <v>3931</v>
      </c>
      <c r="AH1754" s="1759" t="s">
        <v>3658</v>
      </c>
      <c r="AI1754" s="1759" t="s">
        <v>4194</v>
      </c>
      <c r="AJ1754" s="1759" t="s">
        <v>4193</v>
      </c>
      <c r="AK1754" s="1759">
        <v>7218</v>
      </c>
      <c r="AL1754" s="1759" t="s">
        <v>492</v>
      </c>
      <c r="AM1754" s="1759">
        <v>340</v>
      </c>
      <c r="AN1754" s="1759" t="s">
        <v>1695</v>
      </c>
      <c r="AO1754" s="1764"/>
      <c r="AP1754" s="1759"/>
      <c r="AQ1754" s="1759"/>
      <c r="AR1754" s="1759" t="s">
        <v>490</v>
      </c>
      <c r="AS1754" s="1759" t="s">
        <v>491</v>
      </c>
      <c r="AT1754" s="1759" t="s">
        <v>327</v>
      </c>
      <c r="AU1754" s="1763"/>
      <c r="AV1754" s="1763"/>
    </row>
    <row r="1755" spans="1:48" ht="37.5" hidden="1">
      <c r="A1755" s="1785" t="str">
        <f t="shared" si="297"/>
        <v>גמל</v>
      </c>
      <c r="B1755" s="1786">
        <f t="shared" si="298"/>
        <v>340</v>
      </c>
      <c r="C1755" s="1787">
        <v>28946</v>
      </c>
      <c r="D1755" s="1786" t="str">
        <f t="shared" si="299"/>
        <v xml:space="preserve">קופת תגמולים של עובדי עיריית חיפה - אגודה שיתופית בע"מ </v>
      </c>
      <c r="E1755" s="1786" t="s">
        <v>3929</v>
      </c>
      <c r="F1755" s="1786" t="s">
        <v>2958</v>
      </c>
      <c r="G1755" s="1786" t="s">
        <v>2959</v>
      </c>
      <c r="H1755" s="1786" t="str">
        <f t="shared" si="300"/>
        <v>לא פעיל</v>
      </c>
      <c r="I1755" s="1788">
        <f t="shared" si="301"/>
        <v>23833</v>
      </c>
      <c r="J1755" s="1788">
        <f t="shared" si="302"/>
        <v>42373.530868055597</v>
      </c>
      <c r="K1755" s="1786">
        <v>0</v>
      </c>
      <c r="L1755" s="1786" t="s">
        <v>1594</v>
      </c>
      <c r="M1755" s="1786" t="s">
        <v>1653</v>
      </c>
      <c r="N1755" s="1786" t="s">
        <v>1653</v>
      </c>
      <c r="O1755" s="1786">
        <v>0</v>
      </c>
      <c r="P1755" s="1786"/>
      <c r="Q1755" s="1786">
        <v>0</v>
      </c>
      <c r="R1755" s="1788"/>
      <c r="S1755" s="1786">
        <f t="shared" si="303"/>
        <v>340</v>
      </c>
      <c r="T1755" s="1786" t="str">
        <f t="shared" si="304"/>
        <v>בנק הפועלים בע"מ</v>
      </c>
      <c r="U1755" s="1786" t="str">
        <f t="shared" si="305"/>
        <v>קופת התגמולים של עובדי עירית חיפה אגודה שיתופית בע"מ</v>
      </c>
      <c r="V1755" s="1786">
        <f t="shared" si="306"/>
        <v>0</v>
      </c>
      <c r="W1755" s="1789" t="str">
        <f t="shared" si="307"/>
        <v>קופת"ג של עובדי עירית חיפה</v>
      </c>
      <c r="AC1755" s="1761" t="s">
        <v>1586</v>
      </c>
      <c r="AD1755" s="1762">
        <v>42373.530868055597</v>
      </c>
      <c r="AE1755" s="1762">
        <v>23833</v>
      </c>
      <c r="AF1755" s="1761" t="s">
        <v>1583</v>
      </c>
      <c r="AG1755" s="1761" t="s">
        <v>1583</v>
      </c>
      <c r="AH1755" s="1761" t="s">
        <v>1583</v>
      </c>
      <c r="AI1755" s="1761" t="s">
        <v>4518</v>
      </c>
      <c r="AJ1755" s="1761" t="s">
        <v>4517</v>
      </c>
      <c r="AK1755" s="1761">
        <v>340</v>
      </c>
      <c r="AL1755" s="1761" t="s">
        <v>492</v>
      </c>
      <c r="AM1755" s="1761">
        <v>340</v>
      </c>
      <c r="AN1755" s="1761" t="s">
        <v>1695</v>
      </c>
      <c r="AO1755" s="1764"/>
      <c r="AP1755" s="1761"/>
      <c r="AQ1755" s="1761"/>
      <c r="AR1755" s="1761" t="s">
        <v>490</v>
      </c>
      <c r="AS1755" s="1761" t="s">
        <v>491</v>
      </c>
      <c r="AT1755" s="1761" t="s">
        <v>327</v>
      </c>
      <c r="AU1755" s="1763"/>
      <c r="AV1755" s="1763"/>
    </row>
    <row r="1756" spans="1:48" ht="37.5" hidden="1">
      <c r="A1756" s="1785" t="str">
        <f t="shared" si="297"/>
        <v>גמל</v>
      </c>
      <c r="B1756" s="1786">
        <f t="shared" si="298"/>
        <v>7220</v>
      </c>
      <c r="C1756" s="1787">
        <v>28946</v>
      </c>
      <c r="D1756" s="1786" t="str">
        <f t="shared" si="299"/>
        <v xml:space="preserve">קופת תגמולים עיריית חיפה מסלול לבני 60 ומעלה </v>
      </c>
      <c r="E1756" s="1786" t="s">
        <v>3929</v>
      </c>
      <c r="F1756" s="1786" t="s">
        <v>2958</v>
      </c>
      <c r="G1756" s="1786" t="s">
        <v>2959</v>
      </c>
      <c r="H1756" s="1786" t="str">
        <f t="shared" si="300"/>
        <v>פעיל</v>
      </c>
      <c r="I1756" s="1788">
        <f t="shared" si="301"/>
        <v>23833</v>
      </c>
      <c r="J1756" s="1788" t="str">
        <f t="shared" si="302"/>
        <v/>
      </c>
      <c r="K1756" s="1786">
        <v>0</v>
      </c>
      <c r="L1756" s="1786" t="s">
        <v>1594</v>
      </c>
      <c r="M1756" s="1786" t="s">
        <v>1653</v>
      </c>
      <c r="N1756" s="1786" t="s">
        <v>1653</v>
      </c>
      <c r="O1756" s="1786">
        <v>0</v>
      </c>
      <c r="P1756" s="1786"/>
      <c r="Q1756" s="1786">
        <v>0</v>
      </c>
      <c r="R1756" s="1788"/>
      <c r="S1756" s="1786">
        <f t="shared" si="303"/>
        <v>340</v>
      </c>
      <c r="T1756" s="1786" t="str">
        <f t="shared" si="304"/>
        <v>בנק הפועלים בע"מ</v>
      </c>
      <c r="U1756" s="1786" t="str">
        <f t="shared" si="305"/>
        <v>קופת התגמולים של עובדי עירית חיפה אגודה שיתופית בע"מ</v>
      </c>
      <c r="V1756" s="1786">
        <f t="shared" si="306"/>
        <v>0</v>
      </c>
      <c r="W1756" s="1789" t="str">
        <f t="shared" si="307"/>
        <v>קופת"ג של עובדי עירית חיפה</v>
      </c>
      <c r="AC1756" s="1759" t="s">
        <v>346</v>
      </c>
      <c r="AD1756" s="1759"/>
      <c r="AE1756" s="1760">
        <v>23833</v>
      </c>
      <c r="AF1756" s="1759" t="s">
        <v>3963</v>
      </c>
      <c r="AG1756" s="1759" t="s">
        <v>3931</v>
      </c>
      <c r="AH1756" s="1759" t="s">
        <v>3658</v>
      </c>
      <c r="AI1756" s="1759" t="s">
        <v>4198</v>
      </c>
      <c r="AJ1756" s="1759" t="s">
        <v>4197</v>
      </c>
      <c r="AK1756" s="1759">
        <v>7220</v>
      </c>
      <c r="AL1756" s="1759" t="s">
        <v>492</v>
      </c>
      <c r="AM1756" s="1759">
        <v>340</v>
      </c>
      <c r="AN1756" s="1759" t="s">
        <v>1695</v>
      </c>
      <c r="AO1756" s="1764"/>
      <c r="AP1756" s="1759"/>
      <c r="AQ1756" s="1759"/>
      <c r="AR1756" s="1759" t="s">
        <v>490</v>
      </c>
      <c r="AS1756" s="1759" t="s">
        <v>491</v>
      </c>
      <c r="AT1756" s="1759" t="s">
        <v>327</v>
      </c>
      <c r="AU1756" s="1763"/>
      <c r="AV1756" s="1763"/>
    </row>
    <row r="1757" spans="1:48" ht="37.5" hidden="1">
      <c r="A1757" s="1785" t="str">
        <f t="shared" si="297"/>
        <v>גמל</v>
      </c>
      <c r="B1757" s="1786">
        <f t="shared" si="298"/>
        <v>7219</v>
      </c>
      <c r="C1757" s="1787">
        <v>28946</v>
      </c>
      <c r="D1757" s="1786" t="str">
        <f t="shared" si="299"/>
        <v xml:space="preserve">קופת תגמולים עיריית חיפה מסלול לבני 50  עד 60 </v>
      </c>
      <c r="E1757" s="1786" t="s">
        <v>3929</v>
      </c>
      <c r="F1757" s="1786" t="s">
        <v>2958</v>
      </c>
      <c r="G1757" s="1786" t="s">
        <v>2959</v>
      </c>
      <c r="H1757" s="1786" t="str">
        <f t="shared" si="300"/>
        <v>פעיל</v>
      </c>
      <c r="I1757" s="1788">
        <f t="shared" si="301"/>
        <v>23833</v>
      </c>
      <c r="J1757" s="1788" t="str">
        <f t="shared" si="302"/>
        <v/>
      </c>
      <c r="K1757" s="1786">
        <v>0</v>
      </c>
      <c r="L1757" s="1786" t="s">
        <v>1594</v>
      </c>
      <c r="M1757" s="1786" t="s">
        <v>1653</v>
      </c>
      <c r="N1757" s="1786" t="s">
        <v>1653</v>
      </c>
      <c r="O1757" s="1786">
        <v>0</v>
      </c>
      <c r="P1757" s="1786"/>
      <c r="Q1757" s="1786">
        <v>0</v>
      </c>
      <c r="R1757" s="1788"/>
      <c r="S1757" s="1786">
        <f t="shared" si="303"/>
        <v>340</v>
      </c>
      <c r="T1757" s="1786" t="str">
        <f t="shared" si="304"/>
        <v>בנק הפועלים בע"מ</v>
      </c>
      <c r="U1757" s="1786" t="str">
        <f t="shared" si="305"/>
        <v>קופת התגמולים של עובדי עירית חיפה אגודה שיתופית בע"מ</v>
      </c>
      <c r="V1757" s="1786">
        <f t="shared" si="306"/>
        <v>0</v>
      </c>
      <c r="W1757" s="1789" t="str">
        <f t="shared" si="307"/>
        <v>קופת"ג של עובדי עירית חיפה</v>
      </c>
      <c r="AC1757" s="1761" t="s">
        <v>346</v>
      </c>
      <c r="AD1757" s="1759"/>
      <c r="AE1757" s="1762">
        <v>23833</v>
      </c>
      <c r="AF1757" s="1761" t="s">
        <v>3932</v>
      </c>
      <c r="AG1757" s="1761" t="s">
        <v>3931</v>
      </c>
      <c r="AH1757" s="1761" t="s">
        <v>3658</v>
      </c>
      <c r="AI1757" s="1761" t="s">
        <v>4196</v>
      </c>
      <c r="AJ1757" s="1761" t="s">
        <v>4195</v>
      </c>
      <c r="AK1757" s="1761">
        <v>7219</v>
      </c>
      <c r="AL1757" s="1761" t="s">
        <v>492</v>
      </c>
      <c r="AM1757" s="1761">
        <v>340</v>
      </c>
      <c r="AN1757" s="1761" t="s">
        <v>1695</v>
      </c>
      <c r="AO1757" s="1764"/>
      <c r="AP1757" s="1761"/>
      <c r="AQ1757" s="1761"/>
      <c r="AR1757" s="1761" t="s">
        <v>490</v>
      </c>
      <c r="AS1757" s="1761" t="s">
        <v>491</v>
      </c>
      <c r="AT1757" s="1761" t="s">
        <v>327</v>
      </c>
      <c r="AU1757" s="1763"/>
      <c r="AV1757" s="1763"/>
    </row>
    <row r="1758" spans="1:48" ht="37.5" hidden="1">
      <c r="A1758" s="1785" t="str">
        <f t="shared" si="297"/>
        <v>גמל</v>
      </c>
      <c r="B1758" s="1786">
        <f t="shared" si="298"/>
        <v>1405</v>
      </c>
      <c r="C1758" s="1787">
        <v>28946</v>
      </c>
      <c r="D1758" s="1786" t="str">
        <f t="shared" si="299"/>
        <v>תגמולים של העובדים בעיריית תל אביב-יפו תגמולים מסלול אג"ח.</v>
      </c>
      <c r="E1758" s="1786" t="s">
        <v>3929</v>
      </c>
      <c r="F1758" s="1786" t="s">
        <v>2958</v>
      </c>
      <c r="G1758" s="1786" t="s">
        <v>2959</v>
      </c>
      <c r="H1758" s="1786" t="str">
        <f t="shared" si="300"/>
        <v>פעיל</v>
      </c>
      <c r="I1758" s="1788">
        <f t="shared" si="301"/>
        <v>24746</v>
      </c>
      <c r="J1758" s="1788" t="str">
        <f t="shared" si="302"/>
        <v/>
      </c>
      <c r="K1758" s="1786">
        <v>0</v>
      </c>
      <c r="L1758" s="1786" t="s">
        <v>1594</v>
      </c>
      <c r="M1758" s="1786" t="s">
        <v>1653</v>
      </c>
      <c r="N1758" s="1786" t="s">
        <v>1653</v>
      </c>
      <c r="O1758" s="1786">
        <v>0</v>
      </c>
      <c r="P1758" s="1786"/>
      <c r="Q1758" s="1786">
        <v>0</v>
      </c>
      <c r="R1758" s="1788"/>
      <c r="S1758" s="1786">
        <f t="shared" si="303"/>
        <v>337</v>
      </c>
      <c r="T1758" s="1786" t="str">
        <f t="shared" si="304"/>
        <v>עובדי עיריית ת"א -יפו - תגמולים</v>
      </c>
      <c r="U1758" s="1786" t="str">
        <f t="shared" si="305"/>
        <v>קופת תגמולים של העובדים בעירית תל אביב- יפו אגודה שיתופית בע"מ</v>
      </c>
      <c r="V1758" s="1786">
        <f t="shared" si="306"/>
        <v>0</v>
      </c>
      <c r="W1758" s="1789" t="str">
        <f t="shared" si="307"/>
        <v>תגמולים של עובדים בעירית ת"א-יפו א.ש. בע"מ</v>
      </c>
      <c r="AC1758" s="1759" t="s">
        <v>346</v>
      </c>
      <c r="AD1758" s="1759"/>
      <c r="AE1758" s="1760">
        <v>24746</v>
      </c>
      <c r="AF1758" s="1759" t="s">
        <v>2025</v>
      </c>
      <c r="AG1758" s="1759" t="s">
        <v>1583</v>
      </c>
      <c r="AH1758" s="1759" t="s">
        <v>1583</v>
      </c>
      <c r="AI1758" s="1759" t="s">
        <v>4089</v>
      </c>
      <c r="AJ1758" s="1759" t="s">
        <v>4088</v>
      </c>
      <c r="AK1758" s="1759">
        <v>1405</v>
      </c>
      <c r="AL1758" s="1759" t="s">
        <v>489</v>
      </c>
      <c r="AM1758" s="1759">
        <v>337</v>
      </c>
      <c r="AN1758" s="1759" t="s">
        <v>5673</v>
      </c>
      <c r="AO1758" s="1764"/>
      <c r="AP1758" s="1759"/>
      <c r="AQ1758" s="1759"/>
      <c r="AR1758" s="1759" t="s">
        <v>487</v>
      </c>
      <c r="AS1758" s="1759" t="s">
        <v>488</v>
      </c>
      <c r="AT1758" s="1759" t="s">
        <v>327</v>
      </c>
      <c r="AU1758" s="1763"/>
      <c r="AV1758" s="1763"/>
    </row>
    <row r="1759" spans="1:48" ht="37.5" hidden="1">
      <c r="A1759" s="1785" t="str">
        <f t="shared" si="297"/>
        <v>גמל</v>
      </c>
      <c r="B1759" s="1786">
        <f t="shared" si="298"/>
        <v>1477</v>
      </c>
      <c r="C1759" s="1787">
        <v>28946</v>
      </c>
      <c r="D1759" s="1786" t="str">
        <f t="shared" si="299"/>
        <v>קופת תגמולים של העובדים בעירית תל אביב-יפו אגודה שיתופית בע"מ מסלול מניות</v>
      </c>
      <c r="E1759" s="1786" t="s">
        <v>3929</v>
      </c>
      <c r="F1759" s="1786" t="s">
        <v>2958</v>
      </c>
      <c r="G1759" s="1786" t="s">
        <v>2959</v>
      </c>
      <c r="H1759" s="1786" t="str">
        <f t="shared" si="300"/>
        <v>פעיל</v>
      </c>
      <c r="I1759" s="1788">
        <f t="shared" si="301"/>
        <v>24746</v>
      </c>
      <c r="J1759" s="1788" t="str">
        <f t="shared" si="302"/>
        <v/>
      </c>
      <c r="K1759" s="1786">
        <v>0</v>
      </c>
      <c r="L1759" s="1786" t="s">
        <v>1594</v>
      </c>
      <c r="M1759" s="1786" t="s">
        <v>1653</v>
      </c>
      <c r="N1759" s="1786" t="s">
        <v>1653</v>
      </c>
      <c r="O1759" s="1786">
        <v>0</v>
      </c>
      <c r="P1759" s="1786"/>
      <c r="Q1759" s="1786">
        <v>0</v>
      </c>
      <c r="R1759" s="1788"/>
      <c r="S1759" s="1786">
        <f t="shared" si="303"/>
        <v>337</v>
      </c>
      <c r="T1759" s="1786" t="str">
        <f t="shared" si="304"/>
        <v>עובדי עיריית ת"א -יפו - תגמולים</v>
      </c>
      <c r="U1759" s="1786" t="str">
        <f t="shared" si="305"/>
        <v>קופת תגמולים של העובדים בעירית תל אביב- יפו אגודה שיתופית בע"מ</v>
      </c>
      <c r="V1759" s="1786">
        <f t="shared" si="306"/>
        <v>0</v>
      </c>
      <c r="W1759" s="1789" t="str">
        <f t="shared" si="307"/>
        <v>תגמולים של עובדים בעירית ת"א-יפו א.ש. בע"מ</v>
      </c>
      <c r="AC1759" s="1761" t="s">
        <v>346</v>
      </c>
      <c r="AD1759" s="1761"/>
      <c r="AE1759" s="1762">
        <v>24746</v>
      </c>
      <c r="AF1759" s="1761" t="s">
        <v>1595</v>
      </c>
      <c r="AG1759" s="1761" t="s">
        <v>75</v>
      </c>
      <c r="AH1759" s="1761" t="s">
        <v>1594</v>
      </c>
      <c r="AI1759" s="1761" t="s">
        <v>4616</v>
      </c>
      <c r="AJ1759" s="1761" t="s">
        <v>4615</v>
      </c>
      <c r="AK1759" s="1761">
        <v>1477</v>
      </c>
      <c r="AL1759" s="1761" t="s">
        <v>489</v>
      </c>
      <c r="AM1759" s="1761">
        <v>337</v>
      </c>
      <c r="AN1759" s="1761" t="s">
        <v>5673</v>
      </c>
      <c r="AO1759" s="1764"/>
      <c r="AP1759" s="1761"/>
      <c r="AQ1759" s="1761"/>
      <c r="AR1759" s="1761" t="s">
        <v>487</v>
      </c>
      <c r="AS1759" s="1761" t="s">
        <v>488</v>
      </c>
      <c r="AT1759" s="1761" t="s">
        <v>327</v>
      </c>
      <c r="AU1759" s="1763"/>
      <c r="AV1759" s="1763"/>
    </row>
    <row r="1760" spans="1:48" ht="37.5" hidden="1">
      <c r="A1760" s="1785" t="str">
        <f t="shared" si="297"/>
        <v>גמל</v>
      </c>
      <c r="B1760" s="1786">
        <f t="shared" si="298"/>
        <v>337</v>
      </c>
      <c r="C1760" s="1787">
        <v>28946</v>
      </c>
      <c r="D1760" s="1786" t="str">
        <f t="shared" si="299"/>
        <v>קופת תגמולים של העובדים בעירית תל אביב- יפו אגודה שיתופית בע"מ</v>
      </c>
      <c r="E1760" s="1786" t="s">
        <v>3929</v>
      </c>
      <c r="F1760" s="1786" t="s">
        <v>2958</v>
      </c>
      <c r="G1760" s="1786" t="s">
        <v>2959</v>
      </c>
      <c r="H1760" s="1786" t="str">
        <f t="shared" si="300"/>
        <v>לא פעיל</v>
      </c>
      <c r="I1760" s="1788">
        <f t="shared" si="301"/>
        <v>24746</v>
      </c>
      <c r="J1760" s="1788">
        <f t="shared" si="302"/>
        <v>42370.784293981502</v>
      </c>
      <c r="K1760" s="1786">
        <v>0</v>
      </c>
      <c r="L1760" s="1786" t="s">
        <v>1594</v>
      </c>
      <c r="M1760" s="1786" t="s">
        <v>1653</v>
      </c>
      <c r="N1760" s="1786" t="s">
        <v>1653</v>
      </c>
      <c r="O1760" s="1786">
        <v>0</v>
      </c>
      <c r="P1760" s="1786"/>
      <c r="Q1760" s="1786">
        <v>0</v>
      </c>
      <c r="R1760" s="1788"/>
      <c r="S1760" s="1786">
        <f t="shared" si="303"/>
        <v>337</v>
      </c>
      <c r="T1760" s="1786" t="str">
        <f t="shared" si="304"/>
        <v>עובדי עיריית ת"א -יפו - תגמולים</v>
      </c>
      <c r="U1760" s="1786" t="str">
        <f t="shared" si="305"/>
        <v>קופת תגמולים של העובדים בעירית תל אביב- יפו אגודה שיתופית בע"מ</v>
      </c>
      <c r="V1760" s="1786">
        <f t="shared" si="306"/>
        <v>0</v>
      </c>
      <c r="W1760" s="1789" t="str">
        <f t="shared" si="307"/>
        <v>תגמולים של עובדים בעירית ת"א-יפו א.ש. בע"מ</v>
      </c>
      <c r="AC1760" s="1759" t="s">
        <v>1586</v>
      </c>
      <c r="AD1760" s="1760">
        <v>42370.784293981502</v>
      </c>
      <c r="AE1760" s="1760">
        <v>24746</v>
      </c>
      <c r="AF1760" s="1759" t="s">
        <v>1583</v>
      </c>
      <c r="AG1760" s="1759" t="s">
        <v>1583</v>
      </c>
      <c r="AH1760" s="1759" t="s">
        <v>1583</v>
      </c>
      <c r="AI1760" s="1759" t="s">
        <v>3075</v>
      </c>
      <c r="AJ1760" s="1759" t="s">
        <v>489</v>
      </c>
      <c r="AK1760" s="1759">
        <v>337</v>
      </c>
      <c r="AL1760" s="1759" t="s">
        <v>489</v>
      </c>
      <c r="AM1760" s="1759">
        <v>337</v>
      </c>
      <c r="AN1760" s="1759" t="s">
        <v>5673</v>
      </c>
      <c r="AO1760" s="1764"/>
      <c r="AP1760" s="1759"/>
      <c r="AQ1760" s="1759"/>
      <c r="AR1760" s="1759" t="s">
        <v>487</v>
      </c>
      <c r="AS1760" s="1759" t="s">
        <v>488</v>
      </c>
      <c r="AT1760" s="1759" t="s">
        <v>327</v>
      </c>
      <c r="AU1760" s="1763"/>
      <c r="AV1760" s="1763"/>
    </row>
    <row r="1761" spans="1:48" ht="37.5" hidden="1">
      <c r="A1761" s="1785" t="str">
        <f t="shared" si="297"/>
        <v>גמל</v>
      </c>
      <c r="B1761" s="1786">
        <f t="shared" si="298"/>
        <v>9963</v>
      </c>
      <c r="C1761" s="1787">
        <v>28946</v>
      </c>
      <c r="D1761" s="1786" t="str">
        <f t="shared" si="299"/>
        <v>קופת תגמולים של העובדים בעירית תל אביב- יפו אגודה שיתופית בע"מ מסלול לבני 50-60</v>
      </c>
      <c r="E1761" s="1786" t="s">
        <v>3929</v>
      </c>
      <c r="F1761" s="1786" t="s">
        <v>2958</v>
      </c>
      <c r="G1761" s="1786" t="s">
        <v>2959</v>
      </c>
      <c r="H1761" s="1786" t="str">
        <f t="shared" si="300"/>
        <v>פעיל</v>
      </c>
      <c r="I1761" s="1788">
        <f t="shared" si="301"/>
        <v>24746</v>
      </c>
      <c r="J1761" s="1788" t="str">
        <f t="shared" si="302"/>
        <v/>
      </c>
      <c r="K1761" s="1786">
        <v>0</v>
      </c>
      <c r="L1761" s="1786" t="s">
        <v>1594</v>
      </c>
      <c r="M1761" s="1786" t="s">
        <v>1653</v>
      </c>
      <c r="N1761" s="1786" t="s">
        <v>1653</v>
      </c>
      <c r="O1761" s="1786">
        <v>0</v>
      </c>
      <c r="P1761" s="1786"/>
      <c r="Q1761" s="1786">
        <v>0</v>
      </c>
      <c r="R1761" s="1788"/>
      <c r="S1761" s="1786">
        <f t="shared" si="303"/>
        <v>337</v>
      </c>
      <c r="T1761" s="1786" t="str">
        <f t="shared" si="304"/>
        <v>עובדי עיריית ת"א -יפו - תגמולים</v>
      </c>
      <c r="U1761" s="1786" t="str">
        <f t="shared" si="305"/>
        <v>קופת תגמולים של העובדים בעירית תל אביב- יפו אגודה שיתופית בע"מ</v>
      </c>
      <c r="V1761" s="1786">
        <f t="shared" si="306"/>
        <v>0</v>
      </c>
      <c r="W1761" s="1789" t="str">
        <f t="shared" si="307"/>
        <v>תגמולים של עובדים בעירית ת"א-יפו א.ש. בע"מ</v>
      </c>
      <c r="AC1761" s="1761" t="s">
        <v>346</v>
      </c>
      <c r="AD1761" s="1761"/>
      <c r="AE1761" s="1762">
        <v>24746</v>
      </c>
      <c r="AF1761" s="1761" t="s">
        <v>3932</v>
      </c>
      <c r="AG1761" s="1761" t="s">
        <v>3931</v>
      </c>
      <c r="AH1761" s="1761" t="s">
        <v>3658</v>
      </c>
      <c r="AI1761" s="1761" t="s">
        <v>4499</v>
      </c>
      <c r="AJ1761" s="1761" t="s">
        <v>4498</v>
      </c>
      <c r="AK1761" s="1761">
        <v>9963</v>
      </c>
      <c r="AL1761" s="1761" t="s">
        <v>489</v>
      </c>
      <c r="AM1761" s="1761">
        <v>337</v>
      </c>
      <c r="AN1761" s="1761" t="s">
        <v>5673</v>
      </c>
      <c r="AO1761" s="1764"/>
      <c r="AP1761" s="1761"/>
      <c r="AQ1761" s="1761"/>
      <c r="AR1761" s="1761" t="s">
        <v>487</v>
      </c>
      <c r="AS1761" s="1761" t="s">
        <v>488</v>
      </c>
      <c r="AT1761" s="1761" t="s">
        <v>327</v>
      </c>
      <c r="AU1761" s="1763"/>
      <c r="AV1761" s="1763"/>
    </row>
    <row r="1762" spans="1:48" ht="37.5" hidden="1">
      <c r="A1762" s="1785" t="str">
        <f t="shared" si="297"/>
        <v>גמל</v>
      </c>
      <c r="B1762" s="1786">
        <f t="shared" si="298"/>
        <v>9964</v>
      </c>
      <c r="C1762" s="1787">
        <v>28946</v>
      </c>
      <c r="D1762" s="1786" t="str">
        <f t="shared" si="299"/>
        <v>קופת תגמולים של העובדים בעירית תל אביב- יפו אגודה שיתופית בע"מ מסלול לבני 60 ומעלה</v>
      </c>
      <c r="E1762" s="1786" t="s">
        <v>3929</v>
      </c>
      <c r="F1762" s="1786" t="s">
        <v>2958</v>
      </c>
      <c r="G1762" s="1786" t="s">
        <v>2959</v>
      </c>
      <c r="H1762" s="1786" t="str">
        <f t="shared" si="300"/>
        <v>פעיל</v>
      </c>
      <c r="I1762" s="1788">
        <f t="shared" si="301"/>
        <v>24746</v>
      </c>
      <c r="J1762" s="1788" t="str">
        <f t="shared" si="302"/>
        <v/>
      </c>
      <c r="K1762" s="1786">
        <v>0</v>
      </c>
      <c r="L1762" s="1786" t="s">
        <v>1594</v>
      </c>
      <c r="M1762" s="1786" t="s">
        <v>1653</v>
      </c>
      <c r="N1762" s="1786" t="s">
        <v>1653</v>
      </c>
      <c r="O1762" s="1786">
        <v>0</v>
      </c>
      <c r="P1762" s="1786"/>
      <c r="Q1762" s="1786">
        <v>0</v>
      </c>
      <c r="R1762" s="1788"/>
      <c r="S1762" s="1786">
        <f t="shared" si="303"/>
        <v>337</v>
      </c>
      <c r="T1762" s="1786" t="str">
        <f t="shared" si="304"/>
        <v>עובדי עיריית ת"א -יפו - תגמולים</v>
      </c>
      <c r="U1762" s="1786" t="str">
        <f t="shared" si="305"/>
        <v>קופת תגמולים של העובדים בעירית תל אביב- יפו אגודה שיתופית בע"מ</v>
      </c>
      <c r="V1762" s="1786">
        <f t="shared" si="306"/>
        <v>0</v>
      </c>
      <c r="W1762" s="1789" t="str">
        <f t="shared" si="307"/>
        <v>תגמולים של עובדים בעירית ת"א-יפו א.ש. בע"מ</v>
      </c>
      <c r="AC1762" s="1759" t="s">
        <v>346</v>
      </c>
      <c r="AD1762" s="1759"/>
      <c r="AE1762" s="1760">
        <v>24746</v>
      </c>
      <c r="AF1762" s="1759" t="s">
        <v>3963</v>
      </c>
      <c r="AG1762" s="1759" t="s">
        <v>3931</v>
      </c>
      <c r="AH1762" s="1759" t="s">
        <v>3658</v>
      </c>
      <c r="AI1762" s="1759" t="s">
        <v>4501</v>
      </c>
      <c r="AJ1762" s="1759" t="s">
        <v>4500</v>
      </c>
      <c r="AK1762" s="1759">
        <v>9964</v>
      </c>
      <c r="AL1762" s="1759" t="s">
        <v>489</v>
      </c>
      <c r="AM1762" s="1759">
        <v>337</v>
      </c>
      <c r="AN1762" s="1759" t="s">
        <v>5673</v>
      </c>
      <c r="AO1762" s="1764"/>
      <c r="AP1762" s="1759"/>
      <c r="AQ1762" s="1759"/>
      <c r="AR1762" s="1759" t="s">
        <v>487</v>
      </c>
      <c r="AS1762" s="1759" t="s">
        <v>488</v>
      </c>
      <c r="AT1762" s="1759" t="s">
        <v>327</v>
      </c>
      <c r="AU1762" s="1763"/>
      <c r="AV1762" s="1763"/>
    </row>
    <row r="1763" spans="1:48" ht="37.5" hidden="1">
      <c r="A1763" s="1785" t="str">
        <f t="shared" si="297"/>
        <v>גמל</v>
      </c>
      <c r="B1763" s="1786">
        <f t="shared" si="298"/>
        <v>9962</v>
      </c>
      <c r="C1763" s="1787">
        <v>28946</v>
      </c>
      <c r="D1763" s="1786" t="str">
        <f t="shared" si="299"/>
        <v>קופת תגמולים של העובדים בעירית תל אביב- יפו אגודה שיתופית בע"מ מסלול לבני 50 ומטה.</v>
      </c>
      <c r="E1763" s="1786" t="s">
        <v>3929</v>
      </c>
      <c r="F1763" s="1786" t="s">
        <v>2958</v>
      </c>
      <c r="G1763" s="1786" t="s">
        <v>2959</v>
      </c>
      <c r="H1763" s="1786" t="str">
        <f t="shared" si="300"/>
        <v>פעיל</v>
      </c>
      <c r="I1763" s="1788">
        <f t="shared" si="301"/>
        <v>24746</v>
      </c>
      <c r="J1763" s="1788" t="str">
        <f t="shared" si="302"/>
        <v/>
      </c>
      <c r="K1763" s="1786">
        <v>0</v>
      </c>
      <c r="L1763" s="1786" t="s">
        <v>1594</v>
      </c>
      <c r="M1763" s="1786" t="s">
        <v>1653</v>
      </c>
      <c r="N1763" s="1786" t="s">
        <v>1653</v>
      </c>
      <c r="O1763" s="1786">
        <v>0</v>
      </c>
      <c r="P1763" s="1786"/>
      <c r="Q1763" s="1786">
        <v>0</v>
      </c>
      <c r="R1763" s="1788"/>
      <c r="S1763" s="1786">
        <f t="shared" si="303"/>
        <v>337</v>
      </c>
      <c r="T1763" s="1786" t="str">
        <f t="shared" si="304"/>
        <v>עובדי עיריית ת"א -יפו - תגמולים</v>
      </c>
      <c r="U1763" s="1786" t="str">
        <f t="shared" si="305"/>
        <v>קופת תגמולים של העובדים בעירית תל אביב- יפו אגודה שיתופית בע"מ</v>
      </c>
      <c r="V1763" s="1786">
        <f t="shared" si="306"/>
        <v>0</v>
      </c>
      <c r="W1763" s="1789" t="str">
        <f t="shared" si="307"/>
        <v>תגמולים של עובדים בעירית ת"א-יפו א.ש. בע"מ</v>
      </c>
      <c r="AC1763" s="1761" t="s">
        <v>346</v>
      </c>
      <c r="AD1763" s="1761"/>
      <c r="AE1763" s="1762">
        <v>24746</v>
      </c>
      <c r="AF1763" s="1761" t="s">
        <v>4151</v>
      </c>
      <c r="AG1763" s="1761" t="s">
        <v>3931</v>
      </c>
      <c r="AH1763" s="1761" t="s">
        <v>3658</v>
      </c>
      <c r="AI1763" s="1761" t="s">
        <v>4497</v>
      </c>
      <c r="AJ1763" s="1761" t="s">
        <v>4496</v>
      </c>
      <c r="AK1763" s="1761">
        <v>9962</v>
      </c>
      <c r="AL1763" s="1761" t="s">
        <v>489</v>
      </c>
      <c r="AM1763" s="1761">
        <v>337</v>
      </c>
      <c r="AN1763" s="1761" t="s">
        <v>5673</v>
      </c>
      <c r="AO1763" s="1764"/>
      <c r="AP1763" s="1761"/>
      <c r="AQ1763" s="1761"/>
      <c r="AR1763" s="1761" t="s">
        <v>487</v>
      </c>
      <c r="AS1763" s="1761" t="s">
        <v>488</v>
      </c>
      <c r="AT1763" s="1761" t="s">
        <v>327</v>
      </c>
      <c r="AU1763" s="1763"/>
      <c r="AV1763" s="1763"/>
    </row>
    <row r="1764" spans="1:48" ht="37.5" hidden="1">
      <c r="A1764" s="1785" t="str">
        <f t="shared" si="297"/>
        <v>גמל</v>
      </c>
      <c r="B1764" s="1786">
        <f t="shared" si="298"/>
        <v>333</v>
      </c>
      <c r="C1764" s="1787">
        <v>28946</v>
      </c>
      <c r="D1764" s="1786" t="str">
        <f t="shared" si="299"/>
        <v>סהר</v>
      </c>
      <c r="E1764" s="1786" t="s">
        <v>3929</v>
      </c>
      <c r="F1764" s="1786" t="s">
        <v>2958</v>
      </c>
      <c r="G1764" s="1786" t="s">
        <v>2959</v>
      </c>
      <c r="H1764" s="1786" t="str">
        <f t="shared" si="300"/>
        <v>לא פעיל</v>
      </c>
      <c r="I1764" s="1788">
        <f t="shared" si="301"/>
        <v>25569</v>
      </c>
      <c r="J1764" s="1788">
        <f t="shared" si="302"/>
        <v>32874</v>
      </c>
      <c r="K1764" s="1786">
        <v>0</v>
      </c>
      <c r="L1764" s="1786" t="s">
        <v>1594</v>
      </c>
      <c r="M1764" s="1786" t="s">
        <v>1653</v>
      </c>
      <c r="N1764" s="1786" t="s">
        <v>1653</v>
      </c>
      <c r="O1764" s="1786">
        <v>0</v>
      </c>
      <c r="P1764" s="1786"/>
      <c r="Q1764" s="1786">
        <v>0</v>
      </c>
      <c r="R1764" s="1788"/>
      <c r="S1764" s="1786">
        <f t="shared" si="303"/>
        <v>333</v>
      </c>
      <c r="T1764" s="1786" t="str">
        <f t="shared" si="304"/>
        <v>בנק לאומי בע"מ</v>
      </c>
      <c r="U1764" s="1786" t="str">
        <f t="shared" si="305"/>
        <v>סהר</v>
      </c>
      <c r="V1764" s="1786">
        <f t="shared" si="306"/>
        <v>0</v>
      </c>
      <c r="W1764" s="1789" t="str">
        <f t="shared" si="307"/>
        <v>קופת התגמולים לעצמאים "עצמה" ליד בל"ל בע"מ</v>
      </c>
      <c r="AC1764" s="1759" t="s">
        <v>1586</v>
      </c>
      <c r="AD1764" s="1760">
        <v>32874</v>
      </c>
      <c r="AE1764" s="1760">
        <v>25569</v>
      </c>
      <c r="AF1764" s="1759" t="s">
        <v>1583</v>
      </c>
      <c r="AG1764" s="1759" t="s">
        <v>1583</v>
      </c>
      <c r="AH1764" s="1759" t="s">
        <v>1583</v>
      </c>
      <c r="AI1764" s="1759" t="s">
        <v>1757</v>
      </c>
      <c r="AJ1764" s="1759" t="s">
        <v>1757</v>
      </c>
      <c r="AK1764" s="1759">
        <v>333</v>
      </c>
      <c r="AL1764" s="1759" t="s">
        <v>1757</v>
      </c>
      <c r="AM1764" s="1759">
        <v>333</v>
      </c>
      <c r="AN1764" s="1759" t="s">
        <v>5470</v>
      </c>
      <c r="AO1764" s="1764"/>
      <c r="AP1764" s="1759"/>
      <c r="AQ1764" s="1759"/>
      <c r="AR1764" s="1759" t="s">
        <v>1661</v>
      </c>
      <c r="AS1764" s="1759" t="s">
        <v>1660</v>
      </c>
      <c r="AT1764" s="1759" t="s">
        <v>327</v>
      </c>
      <c r="AU1764" s="1763"/>
      <c r="AV1764" s="1763"/>
    </row>
    <row r="1765" spans="1:48" ht="25" hidden="1">
      <c r="A1765" s="1785" t="str">
        <f t="shared" si="297"/>
        <v>גמל</v>
      </c>
      <c r="B1765" s="1786">
        <f t="shared" si="298"/>
        <v>331</v>
      </c>
      <c r="C1765" s="1787">
        <v>28946</v>
      </c>
      <c r="D1765" s="1786" t="str">
        <f t="shared" si="299"/>
        <v>מיטב גאון פיצויים - מסלול כללי</v>
      </c>
      <c r="E1765" s="1786" t="s">
        <v>3929</v>
      </c>
      <c r="F1765" s="1786" t="s">
        <v>2958</v>
      </c>
      <c r="G1765" s="1786" t="s">
        <v>2959</v>
      </c>
      <c r="H1765" s="1786" t="str">
        <f t="shared" si="300"/>
        <v>לא פעיל</v>
      </c>
      <c r="I1765" s="1788">
        <f t="shared" si="301"/>
        <v>23743</v>
      </c>
      <c r="J1765" s="1788">
        <f t="shared" si="302"/>
        <v>40360</v>
      </c>
      <c r="K1765" s="1786">
        <v>0</v>
      </c>
      <c r="L1765" s="1786" t="s">
        <v>1594</v>
      </c>
      <c r="M1765" s="1786" t="s">
        <v>1653</v>
      </c>
      <c r="N1765" s="1786" t="s">
        <v>1653</v>
      </c>
      <c r="O1765" s="1786">
        <v>0</v>
      </c>
      <c r="P1765" s="1786"/>
      <c r="Q1765" s="1786">
        <v>0</v>
      </c>
      <c r="R1765" s="1788"/>
      <c r="S1765" s="1786">
        <f t="shared" si="303"/>
        <v>331</v>
      </c>
      <c r="T1765" s="1786" t="str">
        <f t="shared" si="304"/>
        <v>בנק הפועלים בע"מ</v>
      </c>
      <c r="U1765" s="1786" t="str">
        <f t="shared" si="305"/>
        <v>מיטב גאון פיצויים - מסלול כללי</v>
      </c>
      <c r="V1765" s="1786">
        <f t="shared" si="306"/>
        <v>0</v>
      </c>
      <c r="W1765" s="1789" t="str">
        <f t="shared" si="307"/>
        <v>מיטב גמל ופנסיה בע"מ</v>
      </c>
      <c r="AC1765" s="1761" t="s">
        <v>1586</v>
      </c>
      <c r="AD1765" s="1762">
        <v>40360</v>
      </c>
      <c r="AE1765" s="1762">
        <v>23743</v>
      </c>
      <c r="AF1765" s="1761" t="s">
        <v>1583</v>
      </c>
      <c r="AG1765" s="1761" t="s">
        <v>1583</v>
      </c>
      <c r="AH1765" s="1761" t="s">
        <v>1583</v>
      </c>
      <c r="AI1765" s="1761" t="s">
        <v>3074</v>
      </c>
      <c r="AJ1765" s="1761" t="s">
        <v>1756</v>
      </c>
      <c r="AK1765" s="1761">
        <v>331</v>
      </c>
      <c r="AL1765" s="1761" t="s">
        <v>1756</v>
      </c>
      <c r="AM1765" s="1761">
        <v>331</v>
      </c>
      <c r="AN1765" s="1761" t="s">
        <v>1695</v>
      </c>
      <c r="AO1765" s="1764"/>
      <c r="AP1765" s="1761"/>
      <c r="AQ1765" s="1761"/>
      <c r="AR1765" s="1761" t="s">
        <v>365</v>
      </c>
      <c r="AS1765" s="1761" t="s">
        <v>366</v>
      </c>
      <c r="AT1765" s="1761" t="s">
        <v>327</v>
      </c>
      <c r="AU1765" s="1763"/>
      <c r="AV1765" s="1763"/>
    </row>
    <row r="1766" spans="1:48" ht="37.5" hidden="1">
      <c r="A1766" s="1785" t="str">
        <f t="shared" si="297"/>
        <v>גמל</v>
      </c>
      <c r="B1766" s="1786">
        <f t="shared" si="298"/>
        <v>330</v>
      </c>
      <c r="C1766" s="1787">
        <v>28946</v>
      </c>
      <c r="D1766" s="1786" t="str">
        <f t="shared" si="299"/>
        <v>קופה לחסכון ועזרה הדדית של עובדי משרד הבטחון בע"מ</v>
      </c>
      <c r="E1766" s="1786" t="s">
        <v>3929</v>
      </c>
      <c r="F1766" s="1786" t="s">
        <v>2958</v>
      </c>
      <c r="G1766" s="1786" t="s">
        <v>2959</v>
      </c>
      <c r="H1766" s="1786" t="str">
        <f t="shared" si="300"/>
        <v>לא פעיל</v>
      </c>
      <c r="I1766" s="1788">
        <f t="shared" si="301"/>
        <v>24198</v>
      </c>
      <c r="J1766" s="1788">
        <f t="shared" si="302"/>
        <v>39447</v>
      </c>
      <c r="K1766" s="1786">
        <v>0</v>
      </c>
      <c r="L1766" s="1786" t="s">
        <v>1594</v>
      </c>
      <c r="M1766" s="1786" t="s">
        <v>1653</v>
      </c>
      <c r="N1766" s="1786" t="s">
        <v>1653</v>
      </c>
      <c r="O1766" s="1786">
        <v>0</v>
      </c>
      <c r="P1766" s="1786"/>
      <c r="Q1766" s="1786">
        <v>0</v>
      </c>
      <c r="R1766" s="1788"/>
      <c r="S1766" s="1786">
        <f t="shared" si="303"/>
        <v>330</v>
      </c>
      <c r="T1766" s="1786" t="str">
        <f t="shared" si="304"/>
        <v>בנק יהב לעובדי המדינה בע"מ</v>
      </c>
      <c r="U1766" s="1786" t="str">
        <f t="shared" si="305"/>
        <v>קופה לחסכון ועזרה הדדית של עובדי משרד הבטחון בע"מ</v>
      </c>
      <c r="V1766" s="1786">
        <f t="shared" si="306"/>
        <v>0</v>
      </c>
      <c r="W1766" s="1789" t="str">
        <f t="shared" si="307"/>
        <v>קופה לחסכון ועזרה הדדית של משה"ב בע"מ</v>
      </c>
      <c r="AC1766" s="1759" t="s">
        <v>1586</v>
      </c>
      <c r="AD1766" s="1760">
        <v>39447</v>
      </c>
      <c r="AE1766" s="1760">
        <v>24198</v>
      </c>
      <c r="AF1766" s="1759" t="s">
        <v>1583</v>
      </c>
      <c r="AG1766" s="1759" t="s">
        <v>1583</v>
      </c>
      <c r="AH1766" s="1759" t="s">
        <v>1583</v>
      </c>
      <c r="AI1766" s="1759" t="s">
        <v>3073</v>
      </c>
      <c r="AJ1766" s="1759" t="s">
        <v>1753</v>
      </c>
      <c r="AK1766" s="1759">
        <v>330</v>
      </c>
      <c r="AL1766" s="1759" t="s">
        <v>1753</v>
      </c>
      <c r="AM1766" s="1759">
        <v>330</v>
      </c>
      <c r="AN1766" s="1759" t="s">
        <v>5517</v>
      </c>
      <c r="AO1766" s="1764"/>
      <c r="AP1766" s="1759"/>
      <c r="AQ1766" s="1759"/>
      <c r="AR1766" s="1759" t="s">
        <v>1755</v>
      </c>
      <c r="AS1766" s="1759" t="s">
        <v>1754</v>
      </c>
      <c r="AT1766" s="1759" t="s">
        <v>327</v>
      </c>
      <c r="AU1766" s="1763"/>
      <c r="AV1766" s="1763"/>
    </row>
    <row r="1767" spans="1:48" ht="37.5" hidden="1">
      <c r="A1767" s="1785" t="str">
        <f t="shared" si="297"/>
        <v>גמל</v>
      </c>
      <c r="B1767" s="1786">
        <f t="shared" si="298"/>
        <v>329</v>
      </c>
      <c r="C1767" s="1787">
        <v>28946</v>
      </c>
      <c r="D1767" s="1786" t="str">
        <f t="shared" si="299"/>
        <v>קופת תגמולים של עובדי י.א. מיטווך ובניו בע"מ</v>
      </c>
      <c r="E1767" s="1786" t="s">
        <v>3929</v>
      </c>
      <c r="F1767" s="1786" t="s">
        <v>2958</v>
      </c>
      <c r="G1767" s="1786" t="s">
        <v>2959</v>
      </c>
      <c r="H1767" s="1786" t="str">
        <f t="shared" si="300"/>
        <v>לא פעיל</v>
      </c>
      <c r="I1767" s="1788">
        <f t="shared" si="301"/>
        <v>21276</v>
      </c>
      <c r="J1767" s="1788">
        <f t="shared" si="302"/>
        <v>38785.575601851902</v>
      </c>
      <c r="K1767" s="1786">
        <v>0</v>
      </c>
      <c r="L1767" s="1786" t="s">
        <v>1594</v>
      </c>
      <c r="M1767" s="1786" t="s">
        <v>1653</v>
      </c>
      <c r="N1767" s="1786" t="s">
        <v>1653</v>
      </c>
      <c r="O1767" s="1786">
        <v>0</v>
      </c>
      <c r="P1767" s="1786"/>
      <c r="Q1767" s="1786">
        <v>0</v>
      </c>
      <c r="R1767" s="1788"/>
      <c r="S1767" s="1786">
        <f t="shared" si="303"/>
        <v>329</v>
      </c>
      <c r="T1767" s="1786">
        <f t="shared" si="304"/>
        <v>0</v>
      </c>
      <c r="U1767" s="1786" t="str">
        <f t="shared" si="305"/>
        <v>קופת תגמולים של עובדי י.א. מיטווך ובניו בע"מ</v>
      </c>
      <c r="V1767" s="1786">
        <f t="shared" si="306"/>
        <v>0</v>
      </c>
      <c r="W1767" s="1789" t="str">
        <f t="shared" si="307"/>
        <v>קופת תגמולים של עובדי י.א. מיטווך ובניו בע"מ</v>
      </c>
      <c r="AC1767" s="1761" t="s">
        <v>1586</v>
      </c>
      <c r="AD1767" s="1762">
        <v>38785.575601851902</v>
      </c>
      <c r="AE1767" s="1762">
        <v>21276</v>
      </c>
      <c r="AF1767" s="1761" t="s">
        <v>1583</v>
      </c>
      <c r="AG1767" s="1761" t="s">
        <v>1583</v>
      </c>
      <c r="AH1767" s="1761" t="s">
        <v>1583</v>
      </c>
      <c r="AI1767" s="1761" t="s">
        <v>3072</v>
      </c>
      <c r="AJ1767" s="1761" t="s">
        <v>1751</v>
      </c>
      <c r="AK1767" s="1761">
        <v>329</v>
      </c>
      <c r="AL1767" s="1761" t="s">
        <v>1751</v>
      </c>
      <c r="AM1767" s="1761">
        <v>329</v>
      </c>
      <c r="AN1767" s="1761"/>
      <c r="AO1767" s="1764"/>
      <c r="AP1767" s="1761"/>
      <c r="AQ1767" s="1761"/>
      <c r="AR1767" s="1761" t="s">
        <v>1751</v>
      </c>
      <c r="AS1767" s="1761" t="s">
        <v>1752</v>
      </c>
      <c r="AT1767" s="1761" t="s">
        <v>327</v>
      </c>
      <c r="AU1767" s="1763"/>
      <c r="AV1767" s="1763"/>
    </row>
    <row r="1768" spans="1:48" ht="25" hidden="1">
      <c r="A1768" s="1785" t="str">
        <f t="shared" si="297"/>
        <v>גמל</v>
      </c>
      <c r="B1768" s="1786">
        <f t="shared" si="298"/>
        <v>328</v>
      </c>
      <c r="C1768" s="1787">
        <v>28946</v>
      </c>
      <c r="D1768" s="1786" t="str">
        <f t="shared" si="299"/>
        <v>קופת תגמולים ופיצויים של מפעלי נייר חדרה</v>
      </c>
      <c r="E1768" s="1786" t="s">
        <v>3929</v>
      </c>
      <c r="F1768" s="1786" t="s">
        <v>2958</v>
      </c>
      <c r="G1768" s="1786" t="s">
        <v>2959</v>
      </c>
      <c r="H1768" s="1786" t="str">
        <f t="shared" si="300"/>
        <v>פעיל</v>
      </c>
      <c r="I1768" s="1788">
        <f t="shared" si="301"/>
        <v>23833</v>
      </c>
      <c r="J1768" s="1788" t="str">
        <f t="shared" si="302"/>
        <v/>
      </c>
      <c r="K1768" s="1786">
        <v>0</v>
      </c>
      <c r="L1768" s="1786" t="s">
        <v>1594</v>
      </c>
      <c r="M1768" s="1786" t="s">
        <v>1653</v>
      </c>
      <c r="N1768" s="1786" t="s">
        <v>1653</v>
      </c>
      <c r="O1768" s="1786">
        <v>0</v>
      </c>
      <c r="P1768" s="1786"/>
      <c r="Q1768" s="1786">
        <v>0</v>
      </c>
      <c r="R1768" s="1788"/>
      <c r="S1768" s="1786">
        <f t="shared" si="303"/>
        <v>328</v>
      </c>
      <c r="T1768" s="1786" t="str">
        <f t="shared" si="304"/>
        <v>בנק הפועלים בע"מ</v>
      </c>
      <c r="U1768" s="1786" t="str">
        <f t="shared" si="305"/>
        <v>קופת תגמולים ופיצויים של מפעלי נייר חדרה</v>
      </c>
      <c r="V1768" s="1786" t="str">
        <f t="shared" si="306"/>
        <v>520043795</v>
      </c>
      <c r="W1768" s="1789" t="str">
        <f t="shared" si="307"/>
        <v>מיטב דש גמל ופנסיה בע"מ</v>
      </c>
      <c r="AC1768" s="1759" t="s">
        <v>346</v>
      </c>
      <c r="AD1768" s="1759"/>
      <c r="AE1768" s="1760">
        <v>23833</v>
      </c>
      <c r="AF1768" s="1759" t="s">
        <v>1583</v>
      </c>
      <c r="AG1768" s="1759" t="s">
        <v>1583</v>
      </c>
      <c r="AH1768" s="1759" t="s">
        <v>1583</v>
      </c>
      <c r="AI1768" s="1759" t="s">
        <v>3071</v>
      </c>
      <c r="AJ1768" s="1759" t="s">
        <v>486</v>
      </c>
      <c r="AK1768" s="1759">
        <v>328</v>
      </c>
      <c r="AL1768" s="1759" t="s">
        <v>486</v>
      </c>
      <c r="AM1768" s="1759">
        <v>328</v>
      </c>
      <c r="AN1768" s="1759" t="s">
        <v>1695</v>
      </c>
      <c r="AO1768" s="1764"/>
      <c r="AP1768" s="1759" t="s">
        <v>5373</v>
      </c>
      <c r="AQ1768" s="1759" t="s">
        <v>5374</v>
      </c>
      <c r="AR1768" s="1759" t="s">
        <v>2899</v>
      </c>
      <c r="AS1768" s="1759" t="s">
        <v>349</v>
      </c>
      <c r="AT1768" s="1759" t="s">
        <v>327</v>
      </c>
      <c r="AU1768" s="1763"/>
      <c r="AV1768" s="1763"/>
    </row>
    <row r="1769" spans="1:48" ht="25" hidden="1">
      <c r="A1769" s="1785" t="str">
        <f t="shared" si="297"/>
        <v>גמל</v>
      </c>
      <c r="B1769" s="1786">
        <f t="shared" si="298"/>
        <v>328</v>
      </c>
      <c r="C1769" s="1787">
        <v>28946</v>
      </c>
      <c r="D1769" s="1786" t="str">
        <f t="shared" si="299"/>
        <v>קופת תגמולים ופיצויים של מפעלי נייר חדרה</v>
      </c>
      <c r="E1769" s="1786" t="s">
        <v>3929</v>
      </c>
      <c r="F1769" s="1786" t="s">
        <v>2958</v>
      </c>
      <c r="G1769" s="1786" t="s">
        <v>2959</v>
      </c>
      <c r="H1769" s="1786" t="str">
        <f t="shared" si="300"/>
        <v>פעיל</v>
      </c>
      <c r="I1769" s="1788">
        <f t="shared" si="301"/>
        <v>23833</v>
      </c>
      <c r="J1769" s="1788" t="str">
        <f t="shared" si="302"/>
        <v/>
      </c>
      <c r="K1769" s="1786">
        <v>0</v>
      </c>
      <c r="L1769" s="1786" t="s">
        <v>1594</v>
      </c>
      <c r="M1769" s="1786" t="s">
        <v>1653</v>
      </c>
      <c r="N1769" s="1786" t="s">
        <v>1653</v>
      </c>
      <c r="O1769" s="1786">
        <v>0</v>
      </c>
      <c r="P1769" s="1786"/>
      <c r="Q1769" s="1786">
        <v>0</v>
      </c>
      <c r="R1769" s="1788"/>
      <c r="S1769" s="1786">
        <f t="shared" si="303"/>
        <v>328</v>
      </c>
      <c r="T1769" s="1786" t="str">
        <f t="shared" si="304"/>
        <v>בנק הפועלים בע"מ</v>
      </c>
      <c r="U1769" s="1786" t="str">
        <f t="shared" si="305"/>
        <v>קופת תגמולים ופיצויים של מפעלי נייר חדרה</v>
      </c>
      <c r="V1769" s="1786" t="str">
        <f t="shared" si="306"/>
        <v>520043795</v>
      </c>
      <c r="W1769" s="1789" t="str">
        <f t="shared" si="307"/>
        <v>מיטב דש גמל ופנסיה בע"מ</v>
      </c>
      <c r="AC1769" s="1761" t="s">
        <v>346</v>
      </c>
      <c r="AD1769" s="1759"/>
      <c r="AE1769" s="1762">
        <v>23833</v>
      </c>
      <c r="AF1769" s="1761" t="s">
        <v>1583</v>
      </c>
      <c r="AG1769" s="1761" t="s">
        <v>1583</v>
      </c>
      <c r="AH1769" s="1761" t="s">
        <v>1583</v>
      </c>
      <c r="AI1769" s="1761" t="s">
        <v>3071</v>
      </c>
      <c r="AJ1769" s="1761" t="s">
        <v>486</v>
      </c>
      <c r="AK1769" s="1761">
        <v>328</v>
      </c>
      <c r="AL1769" s="1761" t="s">
        <v>486</v>
      </c>
      <c r="AM1769" s="1761">
        <v>328</v>
      </c>
      <c r="AN1769" s="1761" t="s">
        <v>1695</v>
      </c>
      <c r="AO1769" s="1764"/>
      <c r="AP1769" s="1761" t="s">
        <v>5373</v>
      </c>
      <c r="AQ1769" s="1761" t="s">
        <v>5374</v>
      </c>
      <c r="AR1769" s="1761" t="s">
        <v>2899</v>
      </c>
      <c r="AS1769" s="1761" t="s">
        <v>349</v>
      </c>
      <c r="AT1769" s="1761" t="s">
        <v>327</v>
      </c>
      <c r="AU1769" s="1763"/>
      <c r="AV1769" s="1763"/>
    </row>
    <row r="1770" spans="1:48" ht="37.5" hidden="1">
      <c r="A1770" s="1785" t="str">
        <f t="shared" si="297"/>
        <v>גמל</v>
      </c>
      <c r="B1770" s="1786">
        <f t="shared" si="298"/>
        <v>326</v>
      </c>
      <c r="C1770" s="1787">
        <v>28946</v>
      </c>
      <c r="D1770" s="1786" t="str">
        <f t="shared" si="299"/>
        <v>קופת תגמולים של  עובדי מגדל חברה לבטוח בע"מ</v>
      </c>
      <c r="E1770" s="1786" t="s">
        <v>3929</v>
      </c>
      <c r="F1770" s="1786" t="s">
        <v>2958</v>
      </c>
      <c r="G1770" s="1786" t="s">
        <v>2959</v>
      </c>
      <c r="H1770" s="1786" t="str">
        <f t="shared" si="300"/>
        <v>לא פעיל</v>
      </c>
      <c r="I1770" s="1788">
        <f t="shared" si="301"/>
        <v>21641</v>
      </c>
      <c r="J1770" s="1788">
        <f t="shared" si="302"/>
        <v>40839</v>
      </c>
      <c r="K1770" s="1786">
        <v>0</v>
      </c>
      <c r="L1770" s="1786" t="s">
        <v>1594</v>
      </c>
      <c r="M1770" s="1786" t="s">
        <v>1653</v>
      </c>
      <c r="N1770" s="1786" t="s">
        <v>1653</v>
      </c>
      <c r="O1770" s="1786">
        <v>0</v>
      </c>
      <c r="P1770" s="1786"/>
      <c r="Q1770" s="1786">
        <v>0</v>
      </c>
      <c r="R1770" s="1788"/>
      <c r="S1770" s="1786">
        <f t="shared" si="303"/>
        <v>326</v>
      </c>
      <c r="T1770" s="1786" t="str">
        <f t="shared" si="304"/>
        <v>ד.ס.ש ייעוץ ושירותים בע"מ</v>
      </c>
      <c r="U1770" s="1786" t="str">
        <f t="shared" si="305"/>
        <v>קופת תגמולים של  עובדי מגדל חברה לבטוח בע"מ</v>
      </c>
      <c r="V1770" s="1786" t="str">
        <f t="shared" si="306"/>
        <v>510464803</v>
      </c>
      <c r="W1770" s="1789" t="str">
        <f t="shared" si="307"/>
        <v>מגדל מקפת קרנות פנסיה וקופות גמל בע"מ</v>
      </c>
      <c r="AC1770" s="1759" t="s">
        <v>1586</v>
      </c>
      <c r="AD1770" s="1760">
        <v>40839</v>
      </c>
      <c r="AE1770" s="1760">
        <v>21641</v>
      </c>
      <c r="AF1770" s="1759" t="s">
        <v>1583</v>
      </c>
      <c r="AG1770" s="1759" t="s">
        <v>1583</v>
      </c>
      <c r="AH1770" s="1759" t="s">
        <v>1583</v>
      </c>
      <c r="AI1770" s="1759" t="s">
        <v>3070</v>
      </c>
      <c r="AJ1770" s="1759" t="s">
        <v>1750</v>
      </c>
      <c r="AK1770" s="1759">
        <v>326</v>
      </c>
      <c r="AL1770" s="1759" t="s">
        <v>1750</v>
      </c>
      <c r="AM1770" s="1759">
        <v>326</v>
      </c>
      <c r="AN1770" s="1759" t="s">
        <v>5393</v>
      </c>
      <c r="AO1770" s="1764"/>
      <c r="AP1770" s="1759" t="s">
        <v>5382</v>
      </c>
      <c r="AQ1770" s="1759" t="s">
        <v>5383</v>
      </c>
      <c r="AR1770" s="1759" t="s">
        <v>394</v>
      </c>
      <c r="AS1770" s="1759" t="s">
        <v>395</v>
      </c>
      <c r="AT1770" s="1759" t="s">
        <v>327</v>
      </c>
      <c r="AU1770" s="1763"/>
      <c r="AV1770" s="1763"/>
    </row>
    <row r="1771" spans="1:48" ht="37.5" hidden="1">
      <c r="A1771" s="1785" t="str">
        <f t="shared" si="297"/>
        <v>גמל</v>
      </c>
      <c r="B1771" s="1786">
        <f t="shared" si="298"/>
        <v>321</v>
      </c>
      <c r="C1771" s="1787">
        <v>28946</v>
      </c>
      <c r="D1771" s="1786" t="str">
        <f t="shared" si="299"/>
        <v>גמול דן</v>
      </c>
      <c r="E1771" s="1786" t="s">
        <v>3929</v>
      </c>
      <c r="F1771" s="1786" t="s">
        <v>2958</v>
      </c>
      <c r="G1771" s="1786" t="s">
        <v>2959</v>
      </c>
      <c r="H1771" s="1786" t="str">
        <f t="shared" si="300"/>
        <v>לא פעיל</v>
      </c>
      <c r="I1771" s="1788">
        <f t="shared" si="301"/>
        <v>25569</v>
      </c>
      <c r="J1771" s="1788">
        <f t="shared" si="302"/>
        <v>25569</v>
      </c>
      <c r="K1771" s="1786">
        <v>0</v>
      </c>
      <c r="L1771" s="1786" t="s">
        <v>1594</v>
      </c>
      <c r="M1771" s="1786" t="s">
        <v>1653</v>
      </c>
      <c r="N1771" s="1786" t="s">
        <v>1653</v>
      </c>
      <c r="O1771" s="1786">
        <v>0</v>
      </c>
      <c r="P1771" s="1786"/>
      <c r="Q1771" s="1786">
        <v>0</v>
      </c>
      <c r="R1771" s="1788"/>
      <c r="S1771" s="1786">
        <f t="shared" si="303"/>
        <v>321</v>
      </c>
      <c r="T1771" s="1786" t="str">
        <f t="shared" si="304"/>
        <v>בנק לאומי בע"מ</v>
      </c>
      <c r="U1771" s="1786" t="str">
        <f t="shared" si="305"/>
        <v>גמול דן</v>
      </c>
      <c r="V1771" s="1786">
        <f t="shared" si="306"/>
        <v>0</v>
      </c>
      <c r="W1771" s="1789" t="str">
        <f t="shared" si="307"/>
        <v>קופת התגמולים לעצמאים "עצמה" ליד בל"ל בע"מ</v>
      </c>
      <c r="AC1771" s="1761" t="s">
        <v>1586</v>
      </c>
      <c r="AD1771" s="1762">
        <v>25569</v>
      </c>
      <c r="AE1771" s="1762">
        <v>25569</v>
      </c>
      <c r="AF1771" s="1761" t="s">
        <v>1583</v>
      </c>
      <c r="AG1771" s="1761" t="s">
        <v>1583</v>
      </c>
      <c r="AH1771" s="1761" t="s">
        <v>1583</v>
      </c>
      <c r="AI1771" s="1761" t="s">
        <v>1749</v>
      </c>
      <c r="AJ1771" s="1761" t="s">
        <v>1749</v>
      </c>
      <c r="AK1771" s="1761">
        <v>321</v>
      </c>
      <c r="AL1771" s="1761" t="s">
        <v>1749</v>
      </c>
      <c r="AM1771" s="1761">
        <v>321</v>
      </c>
      <c r="AN1771" s="1761" t="s">
        <v>5470</v>
      </c>
      <c r="AO1771" s="1764"/>
      <c r="AP1771" s="1761"/>
      <c r="AQ1771" s="1761"/>
      <c r="AR1771" s="1761" t="s">
        <v>1661</v>
      </c>
      <c r="AS1771" s="1761" t="s">
        <v>1660</v>
      </c>
      <c r="AT1771" s="1761" t="s">
        <v>327</v>
      </c>
      <c r="AU1771" s="1763"/>
      <c r="AV1771" s="1763"/>
    </row>
    <row r="1772" spans="1:48" ht="37.5" hidden="1">
      <c r="A1772" s="1785" t="str">
        <f t="shared" si="297"/>
        <v>גמל</v>
      </c>
      <c r="B1772" s="1786">
        <f t="shared" si="298"/>
        <v>319</v>
      </c>
      <c r="C1772" s="1787">
        <v>28946</v>
      </c>
      <c r="D1772" s="1786" t="str">
        <f t="shared" si="299"/>
        <v>קופת התגמולים של עובדי מ. מ. רמת השרון  א.ש. בע"מ</v>
      </c>
      <c r="E1772" s="1786" t="s">
        <v>3929</v>
      </c>
      <c r="F1772" s="1786" t="s">
        <v>2958</v>
      </c>
      <c r="G1772" s="1786" t="s">
        <v>2959</v>
      </c>
      <c r="H1772" s="1786" t="str">
        <f t="shared" si="300"/>
        <v>לא פעיל</v>
      </c>
      <c r="I1772" s="1788">
        <f t="shared" si="301"/>
        <v>25659</v>
      </c>
      <c r="J1772" s="1788">
        <f t="shared" si="302"/>
        <v>38718</v>
      </c>
      <c r="K1772" s="1786">
        <v>0</v>
      </c>
      <c r="L1772" s="1786" t="s">
        <v>1594</v>
      </c>
      <c r="M1772" s="1786" t="s">
        <v>1653</v>
      </c>
      <c r="N1772" s="1786" t="s">
        <v>1653</v>
      </c>
      <c r="O1772" s="1786">
        <v>0</v>
      </c>
      <c r="P1772" s="1786"/>
      <c r="Q1772" s="1786">
        <v>0</v>
      </c>
      <c r="R1772" s="1788"/>
      <c r="S1772" s="1786">
        <f t="shared" si="303"/>
        <v>319</v>
      </c>
      <c r="T1772" s="1786" t="str">
        <f t="shared" si="304"/>
        <v>בנק הפועלים בע"מ</v>
      </c>
      <c r="U1772" s="1786" t="str">
        <f t="shared" si="305"/>
        <v>קופת התגמולים של עובדי מ. מ. רמת השרון  א.ש. בע"מ</v>
      </c>
      <c r="V1772" s="1786">
        <f t="shared" si="306"/>
        <v>0</v>
      </c>
      <c r="W1772" s="1789" t="str">
        <f t="shared" si="307"/>
        <v>קופת התגמולים עובדי מ.מ. רמת השרון</v>
      </c>
      <c r="AC1772" s="1759" t="s">
        <v>1586</v>
      </c>
      <c r="AD1772" s="1760">
        <v>38718</v>
      </c>
      <c r="AE1772" s="1760">
        <v>25659</v>
      </c>
      <c r="AF1772" s="1759" t="s">
        <v>1583</v>
      </c>
      <c r="AG1772" s="1759" t="s">
        <v>1583</v>
      </c>
      <c r="AH1772" s="1759" t="s">
        <v>1583</v>
      </c>
      <c r="AI1772" s="1759" t="s">
        <v>3069</v>
      </c>
      <c r="AJ1772" s="1759" t="s">
        <v>1747</v>
      </c>
      <c r="AK1772" s="1759">
        <v>319</v>
      </c>
      <c r="AL1772" s="1759" t="s">
        <v>1747</v>
      </c>
      <c r="AM1772" s="1759">
        <v>319</v>
      </c>
      <c r="AN1772" s="1759" t="s">
        <v>1695</v>
      </c>
      <c r="AO1772" s="1764"/>
      <c r="AP1772" s="1759"/>
      <c r="AQ1772" s="1759"/>
      <c r="AR1772" s="1759" t="s">
        <v>1748</v>
      </c>
      <c r="AS1772" s="1759"/>
      <c r="AT1772" s="1759" t="s">
        <v>327</v>
      </c>
      <c r="AU1772" s="1763"/>
      <c r="AV1772" s="1763"/>
    </row>
    <row r="1773" spans="1:48" ht="25" hidden="1">
      <c r="A1773" s="1785" t="str">
        <f t="shared" si="297"/>
        <v>גמל</v>
      </c>
      <c r="B1773" s="1786">
        <f t="shared" si="298"/>
        <v>318</v>
      </c>
      <c r="C1773" s="1787">
        <v>28946</v>
      </c>
      <c r="D1773" s="1786" t="str">
        <f t="shared" si="299"/>
        <v>תדיראן  קופה אישית לפיצויים</v>
      </c>
      <c r="E1773" s="1786" t="s">
        <v>3929</v>
      </c>
      <c r="F1773" s="1786" t="s">
        <v>2958</v>
      </c>
      <c r="G1773" s="1786" t="s">
        <v>2959</v>
      </c>
      <c r="H1773" s="1786" t="str">
        <f t="shared" si="300"/>
        <v>לא פעיל</v>
      </c>
      <c r="I1773" s="1788">
        <f t="shared" si="301"/>
        <v>35431</v>
      </c>
      <c r="J1773" s="1788">
        <f t="shared" si="302"/>
        <v>35775.393715277802</v>
      </c>
      <c r="K1773" s="1786">
        <v>0</v>
      </c>
      <c r="L1773" s="1786" t="s">
        <v>1594</v>
      </c>
      <c r="M1773" s="1786" t="s">
        <v>1653</v>
      </c>
      <c r="N1773" s="1786" t="s">
        <v>1653</v>
      </c>
      <c r="O1773" s="1786">
        <v>0</v>
      </c>
      <c r="P1773" s="1786"/>
      <c r="Q1773" s="1786">
        <v>0</v>
      </c>
      <c r="R1773" s="1788"/>
      <c r="S1773" s="1786">
        <f t="shared" si="303"/>
        <v>318</v>
      </c>
      <c r="T1773" s="1786">
        <f t="shared" si="304"/>
        <v>0</v>
      </c>
      <c r="U1773" s="1786" t="str">
        <f t="shared" si="305"/>
        <v>תדיראן  קופה אישית לפיצויים</v>
      </c>
      <c r="V1773" s="1786">
        <f t="shared" si="306"/>
        <v>0</v>
      </c>
      <c r="W1773" s="1789" t="str">
        <f t="shared" si="307"/>
        <v>תדיראן בע"מ</v>
      </c>
      <c r="AC1773" s="1761" t="s">
        <v>1586</v>
      </c>
      <c r="AD1773" s="1762">
        <v>35775.393715277802</v>
      </c>
      <c r="AE1773" s="1762">
        <v>35431</v>
      </c>
      <c r="AF1773" s="1761" t="s">
        <v>1583</v>
      </c>
      <c r="AG1773" s="1761" t="s">
        <v>1583</v>
      </c>
      <c r="AH1773" s="1761" t="s">
        <v>1583</v>
      </c>
      <c r="AI1773" s="1761" t="s">
        <v>3068</v>
      </c>
      <c r="AJ1773" s="1761" t="s">
        <v>1744</v>
      </c>
      <c r="AK1773" s="1761">
        <v>318</v>
      </c>
      <c r="AL1773" s="1761" t="s">
        <v>1744</v>
      </c>
      <c r="AM1773" s="1761">
        <v>318</v>
      </c>
      <c r="AN1773" s="1761"/>
      <c r="AO1773" s="1764"/>
      <c r="AP1773" s="1761"/>
      <c r="AQ1773" s="1761"/>
      <c r="AR1773" s="1761" t="s">
        <v>1746</v>
      </c>
      <c r="AS1773" s="1761" t="s">
        <v>1745</v>
      </c>
      <c r="AT1773" s="1761" t="s">
        <v>327</v>
      </c>
      <c r="AU1773" s="1763"/>
      <c r="AV1773" s="1763"/>
    </row>
    <row r="1774" spans="1:48" ht="25" hidden="1">
      <c r="A1774" s="1785" t="str">
        <f t="shared" si="297"/>
        <v>גמל</v>
      </c>
      <c r="B1774" s="1786">
        <f t="shared" si="298"/>
        <v>317</v>
      </c>
      <c r="C1774" s="1787">
        <v>28946</v>
      </c>
      <c r="D1774" s="1786" t="str">
        <f t="shared" si="299"/>
        <v>מבטחים קרן חופשה כללית</v>
      </c>
      <c r="E1774" s="1786" t="s">
        <v>3929</v>
      </c>
      <c r="F1774" s="1786" t="s">
        <v>2958</v>
      </c>
      <c r="G1774" s="1786" t="s">
        <v>2959</v>
      </c>
      <c r="H1774" s="1786" t="str">
        <f t="shared" si="300"/>
        <v>פעיל</v>
      </c>
      <c r="I1774" s="1788">
        <f t="shared" si="301"/>
        <v>26024</v>
      </c>
      <c r="J1774" s="1788" t="str">
        <f t="shared" si="302"/>
        <v/>
      </c>
      <c r="K1774" s="1786">
        <v>0</v>
      </c>
      <c r="L1774" s="1786" t="s">
        <v>1594</v>
      </c>
      <c r="M1774" s="1786" t="s">
        <v>1653</v>
      </c>
      <c r="N1774" s="1786" t="s">
        <v>1653</v>
      </c>
      <c r="O1774" s="1786">
        <v>0</v>
      </c>
      <c r="P1774" s="1786"/>
      <c r="Q1774" s="1786">
        <v>0</v>
      </c>
      <c r="R1774" s="1788"/>
      <c r="S1774" s="1786">
        <f t="shared" si="303"/>
        <v>317</v>
      </c>
      <c r="T1774" s="1786" t="str">
        <f t="shared" si="304"/>
        <v>מבטחים הותיקה</v>
      </c>
      <c r="U1774" s="1786" t="str">
        <f t="shared" si="305"/>
        <v>מבטחים קרן חופשה כללית</v>
      </c>
      <c r="V1774" s="1786">
        <f t="shared" si="306"/>
        <v>0</v>
      </c>
      <c r="W1774" s="1789" t="str">
        <f t="shared" si="307"/>
        <v>מבטחים קרן חופשה כללית</v>
      </c>
      <c r="AC1774" s="1759" t="s">
        <v>346</v>
      </c>
      <c r="AD1774" s="1759"/>
      <c r="AE1774" s="1760">
        <v>26024</v>
      </c>
      <c r="AF1774" s="1759" t="s">
        <v>1583</v>
      </c>
      <c r="AG1774" s="1759" t="s">
        <v>1583</v>
      </c>
      <c r="AH1774" s="1759" t="s">
        <v>1583</v>
      </c>
      <c r="AI1774" s="1759" t="s">
        <v>484</v>
      </c>
      <c r="AJ1774" s="1759" t="s">
        <v>484</v>
      </c>
      <c r="AK1774" s="1759">
        <v>317</v>
      </c>
      <c r="AL1774" s="1759" t="s">
        <v>484</v>
      </c>
      <c r="AM1774" s="1759">
        <v>317</v>
      </c>
      <c r="AN1774" s="1759" t="s">
        <v>5548</v>
      </c>
      <c r="AO1774" s="1764"/>
      <c r="AP1774" s="1759"/>
      <c r="AQ1774" s="1759"/>
      <c r="AR1774" s="1759" t="s">
        <v>484</v>
      </c>
      <c r="AS1774" s="1759"/>
      <c r="AT1774" s="1759" t="s">
        <v>327</v>
      </c>
      <c r="AU1774" s="1763"/>
      <c r="AV1774" s="1763"/>
    </row>
    <row r="1775" spans="1:48" ht="25" hidden="1">
      <c r="A1775" s="1785" t="str">
        <f t="shared" si="297"/>
        <v>גמל</v>
      </c>
      <c r="B1775" s="1786">
        <f t="shared" si="298"/>
        <v>315</v>
      </c>
      <c r="C1775" s="1787">
        <v>28946</v>
      </c>
      <c r="D1775" s="1786" t="str">
        <f t="shared" si="299"/>
        <v>קרן פיצויים של עובדי מעריב בע"מ</v>
      </c>
      <c r="E1775" s="1786" t="s">
        <v>3929</v>
      </c>
      <c r="F1775" s="1786" t="s">
        <v>2958</v>
      </c>
      <c r="G1775" s="1786" t="s">
        <v>2959</v>
      </c>
      <c r="H1775" s="1786" t="str">
        <f t="shared" si="300"/>
        <v>לא פעיל</v>
      </c>
      <c r="I1775" s="1788">
        <f t="shared" si="301"/>
        <v>24198</v>
      </c>
      <c r="J1775" s="1788">
        <f t="shared" si="302"/>
        <v>38785.575474537</v>
      </c>
      <c r="K1775" s="1786">
        <v>0</v>
      </c>
      <c r="L1775" s="1786" t="s">
        <v>1594</v>
      </c>
      <c r="M1775" s="1786" t="s">
        <v>1653</v>
      </c>
      <c r="N1775" s="1786" t="s">
        <v>1653</v>
      </c>
      <c r="O1775" s="1786">
        <v>0</v>
      </c>
      <c r="P1775" s="1786"/>
      <c r="Q1775" s="1786">
        <v>0</v>
      </c>
      <c r="R1775" s="1788"/>
      <c r="S1775" s="1786">
        <f t="shared" si="303"/>
        <v>315</v>
      </c>
      <c r="T1775" s="1786" t="str">
        <f t="shared" si="304"/>
        <v>בנק לאומי בע"מ</v>
      </c>
      <c r="U1775" s="1786" t="str">
        <f t="shared" si="305"/>
        <v>קרן פיצויים של עובדי מעריב בע"מ</v>
      </c>
      <c r="V1775" s="1786">
        <f t="shared" si="306"/>
        <v>0</v>
      </c>
      <c r="W1775" s="1789" t="str">
        <f t="shared" si="307"/>
        <v>קרן פיצויים של עובדי מעריב</v>
      </c>
      <c r="AC1775" s="1761" t="s">
        <v>1586</v>
      </c>
      <c r="AD1775" s="1762">
        <v>38785.575474537</v>
      </c>
      <c r="AE1775" s="1762">
        <v>24198</v>
      </c>
      <c r="AF1775" s="1761" t="s">
        <v>1583</v>
      </c>
      <c r="AG1775" s="1761" t="s">
        <v>1583</v>
      </c>
      <c r="AH1775" s="1761" t="s">
        <v>1583</v>
      </c>
      <c r="AI1775" s="1761" t="s">
        <v>3067</v>
      </c>
      <c r="AJ1775" s="1761" t="s">
        <v>1742</v>
      </c>
      <c r="AK1775" s="1761">
        <v>315</v>
      </c>
      <c r="AL1775" s="1761" t="s">
        <v>1742</v>
      </c>
      <c r="AM1775" s="1761">
        <v>315</v>
      </c>
      <c r="AN1775" s="1761" t="s">
        <v>5470</v>
      </c>
      <c r="AO1775" s="1764"/>
      <c r="AP1775" s="1761"/>
      <c r="AQ1775" s="1761"/>
      <c r="AR1775" s="1761" t="s">
        <v>1743</v>
      </c>
      <c r="AS1775" s="1761"/>
      <c r="AT1775" s="1761" t="s">
        <v>327</v>
      </c>
      <c r="AU1775" s="1763"/>
      <c r="AV1775" s="1763"/>
    </row>
    <row r="1776" spans="1:48" ht="25" hidden="1">
      <c r="A1776" s="1785" t="str">
        <f t="shared" si="297"/>
        <v>גמל</v>
      </c>
      <c r="B1776" s="1786">
        <f t="shared" si="298"/>
        <v>312</v>
      </c>
      <c r="C1776" s="1787">
        <v>28946</v>
      </c>
      <c r="D1776" s="1786" t="str">
        <f t="shared" si="299"/>
        <v>קופת תגמולים של עובדי לים בע"מ</v>
      </c>
      <c r="E1776" s="1786" t="s">
        <v>3929</v>
      </c>
      <c r="F1776" s="1786" t="s">
        <v>2958</v>
      </c>
      <c r="G1776" s="1786" t="s">
        <v>2959</v>
      </c>
      <c r="H1776" s="1786" t="str">
        <f t="shared" si="300"/>
        <v>לא פעיל</v>
      </c>
      <c r="I1776" s="1788">
        <f t="shared" si="301"/>
        <v>21276</v>
      </c>
      <c r="J1776" s="1788">
        <f t="shared" si="302"/>
        <v>37986</v>
      </c>
      <c r="K1776" s="1786">
        <v>0</v>
      </c>
      <c r="L1776" s="1786" t="s">
        <v>1594</v>
      </c>
      <c r="M1776" s="1786" t="s">
        <v>1653</v>
      </c>
      <c r="N1776" s="1786" t="s">
        <v>1653</v>
      </c>
      <c r="O1776" s="1786">
        <v>0</v>
      </c>
      <c r="P1776" s="1786"/>
      <c r="Q1776" s="1786">
        <v>0</v>
      </c>
      <c r="R1776" s="1788"/>
      <c r="S1776" s="1786">
        <f t="shared" si="303"/>
        <v>312</v>
      </c>
      <c r="T1776" s="1786" t="str">
        <f t="shared" si="304"/>
        <v>אמן בע"מ</v>
      </c>
      <c r="U1776" s="1786" t="str">
        <f t="shared" si="305"/>
        <v>קופת תגמולים של עובדי לים בע"מ</v>
      </c>
      <c r="V1776" s="1786">
        <f t="shared" si="306"/>
        <v>0</v>
      </c>
      <c r="W1776" s="1789" t="str">
        <f t="shared" si="307"/>
        <v>קופת תגמולים של עובדי לים בע"מ</v>
      </c>
      <c r="AC1776" s="1759" t="s">
        <v>1586</v>
      </c>
      <c r="AD1776" s="1760">
        <v>37986</v>
      </c>
      <c r="AE1776" s="1760">
        <v>21276</v>
      </c>
      <c r="AF1776" s="1759" t="s">
        <v>1583</v>
      </c>
      <c r="AG1776" s="1759" t="s">
        <v>1583</v>
      </c>
      <c r="AH1776" s="1759" t="s">
        <v>1583</v>
      </c>
      <c r="AI1776" s="1759" t="s">
        <v>3066</v>
      </c>
      <c r="AJ1776" s="1759" t="s">
        <v>1740</v>
      </c>
      <c r="AK1776" s="1759">
        <v>312</v>
      </c>
      <c r="AL1776" s="1759" t="s">
        <v>1740</v>
      </c>
      <c r="AM1776" s="1759">
        <v>312</v>
      </c>
      <c r="AN1776" s="1759" t="s">
        <v>5549</v>
      </c>
      <c r="AO1776" s="1764"/>
      <c r="AP1776" s="1759"/>
      <c r="AQ1776" s="1759"/>
      <c r="AR1776" s="1759" t="s">
        <v>1740</v>
      </c>
      <c r="AS1776" s="1759" t="s">
        <v>1741</v>
      </c>
      <c r="AT1776" s="1759" t="s">
        <v>327</v>
      </c>
      <c r="AU1776" s="1763"/>
      <c r="AV1776" s="1763"/>
    </row>
    <row r="1777" spans="1:48" ht="25" hidden="1">
      <c r="A1777" s="1785" t="str">
        <f t="shared" si="297"/>
        <v>גמל</v>
      </c>
      <c r="B1777" s="1786">
        <f t="shared" si="298"/>
        <v>311</v>
      </c>
      <c r="C1777" s="1787">
        <v>28946</v>
      </c>
      <c r="D1777" s="1786" t="str">
        <f t="shared" si="299"/>
        <v>הראל גמל - קדמה</v>
      </c>
      <c r="E1777" s="1786" t="s">
        <v>3929</v>
      </c>
      <c r="F1777" s="1786" t="s">
        <v>2958</v>
      </c>
      <c r="G1777" s="1786" t="s">
        <v>2959</v>
      </c>
      <c r="H1777" s="1786" t="str">
        <f t="shared" si="300"/>
        <v>לא פעיל</v>
      </c>
      <c r="I1777" s="1788">
        <f t="shared" si="301"/>
        <v>23833</v>
      </c>
      <c r="J1777" s="1788">
        <f t="shared" si="302"/>
        <v>40179</v>
      </c>
      <c r="K1777" s="1786">
        <v>0</v>
      </c>
      <c r="L1777" s="1786" t="s">
        <v>1594</v>
      </c>
      <c r="M1777" s="1786" t="s">
        <v>1653</v>
      </c>
      <c r="N1777" s="1786" t="s">
        <v>1653</v>
      </c>
      <c r="O1777" s="1786">
        <v>0</v>
      </c>
      <c r="P1777" s="1786"/>
      <c r="Q1777" s="1786">
        <v>0</v>
      </c>
      <c r="R1777" s="1788"/>
      <c r="S1777" s="1786">
        <f t="shared" si="303"/>
        <v>311</v>
      </c>
      <c r="T1777" s="1786" t="str">
        <f t="shared" si="304"/>
        <v>הבנק הבינלאומי הראשון</v>
      </c>
      <c r="U1777" s="1786" t="str">
        <f t="shared" si="305"/>
        <v>הראל גמל - קדמה</v>
      </c>
      <c r="V1777" s="1786">
        <f t="shared" si="306"/>
        <v>0</v>
      </c>
      <c r="W1777" s="1789" t="str">
        <f t="shared" si="307"/>
        <v>הראל עתידית קופות גמל בע"מ</v>
      </c>
      <c r="AC1777" s="1761" t="s">
        <v>1586</v>
      </c>
      <c r="AD1777" s="1762">
        <v>40179</v>
      </c>
      <c r="AE1777" s="1762">
        <v>23833</v>
      </c>
      <c r="AF1777" s="1761" t="s">
        <v>1583</v>
      </c>
      <c r="AG1777" s="1761" t="s">
        <v>1583</v>
      </c>
      <c r="AH1777" s="1761" t="s">
        <v>1583</v>
      </c>
      <c r="AI1777" s="1761" t="s">
        <v>1739</v>
      </c>
      <c r="AJ1777" s="1761" t="s">
        <v>1739</v>
      </c>
      <c r="AK1777" s="1761">
        <v>311</v>
      </c>
      <c r="AL1777" s="1761" t="s">
        <v>1739</v>
      </c>
      <c r="AM1777" s="1761">
        <v>311</v>
      </c>
      <c r="AN1777" s="1761" t="s">
        <v>5384</v>
      </c>
      <c r="AO1777" s="1764"/>
      <c r="AP1777" s="1761"/>
      <c r="AQ1777" s="1761"/>
      <c r="AR1777" s="1761" t="s">
        <v>530</v>
      </c>
      <c r="AS1777" s="1761" t="s">
        <v>531</v>
      </c>
      <c r="AT1777" s="1761" t="s">
        <v>327</v>
      </c>
      <c r="AU1777" s="1763"/>
      <c r="AV1777" s="1763"/>
    </row>
    <row r="1778" spans="1:48" ht="25" hidden="1">
      <c r="A1778" s="1785" t="str">
        <f t="shared" si="297"/>
        <v>גמל</v>
      </c>
      <c r="B1778" s="1786">
        <f t="shared" si="298"/>
        <v>308</v>
      </c>
      <c r="C1778" s="1787">
        <v>28946</v>
      </c>
      <c r="D1778" s="1786" t="str">
        <f t="shared" si="299"/>
        <v>קרן חופשה לעובדים בחקלאות בע"מ</v>
      </c>
      <c r="E1778" s="1786" t="s">
        <v>3929</v>
      </c>
      <c r="F1778" s="1786" t="s">
        <v>2958</v>
      </c>
      <c r="G1778" s="1786" t="s">
        <v>2959</v>
      </c>
      <c r="H1778" s="1786" t="str">
        <f t="shared" si="300"/>
        <v>פעיל</v>
      </c>
      <c r="I1778" s="1788">
        <f t="shared" si="301"/>
        <v>25294</v>
      </c>
      <c r="J1778" s="1788" t="str">
        <f t="shared" si="302"/>
        <v/>
      </c>
      <c r="K1778" s="1786">
        <v>0</v>
      </c>
      <c r="L1778" s="1786" t="s">
        <v>1594</v>
      </c>
      <c r="M1778" s="1786" t="s">
        <v>1653</v>
      </c>
      <c r="N1778" s="1786" t="s">
        <v>1653</v>
      </c>
      <c r="O1778" s="1786">
        <v>0</v>
      </c>
      <c r="P1778" s="1786"/>
      <c r="Q1778" s="1786">
        <v>0</v>
      </c>
      <c r="R1778" s="1788"/>
      <c r="S1778" s="1786">
        <f t="shared" si="303"/>
        <v>308</v>
      </c>
      <c r="T1778" s="1786" t="str">
        <f t="shared" si="304"/>
        <v>חקלאים</v>
      </c>
      <c r="U1778" s="1786" t="str">
        <f t="shared" si="305"/>
        <v>קרן חופשה לעובדים בחקלאות בע"מ</v>
      </c>
      <c r="V1778" s="1786">
        <f t="shared" si="306"/>
        <v>0</v>
      </c>
      <c r="W1778" s="1789" t="str">
        <f t="shared" si="307"/>
        <v>קרן חופשה - חקלאים</v>
      </c>
      <c r="AC1778" s="1759" t="s">
        <v>346</v>
      </c>
      <c r="AD1778" s="1759"/>
      <c r="AE1778" s="1760">
        <v>25294</v>
      </c>
      <c r="AF1778" s="1759" t="s">
        <v>1583</v>
      </c>
      <c r="AG1778" s="1759" t="s">
        <v>1583</v>
      </c>
      <c r="AH1778" s="1759" t="s">
        <v>1583</v>
      </c>
      <c r="AI1778" s="1759" t="s">
        <v>3062</v>
      </c>
      <c r="AJ1778" s="1759" t="s">
        <v>479</v>
      </c>
      <c r="AK1778" s="1759">
        <v>308</v>
      </c>
      <c r="AL1778" s="1759" t="s">
        <v>479</v>
      </c>
      <c r="AM1778" s="1759">
        <v>308</v>
      </c>
      <c r="AN1778" s="1759" t="s">
        <v>5674</v>
      </c>
      <c r="AO1778" s="1764"/>
      <c r="AP1778" s="1759"/>
      <c r="AQ1778" s="1759"/>
      <c r="AR1778" s="1759" t="s">
        <v>478</v>
      </c>
      <c r="AS1778" s="1759"/>
      <c r="AT1778" s="1759" t="s">
        <v>327</v>
      </c>
      <c r="AU1778" s="1763"/>
      <c r="AV1778" s="1763"/>
    </row>
    <row r="1779" spans="1:48" ht="37.5" hidden="1">
      <c r="A1779" s="1785" t="str">
        <f t="shared" si="297"/>
        <v>גמל</v>
      </c>
      <c r="B1779" s="1786">
        <f t="shared" si="298"/>
        <v>306</v>
      </c>
      <c r="C1779" s="1787">
        <v>28946</v>
      </c>
      <c r="D1779" s="1786" t="str">
        <f t="shared" si="299"/>
        <v>טרקטורים וציוד</v>
      </c>
      <c r="E1779" s="1786" t="s">
        <v>3929</v>
      </c>
      <c r="F1779" s="1786" t="s">
        <v>2958</v>
      </c>
      <c r="G1779" s="1786" t="s">
        <v>2959</v>
      </c>
      <c r="H1779" s="1786" t="str">
        <f t="shared" si="300"/>
        <v>לא פעיל</v>
      </c>
      <c r="I1779" s="1788">
        <f t="shared" si="301"/>
        <v>25569</v>
      </c>
      <c r="J1779" s="1788">
        <f t="shared" si="302"/>
        <v>25569</v>
      </c>
      <c r="K1779" s="1786">
        <v>0</v>
      </c>
      <c r="L1779" s="1786" t="s">
        <v>1594</v>
      </c>
      <c r="M1779" s="1786" t="s">
        <v>1653</v>
      </c>
      <c r="N1779" s="1786" t="s">
        <v>1653</v>
      </c>
      <c r="O1779" s="1786">
        <v>0</v>
      </c>
      <c r="P1779" s="1786"/>
      <c r="Q1779" s="1786">
        <v>0</v>
      </c>
      <c r="R1779" s="1788"/>
      <c r="S1779" s="1786">
        <f t="shared" si="303"/>
        <v>306</v>
      </c>
      <c r="T1779" s="1786" t="str">
        <f t="shared" si="304"/>
        <v>בנק לאומי בע"מ</v>
      </c>
      <c r="U1779" s="1786" t="str">
        <f t="shared" si="305"/>
        <v>טרקטורים וציוד</v>
      </c>
      <c r="V1779" s="1786">
        <f t="shared" si="306"/>
        <v>0</v>
      </c>
      <c r="W1779" s="1789" t="str">
        <f t="shared" si="307"/>
        <v>קופת התגמולים לעצמאים "עצמה" ליד בל"ל בע"מ</v>
      </c>
      <c r="AC1779" s="1761" t="s">
        <v>1586</v>
      </c>
      <c r="AD1779" s="1762">
        <v>25569</v>
      </c>
      <c r="AE1779" s="1762">
        <v>25569</v>
      </c>
      <c r="AF1779" s="1761" t="s">
        <v>1583</v>
      </c>
      <c r="AG1779" s="1761" t="s">
        <v>1583</v>
      </c>
      <c r="AH1779" s="1761" t="s">
        <v>1583</v>
      </c>
      <c r="AI1779" s="1761" t="s">
        <v>1737</v>
      </c>
      <c r="AJ1779" s="1761" t="s">
        <v>1737</v>
      </c>
      <c r="AK1779" s="1761">
        <v>306</v>
      </c>
      <c r="AL1779" s="1761" t="s">
        <v>1737</v>
      </c>
      <c r="AM1779" s="1761">
        <v>306</v>
      </c>
      <c r="AN1779" s="1761" t="s">
        <v>5470</v>
      </c>
      <c r="AO1779" s="1764"/>
      <c r="AP1779" s="1761"/>
      <c r="AQ1779" s="1761"/>
      <c r="AR1779" s="1761" t="s">
        <v>1661</v>
      </c>
      <c r="AS1779" s="1761" t="s">
        <v>1660</v>
      </c>
      <c r="AT1779" s="1761" t="s">
        <v>327</v>
      </c>
      <c r="AU1779" s="1763"/>
      <c r="AV1779" s="1763"/>
    </row>
    <row r="1780" spans="1:48" ht="37.5" hidden="1">
      <c r="A1780" s="1785" t="str">
        <f t="shared" si="297"/>
        <v>גמל</v>
      </c>
      <c r="B1780" s="1786">
        <f t="shared" si="298"/>
        <v>305</v>
      </c>
      <c r="C1780" s="1787">
        <v>28946</v>
      </c>
      <c r="D1780" s="1786" t="str">
        <f t="shared" si="299"/>
        <v>קופת"ג של פקידי ועובדי  חברת קדישא ת"א בע"מ</v>
      </c>
      <c r="E1780" s="1786" t="s">
        <v>3929</v>
      </c>
      <c r="F1780" s="1786" t="s">
        <v>2958</v>
      </c>
      <c r="G1780" s="1786" t="s">
        <v>2959</v>
      </c>
      <c r="H1780" s="1786" t="str">
        <f t="shared" si="300"/>
        <v>לא פעיל</v>
      </c>
      <c r="I1780" s="1788">
        <f t="shared" si="301"/>
        <v>21641</v>
      </c>
      <c r="J1780" s="1788">
        <f t="shared" si="302"/>
        <v>38166.552291666703</v>
      </c>
      <c r="K1780" s="1786">
        <v>0</v>
      </c>
      <c r="L1780" s="1786" t="s">
        <v>1594</v>
      </c>
      <c r="M1780" s="1786" t="s">
        <v>1653</v>
      </c>
      <c r="N1780" s="1786" t="s">
        <v>1653</v>
      </c>
      <c r="O1780" s="1786">
        <v>0</v>
      </c>
      <c r="P1780" s="1786"/>
      <c r="Q1780" s="1786">
        <v>0</v>
      </c>
      <c r="R1780" s="1788"/>
      <c r="S1780" s="1786">
        <f t="shared" si="303"/>
        <v>305</v>
      </c>
      <c r="T1780" s="1786">
        <f t="shared" si="304"/>
        <v>0</v>
      </c>
      <c r="U1780" s="1786" t="str">
        <f t="shared" si="305"/>
        <v>קופת"ג של פקידי ועובדי  חברת קדישא ת"א בע"מ</v>
      </c>
      <c r="V1780" s="1786">
        <f t="shared" si="306"/>
        <v>0</v>
      </c>
      <c r="W1780" s="1789" t="str">
        <f t="shared" si="307"/>
        <v>קופ"ג של פקידי ועובדי חברת קדישא ת"א בע"מ</v>
      </c>
      <c r="AC1780" s="1759" t="s">
        <v>1586</v>
      </c>
      <c r="AD1780" s="1760">
        <v>38166.552291666703</v>
      </c>
      <c r="AE1780" s="1760">
        <v>21641</v>
      </c>
      <c r="AF1780" s="1759" t="s">
        <v>1583</v>
      </c>
      <c r="AG1780" s="1759" t="s">
        <v>1583</v>
      </c>
      <c r="AH1780" s="1759" t="s">
        <v>1583</v>
      </c>
      <c r="AI1780" s="1759" t="s">
        <v>3061</v>
      </c>
      <c r="AJ1780" s="1759" t="s">
        <v>1734</v>
      </c>
      <c r="AK1780" s="1759">
        <v>305</v>
      </c>
      <c r="AL1780" s="1759" t="s">
        <v>1734</v>
      </c>
      <c r="AM1780" s="1759">
        <v>305</v>
      </c>
      <c r="AN1780" s="1759"/>
      <c r="AO1780" s="1764"/>
      <c r="AP1780" s="1759"/>
      <c r="AQ1780" s="1759"/>
      <c r="AR1780" s="1759" t="s">
        <v>1736</v>
      </c>
      <c r="AS1780" s="1759" t="s">
        <v>1735</v>
      </c>
      <c r="AT1780" s="1759" t="s">
        <v>327</v>
      </c>
      <c r="AU1780" s="1763"/>
      <c r="AV1780" s="1763"/>
    </row>
    <row r="1781" spans="1:48" ht="37.5" hidden="1">
      <c r="A1781" s="1785" t="str">
        <f t="shared" si="297"/>
        <v>גמל</v>
      </c>
      <c r="B1781" s="1786">
        <f t="shared" si="298"/>
        <v>304</v>
      </c>
      <c r="C1781" s="1787">
        <v>28946</v>
      </c>
      <c r="D1781" s="1786" t="str">
        <f t="shared" si="299"/>
        <v>קופת תגמולים של עובדי  החברה להנדסה ולתעשיה - אמקול</v>
      </c>
      <c r="E1781" s="1786" t="s">
        <v>3929</v>
      </c>
      <c r="F1781" s="1786" t="s">
        <v>2958</v>
      </c>
      <c r="G1781" s="1786" t="s">
        <v>2959</v>
      </c>
      <c r="H1781" s="1786" t="str">
        <f t="shared" si="300"/>
        <v>לא פעיל</v>
      </c>
      <c r="I1781" s="1788">
        <f t="shared" si="301"/>
        <v>23833</v>
      </c>
      <c r="J1781" s="1788">
        <f t="shared" si="302"/>
        <v>37986.352847222202</v>
      </c>
      <c r="K1781" s="1786">
        <v>0</v>
      </c>
      <c r="L1781" s="1786" t="s">
        <v>1594</v>
      </c>
      <c r="M1781" s="1786" t="s">
        <v>1653</v>
      </c>
      <c r="N1781" s="1786" t="s">
        <v>1653</v>
      </c>
      <c r="O1781" s="1786">
        <v>0</v>
      </c>
      <c r="P1781" s="1786"/>
      <c r="Q1781" s="1786">
        <v>0</v>
      </c>
      <c r="R1781" s="1788"/>
      <c r="S1781" s="1786">
        <f t="shared" si="303"/>
        <v>304</v>
      </c>
      <c r="T1781" s="1786">
        <f t="shared" si="304"/>
        <v>0</v>
      </c>
      <c r="U1781" s="1786" t="str">
        <f t="shared" si="305"/>
        <v>קופת תגמולים של עובדי  החברה להנדסה ולתעשיה - אמקול</v>
      </c>
      <c r="V1781" s="1786">
        <f t="shared" si="306"/>
        <v>0</v>
      </c>
      <c r="W1781" s="1789" t="str">
        <f t="shared" si="307"/>
        <v>קופ"ג של עוב' החברה להנדסה ולתעשיה - אמקול</v>
      </c>
      <c r="AC1781" s="1761" t="s">
        <v>1586</v>
      </c>
      <c r="AD1781" s="1762">
        <v>37986.352847222202</v>
      </c>
      <c r="AE1781" s="1762">
        <v>23833</v>
      </c>
      <c r="AF1781" s="1761" t="s">
        <v>1583</v>
      </c>
      <c r="AG1781" s="1761" t="s">
        <v>1583</v>
      </c>
      <c r="AH1781" s="1761" t="s">
        <v>1583</v>
      </c>
      <c r="AI1781" s="1761" t="s">
        <v>3060</v>
      </c>
      <c r="AJ1781" s="1761" t="s">
        <v>1732</v>
      </c>
      <c r="AK1781" s="1761">
        <v>304</v>
      </c>
      <c r="AL1781" s="1761" t="s">
        <v>1732</v>
      </c>
      <c r="AM1781" s="1761">
        <v>304</v>
      </c>
      <c r="AN1781" s="1761"/>
      <c r="AO1781" s="1764"/>
      <c r="AP1781" s="1761"/>
      <c r="AQ1781" s="1761"/>
      <c r="AR1781" s="1761" t="s">
        <v>1733</v>
      </c>
      <c r="AS1781" s="1761"/>
      <c r="AT1781" s="1761" t="s">
        <v>327</v>
      </c>
      <c r="AU1781" s="1763"/>
      <c r="AV1781" s="1763"/>
    </row>
    <row r="1782" spans="1:48" ht="37.5" hidden="1">
      <c r="A1782" s="1785" t="str">
        <f t="shared" si="297"/>
        <v>גמל</v>
      </c>
      <c r="B1782" s="1786">
        <f t="shared" si="298"/>
        <v>303</v>
      </c>
      <c r="C1782" s="1787">
        <v>28946</v>
      </c>
      <c r="D1782" s="1786" t="str">
        <f t="shared" si="299"/>
        <v>מוסד לחסכון ולעזרה הדדית של חברת  החשמל לישראל בע"מ</v>
      </c>
      <c r="E1782" s="1786" t="s">
        <v>3929</v>
      </c>
      <c r="F1782" s="1786" t="s">
        <v>2958</v>
      </c>
      <c r="G1782" s="1786" t="s">
        <v>2959</v>
      </c>
      <c r="H1782" s="1786" t="str">
        <f t="shared" si="300"/>
        <v>לא פעיל</v>
      </c>
      <c r="I1782" s="1788">
        <f t="shared" si="301"/>
        <v>35431</v>
      </c>
      <c r="J1782" s="1788">
        <f t="shared" si="302"/>
        <v>35775.393495370401</v>
      </c>
      <c r="K1782" s="1786">
        <v>0</v>
      </c>
      <c r="L1782" s="1786" t="s">
        <v>1594</v>
      </c>
      <c r="M1782" s="1786" t="s">
        <v>1653</v>
      </c>
      <c r="N1782" s="1786" t="s">
        <v>1653</v>
      </c>
      <c r="O1782" s="1786">
        <v>0</v>
      </c>
      <c r="P1782" s="1786"/>
      <c r="Q1782" s="1786">
        <v>0</v>
      </c>
      <c r="R1782" s="1788"/>
      <c r="S1782" s="1786">
        <f t="shared" si="303"/>
        <v>303</v>
      </c>
      <c r="T1782" s="1786">
        <f t="shared" si="304"/>
        <v>0</v>
      </c>
      <c r="U1782" s="1786" t="str">
        <f t="shared" si="305"/>
        <v>מוסד לחסכון ולעזרה הדדית של חברת  החשמל לישראל בע"מ</v>
      </c>
      <c r="V1782" s="1786">
        <f t="shared" si="306"/>
        <v>0</v>
      </c>
      <c r="W1782" s="1789" t="str">
        <f t="shared" si="307"/>
        <v>מוסד לחסכון ולעז' הדדית של עוב' חב' החשמל</v>
      </c>
      <c r="AC1782" s="1759" t="s">
        <v>1586</v>
      </c>
      <c r="AD1782" s="1760">
        <v>35775.393495370401</v>
      </c>
      <c r="AE1782" s="1760">
        <v>35431</v>
      </c>
      <c r="AF1782" s="1759" t="s">
        <v>1583</v>
      </c>
      <c r="AG1782" s="1759" t="s">
        <v>1583</v>
      </c>
      <c r="AH1782" s="1759" t="s">
        <v>1583</v>
      </c>
      <c r="AI1782" s="1759" t="s">
        <v>3059</v>
      </c>
      <c r="AJ1782" s="1759" t="s">
        <v>1729</v>
      </c>
      <c r="AK1782" s="1759">
        <v>303</v>
      </c>
      <c r="AL1782" s="1759" t="s">
        <v>1729</v>
      </c>
      <c r="AM1782" s="1759">
        <v>303</v>
      </c>
      <c r="AN1782" s="1759"/>
      <c r="AO1782" s="1764"/>
      <c r="AP1782" s="1759"/>
      <c r="AQ1782" s="1759"/>
      <c r="AR1782" s="1759" t="s">
        <v>1731</v>
      </c>
      <c r="AS1782" s="1759" t="s">
        <v>1730</v>
      </c>
      <c r="AT1782" s="1759" t="s">
        <v>327</v>
      </c>
      <c r="AU1782" s="1763"/>
      <c r="AV1782" s="1763"/>
    </row>
    <row r="1783" spans="1:48" ht="37.5" hidden="1">
      <c r="A1783" s="1785" t="str">
        <f t="shared" si="297"/>
        <v>גמל</v>
      </c>
      <c r="B1783" s="1786">
        <f t="shared" si="298"/>
        <v>1450</v>
      </c>
      <c r="C1783" s="1787">
        <v>28946</v>
      </c>
      <c r="D1783" s="1786" t="str">
        <f t="shared" si="299"/>
        <v>קו הבריאות - מסלול ללא מניות</v>
      </c>
      <c r="E1783" s="1786" t="s">
        <v>3929</v>
      </c>
      <c r="F1783" s="1786" t="s">
        <v>2958</v>
      </c>
      <c r="G1783" s="1786" t="s">
        <v>2959</v>
      </c>
      <c r="H1783" s="1786" t="str">
        <f t="shared" si="300"/>
        <v>לא פעיל</v>
      </c>
      <c r="I1783" s="1788">
        <f t="shared" si="301"/>
        <v>30904</v>
      </c>
      <c r="J1783" s="1788">
        <f t="shared" si="302"/>
        <v>42373.455185185201</v>
      </c>
      <c r="K1783" s="1786">
        <v>0</v>
      </c>
      <c r="L1783" s="1786" t="s">
        <v>1594</v>
      </c>
      <c r="M1783" s="1786" t="s">
        <v>1653</v>
      </c>
      <c r="N1783" s="1786" t="s">
        <v>1653</v>
      </c>
      <c r="O1783" s="1786">
        <v>0</v>
      </c>
      <c r="P1783" s="1786"/>
      <c r="Q1783" s="1786">
        <v>0</v>
      </c>
      <c r="R1783" s="1788"/>
      <c r="S1783" s="1786">
        <f t="shared" si="303"/>
        <v>301</v>
      </c>
      <c r="T1783" s="1786" t="str">
        <f t="shared" si="304"/>
        <v>בנק הפועלים בע"מ</v>
      </c>
      <c r="U1783" s="1786" t="str">
        <f t="shared" si="305"/>
        <v>קו הבריאות קופת גמל לתגמולים ולפיצויים (לא משלמת)</v>
      </c>
      <c r="V1783" s="1786">
        <f t="shared" si="306"/>
        <v>0</v>
      </c>
      <c r="W1783" s="1789" t="str">
        <f t="shared" si="307"/>
        <v>קו הבריאות חברה לניהול קופות גמל בע"מ</v>
      </c>
      <c r="AC1783" s="1761" t="s">
        <v>1586</v>
      </c>
      <c r="AD1783" s="1762">
        <v>42373.455185185201</v>
      </c>
      <c r="AE1783" s="1762">
        <v>30904</v>
      </c>
      <c r="AF1783" s="1761" t="s">
        <v>1681</v>
      </c>
      <c r="AG1783" s="1761" t="s">
        <v>1583</v>
      </c>
      <c r="AH1783" s="1761" t="s">
        <v>1583</v>
      </c>
      <c r="AI1783" s="1761" t="s">
        <v>2473</v>
      </c>
      <c r="AJ1783" s="1761" t="s">
        <v>2473</v>
      </c>
      <c r="AK1783" s="1761">
        <v>1450</v>
      </c>
      <c r="AL1783" s="1761" t="s">
        <v>3058</v>
      </c>
      <c r="AM1783" s="1761">
        <v>301</v>
      </c>
      <c r="AN1783" s="1761" t="s">
        <v>1695</v>
      </c>
      <c r="AO1783" s="1764"/>
      <c r="AP1783" s="1761" t="s">
        <v>5632</v>
      </c>
      <c r="AQ1783" s="1761"/>
      <c r="AR1783" s="1761" t="s">
        <v>475</v>
      </c>
      <c r="AS1783" s="1761" t="s">
        <v>476</v>
      </c>
      <c r="AT1783" s="1761" t="s">
        <v>327</v>
      </c>
      <c r="AU1783" s="1763"/>
      <c r="AV1783" s="1763"/>
    </row>
    <row r="1784" spans="1:48" ht="37.5" hidden="1">
      <c r="A1784" s="1785" t="str">
        <f t="shared" si="297"/>
        <v>גמל</v>
      </c>
      <c r="B1784" s="1786">
        <f t="shared" si="298"/>
        <v>7209</v>
      </c>
      <c r="C1784" s="1787">
        <v>28946</v>
      </c>
      <c r="D1784" s="1786" t="str">
        <f t="shared" si="299"/>
        <v>קו הבריאות קופת גמל לתגמולים ולפיצויים (לא משלמת) לבני 50 ומטה</v>
      </c>
      <c r="E1784" s="1786" t="s">
        <v>3929</v>
      </c>
      <c r="F1784" s="1786" t="s">
        <v>2958</v>
      </c>
      <c r="G1784" s="1786" t="s">
        <v>2959</v>
      </c>
      <c r="H1784" s="1786" t="str">
        <f t="shared" si="300"/>
        <v>פעיל</v>
      </c>
      <c r="I1784" s="1788">
        <f t="shared" si="301"/>
        <v>30904</v>
      </c>
      <c r="J1784" s="1788" t="str">
        <f t="shared" si="302"/>
        <v/>
      </c>
      <c r="K1784" s="1786">
        <v>0</v>
      </c>
      <c r="L1784" s="1786" t="s">
        <v>1594</v>
      </c>
      <c r="M1784" s="1786" t="s">
        <v>1653</v>
      </c>
      <c r="N1784" s="1786" t="s">
        <v>1653</v>
      </c>
      <c r="O1784" s="1786">
        <v>0</v>
      </c>
      <c r="P1784" s="1786"/>
      <c r="Q1784" s="1786">
        <v>0</v>
      </c>
      <c r="R1784" s="1788"/>
      <c r="S1784" s="1786">
        <f t="shared" si="303"/>
        <v>301</v>
      </c>
      <c r="T1784" s="1786" t="str">
        <f t="shared" si="304"/>
        <v>בנק הפועלים בע"מ</v>
      </c>
      <c r="U1784" s="1786" t="str">
        <f t="shared" si="305"/>
        <v>קו הבריאות קופת גמל לתגמולים ולפיצויים (לא משלמת)</v>
      </c>
      <c r="V1784" s="1786">
        <f t="shared" si="306"/>
        <v>0</v>
      </c>
      <c r="W1784" s="1789" t="str">
        <f t="shared" si="307"/>
        <v>קו הבריאות חברה לניהול קופות גמל בע"מ</v>
      </c>
      <c r="AC1784" s="1759" t="s">
        <v>346</v>
      </c>
      <c r="AD1784" s="1759"/>
      <c r="AE1784" s="1760">
        <v>30904</v>
      </c>
      <c r="AF1784" s="1759" t="s">
        <v>4151</v>
      </c>
      <c r="AG1784" s="1759" t="s">
        <v>3931</v>
      </c>
      <c r="AH1784" s="1759" t="s">
        <v>3658</v>
      </c>
      <c r="AI1784" s="1759" t="s">
        <v>4187</v>
      </c>
      <c r="AJ1784" s="1759" t="s">
        <v>4186</v>
      </c>
      <c r="AK1784" s="1759">
        <v>7209</v>
      </c>
      <c r="AL1784" s="1759" t="s">
        <v>3058</v>
      </c>
      <c r="AM1784" s="1759">
        <v>301</v>
      </c>
      <c r="AN1784" s="1759" t="s">
        <v>1695</v>
      </c>
      <c r="AO1784" s="1764"/>
      <c r="AP1784" s="1759" t="s">
        <v>5632</v>
      </c>
      <c r="AQ1784" s="1759"/>
      <c r="AR1784" s="1759" t="s">
        <v>475</v>
      </c>
      <c r="AS1784" s="1759" t="s">
        <v>476</v>
      </c>
      <c r="AT1784" s="1759" t="s">
        <v>327</v>
      </c>
      <c r="AU1784" s="1763"/>
      <c r="AV1784" s="1763"/>
    </row>
    <row r="1785" spans="1:48" ht="37.5" hidden="1">
      <c r="A1785" s="1785" t="str">
        <f t="shared" si="297"/>
        <v>גמל</v>
      </c>
      <c r="B1785" s="1786">
        <f t="shared" si="298"/>
        <v>301</v>
      </c>
      <c r="C1785" s="1787">
        <v>28946</v>
      </c>
      <c r="D1785" s="1786" t="str">
        <f t="shared" si="299"/>
        <v>קו הבריאות קופת גמל לתגמולים לשכירים ולעצמאים - מסלול כללי</v>
      </c>
      <c r="E1785" s="1786" t="s">
        <v>3929</v>
      </c>
      <c r="F1785" s="1786" t="s">
        <v>2958</v>
      </c>
      <c r="G1785" s="1786" t="s">
        <v>2959</v>
      </c>
      <c r="H1785" s="1786" t="str">
        <f t="shared" si="300"/>
        <v>לא פעיל</v>
      </c>
      <c r="I1785" s="1788">
        <f t="shared" si="301"/>
        <v>30904</v>
      </c>
      <c r="J1785" s="1788">
        <f t="shared" si="302"/>
        <v>42373.455185185201</v>
      </c>
      <c r="K1785" s="1786">
        <v>0</v>
      </c>
      <c r="L1785" s="1786" t="s">
        <v>1594</v>
      </c>
      <c r="M1785" s="1786" t="s">
        <v>1653</v>
      </c>
      <c r="N1785" s="1786" t="s">
        <v>1653</v>
      </c>
      <c r="O1785" s="1786">
        <v>0</v>
      </c>
      <c r="P1785" s="1786"/>
      <c r="Q1785" s="1786">
        <v>0</v>
      </c>
      <c r="R1785" s="1788"/>
      <c r="S1785" s="1786">
        <f t="shared" si="303"/>
        <v>301</v>
      </c>
      <c r="T1785" s="1786" t="str">
        <f t="shared" si="304"/>
        <v>בנק הפועלים בע"מ</v>
      </c>
      <c r="U1785" s="1786" t="str">
        <f t="shared" si="305"/>
        <v>קו הבריאות קופת גמל לתגמולים ולפיצויים (לא משלמת)</v>
      </c>
      <c r="V1785" s="1786">
        <f t="shared" si="306"/>
        <v>0</v>
      </c>
      <c r="W1785" s="1789" t="str">
        <f t="shared" si="307"/>
        <v>קו הבריאות חברה לניהול קופות גמל בע"מ</v>
      </c>
      <c r="AC1785" s="1761" t="s">
        <v>1586</v>
      </c>
      <c r="AD1785" s="1762">
        <v>42373.455185185201</v>
      </c>
      <c r="AE1785" s="1762">
        <v>30904</v>
      </c>
      <c r="AF1785" s="1761" t="s">
        <v>1583</v>
      </c>
      <c r="AG1785" s="1761" t="s">
        <v>1583</v>
      </c>
      <c r="AH1785" s="1761" t="s">
        <v>1583</v>
      </c>
      <c r="AI1785" s="1761" t="s">
        <v>3057</v>
      </c>
      <c r="AJ1785" s="1761" t="s">
        <v>1728</v>
      </c>
      <c r="AK1785" s="1761">
        <v>301</v>
      </c>
      <c r="AL1785" s="1761" t="s">
        <v>3058</v>
      </c>
      <c r="AM1785" s="1761">
        <v>301</v>
      </c>
      <c r="AN1785" s="1761" t="s">
        <v>1695</v>
      </c>
      <c r="AO1785" s="1764"/>
      <c r="AP1785" s="1761" t="s">
        <v>5632</v>
      </c>
      <c r="AQ1785" s="1761"/>
      <c r="AR1785" s="1761" t="s">
        <v>475</v>
      </c>
      <c r="AS1785" s="1761" t="s">
        <v>476</v>
      </c>
      <c r="AT1785" s="1761" t="s">
        <v>327</v>
      </c>
      <c r="AU1785" s="1763"/>
      <c r="AV1785" s="1763"/>
    </row>
    <row r="1786" spans="1:48" ht="37.5" hidden="1">
      <c r="A1786" s="1785" t="str">
        <f t="shared" si="297"/>
        <v>גמל</v>
      </c>
      <c r="B1786" s="1786">
        <f t="shared" si="298"/>
        <v>7211</v>
      </c>
      <c r="C1786" s="1787">
        <v>28946</v>
      </c>
      <c r="D1786" s="1786" t="str">
        <f t="shared" si="299"/>
        <v>קו הבריאות קופת גמל לתגמולים ולפיצויים (לא משלמת) לבני 60 ומעלה</v>
      </c>
      <c r="E1786" s="1786" t="s">
        <v>3929</v>
      </c>
      <c r="F1786" s="1786" t="s">
        <v>2958</v>
      </c>
      <c r="G1786" s="1786" t="s">
        <v>2959</v>
      </c>
      <c r="H1786" s="1786" t="str">
        <f t="shared" si="300"/>
        <v>פעיל</v>
      </c>
      <c r="I1786" s="1788">
        <f t="shared" si="301"/>
        <v>30904</v>
      </c>
      <c r="J1786" s="1788" t="str">
        <f t="shared" si="302"/>
        <v/>
      </c>
      <c r="K1786" s="1786">
        <v>0</v>
      </c>
      <c r="L1786" s="1786" t="s">
        <v>1594</v>
      </c>
      <c r="M1786" s="1786" t="s">
        <v>1653</v>
      </c>
      <c r="N1786" s="1786" t="s">
        <v>1653</v>
      </c>
      <c r="O1786" s="1786">
        <v>0</v>
      </c>
      <c r="P1786" s="1786"/>
      <c r="Q1786" s="1786">
        <v>0</v>
      </c>
      <c r="R1786" s="1788"/>
      <c r="S1786" s="1786">
        <f t="shared" si="303"/>
        <v>301</v>
      </c>
      <c r="T1786" s="1786" t="str">
        <f t="shared" si="304"/>
        <v>בנק הפועלים בע"מ</v>
      </c>
      <c r="U1786" s="1786" t="str">
        <f t="shared" si="305"/>
        <v>קו הבריאות קופת גמל לתגמולים ולפיצויים (לא משלמת)</v>
      </c>
      <c r="V1786" s="1786">
        <f t="shared" si="306"/>
        <v>0</v>
      </c>
      <c r="W1786" s="1789" t="str">
        <f t="shared" si="307"/>
        <v>קו הבריאות חברה לניהול קופות גמל בע"מ</v>
      </c>
      <c r="AC1786" s="1759" t="s">
        <v>346</v>
      </c>
      <c r="AD1786" s="1759"/>
      <c r="AE1786" s="1760">
        <v>30904</v>
      </c>
      <c r="AF1786" s="1759" t="s">
        <v>3963</v>
      </c>
      <c r="AG1786" s="1759" t="s">
        <v>3931</v>
      </c>
      <c r="AH1786" s="1759" t="s">
        <v>3658</v>
      </c>
      <c r="AI1786" s="1759" t="s">
        <v>4191</v>
      </c>
      <c r="AJ1786" s="1759" t="s">
        <v>4190</v>
      </c>
      <c r="AK1786" s="1759">
        <v>7211</v>
      </c>
      <c r="AL1786" s="1759" t="s">
        <v>3058</v>
      </c>
      <c r="AM1786" s="1759">
        <v>301</v>
      </c>
      <c r="AN1786" s="1759" t="s">
        <v>1695</v>
      </c>
      <c r="AO1786" s="1764"/>
      <c r="AP1786" s="1759" t="s">
        <v>5632</v>
      </c>
      <c r="AQ1786" s="1759"/>
      <c r="AR1786" s="1759" t="s">
        <v>475</v>
      </c>
      <c r="AS1786" s="1759" t="s">
        <v>476</v>
      </c>
      <c r="AT1786" s="1759" t="s">
        <v>327</v>
      </c>
      <c r="AU1786" s="1763"/>
      <c r="AV1786" s="1763"/>
    </row>
    <row r="1787" spans="1:48" ht="37.5" hidden="1">
      <c r="A1787" s="1785" t="str">
        <f t="shared" si="297"/>
        <v>גמל</v>
      </c>
      <c r="B1787" s="1786">
        <f t="shared" si="298"/>
        <v>7210</v>
      </c>
      <c r="C1787" s="1787">
        <v>28946</v>
      </c>
      <c r="D1787" s="1786" t="str">
        <f t="shared" si="299"/>
        <v>קו הבריאות קופת גמל לתגמולים ולפיצויים (לא משלמת) לבני 50-60</v>
      </c>
      <c r="E1787" s="1786" t="s">
        <v>3929</v>
      </c>
      <c r="F1787" s="1786" t="s">
        <v>2958</v>
      </c>
      <c r="G1787" s="1786" t="s">
        <v>2959</v>
      </c>
      <c r="H1787" s="1786" t="str">
        <f t="shared" si="300"/>
        <v>פעיל</v>
      </c>
      <c r="I1787" s="1788">
        <f t="shared" si="301"/>
        <v>30904</v>
      </c>
      <c r="J1787" s="1788" t="str">
        <f t="shared" si="302"/>
        <v/>
      </c>
      <c r="K1787" s="1786">
        <v>0</v>
      </c>
      <c r="L1787" s="1786" t="s">
        <v>1594</v>
      </c>
      <c r="M1787" s="1786" t="s">
        <v>1653</v>
      </c>
      <c r="N1787" s="1786" t="s">
        <v>1653</v>
      </c>
      <c r="O1787" s="1786">
        <v>0</v>
      </c>
      <c r="P1787" s="1786"/>
      <c r="Q1787" s="1786">
        <v>0</v>
      </c>
      <c r="R1787" s="1788"/>
      <c r="S1787" s="1786">
        <f t="shared" si="303"/>
        <v>301</v>
      </c>
      <c r="T1787" s="1786" t="str">
        <f t="shared" si="304"/>
        <v>בנק הפועלים בע"מ</v>
      </c>
      <c r="U1787" s="1786" t="str">
        <f t="shared" si="305"/>
        <v>קו הבריאות קופת גמל לתגמולים ולפיצויים (לא משלמת)</v>
      </c>
      <c r="V1787" s="1786">
        <f t="shared" si="306"/>
        <v>0</v>
      </c>
      <c r="W1787" s="1789" t="str">
        <f t="shared" si="307"/>
        <v>קו הבריאות חברה לניהול קופות גמל בע"מ</v>
      </c>
      <c r="AC1787" s="1761" t="s">
        <v>346</v>
      </c>
      <c r="AD1787" s="1759"/>
      <c r="AE1787" s="1762">
        <v>30904</v>
      </c>
      <c r="AF1787" s="1761" t="s">
        <v>3932</v>
      </c>
      <c r="AG1787" s="1761" t="s">
        <v>3931</v>
      </c>
      <c r="AH1787" s="1761" t="s">
        <v>3658</v>
      </c>
      <c r="AI1787" s="1761" t="s">
        <v>4189</v>
      </c>
      <c r="AJ1787" s="1761" t="s">
        <v>4188</v>
      </c>
      <c r="AK1787" s="1761">
        <v>7210</v>
      </c>
      <c r="AL1787" s="1761" t="s">
        <v>3058</v>
      </c>
      <c r="AM1787" s="1761">
        <v>301</v>
      </c>
      <c r="AN1787" s="1761" t="s">
        <v>1695</v>
      </c>
      <c r="AO1787" s="1764"/>
      <c r="AP1787" s="1761" t="s">
        <v>5632</v>
      </c>
      <c r="AQ1787" s="1761"/>
      <c r="AR1787" s="1761" t="s">
        <v>475</v>
      </c>
      <c r="AS1787" s="1761" t="s">
        <v>476</v>
      </c>
      <c r="AT1787" s="1761" t="s">
        <v>327</v>
      </c>
      <c r="AU1787" s="1763"/>
      <c r="AV1787" s="1763"/>
    </row>
    <row r="1788" spans="1:48" ht="62.5" hidden="1">
      <c r="A1788" s="1785" t="str">
        <f t="shared" si="297"/>
        <v>גמל</v>
      </c>
      <c r="B1788" s="1786">
        <f t="shared" si="298"/>
        <v>2253</v>
      </c>
      <c r="C1788" s="1787">
        <v>28946</v>
      </c>
      <c r="D1788" s="1786" t="str">
        <f t="shared" si="299"/>
        <v>מינהל קרן השתלמות לעובדי המינהל אג"ח טווח קצר</v>
      </c>
      <c r="E1788" s="1786" t="s">
        <v>3929</v>
      </c>
      <c r="F1788" s="1786" t="s">
        <v>2958</v>
      </c>
      <c r="G1788" s="1786" t="s">
        <v>2959</v>
      </c>
      <c r="H1788" s="1786" t="str">
        <f t="shared" si="300"/>
        <v>לא פעיל</v>
      </c>
      <c r="I1788" s="1788">
        <f t="shared" si="301"/>
        <v>28581</v>
      </c>
      <c r="J1788" s="1788">
        <f t="shared" si="302"/>
        <v>41759.449525463002</v>
      </c>
      <c r="K1788" s="1786">
        <v>0</v>
      </c>
      <c r="L1788" s="1786" t="s">
        <v>1594</v>
      </c>
      <c r="M1788" s="1786" t="s">
        <v>1653</v>
      </c>
      <c r="N1788" s="1786" t="s">
        <v>1653</v>
      </c>
      <c r="O1788" s="1786">
        <v>0</v>
      </c>
      <c r="P1788" s="1786"/>
      <c r="Q1788" s="1786">
        <v>0</v>
      </c>
      <c r="R1788" s="1788"/>
      <c r="S1788" s="1786">
        <f t="shared" si="303"/>
        <v>299</v>
      </c>
      <c r="T1788" s="1786" t="str">
        <f t="shared" si="304"/>
        <v>בנק הפועלים בע"מ</v>
      </c>
      <c r="U1788" s="1786" t="str">
        <f t="shared" si="305"/>
        <v>מינהל - קרן ההשתלמות לפקידים עובדי המינהל והשרותים - מסלול כללי</v>
      </c>
      <c r="V1788" s="1786">
        <f t="shared" si="306"/>
        <v>0</v>
      </c>
      <c r="W1788" s="1789" t="str">
        <f t="shared" si="307"/>
        <v>החברה המנהלת של מינהל קרן ההשתלמות לפקידים עובדי המנהל והשירותים בע"מ</v>
      </c>
      <c r="AC1788" s="1759" t="s">
        <v>1586</v>
      </c>
      <c r="AD1788" s="1760">
        <v>41759.449525463002</v>
      </c>
      <c r="AE1788" s="1760">
        <v>28581</v>
      </c>
      <c r="AF1788" s="1759" t="s">
        <v>1673</v>
      </c>
      <c r="AG1788" s="1759" t="s">
        <v>1653</v>
      </c>
      <c r="AH1788" s="1759" t="s">
        <v>1594</v>
      </c>
      <c r="AI1788" s="1759" t="s">
        <v>3720</v>
      </c>
      <c r="AJ1788" s="1759" t="s">
        <v>2912</v>
      </c>
      <c r="AK1788" s="1759">
        <v>2253</v>
      </c>
      <c r="AL1788" s="1759" t="s">
        <v>474</v>
      </c>
      <c r="AM1788" s="1759">
        <v>299</v>
      </c>
      <c r="AN1788" s="1759" t="s">
        <v>1695</v>
      </c>
      <c r="AO1788" s="1764"/>
      <c r="AP1788" s="1759" t="s">
        <v>5667</v>
      </c>
      <c r="AQ1788" s="1759"/>
      <c r="AR1788" s="1759" t="s">
        <v>472</v>
      </c>
      <c r="AS1788" s="1759" t="s">
        <v>473</v>
      </c>
      <c r="AT1788" s="1759" t="s">
        <v>327</v>
      </c>
      <c r="AU1788" s="1763"/>
      <c r="AV1788" s="1763"/>
    </row>
    <row r="1789" spans="1:48" ht="62.5" hidden="1">
      <c r="A1789" s="1785" t="str">
        <f t="shared" si="297"/>
        <v>גמל</v>
      </c>
      <c r="B1789" s="1786">
        <f t="shared" si="298"/>
        <v>1385</v>
      </c>
      <c r="C1789" s="1787">
        <v>28946</v>
      </c>
      <c r="D1789" s="1786" t="str">
        <f t="shared" si="299"/>
        <v xml:space="preserve">מינהל - קרן ההשתלמות לפקידים עובדי המינהל והשירותים- אג"ח </v>
      </c>
      <c r="E1789" s="1786" t="s">
        <v>3929</v>
      </c>
      <c r="F1789" s="1786" t="s">
        <v>2958</v>
      </c>
      <c r="G1789" s="1786" t="s">
        <v>2959</v>
      </c>
      <c r="H1789" s="1786" t="str">
        <f t="shared" si="300"/>
        <v>פעיל</v>
      </c>
      <c r="I1789" s="1788">
        <f t="shared" si="301"/>
        <v>28581</v>
      </c>
      <c r="J1789" s="1788" t="str">
        <f t="shared" si="302"/>
        <v/>
      </c>
      <c r="K1789" s="1786">
        <v>0</v>
      </c>
      <c r="L1789" s="1786" t="s">
        <v>1594</v>
      </c>
      <c r="M1789" s="1786" t="s">
        <v>1653</v>
      </c>
      <c r="N1789" s="1786" t="s">
        <v>1653</v>
      </c>
      <c r="O1789" s="1786">
        <v>0</v>
      </c>
      <c r="P1789" s="1786"/>
      <c r="Q1789" s="1786">
        <v>0</v>
      </c>
      <c r="R1789" s="1788"/>
      <c r="S1789" s="1786">
        <f t="shared" si="303"/>
        <v>299</v>
      </c>
      <c r="T1789" s="1786" t="str">
        <f t="shared" si="304"/>
        <v>בנק הפועלים בע"מ</v>
      </c>
      <c r="U1789" s="1786" t="str">
        <f t="shared" si="305"/>
        <v>מינהל - קרן ההשתלמות לפקידים עובדי המינהל והשרותים - מסלול כללי</v>
      </c>
      <c r="V1789" s="1786">
        <f t="shared" si="306"/>
        <v>0</v>
      </c>
      <c r="W1789" s="1789" t="str">
        <f t="shared" si="307"/>
        <v>החברה המנהלת של מינהל קרן ההשתלמות לפקידים עובדי המנהל והשירותים בע"מ</v>
      </c>
      <c r="AC1789" s="1761" t="s">
        <v>346</v>
      </c>
      <c r="AD1789" s="1761"/>
      <c r="AE1789" s="1762">
        <v>28581</v>
      </c>
      <c r="AF1789" s="1761" t="s">
        <v>1653</v>
      </c>
      <c r="AG1789" s="1761" t="s">
        <v>1653</v>
      </c>
      <c r="AH1789" s="1761" t="s">
        <v>1594</v>
      </c>
      <c r="AI1789" s="1761" t="s">
        <v>3622</v>
      </c>
      <c r="AJ1789" s="1761" t="s">
        <v>4080</v>
      </c>
      <c r="AK1789" s="1761">
        <v>1385</v>
      </c>
      <c r="AL1789" s="1761" t="s">
        <v>474</v>
      </c>
      <c r="AM1789" s="1761">
        <v>299</v>
      </c>
      <c r="AN1789" s="1761" t="s">
        <v>1695</v>
      </c>
      <c r="AO1789" s="1764"/>
      <c r="AP1789" s="1761" t="s">
        <v>5667</v>
      </c>
      <c r="AQ1789" s="1761"/>
      <c r="AR1789" s="1761" t="s">
        <v>472</v>
      </c>
      <c r="AS1789" s="1761" t="s">
        <v>473</v>
      </c>
      <c r="AT1789" s="1761" t="s">
        <v>327</v>
      </c>
      <c r="AU1789" s="1763"/>
      <c r="AV1789" s="1763"/>
    </row>
    <row r="1790" spans="1:48" ht="62.5" hidden="1">
      <c r="A1790" s="1785" t="str">
        <f t="shared" si="297"/>
        <v>גמל</v>
      </c>
      <c r="B1790" s="1786">
        <f t="shared" si="298"/>
        <v>1262</v>
      </c>
      <c r="C1790" s="1787">
        <v>28946</v>
      </c>
      <c r="D1790" s="1786" t="str">
        <f t="shared" si="299"/>
        <v>מינהל - קרן ההשתלמות לפקידים עובדי המינהל והשרותים - מסלול מניות</v>
      </c>
      <c r="E1790" s="1786" t="s">
        <v>3929</v>
      </c>
      <c r="F1790" s="1786" t="s">
        <v>2958</v>
      </c>
      <c r="G1790" s="1786" t="s">
        <v>2959</v>
      </c>
      <c r="H1790" s="1786" t="str">
        <f t="shared" si="300"/>
        <v>פעיל</v>
      </c>
      <c r="I1790" s="1788">
        <f t="shared" si="301"/>
        <v>28581</v>
      </c>
      <c r="J1790" s="1788" t="str">
        <f t="shared" si="302"/>
        <v/>
      </c>
      <c r="K1790" s="1786">
        <v>0</v>
      </c>
      <c r="L1790" s="1786" t="s">
        <v>1594</v>
      </c>
      <c r="M1790" s="1786" t="s">
        <v>1653</v>
      </c>
      <c r="N1790" s="1786" t="s">
        <v>1653</v>
      </c>
      <c r="O1790" s="1786">
        <v>0</v>
      </c>
      <c r="P1790" s="1786"/>
      <c r="Q1790" s="1786">
        <v>0</v>
      </c>
      <c r="R1790" s="1788"/>
      <c r="S1790" s="1786">
        <f t="shared" si="303"/>
        <v>299</v>
      </c>
      <c r="T1790" s="1786" t="str">
        <f t="shared" si="304"/>
        <v>בנק הפועלים בע"מ</v>
      </c>
      <c r="U1790" s="1786" t="str">
        <f t="shared" si="305"/>
        <v>מינהל - קרן ההשתלמות לפקידים עובדי המינהל והשרותים - מסלול כללי</v>
      </c>
      <c r="V1790" s="1786">
        <f t="shared" si="306"/>
        <v>0</v>
      </c>
      <c r="W1790" s="1789" t="str">
        <f t="shared" si="307"/>
        <v>החברה המנהלת של מינהל קרן ההשתלמות לפקידים עובדי המנהל והשירותים בע"מ</v>
      </c>
      <c r="AC1790" s="1759" t="s">
        <v>346</v>
      </c>
      <c r="AD1790" s="1759"/>
      <c r="AE1790" s="1760">
        <v>28581</v>
      </c>
      <c r="AF1790" s="1759" t="s">
        <v>1595</v>
      </c>
      <c r="AG1790" s="1759" t="s">
        <v>75</v>
      </c>
      <c r="AH1790" s="1759" t="s">
        <v>1594</v>
      </c>
      <c r="AI1790" s="1759" t="s">
        <v>4052</v>
      </c>
      <c r="AJ1790" s="1759" t="s">
        <v>4051</v>
      </c>
      <c r="AK1790" s="1759">
        <v>1262</v>
      </c>
      <c r="AL1790" s="1759" t="s">
        <v>474</v>
      </c>
      <c r="AM1790" s="1759">
        <v>299</v>
      </c>
      <c r="AN1790" s="1759" t="s">
        <v>1695</v>
      </c>
      <c r="AO1790" s="1764"/>
      <c r="AP1790" s="1759" t="s">
        <v>5667</v>
      </c>
      <c r="AQ1790" s="1759"/>
      <c r="AR1790" s="1759" t="s">
        <v>472</v>
      </c>
      <c r="AS1790" s="1759" t="s">
        <v>473</v>
      </c>
      <c r="AT1790" s="1759" t="s">
        <v>327</v>
      </c>
      <c r="AU1790" s="1763"/>
      <c r="AV1790" s="1763"/>
    </row>
    <row r="1791" spans="1:48" ht="62.5" hidden="1">
      <c r="A1791" s="1785" t="str">
        <f t="shared" si="297"/>
        <v>גמל</v>
      </c>
      <c r="B1791" s="1786">
        <f t="shared" si="298"/>
        <v>299</v>
      </c>
      <c r="C1791" s="1787">
        <v>28946</v>
      </c>
      <c r="D1791" s="1786" t="str">
        <f t="shared" si="299"/>
        <v>מינהל - קרן ההשתלמות לפקידים עובדי המינהל והשרותים - מסלול כללי</v>
      </c>
      <c r="E1791" s="1786" t="s">
        <v>3929</v>
      </c>
      <c r="F1791" s="1786" t="s">
        <v>2958</v>
      </c>
      <c r="G1791" s="1786" t="s">
        <v>2959</v>
      </c>
      <c r="H1791" s="1786" t="str">
        <f t="shared" si="300"/>
        <v>פעיל</v>
      </c>
      <c r="I1791" s="1788">
        <f t="shared" si="301"/>
        <v>28581</v>
      </c>
      <c r="J1791" s="1788" t="str">
        <f t="shared" si="302"/>
        <v/>
      </c>
      <c r="K1791" s="1786">
        <v>0</v>
      </c>
      <c r="L1791" s="1786" t="s">
        <v>1594</v>
      </c>
      <c r="M1791" s="1786" t="s">
        <v>1653</v>
      </c>
      <c r="N1791" s="1786" t="s">
        <v>1653</v>
      </c>
      <c r="O1791" s="1786">
        <v>0</v>
      </c>
      <c r="P1791" s="1786"/>
      <c r="Q1791" s="1786">
        <v>0</v>
      </c>
      <c r="R1791" s="1788"/>
      <c r="S1791" s="1786">
        <f t="shared" si="303"/>
        <v>299</v>
      </c>
      <c r="T1791" s="1786" t="str">
        <f t="shared" si="304"/>
        <v>בנק הפועלים בע"מ</v>
      </c>
      <c r="U1791" s="1786" t="str">
        <f t="shared" si="305"/>
        <v>מינהל - קרן ההשתלמות לפקידים עובדי המינהל והשרותים - מסלול כללי</v>
      </c>
      <c r="V1791" s="1786">
        <f t="shared" si="306"/>
        <v>0</v>
      </c>
      <c r="W1791" s="1789" t="str">
        <f t="shared" si="307"/>
        <v>החברה המנהלת של מינהל קרן ההשתלמות לפקידים עובדי המנהל והשירותים בע"מ</v>
      </c>
      <c r="AC1791" s="1761" t="s">
        <v>346</v>
      </c>
      <c r="AD1791" s="1761"/>
      <c r="AE1791" s="1762">
        <v>28581</v>
      </c>
      <c r="AF1791" s="1761" t="s">
        <v>1583</v>
      </c>
      <c r="AG1791" s="1761" t="s">
        <v>1583</v>
      </c>
      <c r="AH1791" s="1761" t="s">
        <v>1583</v>
      </c>
      <c r="AI1791" s="1761" t="s">
        <v>3056</v>
      </c>
      <c r="AJ1791" s="1761" t="s">
        <v>474</v>
      </c>
      <c r="AK1791" s="1761">
        <v>299</v>
      </c>
      <c r="AL1791" s="1761" t="s">
        <v>474</v>
      </c>
      <c r="AM1791" s="1761">
        <v>299</v>
      </c>
      <c r="AN1791" s="1761" t="s">
        <v>1695</v>
      </c>
      <c r="AO1791" s="1764"/>
      <c r="AP1791" s="1761" t="s">
        <v>5667</v>
      </c>
      <c r="AQ1791" s="1761"/>
      <c r="AR1791" s="1761" t="s">
        <v>472</v>
      </c>
      <c r="AS1791" s="1761" t="s">
        <v>473</v>
      </c>
      <c r="AT1791" s="1761" t="s">
        <v>327</v>
      </c>
      <c r="AU1791" s="1763"/>
      <c r="AV1791" s="1763"/>
    </row>
    <row r="1792" spans="1:48" ht="37.5" hidden="1">
      <c r="A1792" s="1785" t="str">
        <f t="shared" si="297"/>
        <v>גמל</v>
      </c>
      <c r="B1792" s="1786">
        <f t="shared" si="298"/>
        <v>9922</v>
      </c>
      <c r="C1792" s="1787">
        <v>28946</v>
      </c>
      <c r="D1792" s="1786" t="str">
        <f t="shared" si="299"/>
        <v>ארם - קופת גמל לתגמולים של ארגון הרופאים עובדי המדינה עד 50</v>
      </c>
      <c r="E1792" s="1786" t="s">
        <v>3929</v>
      </c>
      <c r="F1792" s="1786" t="s">
        <v>2958</v>
      </c>
      <c r="G1792" s="1786" t="s">
        <v>2959</v>
      </c>
      <c r="H1792" s="1786" t="str">
        <f t="shared" si="300"/>
        <v>פעיל</v>
      </c>
      <c r="I1792" s="1788">
        <f t="shared" si="301"/>
        <v>28581</v>
      </c>
      <c r="J1792" s="1788" t="str">
        <f t="shared" si="302"/>
        <v/>
      </c>
      <c r="K1792" s="1786">
        <v>0</v>
      </c>
      <c r="L1792" s="1786" t="s">
        <v>1594</v>
      </c>
      <c r="M1792" s="1786" t="s">
        <v>1653</v>
      </c>
      <c r="N1792" s="1786" t="s">
        <v>1653</v>
      </c>
      <c r="O1792" s="1786">
        <v>0</v>
      </c>
      <c r="P1792" s="1786"/>
      <c r="Q1792" s="1786">
        <v>0</v>
      </c>
      <c r="R1792" s="1788"/>
      <c r="S1792" s="1786">
        <f t="shared" si="303"/>
        <v>297</v>
      </c>
      <c r="T1792" s="1786" t="str">
        <f t="shared" si="304"/>
        <v>בנק הפועלים בע"מ</v>
      </c>
      <c r="U1792" s="1786" t="str">
        <f t="shared" si="305"/>
        <v>ארם - קופת גמל לתגמולים של ארגון הרופאים עובדי המדינה</v>
      </c>
      <c r="V1792" s="1786">
        <f t="shared" si="306"/>
        <v>0</v>
      </c>
      <c r="W1792" s="1789" t="str">
        <f t="shared" si="307"/>
        <v>ארם גמולים - חברה לניהול קופות גמל בע''מ</v>
      </c>
      <c r="AC1792" s="1759" t="s">
        <v>346</v>
      </c>
      <c r="AD1792" s="1759"/>
      <c r="AE1792" s="1760">
        <v>28581</v>
      </c>
      <c r="AF1792" s="1759" t="s">
        <v>4151</v>
      </c>
      <c r="AG1792" s="1759" t="s">
        <v>3931</v>
      </c>
      <c r="AH1792" s="1759" t="s">
        <v>3658</v>
      </c>
      <c r="AI1792" s="1759" t="s">
        <v>4450</v>
      </c>
      <c r="AJ1792" s="1759" t="s">
        <v>4449</v>
      </c>
      <c r="AK1792" s="1759">
        <v>9922</v>
      </c>
      <c r="AL1792" s="1759" t="s">
        <v>4446</v>
      </c>
      <c r="AM1792" s="1759">
        <v>297</v>
      </c>
      <c r="AN1792" s="1759" t="s">
        <v>1695</v>
      </c>
      <c r="AO1792" s="1764"/>
      <c r="AP1792" s="1759" t="s">
        <v>5675</v>
      </c>
      <c r="AQ1792" s="1759"/>
      <c r="AR1792" s="1759" t="s">
        <v>469</v>
      </c>
      <c r="AS1792" s="1759" t="s">
        <v>470</v>
      </c>
      <c r="AT1792" s="1759" t="s">
        <v>327</v>
      </c>
      <c r="AU1792" s="1763"/>
      <c r="AV1792" s="1763"/>
    </row>
    <row r="1793" spans="1:48" ht="37.5" hidden="1">
      <c r="A1793" s="1785" t="str">
        <f t="shared" si="297"/>
        <v>גמל</v>
      </c>
      <c r="B1793" s="1786">
        <f t="shared" si="298"/>
        <v>9920</v>
      </c>
      <c r="C1793" s="1787">
        <v>28946</v>
      </c>
      <c r="D1793" s="1786" t="str">
        <f t="shared" si="299"/>
        <v>ארם - קופת גמל לתגמולים של ארגון הרופאים עובדי המדינה 50-60</v>
      </c>
      <c r="E1793" s="1786" t="s">
        <v>3929</v>
      </c>
      <c r="F1793" s="1786" t="s">
        <v>2958</v>
      </c>
      <c r="G1793" s="1786" t="s">
        <v>2959</v>
      </c>
      <c r="H1793" s="1786" t="str">
        <f t="shared" si="300"/>
        <v>פעיל</v>
      </c>
      <c r="I1793" s="1788">
        <f t="shared" si="301"/>
        <v>28581</v>
      </c>
      <c r="J1793" s="1788" t="str">
        <f t="shared" si="302"/>
        <v/>
      </c>
      <c r="K1793" s="1786">
        <v>0</v>
      </c>
      <c r="L1793" s="1786" t="s">
        <v>1594</v>
      </c>
      <c r="M1793" s="1786" t="s">
        <v>1653</v>
      </c>
      <c r="N1793" s="1786" t="s">
        <v>1653</v>
      </c>
      <c r="O1793" s="1786">
        <v>0</v>
      </c>
      <c r="P1793" s="1786"/>
      <c r="Q1793" s="1786">
        <v>0</v>
      </c>
      <c r="R1793" s="1788"/>
      <c r="S1793" s="1786">
        <f t="shared" si="303"/>
        <v>297</v>
      </c>
      <c r="T1793" s="1786" t="str">
        <f t="shared" si="304"/>
        <v>בנק הפועלים בע"מ</v>
      </c>
      <c r="U1793" s="1786" t="str">
        <f t="shared" si="305"/>
        <v>ארם - קופת גמל לתגמולים של ארגון הרופאים עובדי המדינה</v>
      </c>
      <c r="V1793" s="1786">
        <f t="shared" si="306"/>
        <v>0</v>
      </c>
      <c r="W1793" s="1789" t="str">
        <f t="shared" si="307"/>
        <v>ארם גמולים - חברה לניהול קופות גמל בע''מ</v>
      </c>
      <c r="AC1793" s="1761" t="s">
        <v>346</v>
      </c>
      <c r="AD1793" s="1761"/>
      <c r="AE1793" s="1762">
        <v>28581</v>
      </c>
      <c r="AF1793" s="1761" t="s">
        <v>3932</v>
      </c>
      <c r="AG1793" s="1761" t="s">
        <v>3931</v>
      </c>
      <c r="AH1793" s="1761" t="s">
        <v>3658</v>
      </c>
      <c r="AI1793" s="1761" t="s">
        <v>4445</v>
      </c>
      <c r="AJ1793" s="1761" t="s">
        <v>4444</v>
      </c>
      <c r="AK1793" s="1761">
        <v>9920</v>
      </c>
      <c r="AL1793" s="1761" t="s">
        <v>4446</v>
      </c>
      <c r="AM1793" s="1761">
        <v>297</v>
      </c>
      <c r="AN1793" s="1761" t="s">
        <v>1695</v>
      </c>
      <c r="AO1793" s="1764"/>
      <c r="AP1793" s="1761" t="s">
        <v>5675</v>
      </c>
      <c r="AQ1793" s="1761"/>
      <c r="AR1793" s="1761" t="s">
        <v>469</v>
      </c>
      <c r="AS1793" s="1761" t="s">
        <v>470</v>
      </c>
      <c r="AT1793" s="1761" t="s">
        <v>327</v>
      </c>
      <c r="AU1793" s="1763"/>
      <c r="AV1793" s="1763"/>
    </row>
    <row r="1794" spans="1:48" ht="37.5" hidden="1">
      <c r="A1794" s="1785" t="str">
        <f t="shared" si="297"/>
        <v>גמל</v>
      </c>
      <c r="B1794" s="1786">
        <f t="shared" si="298"/>
        <v>1341</v>
      </c>
      <c r="C1794" s="1787">
        <v>28946</v>
      </c>
      <c r="D1794" s="1786" t="str">
        <f t="shared" si="299"/>
        <v>ארם אג"ח  עד 10% מניות</v>
      </c>
      <c r="E1794" s="1786" t="s">
        <v>3929</v>
      </c>
      <c r="F1794" s="1786" t="s">
        <v>2958</v>
      </c>
      <c r="G1794" s="1786" t="s">
        <v>2959</v>
      </c>
      <c r="H1794" s="1786" t="str">
        <f t="shared" si="300"/>
        <v>לא פעיל</v>
      </c>
      <c r="I1794" s="1788">
        <f t="shared" si="301"/>
        <v>28581</v>
      </c>
      <c r="J1794" s="1788">
        <f t="shared" si="302"/>
        <v>42373.477951388901</v>
      </c>
      <c r="K1794" s="1786">
        <v>0</v>
      </c>
      <c r="L1794" s="1786" t="s">
        <v>1594</v>
      </c>
      <c r="M1794" s="1786" t="s">
        <v>1653</v>
      </c>
      <c r="N1794" s="1786" t="s">
        <v>1653</v>
      </c>
      <c r="O1794" s="1786">
        <v>0</v>
      </c>
      <c r="P1794" s="1786"/>
      <c r="Q1794" s="1786">
        <v>0</v>
      </c>
      <c r="R1794" s="1788"/>
      <c r="S1794" s="1786">
        <f t="shared" si="303"/>
        <v>297</v>
      </c>
      <c r="T1794" s="1786" t="str">
        <f t="shared" si="304"/>
        <v>בנק הפועלים בע"מ</v>
      </c>
      <c r="U1794" s="1786" t="str">
        <f t="shared" si="305"/>
        <v>ארם - קופת גמל לתגמולים של ארגון הרופאים עובדי המדינה</v>
      </c>
      <c r="V1794" s="1786">
        <f t="shared" si="306"/>
        <v>0</v>
      </c>
      <c r="W1794" s="1789" t="str">
        <f t="shared" si="307"/>
        <v>ארם גמולים - חברה לניהול קופות גמל בע''מ</v>
      </c>
      <c r="AC1794" s="1759" t="s">
        <v>1586</v>
      </c>
      <c r="AD1794" s="1760">
        <v>42373.477951388901</v>
      </c>
      <c r="AE1794" s="1760">
        <v>28581</v>
      </c>
      <c r="AF1794" s="1759" t="s">
        <v>2009</v>
      </c>
      <c r="AG1794" s="1759" t="s">
        <v>1653</v>
      </c>
      <c r="AH1794" s="1759" t="s">
        <v>1594</v>
      </c>
      <c r="AI1794" s="1759" t="s">
        <v>4525</v>
      </c>
      <c r="AJ1794" s="1759" t="s">
        <v>4525</v>
      </c>
      <c r="AK1794" s="1759">
        <v>1341</v>
      </c>
      <c r="AL1794" s="1759" t="s">
        <v>4446</v>
      </c>
      <c r="AM1794" s="1759">
        <v>297</v>
      </c>
      <c r="AN1794" s="1759" t="s">
        <v>1695</v>
      </c>
      <c r="AO1794" s="1764"/>
      <c r="AP1794" s="1759" t="s">
        <v>5675</v>
      </c>
      <c r="AQ1794" s="1759"/>
      <c r="AR1794" s="1759" t="s">
        <v>469</v>
      </c>
      <c r="AS1794" s="1759" t="s">
        <v>470</v>
      </c>
      <c r="AT1794" s="1759" t="s">
        <v>327</v>
      </c>
      <c r="AU1794" s="1763"/>
      <c r="AV1794" s="1763"/>
    </row>
    <row r="1795" spans="1:48" ht="37.5" hidden="1">
      <c r="A1795" s="1785" t="str">
        <f t="shared" si="297"/>
        <v>גמל</v>
      </c>
      <c r="B1795" s="1786">
        <f t="shared" si="298"/>
        <v>297</v>
      </c>
      <c r="C1795" s="1787">
        <v>28946</v>
      </c>
      <c r="D1795" s="1786" t="str">
        <f t="shared" si="299"/>
        <v>ארם - קופת גמל לתגמולים של ארגון הרופאים עובדי המדינה מסלול קלאסי</v>
      </c>
      <c r="E1795" s="1786" t="s">
        <v>3929</v>
      </c>
      <c r="F1795" s="1786" t="s">
        <v>2958</v>
      </c>
      <c r="G1795" s="1786" t="s">
        <v>2959</v>
      </c>
      <c r="H1795" s="1786" t="str">
        <f t="shared" si="300"/>
        <v>לא פעיל</v>
      </c>
      <c r="I1795" s="1788">
        <f t="shared" si="301"/>
        <v>28581</v>
      </c>
      <c r="J1795" s="1788">
        <f t="shared" si="302"/>
        <v>42373.477951388901</v>
      </c>
      <c r="K1795" s="1786">
        <v>0</v>
      </c>
      <c r="L1795" s="1786" t="s">
        <v>1594</v>
      </c>
      <c r="M1795" s="1786" t="s">
        <v>1653</v>
      </c>
      <c r="N1795" s="1786" t="s">
        <v>1653</v>
      </c>
      <c r="O1795" s="1786">
        <v>0</v>
      </c>
      <c r="P1795" s="1786"/>
      <c r="Q1795" s="1786">
        <v>0</v>
      </c>
      <c r="R1795" s="1788"/>
      <c r="S1795" s="1786">
        <f t="shared" si="303"/>
        <v>297</v>
      </c>
      <c r="T1795" s="1786" t="str">
        <f t="shared" si="304"/>
        <v>בנק הפועלים בע"מ</v>
      </c>
      <c r="U1795" s="1786" t="str">
        <f t="shared" si="305"/>
        <v>ארם - קופת גמל לתגמולים של ארגון הרופאים עובדי המדינה</v>
      </c>
      <c r="V1795" s="1786">
        <f t="shared" si="306"/>
        <v>0</v>
      </c>
      <c r="W1795" s="1789" t="str">
        <f t="shared" si="307"/>
        <v>ארם גמולים - חברה לניהול קופות גמל בע''מ</v>
      </c>
      <c r="AC1795" s="1761" t="s">
        <v>1586</v>
      </c>
      <c r="AD1795" s="1762">
        <v>42373.477951388901</v>
      </c>
      <c r="AE1795" s="1762">
        <v>28581</v>
      </c>
      <c r="AF1795" s="1761" t="s">
        <v>1583</v>
      </c>
      <c r="AG1795" s="1761" t="s">
        <v>1583</v>
      </c>
      <c r="AH1795" s="1761" t="s">
        <v>1583</v>
      </c>
      <c r="AI1795" s="1761" t="s">
        <v>3055</v>
      </c>
      <c r="AJ1795" s="1761" t="s">
        <v>471</v>
      </c>
      <c r="AK1795" s="1761">
        <v>297</v>
      </c>
      <c r="AL1795" s="1761" t="s">
        <v>4446</v>
      </c>
      <c r="AM1795" s="1761">
        <v>297</v>
      </c>
      <c r="AN1795" s="1761" t="s">
        <v>1695</v>
      </c>
      <c r="AO1795" s="1764"/>
      <c r="AP1795" s="1761" t="s">
        <v>5675</v>
      </c>
      <c r="AQ1795" s="1761"/>
      <c r="AR1795" s="1761" t="s">
        <v>469</v>
      </c>
      <c r="AS1795" s="1761" t="s">
        <v>470</v>
      </c>
      <c r="AT1795" s="1761" t="s">
        <v>327</v>
      </c>
      <c r="AU1795" s="1763"/>
      <c r="AV1795" s="1763"/>
    </row>
    <row r="1796" spans="1:48" ht="37.5" hidden="1">
      <c r="A1796" s="1785" t="str">
        <f t="shared" si="297"/>
        <v>גמל</v>
      </c>
      <c r="B1796" s="1786">
        <f t="shared" si="298"/>
        <v>9921</v>
      </c>
      <c r="C1796" s="1787">
        <v>28946</v>
      </c>
      <c r="D1796" s="1786" t="str">
        <f t="shared" si="299"/>
        <v>ארם - קופת גמל לתגמולים של ארגון הרופאים עובדי המדינה 60 ומעלה</v>
      </c>
      <c r="E1796" s="1786" t="s">
        <v>3929</v>
      </c>
      <c r="F1796" s="1786" t="s">
        <v>2958</v>
      </c>
      <c r="G1796" s="1786" t="s">
        <v>2959</v>
      </c>
      <c r="H1796" s="1786" t="str">
        <f t="shared" si="300"/>
        <v>פעיל</v>
      </c>
      <c r="I1796" s="1788">
        <f t="shared" si="301"/>
        <v>28581</v>
      </c>
      <c r="J1796" s="1788" t="str">
        <f t="shared" si="302"/>
        <v/>
      </c>
      <c r="K1796" s="1786">
        <v>0</v>
      </c>
      <c r="L1796" s="1786" t="s">
        <v>1594</v>
      </c>
      <c r="M1796" s="1786" t="s">
        <v>1653</v>
      </c>
      <c r="N1796" s="1786" t="s">
        <v>1653</v>
      </c>
      <c r="O1796" s="1786">
        <v>0</v>
      </c>
      <c r="P1796" s="1786"/>
      <c r="Q1796" s="1786">
        <v>0</v>
      </c>
      <c r="R1796" s="1788"/>
      <c r="S1796" s="1786">
        <f t="shared" si="303"/>
        <v>297</v>
      </c>
      <c r="T1796" s="1786" t="str">
        <f t="shared" si="304"/>
        <v>בנק הפועלים בע"מ</v>
      </c>
      <c r="U1796" s="1786" t="str">
        <f t="shared" si="305"/>
        <v>ארם - קופת גמל לתגמולים של ארגון הרופאים עובדי המדינה</v>
      </c>
      <c r="V1796" s="1786">
        <f t="shared" si="306"/>
        <v>0</v>
      </c>
      <c r="W1796" s="1789" t="str">
        <f t="shared" si="307"/>
        <v>ארם גמולים - חברה לניהול קופות גמל בע''מ</v>
      </c>
      <c r="AC1796" s="1759" t="s">
        <v>346</v>
      </c>
      <c r="AD1796" s="1759"/>
      <c r="AE1796" s="1760">
        <v>28581</v>
      </c>
      <c r="AF1796" s="1759" t="s">
        <v>3963</v>
      </c>
      <c r="AG1796" s="1759" t="s">
        <v>3931</v>
      </c>
      <c r="AH1796" s="1759" t="s">
        <v>3658</v>
      </c>
      <c r="AI1796" s="1759" t="s">
        <v>4448</v>
      </c>
      <c r="AJ1796" s="1759" t="s">
        <v>4447</v>
      </c>
      <c r="AK1796" s="1759">
        <v>9921</v>
      </c>
      <c r="AL1796" s="1759" t="s">
        <v>4446</v>
      </c>
      <c r="AM1796" s="1759">
        <v>297</v>
      </c>
      <c r="AN1796" s="1759" t="s">
        <v>1695</v>
      </c>
      <c r="AO1796" s="1764"/>
      <c r="AP1796" s="1759" t="s">
        <v>5675</v>
      </c>
      <c r="AQ1796" s="1759"/>
      <c r="AR1796" s="1759" t="s">
        <v>469</v>
      </c>
      <c r="AS1796" s="1759" t="s">
        <v>470</v>
      </c>
      <c r="AT1796" s="1759" t="s">
        <v>327</v>
      </c>
      <c r="AU1796" s="1763"/>
      <c r="AV1796" s="1763"/>
    </row>
    <row r="1797" spans="1:48" ht="62.5" hidden="1">
      <c r="A1797" s="1785" t="str">
        <f t="shared" si="297"/>
        <v>גמל</v>
      </c>
      <c r="B1797" s="1786">
        <f t="shared" si="298"/>
        <v>296</v>
      </c>
      <c r="C1797" s="1787">
        <v>28946</v>
      </c>
      <c r="D1797" s="1786" t="str">
        <f t="shared" si="299"/>
        <v>קרן השתלמות של עובדים המדורגים בדירוג העתונאים</v>
      </c>
      <c r="E1797" s="1786" t="s">
        <v>3929</v>
      </c>
      <c r="F1797" s="1786" t="s">
        <v>2958</v>
      </c>
      <c r="G1797" s="1786" t="s">
        <v>2959</v>
      </c>
      <c r="H1797" s="1786" t="str">
        <f t="shared" si="300"/>
        <v>לא פעיל</v>
      </c>
      <c r="I1797" s="1788">
        <f t="shared" si="301"/>
        <v>28126</v>
      </c>
      <c r="J1797" s="1788">
        <f t="shared" si="302"/>
        <v>40422</v>
      </c>
      <c r="K1797" s="1786">
        <v>0</v>
      </c>
      <c r="L1797" s="1786" t="s">
        <v>1594</v>
      </c>
      <c r="M1797" s="1786" t="s">
        <v>1653</v>
      </c>
      <c r="N1797" s="1786" t="s">
        <v>1653</v>
      </c>
      <c r="O1797" s="1786">
        <v>0</v>
      </c>
      <c r="P1797" s="1786"/>
      <c r="Q1797" s="1786">
        <v>0</v>
      </c>
      <c r="R1797" s="1788"/>
      <c r="S1797" s="1786">
        <f t="shared" si="303"/>
        <v>296</v>
      </c>
      <c r="T1797" s="1786" t="str">
        <f t="shared" si="304"/>
        <v>בנק יהב לעובדי המדינה בע"מ</v>
      </c>
      <c r="U1797" s="1786" t="str">
        <f t="shared" si="305"/>
        <v>קרן השתלמות של עובדים המדורגים בדירוג העתונאים</v>
      </c>
      <c r="V1797" s="1786">
        <f t="shared" si="306"/>
        <v>0</v>
      </c>
      <c r="W1797" s="1789" t="str">
        <f t="shared" si="307"/>
        <v>החברה המנהלת של קרן השתלמות לעובדים בדירוג העיתונאים (1977) בע"מ</v>
      </c>
      <c r="AC1797" s="1761" t="s">
        <v>1586</v>
      </c>
      <c r="AD1797" s="1762">
        <v>40422</v>
      </c>
      <c r="AE1797" s="1762">
        <v>28126</v>
      </c>
      <c r="AF1797" s="1761" t="s">
        <v>1583</v>
      </c>
      <c r="AG1797" s="1761" t="s">
        <v>1583</v>
      </c>
      <c r="AH1797" s="1761" t="s">
        <v>1583</v>
      </c>
      <c r="AI1797" s="1761" t="s">
        <v>3054</v>
      </c>
      <c r="AJ1797" s="1761" t="s">
        <v>1725</v>
      </c>
      <c r="AK1797" s="1761">
        <v>296</v>
      </c>
      <c r="AL1797" s="1761" t="s">
        <v>1725</v>
      </c>
      <c r="AM1797" s="1761">
        <v>296</v>
      </c>
      <c r="AN1797" s="1761" t="s">
        <v>5517</v>
      </c>
      <c r="AO1797" s="1764"/>
      <c r="AP1797" s="1761"/>
      <c r="AQ1797" s="1761"/>
      <c r="AR1797" s="1761" t="s">
        <v>1727</v>
      </c>
      <c r="AS1797" s="1761" t="s">
        <v>1726</v>
      </c>
      <c r="AT1797" s="1761" t="s">
        <v>327</v>
      </c>
      <c r="AU1797" s="1763"/>
      <c r="AV1797" s="1763"/>
    </row>
    <row r="1798" spans="1:48" ht="37.5" hidden="1">
      <c r="A1798" s="1785" t="str">
        <f t="shared" si="297"/>
        <v>גמל</v>
      </c>
      <c r="B1798" s="1786">
        <f t="shared" si="298"/>
        <v>295</v>
      </c>
      <c r="C1798" s="1787">
        <v>28946</v>
      </c>
      <c r="D1798" s="1786" t="str">
        <f t="shared" si="299"/>
        <v>ק.ה.ר. קרן השתלמות לרוקחים בע"מ</v>
      </c>
      <c r="E1798" s="1786" t="s">
        <v>3929</v>
      </c>
      <c r="F1798" s="1786" t="s">
        <v>2958</v>
      </c>
      <c r="G1798" s="1786" t="s">
        <v>2959</v>
      </c>
      <c r="H1798" s="1786" t="str">
        <f t="shared" si="300"/>
        <v>פעיל</v>
      </c>
      <c r="I1798" s="1788">
        <f t="shared" si="301"/>
        <v>27395</v>
      </c>
      <c r="J1798" s="1788" t="str">
        <f t="shared" si="302"/>
        <v/>
      </c>
      <c r="K1798" s="1786">
        <v>0</v>
      </c>
      <c r="L1798" s="1786" t="s">
        <v>1594</v>
      </c>
      <c r="M1798" s="1786" t="s">
        <v>1653</v>
      </c>
      <c r="N1798" s="1786" t="s">
        <v>1653</v>
      </c>
      <c r="O1798" s="1786">
        <v>0</v>
      </c>
      <c r="P1798" s="1786"/>
      <c r="Q1798" s="1786">
        <v>0</v>
      </c>
      <c r="R1798" s="1788"/>
      <c r="S1798" s="1786">
        <f t="shared" si="303"/>
        <v>295</v>
      </c>
      <c r="T1798" s="1786" t="str">
        <f t="shared" si="304"/>
        <v>בנק מזרחי טפחות בע"מ</v>
      </c>
      <c r="U1798" s="1786" t="str">
        <f t="shared" si="305"/>
        <v>ק.ה.ר. קרן השתלמות לרוקחים בע"מ</v>
      </c>
      <c r="V1798" s="1786">
        <f t="shared" si="306"/>
        <v>0</v>
      </c>
      <c r="W1798" s="1789" t="str">
        <f t="shared" si="307"/>
        <v>ק.ה.ר - קרן השתלמות לרוקחים בע"מ</v>
      </c>
      <c r="AC1798" s="1759" t="s">
        <v>346</v>
      </c>
      <c r="AD1798" s="1759"/>
      <c r="AE1798" s="1760">
        <v>27395</v>
      </c>
      <c r="AF1798" s="1759" t="s">
        <v>1583</v>
      </c>
      <c r="AG1798" s="1759" t="s">
        <v>1583</v>
      </c>
      <c r="AH1798" s="1759" t="s">
        <v>1583</v>
      </c>
      <c r="AI1798" s="1759" t="s">
        <v>3053</v>
      </c>
      <c r="AJ1798" s="1759" t="s">
        <v>468</v>
      </c>
      <c r="AK1798" s="1759">
        <v>295</v>
      </c>
      <c r="AL1798" s="1759" t="s">
        <v>468</v>
      </c>
      <c r="AM1798" s="1759">
        <v>295</v>
      </c>
      <c r="AN1798" s="1759" t="s">
        <v>5370</v>
      </c>
      <c r="AO1798" s="1764"/>
      <c r="AP1798" s="1759"/>
      <c r="AQ1798" s="1759"/>
      <c r="AR1798" s="1759" t="s">
        <v>466</v>
      </c>
      <c r="AS1798" s="1759" t="s">
        <v>467</v>
      </c>
      <c r="AT1798" s="1759" t="s">
        <v>327</v>
      </c>
      <c r="AU1798" s="1763"/>
      <c r="AV1798" s="1763"/>
    </row>
    <row r="1799" spans="1:48" ht="37.5" hidden="1">
      <c r="A1799" s="1785" t="str">
        <f t="shared" si="297"/>
        <v>גמל</v>
      </c>
      <c r="B1799" s="1786">
        <f t="shared" si="298"/>
        <v>294</v>
      </c>
      <c r="C1799" s="1787">
        <v>28946</v>
      </c>
      <c r="D1799" s="1786" t="str">
        <f t="shared" si="299"/>
        <v>קרן השתלמות לשופטים</v>
      </c>
      <c r="E1799" s="1786" t="s">
        <v>3929</v>
      </c>
      <c r="F1799" s="1786" t="s">
        <v>2958</v>
      </c>
      <c r="G1799" s="1786" t="s">
        <v>2959</v>
      </c>
      <c r="H1799" s="1786" t="str">
        <f t="shared" si="300"/>
        <v>פעיל</v>
      </c>
      <c r="I1799" s="1788">
        <f t="shared" si="301"/>
        <v>27851</v>
      </c>
      <c r="J1799" s="1788" t="str">
        <f t="shared" si="302"/>
        <v/>
      </c>
      <c r="K1799" s="1786">
        <v>0</v>
      </c>
      <c r="L1799" s="1786" t="s">
        <v>1594</v>
      </c>
      <c r="M1799" s="1786" t="s">
        <v>1653</v>
      </c>
      <c r="N1799" s="1786" t="s">
        <v>1653</v>
      </c>
      <c r="O1799" s="1786">
        <v>0</v>
      </c>
      <c r="P1799" s="1786"/>
      <c r="Q1799" s="1786">
        <v>0</v>
      </c>
      <c r="R1799" s="1788"/>
      <c r="S1799" s="1786">
        <f t="shared" si="303"/>
        <v>294</v>
      </c>
      <c r="T1799" s="1786" t="str">
        <f t="shared" si="304"/>
        <v>בנק הפועלים בע"מ</v>
      </c>
      <c r="U1799" s="1786" t="str">
        <f t="shared" si="305"/>
        <v>קרן השתלמות לשופטים</v>
      </c>
      <c r="V1799" s="1786">
        <f t="shared" si="306"/>
        <v>0</v>
      </c>
      <c r="W1799" s="1789" t="str">
        <f t="shared" si="307"/>
        <v>החברה לניהול קרן השתלמות לשופטים בע"מ</v>
      </c>
      <c r="AC1799" s="1761" t="s">
        <v>346</v>
      </c>
      <c r="AD1799" s="1759"/>
      <c r="AE1799" s="1762">
        <v>27851</v>
      </c>
      <c r="AF1799" s="1761" t="s">
        <v>1583</v>
      </c>
      <c r="AG1799" s="1761" t="s">
        <v>1583</v>
      </c>
      <c r="AH1799" s="1761" t="s">
        <v>1583</v>
      </c>
      <c r="AI1799" s="1761" t="s">
        <v>3052</v>
      </c>
      <c r="AJ1799" s="1761" t="s">
        <v>465</v>
      </c>
      <c r="AK1799" s="1761">
        <v>294</v>
      </c>
      <c r="AL1799" s="1761" t="s">
        <v>465</v>
      </c>
      <c r="AM1799" s="1761">
        <v>294</v>
      </c>
      <c r="AN1799" s="1761" t="s">
        <v>1695</v>
      </c>
      <c r="AO1799" s="1764"/>
      <c r="AP1799" s="1761"/>
      <c r="AQ1799" s="1761"/>
      <c r="AR1799" s="1761" t="s">
        <v>463</v>
      </c>
      <c r="AS1799" s="1761" t="s">
        <v>464</v>
      </c>
      <c r="AT1799" s="1761" t="s">
        <v>327</v>
      </c>
      <c r="AU1799" s="1763"/>
      <c r="AV1799" s="1763"/>
    </row>
    <row r="1800" spans="1:48" ht="50" hidden="1">
      <c r="A1800" s="1785" t="str">
        <f t="shared" si="297"/>
        <v>גמל</v>
      </c>
      <c r="B1800" s="1786">
        <f t="shared" si="298"/>
        <v>1820</v>
      </c>
      <c r="C1800" s="1787">
        <v>28946</v>
      </c>
      <c r="D1800" s="1786" t="str">
        <f t="shared" si="299"/>
        <v>ק.ס.מ. קרן השתלמות לביוכימאים ומקרוביולוגים בע"מ אג"ח</v>
      </c>
      <c r="E1800" s="1786" t="s">
        <v>3929</v>
      </c>
      <c r="F1800" s="1786" t="s">
        <v>2958</v>
      </c>
      <c r="G1800" s="1786" t="s">
        <v>2959</v>
      </c>
      <c r="H1800" s="1786" t="str">
        <f t="shared" si="300"/>
        <v>פעיל</v>
      </c>
      <c r="I1800" s="1788">
        <f t="shared" si="301"/>
        <v>26665</v>
      </c>
      <c r="J1800" s="1788" t="str">
        <f t="shared" si="302"/>
        <v/>
      </c>
      <c r="K1800" s="1786">
        <v>0</v>
      </c>
      <c r="L1800" s="1786" t="s">
        <v>1594</v>
      </c>
      <c r="M1800" s="1786" t="s">
        <v>1653</v>
      </c>
      <c r="N1800" s="1786" t="s">
        <v>1653</v>
      </c>
      <c r="O1800" s="1786">
        <v>0</v>
      </c>
      <c r="P1800" s="1786"/>
      <c r="Q1800" s="1786">
        <v>0</v>
      </c>
      <c r="R1800" s="1788"/>
      <c r="S1800" s="1786">
        <f t="shared" si="303"/>
        <v>293</v>
      </c>
      <c r="T1800" s="1786" t="str">
        <f t="shared" si="304"/>
        <v>בנק הפועלים בע"מ</v>
      </c>
      <c r="U1800" s="1786" t="str">
        <f t="shared" si="305"/>
        <v>ק.ס.מ. קרן השתלמות לביוכימאים ומקרוביולוגים בע"מ</v>
      </c>
      <c r="V1800" s="1786">
        <f t="shared" si="306"/>
        <v>0</v>
      </c>
      <c r="W1800" s="1789" t="str">
        <f t="shared" si="307"/>
        <v>החברה לניהול קרן השתלמות לביוכימאים  ומקרוביולוגים בע"מ</v>
      </c>
      <c r="AC1800" s="1759" t="s">
        <v>346</v>
      </c>
      <c r="AD1800" s="1759"/>
      <c r="AE1800" s="1760">
        <v>26665</v>
      </c>
      <c r="AF1800" s="1759" t="s">
        <v>1653</v>
      </c>
      <c r="AG1800" s="1759" t="s">
        <v>1653</v>
      </c>
      <c r="AH1800" s="1759" t="s">
        <v>1594</v>
      </c>
      <c r="AI1800" s="1759" t="s">
        <v>4622</v>
      </c>
      <c r="AJ1800" s="1759" t="s">
        <v>4621</v>
      </c>
      <c r="AK1800" s="1759">
        <v>1820</v>
      </c>
      <c r="AL1800" s="1759" t="s">
        <v>462</v>
      </c>
      <c r="AM1800" s="1759">
        <v>293</v>
      </c>
      <c r="AN1800" s="1759" t="s">
        <v>1695</v>
      </c>
      <c r="AO1800" s="1764"/>
      <c r="AP1800" s="1759" t="s">
        <v>5676</v>
      </c>
      <c r="AQ1800" s="1759"/>
      <c r="AR1800" s="1759" t="s">
        <v>460</v>
      </c>
      <c r="AS1800" s="1759" t="s">
        <v>461</v>
      </c>
      <c r="AT1800" s="1759" t="s">
        <v>327</v>
      </c>
      <c r="AU1800" s="1763"/>
      <c r="AV1800" s="1763"/>
    </row>
    <row r="1801" spans="1:48" ht="50" hidden="1">
      <c r="A1801" s="1785" t="str">
        <f t="shared" si="297"/>
        <v>גמל</v>
      </c>
      <c r="B1801" s="1786">
        <f t="shared" si="298"/>
        <v>293</v>
      </c>
      <c r="C1801" s="1787">
        <v>28946</v>
      </c>
      <c r="D1801" s="1786" t="str">
        <f t="shared" si="299"/>
        <v>ק.ס.מ. קרן השתלמות לביוכימאים ומקרוביולוגים בע"מ</v>
      </c>
      <c r="E1801" s="1786" t="s">
        <v>3929</v>
      </c>
      <c r="F1801" s="1786" t="s">
        <v>2958</v>
      </c>
      <c r="G1801" s="1786" t="s">
        <v>2959</v>
      </c>
      <c r="H1801" s="1786" t="str">
        <f t="shared" si="300"/>
        <v>פעיל</v>
      </c>
      <c r="I1801" s="1788">
        <f t="shared" si="301"/>
        <v>26665</v>
      </c>
      <c r="J1801" s="1788" t="str">
        <f t="shared" si="302"/>
        <v/>
      </c>
      <c r="K1801" s="1786">
        <v>0</v>
      </c>
      <c r="L1801" s="1786" t="s">
        <v>1594</v>
      </c>
      <c r="M1801" s="1786" t="s">
        <v>1653</v>
      </c>
      <c r="N1801" s="1786" t="s">
        <v>1653</v>
      </c>
      <c r="O1801" s="1786">
        <v>0</v>
      </c>
      <c r="P1801" s="1786"/>
      <c r="Q1801" s="1786">
        <v>0</v>
      </c>
      <c r="R1801" s="1788"/>
      <c r="S1801" s="1786">
        <f t="shared" si="303"/>
        <v>293</v>
      </c>
      <c r="T1801" s="1786" t="str">
        <f t="shared" si="304"/>
        <v>בנק הפועלים בע"מ</v>
      </c>
      <c r="U1801" s="1786" t="str">
        <f t="shared" si="305"/>
        <v>ק.ס.מ. קרן השתלמות לביוכימאים ומקרוביולוגים בע"מ</v>
      </c>
      <c r="V1801" s="1786">
        <f t="shared" si="306"/>
        <v>0</v>
      </c>
      <c r="W1801" s="1789" t="str">
        <f t="shared" si="307"/>
        <v>החברה לניהול קרן השתלמות לביוכימאים  ומקרוביולוגים בע"מ</v>
      </c>
      <c r="AC1801" s="1761" t="s">
        <v>346</v>
      </c>
      <c r="AD1801" s="1761"/>
      <c r="AE1801" s="1762">
        <v>26665</v>
      </c>
      <c r="AF1801" s="1761" t="s">
        <v>1583</v>
      </c>
      <c r="AG1801" s="1761" t="s">
        <v>1583</v>
      </c>
      <c r="AH1801" s="1761" t="s">
        <v>1583</v>
      </c>
      <c r="AI1801" s="1761" t="s">
        <v>3051</v>
      </c>
      <c r="AJ1801" s="1761" t="s">
        <v>462</v>
      </c>
      <c r="AK1801" s="1761">
        <v>293</v>
      </c>
      <c r="AL1801" s="1761" t="s">
        <v>462</v>
      </c>
      <c r="AM1801" s="1761">
        <v>293</v>
      </c>
      <c r="AN1801" s="1761" t="s">
        <v>1695</v>
      </c>
      <c r="AO1801" s="1764"/>
      <c r="AP1801" s="1761" t="s">
        <v>5676</v>
      </c>
      <c r="AQ1801" s="1761"/>
      <c r="AR1801" s="1761" t="s">
        <v>460</v>
      </c>
      <c r="AS1801" s="1761" t="s">
        <v>461</v>
      </c>
      <c r="AT1801" s="1761" t="s">
        <v>327</v>
      </c>
      <c r="AU1801" s="1763"/>
      <c r="AV1801" s="1763"/>
    </row>
    <row r="1802" spans="1:48" ht="50" hidden="1">
      <c r="A1802" s="1785" t="str">
        <f t="shared" si="297"/>
        <v>גמל</v>
      </c>
      <c r="B1802" s="1786">
        <f t="shared" si="298"/>
        <v>1821</v>
      </c>
      <c r="C1802" s="1787">
        <v>28946</v>
      </c>
      <c r="D1802" s="1786" t="str">
        <f t="shared" si="299"/>
        <v xml:space="preserve">ק.ס.מ. קרן השתלמות לביוכימאים ומקרוביולוגים בע"מ מניות </v>
      </c>
      <c r="E1802" s="1786" t="s">
        <v>3929</v>
      </c>
      <c r="F1802" s="1786" t="s">
        <v>2958</v>
      </c>
      <c r="G1802" s="1786" t="s">
        <v>2959</v>
      </c>
      <c r="H1802" s="1786" t="str">
        <f t="shared" si="300"/>
        <v>פעיל</v>
      </c>
      <c r="I1802" s="1788">
        <f t="shared" si="301"/>
        <v>26665</v>
      </c>
      <c r="J1802" s="1788" t="str">
        <f t="shared" si="302"/>
        <v/>
      </c>
      <c r="K1802" s="1786">
        <v>0</v>
      </c>
      <c r="L1802" s="1786" t="s">
        <v>1594</v>
      </c>
      <c r="M1802" s="1786" t="s">
        <v>1653</v>
      </c>
      <c r="N1802" s="1786" t="s">
        <v>1653</v>
      </c>
      <c r="O1802" s="1786">
        <v>0</v>
      </c>
      <c r="P1802" s="1786"/>
      <c r="Q1802" s="1786">
        <v>0</v>
      </c>
      <c r="R1802" s="1788"/>
      <c r="S1802" s="1786">
        <f t="shared" si="303"/>
        <v>293</v>
      </c>
      <c r="T1802" s="1786" t="str">
        <f t="shared" si="304"/>
        <v>בנק הפועלים בע"מ</v>
      </c>
      <c r="U1802" s="1786" t="str">
        <f t="shared" si="305"/>
        <v>ק.ס.מ. קרן השתלמות לביוכימאים ומקרוביולוגים בע"מ</v>
      </c>
      <c r="V1802" s="1786">
        <f t="shared" si="306"/>
        <v>0</v>
      </c>
      <c r="W1802" s="1789" t="str">
        <f t="shared" si="307"/>
        <v>החברה לניהול קרן השתלמות לביוכימאים  ומקרוביולוגים בע"מ</v>
      </c>
      <c r="AC1802" s="1759" t="s">
        <v>346</v>
      </c>
      <c r="AD1802" s="1759"/>
      <c r="AE1802" s="1760">
        <v>26665</v>
      </c>
      <c r="AF1802" s="1759" t="s">
        <v>1595</v>
      </c>
      <c r="AG1802" s="1759" t="s">
        <v>75</v>
      </c>
      <c r="AH1802" s="1759" t="s">
        <v>1594</v>
      </c>
      <c r="AI1802" s="1759" t="s">
        <v>4624</v>
      </c>
      <c r="AJ1802" s="1759" t="s">
        <v>4623</v>
      </c>
      <c r="AK1802" s="1759">
        <v>1821</v>
      </c>
      <c r="AL1802" s="1759" t="s">
        <v>462</v>
      </c>
      <c r="AM1802" s="1759">
        <v>293</v>
      </c>
      <c r="AN1802" s="1759" t="s">
        <v>1695</v>
      </c>
      <c r="AO1802" s="1764"/>
      <c r="AP1802" s="1759" t="s">
        <v>5676</v>
      </c>
      <c r="AQ1802" s="1759"/>
      <c r="AR1802" s="1759" t="s">
        <v>460</v>
      </c>
      <c r="AS1802" s="1759" t="s">
        <v>461</v>
      </c>
      <c r="AT1802" s="1759" t="s">
        <v>327</v>
      </c>
      <c r="AU1802" s="1763"/>
      <c r="AV1802" s="1763"/>
    </row>
    <row r="1803" spans="1:48" ht="50" hidden="1">
      <c r="A1803" s="1785" t="str">
        <f t="shared" si="297"/>
        <v>גמל</v>
      </c>
      <c r="B1803" s="1786">
        <f t="shared" si="298"/>
        <v>292</v>
      </c>
      <c r="C1803" s="1787">
        <v>28946</v>
      </c>
      <c r="D1803" s="1786" t="str">
        <f t="shared" si="299"/>
        <v>קרן השתלמות למשפטנים בע"מ</v>
      </c>
      <c r="E1803" s="1786" t="s">
        <v>3929</v>
      </c>
      <c r="F1803" s="1786" t="s">
        <v>2958</v>
      </c>
      <c r="G1803" s="1786" t="s">
        <v>2959</v>
      </c>
      <c r="H1803" s="1786" t="str">
        <f t="shared" si="300"/>
        <v>פעיל</v>
      </c>
      <c r="I1803" s="1788">
        <f t="shared" si="301"/>
        <v>25934</v>
      </c>
      <c r="J1803" s="1788" t="str">
        <f t="shared" si="302"/>
        <v/>
      </c>
      <c r="K1803" s="1786">
        <v>0</v>
      </c>
      <c r="L1803" s="1786" t="s">
        <v>1594</v>
      </c>
      <c r="M1803" s="1786" t="s">
        <v>1653</v>
      </c>
      <c r="N1803" s="1786" t="s">
        <v>1653</v>
      </c>
      <c r="O1803" s="1786">
        <v>0</v>
      </c>
      <c r="P1803" s="1786"/>
      <c r="Q1803" s="1786">
        <v>0</v>
      </c>
      <c r="R1803" s="1788"/>
      <c r="S1803" s="1786">
        <f t="shared" si="303"/>
        <v>292</v>
      </c>
      <c r="T1803" s="1786" t="str">
        <f t="shared" si="304"/>
        <v>בנק הפועלים בע"מ</v>
      </c>
      <c r="U1803" s="1786" t="str">
        <f t="shared" si="305"/>
        <v>קרן השתלמות למשפטנים בע"מ</v>
      </c>
      <c r="V1803" s="1786">
        <f t="shared" si="306"/>
        <v>0</v>
      </c>
      <c r="W1803" s="1789" t="str">
        <f t="shared" si="307"/>
        <v>החברה לניהול קרן השתלמות למשפטנים בע"מ</v>
      </c>
      <c r="AC1803" s="1761" t="s">
        <v>346</v>
      </c>
      <c r="AD1803" s="1761"/>
      <c r="AE1803" s="1762">
        <v>25934</v>
      </c>
      <c r="AF1803" s="1761" t="s">
        <v>1583</v>
      </c>
      <c r="AG1803" s="1761" t="s">
        <v>1583</v>
      </c>
      <c r="AH1803" s="1761" t="s">
        <v>1583</v>
      </c>
      <c r="AI1803" s="1761" t="s">
        <v>3050</v>
      </c>
      <c r="AJ1803" s="1761" t="s">
        <v>459</v>
      </c>
      <c r="AK1803" s="1761">
        <v>292</v>
      </c>
      <c r="AL1803" s="1761" t="s">
        <v>459</v>
      </c>
      <c r="AM1803" s="1761">
        <v>292</v>
      </c>
      <c r="AN1803" s="1761" t="s">
        <v>1695</v>
      </c>
      <c r="AO1803" s="1764"/>
      <c r="AP1803" s="1761" t="s">
        <v>5659</v>
      </c>
      <c r="AQ1803" s="1761"/>
      <c r="AR1803" s="1761" t="s">
        <v>457</v>
      </c>
      <c r="AS1803" s="1761" t="s">
        <v>458</v>
      </c>
      <c r="AT1803" s="1761" t="s">
        <v>327</v>
      </c>
      <c r="AU1803" s="1763"/>
      <c r="AV1803" s="1763"/>
    </row>
    <row r="1804" spans="1:48" ht="50" hidden="1">
      <c r="A1804" s="1785" t="str">
        <f t="shared" si="297"/>
        <v>גמל</v>
      </c>
      <c r="B1804" s="1786">
        <f t="shared" si="298"/>
        <v>1455</v>
      </c>
      <c r="C1804" s="1787">
        <v>28946</v>
      </c>
      <c r="D1804" s="1786" t="str">
        <f t="shared" si="299"/>
        <v>קרן השתלמות למשפטנים מסלול ללא מניות</v>
      </c>
      <c r="E1804" s="1786" t="s">
        <v>3929</v>
      </c>
      <c r="F1804" s="1786" t="s">
        <v>2958</v>
      </c>
      <c r="G1804" s="1786" t="s">
        <v>2959</v>
      </c>
      <c r="H1804" s="1786" t="str">
        <f t="shared" si="300"/>
        <v>פעיל</v>
      </c>
      <c r="I1804" s="1788">
        <f t="shared" si="301"/>
        <v>25934</v>
      </c>
      <c r="J1804" s="1788" t="str">
        <f t="shared" si="302"/>
        <v/>
      </c>
      <c r="K1804" s="1786">
        <v>0</v>
      </c>
      <c r="L1804" s="1786" t="s">
        <v>1594</v>
      </c>
      <c r="M1804" s="1786" t="s">
        <v>1653</v>
      </c>
      <c r="N1804" s="1786" t="s">
        <v>1653</v>
      </c>
      <c r="O1804" s="1786">
        <v>0</v>
      </c>
      <c r="P1804" s="1786"/>
      <c r="Q1804" s="1786">
        <v>0</v>
      </c>
      <c r="R1804" s="1788"/>
      <c r="S1804" s="1786">
        <f t="shared" si="303"/>
        <v>292</v>
      </c>
      <c r="T1804" s="1786" t="str">
        <f t="shared" si="304"/>
        <v>בנק הפועלים בע"מ</v>
      </c>
      <c r="U1804" s="1786" t="str">
        <f t="shared" si="305"/>
        <v>קרן השתלמות למשפטנים בע"מ</v>
      </c>
      <c r="V1804" s="1786">
        <f t="shared" si="306"/>
        <v>0</v>
      </c>
      <c r="W1804" s="1789" t="str">
        <f t="shared" si="307"/>
        <v>החברה לניהול קרן השתלמות למשפטנים בע"מ</v>
      </c>
      <c r="AC1804" s="1759" t="s">
        <v>346</v>
      </c>
      <c r="AD1804" s="1759"/>
      <c r="AE1804" s="1760">
        <v>25934</v>
      </c>
      <c r="AF1804" s="1759" t="s">
        <v>1681</v>
      </c>
      <c r="AG1804" s="1759" t="s">
        <v>1583</v>
      </c>
      <c r="AH1804" s="1759" t="s">
        <v>1583</v>
      </c>
      <c r="AI1804" s="1759" t="s">
        <v>3642</v>
      </c>
      <c r="AJ1804" s="1759" t="s">
        <v>2478</v>
      </c>
      <c r="AK1804" s="1759">
        <v>1455</v>
      </c>
      <c r="AL1804" s="1759" t="s">
        <v>459</v>
      </c>
      <c r="AM1804" s="1759">
        <v>292</v>
      </c>
      <c r="AN1804" s="1759" t="s">
        <v>1695</v>
      </c>
      <c r="AO1804" s="1764"/>
      <c r="AP1804" s="1759" t="s">
        <v>5659</v>
      </c>
      <c r="AQ1804" s="1759"/>
      <c r="AR1804" s="1759" t="s">
        <v>457</v>
      </c>
      <c r="AS1804" s="1759" t="s">
        <v>458</v>
      </c>
      <c r="AT1804" s="1759" t="s">
        <v>327</v>
      </c>
      <c r="AU1804" s="1763"/>
      <c r="AV1804" s="1763"/>
    </row>
    <row r="1805" spans="1:48" ht="50" hidden="1">
      <c r="A1805" s="1785" t="str">
        <f t="shared" si="297"/>
        <v>גמל</v>
      </c>
      <c r="B1805" s="1786">
        <f t="shared" si="298"/>
        <v>1454</v>
      </c>
      <c r="C1805" s="1787">
        <v>28946</v>
      </c>
      <c r="D1805" s="1786" t="str">
        <f t="shared" si="299"/>
        <v>קרן השתלמות למשפטנים מסלול מנייתי</v>
      </c>
      <c r="E1805" s="1786" t="s">
        <v>3929</v>
      </c>
      <c r="F1805" s="1786" t="s">
        <v>2958</v>
      </c>
      <c r="G1805" s="1786" t="s">
        <v>2959</v>
      </c>
      <c r="H1805" s="1786" t="str">
        <f t="shared" si="300"/>
        <v>פעיל</v>
      </c>
      <c r="I1805" s="1788">
        <f t="shared" si="301"/>
        <v>25934</v>
      </c>
      <c r="J1805" s="1788" t="str">
        <f t="shared" si="302"/>
        <v/>
      </c>
      <c r="K1805" s="1786">
        <v>0</v>
      </c>
      <c r="L1805" s="1786" t="s">
        <v>1594</v>
      </c>
      <c r="M1805" s="1786" t="s">
        <v>1653</v>
      </c>
      <c r="N1805" s="1786" t="s">
        <v>1653</v>
      </c>
      <c r="O1805" s="1786">
        <v>0</v>
      </c>
      <c r="P1805" s="1786"/>
      <c r="Q1805" s="1786">
        <v>0</v>
      </c>
      <c r="R1805" s="1788"/>
      <c r="S1805" s="1786">
        <f t="shared" si="303"/>
        <v>292</v>
      </c>
      <c r="T1805" s="1786" t="str">
        <f t="shared" si="304"/>
        <v>בנק הפועלים בע"מ</v>
      </c>
      <c r="U1805" s="1786" t="str">
        <f t="shared" si="305"/>
        <v>קרן השתלמות למשפטנים בע"מ</v>
      </c>
      <c r="V1805" s="1786">
        <f t="shared" si="306"/>
        <v>0</v>
      </c>
      <c r="W1805" s="1789" t="str">
        <f t="shared" si="307"/>
        <v>החברה לניהול קרן השתלמות למשפטנים בע"מ</v>
      </c>
      <c r="AC1805" s="1761" t="s">
        <v>346</v>
      </c>
      <c r="AD1805" s="1761"/>
      <c r="AE1805" s="1762">
        <v>25934</v>
      </c>
      <c r="AF1805" s="1761" t="s">
        <v>1595</v>
      </c>
      <c r="AG1805" s="1761" t="s">
        <v>75</v>
      </c>
      <c r="AH1805" s="1761" t="s">
        <v>1594</v>
      </c>
      <c r="AI1805" s="1761" t="s">
        <v>3641</v>
      </c>
      <c r="AJ1805" s="1761" t="s">
        <v>2477</v>
      </c>
      <c r="AK1805" s="1761">
        <v>1454</v>
      </c>
      <c r="AL1805" s="1761" t="s">
        <v>459</v>
      </c>
      <c r="AM1805" s="1761">
        <v>292</v>
      </c>
      <c r="AN1805" s="1761" t="s">
        <v>1695</v>
      </c>
      <c r="AO1805" s="1764"/>
      <c r="AP1805" s="1761" t="s">
        <v>5659</v>
      </c>
      <c r="AQ1805" s="1761"/>
      <c r="AR1805" s="1761" t="s">
        <v>457</v>
      </c>
      <c r="AS1805" s="1761" t="s">
        <v>458</v>
      </c>
      <c r="AT1805" s="1761" t="s">
        <v>327</v>
      </c>
      <c r="AU1805" s="1763"/>
      <c r="AV1805" s="1763"/>
    </row>
    <row r="1806" spans="1:48" ht="14" hidden="1">
      <c r="A1806" s="1785" t="str">
        <f t="shared" si="297"/>
        <v>גמל</v>
      </c>
      <c r="B1806" s="1786">
        <f t="shared" si="298"/>
        <v>291</v>
      </c>
      <c r="C1806" s="1787">
        <v>28946</v>
      </c>
      <c r="D1806" s="1786" t="str">
        <f t="shared" si="299"/>
        <v>עומר קרן לביטוח הדדי</v>
      </c>
      <c r="E1806" s="1786" t="s">
        <v>3929</v>
      </c>
      <c r="F1806" s="1786" t="s">
        <v>2958</v>
      </c>
      <c r="G1806" s="1786" t="s">
        <v>2959</v>
      </c>
      <c r="H1806" s="1786" t="str">
        <f t="shared" si="300"/>
        <v>לא פעיל</v>
      </c>
      <c r="I1806" s="1788">
        <f t="shared" si="301"/>
        <v>31778</v>
      </c>
      <c r="J1806" s="1788">
        <f t="shared" si="302"/>
        <v>43507.378275463001</v>
      </c>
      <c r="K1806" s="1786">
        <v>0</v>
      </c>
      <c r="L1806" s="1786" t="s">
        <v>1594</v>
      </c>
      <c r="M1806" s="1786" t="s">
        <v>1653</v>
      </c>
      <c r="N1806" s="1786" t="s">
        <v>1653</v>
      </c>
      <c r="O1806" s="1786">
        <v>0</v>
      </c>
      <c r="P1806" s="1786"/>
      <c r="Q1806" s="1786">
        <v>0</v>
      </c>
      <c r="R1806" s="1788"/>
      <c r="S1806" s="1786">
        <f t="shared" si="303"/>
        <v>291</v>
      </c>
      <c r="T1806" s="1786">
        <f t="shared" si="304"/>
        <v>0</v>
      </c>
      <c r="U1806" s="1786" t="str">
        <f t="shared" si="305"/>
        <v>עומר קרן לביטוח הדדי</v>
      </c>
      <c r="V1806" s="1786">
        <f t="shared" si="306"/>
        <v>0</v>
      </c>
      <c r="W1806" s="1789" t="str">
        <f t="shared" si="307"/>
        <v>עומר קרן לבטוח הדדי</v>
      </c>
      <c r="AC1806" s="1759" t="s">
        <v>1586</v>
      </c>
      <c r="AD1806" s="1760">
        <v>43507.378275463001</v>
      </c>
      <c r="AE1806" s="1760">
        <v>31778</v>
      </c>
      <c r="AF1806" s="1759" t="s">
        <v>1583</v>
      </c>
      <c r="AG1806" s="1759" t="s">
        <v>1583</v>
      </c>
      <c r="AH1806" s="1759" t="s">
        <v>1583</v>
      </c>
      <c r="AI1806" s="1759" t="s">
        <v>3049</v>
      </c>
      <c r="AJ1806" s="1759" t="s">
        <v>455</v>
      </c>
      <c r="AK1806" s="1759">
        <v>291</v>
      </c>
      <c r="AL1806" s="1759" t="s">
        <v>455</v>
      </c>
      <c r="AM1806" s="1759">
        <v>291</v>
      </c>
      <c r="AN1806" s="1759"/>
      <c r="AO1806" s="1764"/>
      <c r="AP1806" s="1759"/>
      <c r="AQ1806" s="1759"/>
      <c r="AR1806" s="1759" t="s">
        <v>1724</v>
      </c>
      <c r="AS1806" s="1759" t="s">
        <v>456</v>
      </c>
      <c r="AT1806" s="1759" t="s">
        <v>327</v>
      </c>
      <c r="AU1806" s="1763"/>
      <c r="AV1806" s="1763"/>
    </row>
    <row r="1807" spans="1:48" ht="50" hidden="1">
      <c r="A1807" s="1785" t="str">
        <f t="shared" si="297"/>
        <v>גמל</v>
      </c>
      <c r="B1807" s="1786">
        <f t="shared" si="298"/>
        <v>290</v>
      </c>
      <c r="C1807" s="1787">
        <v>28946</v>
      </c>
      <c r="D1807" s="1786" t="str">
        <f t="shared" si="299"/>
        <v>קרן השתלמות להנדסאים וטכנאים - מסלול כללי</v>
      </c>
      <c r="E1807" s="1786" t="s">
        <v>3929</v>
      </c>
      <c r="F1807" s="1786" t="s">
        <v>2958</v>
      </c>
      <c r="G1807" s="1786" t="s">
        <v>2959</v>
      </c>
      <c r="H1807" s="1786" t="str">
        <f t="shared" si="300"/>
        <v>פעיל</v>
      </c>
      <c r="I1807" s="1788">
        <f t="shared" si="301"/>
        <v>25569</v>
      </c>
      <c r="J1807" s="1788" t="str">
        <f t="shared" si="302"/>
        <v/>
      </c>
      <c r="K1807" s="1786">
        <v>0</v>
      </c>
      <c r="L1807" s="1786" t="s">
        <v>1594</v>
      </c>
      <c r="M1807" s="1786" t="s">
        <v>1653</v>
      </c>
      <c r="N1807" s="1786" t="s">
        <v>1653</v>
      </c>
      <c r="O1807" s="1786">
        <v>0</v>
      </c>
      <c r="P1807" s="1786"/>
      <c r="Q1807" s="1786">
        <v>0</v>
      </c>
      <c r="R1807" s="1788"/>
      <c r="S1807" s="1786">
        <f t="shared" si="303"/>
        <v>290</v>
      </c>
      <c r="T1807" s="1786" t="str">
        <f t="shared" si="304"/>
        <v>הבנק הבינלאומי הראשון</v>
      </c>
      <c r="U1807" s="1786" t="str">
        <f t="shared" si="305"/>
        <v xml:space="preserve">קרן השתלמות להנדסאים וטכנאים </v>
      </c>
      <c r="V1807" s="1786">
        <f t="shared" si="306"/>
        <v>0</v>
      </c>
      <c r="W1807" s="1789" t="str">
        <f t="shared" si="307"/>
        <v>החברה לניהול קרן ההשתלמות להנדסאים וטכנאים בע"מ</v>
      </c>
      <c r="AC1807" s="1761" t="s">
        <v>346</v>
      </c>
      <c r="AD1807" s="1761"/>
      <c r="AE1807" s="1762">
        <v>25569</v>
      </c>
      <c r="AF1807" s="1761" t="s">
        <v>1583</v>
      </c>
      <c r="AG1807" s="1761" t="s">
        <v>1583</v>
      </c>
      <c r="AH1807" s="1761" t="s">
        <v>1583</v>
      </c>
      <c r="AI1807" s="1761" t="s">
        <v>3944</v>
      </c>
      <c r="AJ1807" s="1761" t="s">
        <v>3943</v>
      </c>
      <c r="AK1807" s="1761">
        <v>290</v>
      </c>
      <c r="AL1807" s="1761" t="s">
        <v>3945</v>
      </c>
      <c r="AM1807" s="1761">
        <v>290</v>
      </c>
      <c r="AN1807" s="1761" t="s">
        <v>5384</v>
      </c>
      <c r="AO1807" s="1764"/>
      <c r="AP1807" s="1761"/>
      <c r="AQ1807" s="1761"/>
      <c r="AR1807" s="1761" t="s">
        <v>453</v>
      </c>
      <c r="AS1807" s="1761" t="s">
        <v>454</v>
      </c>
      <c r="AT1807" s="1761" t="s">
        <v>327</v>
      </c>
      <c r="AU1807" s="1763"/>
      <c r="AV1807" s="1763"/>
    </row>
    <row r="1808" spans="1:48" ht="50" hidden="1">
      <c r="A1808" s="1785" t="str">
        <f t="shared" si="297"/>
        <v>גמל</v>
      </c>
      <c r="B1808" s="1786">
        <f t="shared" si="298"/>
        <v>1384</v>
      </c>
      <c r="C1808" s="1787">
        <v>28946</v>
      </c>
      <c r="D1808" s="1786" t="str">
        <f t="shared" si="299"/>
        <v>קרן השתלמות להנדסאים וטכנאים - מסלול אג"ח</v>
      </c>
      <c r="E1808" s="1786" t="s">
        <v>3929</v>
      </c>
      <c r="F1808" s="1786" t="s">
        <v>2958</v>
      </c>
      <c r="G1808" s="1786" t="s">
        <v>2959</v>
      </c>
      <c r="H1808" s="1786" t="str">
        <f t="shared" si="300"/>
        <v>פעיל</v>
      </c>
      <c r="I1808" s="1788">
        <f t="shared" si="301"/>
        <v>25569</v>
      </c>
      <c r="J1808" s="1788" t="str">
        <f t="shared" si="302"/>
        <v/>
      </c>
      <c r="K1808" s="1786">
        <v>0</v>
      </c>
      <c r="L1808" s="1786" t="s">
        <v>1594</v>
      </c>
      <c r="M1808" s="1786" t="s">
        <v>1653</v>
      </c>
      <c r="N1808" s="1786" t="s">
        <v>1653</v>
      </c>
      <c r="O1808" s="1786">
        <v>0</v>
      </c>
      <c r="P1808" s="1786"/>
      <c r="Q1808" s="1786">
        <v>0</v>
      </c>
      <c r="R1808" s="1788"/>
      <c r="S1808" s="1786">
        <f t="shared" si="303"/>
        <v>290</v>
      </c>
      <c r="T1808" s="1786" t="str">
        <f t="shared" si="304"/>
        <v>הבנק הבינלאומי הראשון</v>
      </c>
      <c r="U1808" s="1786" t="str">
        <f t="shared" si="305"/>
        <v xml:space="preserve">קרן השתלמות להנדסאים וטכנאים </v>
      </c>
      <c r="V1808" s="1786">
        <f t="shared" si="306"/>
        <v>0</v>
      </c>
      <c r="W1808" s="1789" t="str">
        <f t="shared" si="307"/>
        <v>החברה לניהול קרן ההשתלמות להנדסאים וטכנאים בע"מ</v>
      </c>
      <c r="AC1808" s="1759" t="s">
        <v>346</v>
      </c>
      <c r="AD1808" s="1759"/>
      <c r="AE1808" s="1760">
        <v>25569</v>
      </c>
      <c r="AF1808" s="1759" t="s">
        <v>1653</v>
      </c>
      <c r="AG1808" s="1759" t="s">
        <v>1653</v>
      </c>
      <c r="AH1808" s="1759" t="s">
        <v>1594</v>
      </c>
      <c r="AI1808" s="1759" t="s">
        <v>3621</v>
      </c>
      <c r="AJ1808" s="1759" t="s">
        <v>2434</v>
      </c>
      <c r="AK1808" s="1759">
        <v>1384</v>
      </c>
      <c r="AL1808" s="1759" t="s">
        <v>3945</v>
      </c>
      <c r="AM1808" s="1759">
        <v>290</v>
      </c>
      <c r="AN1808" s="1759" t="s">
        <v>5384</v>
      </c>
      <c r="AO1808" s="1764"/>
      <c r="AP1808" s="1759"/>
      <c r="AQ1808" s="1759"/>
      <c r="AR1808" s="1759" t="s">
        <v>453</v>
      </c>
      <c r="AS1808" s="1759" t="s">
        <v>454</v>
      </c>
      <c r="AT1808" s="1759" t="s">
        <v>327</v>
      </c>
      <c r="AU1808" s="1763"/>
      <c r="AV1808" s="1763"/>
    </row>
    <row r="1809" spans="1:48" ht="50" hidden="1">
      <c r="A1809" s="1785" t="str">
        <f t="shared" si="297"/>
        <v>גמל</v>
      </c>
      <c r="B1809" s="1786">
        <f t="shared" si="298"/>
        <v>1318</v>
      </c>
      <c r="C1809" s="1787">
        <v>28946</v>
      </c>
      <c r="D1809" s="1786" t="str">
        <f t="shared" si="299"/>
        <v>קרן השתלמות להנדסאים וטכנאים - מסלול מניות</v>
      </c>
      <c r="E1809" s="1786" t="s">
        <v>3929</v>
      </c>
      <c r="F1809" s="1786" t="s">
        <v>2958</v>
      </c>
      <c r="G1809" s="1786" t="s">
        <v>2959</v>
      </c>
      <c r="H1809" s="1786" t="str">
        <f t="shared" si="300"/>
        <v>פעיל</v>
      </c>
      <c r="I1809" s="1788">
        <f t="shared" si="301"/>
        <v>25569</v>
      </c>
      <c r="J1809" s="1788" t="str">
        <f t="shared" si="302"/>
        <v/>
      </c>
      <c r="K1809" s="1786">
        <v>0</v>
      </c>
      <c r="L1809" s="1786" t="s">
        <v>1594</v>
      </c>
      <c r="M1809" s="1786" t="s">
        <v>1653</v>
      </c>
      <c r="N1809" s="1786" t="s">
        <v>1653</v>
      </c>
      <c r="O1809" s="1786">
        <v>0</v>
      </c>
      <c r="P1809" s="1786"/>
      <c r="Q1809" s="1786">
        <v>0</v>
      </c>
      <c r="R1809" s="1788"/>
      <c r="S1809" s="1786">
        <f t="shared" si="303"/>
        <v>290</v>
      </c>
      <c r="T1809" s="1786" t="str">
        <f t="shared" si="304"/>
        <v>הבנק הבינלאומי הראשון</v>
      </c>
      <c r="U1809" s="1786" t="str">
        <f t="shared" si="305"/>
        <v xml:space="preserve">קרן השתלמות להנדסאים וטכנאים </v>
      </c>
      <c r="V1809" s="1786">
        <f t="shared" si="306"/>
        <v>0</v>
      </c>
      <c r="W1809" s="1789" t="str">
        <f t="shared" si="307"/>
        <v>החברה לניהול קרן ההשתלמות להנדסאים וטכנאים בע"מ</v>
      </c>
      <c r="AC1809" s="1761" t="s">
        <v>346</v>
      </c>
      <c r="AD1809" s="1761"/>
      <c r="AE1809" s="1762">
        <v>25569</v>
      </c>
      <c r="AF1809" s="1761" t="s">
        <v>1595</v>
      </c>
      <c r="AG1809" s="1761" t="s">
        <v>75</v>
      </c>
      <c r="AH1809" s="1761" t="s">
        <v>1594</v>
      </c>
      <c r="AI1809" s="1761" t="s">
        <v>4057</v>
      </c>
      <c r="AJ1809" s="1761" t="s">
        <v>4056</v>
      </c>
      <c r="AK1809" s="1761">
        <v>1318</v>
      </c>
      <c r="AL1809" s="1761" t="s">
        <v>3945</v>
      </c>
      <c r="AM1809" s="1761">
        <v>290</v>
      </c>
      <c r="AN1809" s="1761" t="s">
        <v>5384</v>
      </c>
      <c r="AO1809" s="1764"/>
      <c r="AP1809" s="1761"/>
      <c r="AQ1809" s="1761"/>
      <c r="AR1809" s="1761" t="s">
        <v>453</v>
      </c>
      <c r="AS1809" s="1761" t="s">
        <v>454</v>
      </c>
      <c r="AT1809" s="1761" t="s">
        <v>327</v>
      </c>
      <c r="AU1809" s="1763"/>
      <c r="AV1809" s="1763"/>
    </row>
    <row r="1810" spans="1:48" ht="25" hidden="1">
      <c r="A1810" s="1785" t="str">
        <f t="shared" si="297"/>
        <v>גמל</v>
      </c>
      <c r="B1810" s="1786">
        <f t="shared" si="298"/>
        <v>289</v>
      </c>
      <c r="C1810" s="1787">
        <v>28946</v>
      </c>
      <c r="D1810" s="1786" t="str">
        <f t="shared" si="299"/>
        <v>קרן השתלמות לעובדי בנק ישראל</v>
      </c>
      <c r="E1810" s="1786" t="s">
        <v>3929</v>
      </c>
      <c r="F1810" s="1786" t="s">
        <v>2958</v>
      </c>
      <c r="G1810" s="1786" t="s">
        <v>2959</v>
      </c>
      <c r="H1810" s="1786" t="str">
        <f t="shared" si="300"/>
        <v>פעיל</v>
      </c>
      <c r="I1810" s="1788">
        <f t="shared" si="301"/>
        <v>24838</v>
      </c>
      <c r="J1810" s="1788" t="str">
        <f t="shared" si="302"/>
        <v/>
      </c>
      <c r="K1810" s="1786">
        <v>0</v>
      </c>
      <c r="L1810" s="1786" t="s">
        <v>1594</v>
      </c>
      <c r="M1810" s="1786" t="s">
        <v>1653</v>
      </c>
      <c r="N1810" s="1786" t="s">
        <v>1653</v>
      </c>
      <c r="O1810" s="1786">
        <v>0</v>
      </c>
      <c r="P1810" s="1786"/>
      <c r="Q1810" s="1786">
        <v>0</v>
      </c>
      <c r="R1810" s="1788"/>
      <c r="S1810" s="1786">
        <f t="shared" si="303"/>
        <v>289</v>
      </c>
      <c r="T1810" s="1786" t="str">
        <f t="shared" si="304"/>
        <v>בנק מזרחי טפחות בע"מ</v>
      </c>
      <c r="U1810" s="1786" t="str">
        <f t="shared" si="305"/>
        <v>קרן השתלמות לעובדי בנק ישראל</v>
      </c>
      <c r="V1810" s="1786" t="str">
        <f t="shared" si="306"/>
        <v>520043795</v>
      </c>
      <c r="W1810" s="1789" t="str">
        <f t="shared" si="307"/>
        <v>מיטב דש גמל ופנסיה בע"מ</v>
      </c>
      <c r="AC1810" s="1759" t="s">
        <v>346</v>
      </c>
      <c r="AD1810" s="1759"/>
      <c r="AE1810" s="1760">
        <v>24838</v>
      </c>
      <c r="AF1810" s="1759" t="s">
        <v>1583</v>
      </c>
      <c r="AG1810" s="1759" t="s">
        <v>1583</v>
      </c>
      <c r="AH1810" s="1759" t="s">
        <v>1583</v>
      </c>
      <c r="AI1810" s="1759" t="s">
        <v>452</v>
      </c>
      <c r="AJ1810" s="1759" t="s">
        <v>452</v>
      </c>
      <c r="AK1810" s="1759">
        <v>289</v>
      </c>
      <c r="AL1810" s="1759" t="s">
        <v>452</v>
      </c>
      <c r="AM1810" s="1759">
        <v>289</v>
      </c>
      <c r="AN1810" s="1759" t="s">
        <v>5370</v>
      </c>
      <c r="AO1810" s="1764"/>
      <c r="AP1810" s="1759" t="s">
        <v>5373</v>
      </c>
      <c r="AQ1810" s="1759" t="s">
        <v>5374</v>
      </c>
      <c r="AR1810" s="1759" t="s">
        <v>2899</v>
      </c>
      <c r="AS1810" s="1759" t="s">
        <v>349</v>
      </c>
      <c r="AT1810" s="1759" t="s">
        <v>327</v>
      </c>
      <c r="AU1810" s="1763"/>
      <c r="AV1810" s="1763"/>
    </row>
    <row r="1811" spans="1:48" ht="25" hidden="1">
      <c r="A1811" s="1785" t="str">
        <f t="shared" si="297"/>
        <v>גמל</v>
      </c>
      <c r="B1811" s="1786">
        <f t="shared" si="298"/>
        <v>289</v>
      </c>
      <c r="C1811" s="1787">
        <v>28946</v>
      </c>
      <c r="D1811" s="1786" t="str">
        <f t="shared" si="299"/>
        <v>קרן השתלמות לעובדי בנק ישראל</v>
      </c>
      <c r="E1811" s="1786" t="s">
        <v>3929</v>
      </c>
      <c r="F1811" s="1786" t="s">
        <v>2958</v>
      </c>
      <c r="G1811" s="1786" t="s">
        <v>2959</v>
      </c>
      <c r="H1811" s="1786" t="str">
        <f t="shared" si="300"/>
        <v>פעיל</v>
      </c>
      <c r="I1811" s="1788">
        <f t="shared" si="301"/>
        <v>24838</v>
      </c>
      <c r="J1811" s="1788" t="str">
        <f t="shared" si="302"/>
        <v/>
      </c>
      <c r="K1811" s="1786">
        <v>0</v>
      </c>
      <c r="L1811" s="1786" t="s">
        <v>1594</v>
      </c>
      <c r="M1811" s="1786" t="s">
        <v>1653</v>
      </c>
      <c r="N1811" s="1786" t="s">
        <v>1653</v>
      </c>
      <c r="O1811" s="1786">
        <v>0</v>
      </c>
      <c r="P1811" s="1786"/>
      <c r="Q1811" s="1786">
        <v>0</v>
      </c>
      <c r="R1811" s="1788"/>
      <c r="S1811" s="1786">
        <f t="shared" si="303"/>
        <v>289</v>
      </c>
      <c r="T1811" s="1786" t="str">
        <f t="shared" si="304"/>
        <v>בנק מזרחי טפחות בע"מ</v>
      </c>
      <c r="U1811" s="1786" t="str">
        <f t="shared" si="305"/>
        <v>קרן השתלמות לעובדי בנק ישראל</v>
      </c>
      <c r="V1811" s="1786" t="str">
        <f t="shared" si="306"/>
        <v>520043795</v>
      </c>
      <c r="W1811" s="1789" t="str">
        <f t="shared" si="307"/>
        <v>מיטב דש גמל ופנסיה בע"מ</v>
      </c>
      <c r="AC1811" s="1761" t="s">
        <v>346</v>
      </c>
      <c r="AD1811" s="1761"/>
      <c r="AE1811" s="1762">
        <v>24838</v>
      </c>
      <c r="AF1811" s="1761" t="s">
        <v>1583</v>
      </c>
      <c r="AG1811" s="1761" t="s">
        <v>1583</v>
      </c>
      <c r="AH1811" s="1761" t="s">
        <v>1583</v>
      </c>
      <c r="AI1811" s="1761" t="s">
        <v>452</v>
      </c>
      <c r="AJ1811" s="1761" t="s">
        <v>452</v>
      </c>
      <c r="AK1811" s="1761">
        <v>289</v>
      </c>
      <c r="AL1811" s="1761" t="s">
        <v>452</v>
      </c>
      <c r="AM1811" s="1761">
        <v>289</v>
      </c>
      <c r="AN1811" s="1761" t="s">
        <v>5370</v>
      </c>
      <c r="AO1811" s="1764"/>
      <c r="AP1811" s="1761" t="s">
        <v>5373</v>
      </c>
      <c r="AQ1811" s="1761" t="s">
        <v>5374</v>
      </c>
      <c r="AR1811" s="1761" t="s">
        <v>2899</v>
      </c>
      <c r="AS1811" s="1761" t="s">
        <v>349</v>
      </c>
      <c r="AT1811" s="1761" t="s">
        <v>327</v>
      </c>
      <c r="AU1811" s="1763"/>
      <c r="AV1811" s="1763"/>
    </row>
    <row r="1812" spans="1:48" ht="50" hidden="1">
      <c r="A1812" s="1785" t="str">
        <f t="shared" si="297"/>
        <v>גמל</v>
      </c>
      <c r="B1812" s="1786">
        <f t="shared" si="298"/>
        <v>288</v>
      </c>
      <c r="C1812" s="1787">
        <v>28946</v>
      </c>
      <c r="D1812" s="1786" t="str">
        <f t="shared" si="299"/>
        <v>קרן השתלמות לאקדמאים במדעי החברה והרוח מסלול כללי</v>
      </c>
      <c r="E1812" s="1786" t="s">
        <v>3929</v>
      </c>
      <c r="F1812" s="1786" t="s">
        <v>2958</v>
      </c>
      <c r="G1812" s="1786" t="s">
        <v>2959</v>
      </c>
      <c r="H1812" s="1786" t="str">
        <f t="shared" si="300"/>
        <v>פעיל</v>
      </c>
      <c r="I1812" s="1788">
        <f t="shared" si="301"/>
        <v>25204</v>
      </c>
      <c r="J1812" s="1788" t="str">
        <f t="shared" si="302"/>
        <v/>
      </c>
      <c r="K1812" s="1786">
        <v>0</v>
      </c>
      <c r="L1812" s="1786" t="s">
        <v>1594</v>
      </c>
      <c r="M1812" s="1786" t="s">
        <v>1653</v>
      </c>
      <c r="N1812" s="1786" t="s">
        <v>1653</v>
      </c>
      <c r="O1812" s="1786">
        <v>0</v>
      </c>
      <c r="P1812" s="1786"/>
      <c r="Q1812" s="1786">
        <v>0</v>
      </c>
      <c r="R1812" s="1788"/>
      <c r="S1812" s="1786">
        <f t="shared" si="303"/>
        <v>288</v>
      </c>
      <c r="T1812" s="1786" t="str">
        <f t="shared" si="304"/>
        <v>לאומי</v>
      </c>
      <c r="U1812" s="1786" t="str">
        <f t="shared" si="305"/>
        <v>קרן השתלמות לאקדמאים במדעי החברה והרוח מסלול כללי</v>
      </c>
      <c r="V1812" s="1786">
        <f t="shared" si="306"/>
        <v>0</v>
      </c>
      <c r="W1812" s="1789" t="str">
        <f t="shared" si="307"/>
        <v>החברה לניהול קרן השתלמות לאקדמאים במדעי החברה והרוח בע"מ</v>
      </c>
      <c r="AC1812" s="1759" t="s">
        <v>346</v>
      </c>
      <c r="AD1812" s="1759"/>
      <c r="AE1812" s="1760">
        <v>25204</v>
      </c>
      <c r="AF1812" s="1759" t="s">
        <v>1583</v>
      </c>
      <c r="AG1812" s="1759" t="s">
        <v>1583</v>
      </c>
      <c r="AH1812" s="1759" t="s">
        <v>1583</v>
      </c>
      <c r="AI1812" s="1759" t="s">
        <v>451</v>
      </c>
      <c r="AJ1812" s="1759" t="s">
        <v>451</v>
      </c>
      <c r="AK1812" s="1759">
        <v>288</v>
      </c>
      <c r="AL1812" s="1759" t="s">
        <v>451</v>
      </c>
      <c r="AM1812" s="1759">
        <v>288</v>
      </c>
      <c r="AN1812" s="1759" t="s">
        <v>5305</v>
      </c>
      <c r="AO1812" s="1764"/>
      <c r="AP1812" s="1759" t="s">
        <v>5677</v>
      </c>
      <c r="AQ1812" s="1759"/>
      <c r="AR1812" s="1759" t="s">
        <v>449</v>
      </c>
      <c r="AS1812" s="1759" t="s">
        <v>450</v>
      </c>
      <c r="AT1812" s="1759" t="s">
        <v>327</v>
      </c>
      <c r="AU1812" s="1763"/>
      <c r="AV1812" s="1763"/>
    </row>
    <row r="1813" spans="1:48" ht="50" hidden="1">
      <c r="A1813" s="1785" t="str">
        <f t="shared" si="297"/>
        <v>גמל</v>
      </c>
      <c r="B1813" s="1786">
        <f t="shared" si="298"/>
        <v>1452</v>
      </c>
      <c r="C1813" s="1787">
        <v>28946</v>
      </c>
      <c r="D1813" s="1786" t="str">
        <f t="shared" si="299"/>
        <v>קרן השתלמות לאקדמאים במדעי החברה והרוח מסלול מניות</v>
      </c>
      <c r="E1813" s="1786" t="s">
        <v>3929</v>
      </c>
      <c r="F1813" s="1786" t="s">
        <v>2958</v>
      </c>
      <c r="G1813" s="1786" t="s">
        <v>2959</v>
      </c>
      <c r="H1813" s="1786" t="str">
        <f t="shared" si="300"/>
        <v>פעיל</v>
      </c>
      <c r="I1813" s="1788">
        <f t="shared" si="301"/>
        <v>25204</v>
      </c>
      <c r="J1813" s="1788" t="str">
        <f t="shared" si="302"/>
        <v/>
      </c>
      <c r="K1813" s="1786">
        <v>0</v>
      </c>
      <c r="L1813" s="1786" t="s">
        <v>1594</v>
      </c>
      <c r="M1813" s="1786" t="s">
        <v>1653</v>
      </c>
      <c r="N1813" s="1786" t="s">
        <v>1653</v>
      </c>
      <c r="O1813" s="1786">
        <v>0</v>
      </c>
      <c r="P1813" s="1786"/>
      <c r="Q1813" s="1786">
        <v>0</v>
      </c>
      <c r="R1813" s="1788"/>
      <c r="S1813" s="1786">
        <f t="shared" si="303"/>
        <v>288</v>
      </c>
      <c r="T1813" s="1786" t="str">
        <f t="shared" si="304"/>
        <v>לאומי</v>
      </c>
      <c r="U1813" s="1786" t="str">
        <f t="shared" si="305"/>
        <v>קרן השתלמות לאקדמאים במדעי החברה והרוח מסלול כללי</v>
      </c>
      <c r="V1813" s="1786">
        <f t="shared" si="306"/>
        <v>0</v>
      </c>
      <c r="W1813" s="1789" t="str">
        <f t="shared" si="307"/>
        <v>החברה לניהול קרן השתלמות לאקדמאים במדעי החברה והרוח בע"מ</v>
      </c>
      <c r="AC1813" s="1761" t="s">
        <v>346</v>
      </c>
      <c r="AD1813" s="1761"/>
      <c r="AE1813" s="1762">
        <v>25204</v>
      </c>
      <c r="AF1813" s="1761" t="s">
        <v>1595</v>
      </c>
      <c r="AG1813" s="1761" t="s">
        <v>75</v>
      </c>
      <c r="AH1813" s="1761" t="s">
        <v>1594</v>
      </c>
      <c r="AI1813" s="1761" t="s">
        <v>2475</v>
      </c>
      <c r="AJ1813" s="1761" t="s">
        <v>2475</v>
      </c>
      <c r="AK1813" s="1761">
        <v>1452</v>
      </c>
      <c r="AL1813" s="1761" t="s">
        <v>451</v>
      </c>
      <c r="AM1813" s="1761">
        <v>288</v>
      </c>
      <c r="AN1813" s="1761" t="s">
        <v>5305</v>
      </c>
      <c r="AO1813" s="1764"/>
      <c r="AP1813" s="1761" t="s">
        <v>5677</v>
      </c>
      <c r="AQ1813" s="1761"/>
      <c r="AR1813" s="1761" t="s">
        <v>449</v>
      </c>
      <c r="AS1813" s="1761" t="s">
        <v>450</v>
      </c>
      <c r="AT1813" s="1761" t="s">
        <v>327</v>
      </c>
      <c r="AU1813" s="1763"/>
      <c r="AV1813" s="1763"/>
    </row>
    <row r="1814" spans="1:48" ht="50" hidden="1">
      <c r="A1814" s="1785" t="str">
        <f t="shared" si="297"/>
        <v>גמל</v>
      </c>
      <c r="B1814" s="1786">
        <f t="shared" si="298"/>
        <v>1451</v>
      </c>
      <c r="C1814" s="1787">
        <v>28946</v>
      </c>
      <c r="D1814" s="1786" t="str">
        <f t="shared" si="299"/>
        <v>קרן השתלמות לאקדמאים במדעי החברה והרוח מסלול אג"ח</v>
      </c>
      <c r="E1814" s="1786" t="s">
        <v>3929</v>
      </c>
      <c r="F1814" s="1786" t="s">
        <v>2958</v>
      </c>
      <c r="G1814" s="1786" t="s">
        <v>2959</v>
      </c>
      <c r="H1814" s="1786" t="str">
        <f t="shared" si="300"/>
        <v>פעיל</v>
      </c>
      <c r="I1814" s="1788">
        <f t="shared" si="301"/>
        <v>25204</v>
      </c>
      <c r="J1814" s="1788" t="str">
        <f t="shared" si="302"/>
        <v/>
      </c>
      <c r="K1814" s="1786">
        <v>0</v>
      </c>
      <c r="L1814" s="1786" t="s">
        <v>1594</v>
      </c>
      <c r="M1814" s="1786" t="s">
        <v>1653</v>
      </c>
      <c r="N1814" s="1786" t="s">
        <v>1653</v>
      </c>
      <c r="O1814" s="1786">
        <v>0</v>
      </c>
      <c r="P1814" s="1786"/>
      <c r="Q1814" s="1786">
        <v>0</v>
      </c>
      <c r="R1814" s="1788"/>
      <c r="S1814" s="1786">
        <f t="shared" si="303"/>
        <v>288</v>
      </c>
      <c r="T1814" s="1786" t="str">
        <f t="shared" si="304"/>
        <v>לאומי</v>
      </c>
      <c r="U1814" s="1786" t="str">
        <f t="shared" si="305"/>
        <v>קרן השתלמות לאקדמאים במדעי החברה והרוח מסלול כללי</v>
      </c>
      <c r="V1814" s="1786">
        <f t="shared" si="306"/>
        <v>0</v>
      </c>
      <c r="W1814" s="1789" t="str">
        <f t="shared" si="307"/>
        <v>החברה לניהול קרן השתלמות לאקדמאים במדעי החברה והרוח בע"מ</v>
      </c>
      <c r="AC1814" s="1759" t="s">
        <v>346</v>
      </c>
      <c r="AD1814" s="1759"/>
      <c r="AE1814" s="1760">
        <v>25204</v>
      </c>
      <c r="AF1814" s="1759" t="s">
        <v>1681</v>
      </c>
      <c r="AG1814" s="1759" t="s">
        <v>1653</v>
      </c>
      <c r="AH1814" s="1759" t="s">
        <v>1594</v>
      </c>
      <c r="AI1814" s="1759" t="s">
        <v>2474</v>
      </c>
      <c r="AJ1814" s="1759" t="s">
        <v>2474</v>
      </c>
      <c r="AK1814" s="1759">
        <v>1451</v>
      </c>
      <c r="AL1814" s="1759" t="s">
        <v>451</v>
      </c>
      <c r="AM1814" s="1759">
        <v>288</v>
      </c>
      <c r="AN1814" s="1759" t="s">
        <v>5305</v>
      </c>
      <c r="AO1814" s="1764"/>
      <c r="AP1814" s="1759" t="s">
        <v>5677</v>
      </c>
      <c r="AQ1814" s="1759"/>
      <c r="AR1814" s="1759" t="s">
        <v>449</v>
      </c>
      <c r="AS1814" s="1759" t="s">
        <v>450</v>
      </c>
      <c r="AT1814" s="1759" t="s">
        <v>327</v>
      </c>
      <c r="AU1814" s="1763"/>
      <c r="AV1814" s="1763"/>
    </row>
    <row r="1815" spans="1:48" ht="25" hidden="1">
      <c r="A1815" s="1785" t="str">
        <f t="shared" ref="A1815:A1878" si="308">AT1815</f>
        <v>גמל</v>
      </c>
      <c r="B1815" s="1786">
        <f t="shared" ref="B1815:B1878" si="309">AK1815</f>
        <v>287</v>
      </c>
      <c r="C1815" s="1787">
        <v>28946</v>
      </c>
      <c r="D1815" s="1786" t="str">
        <f t="shared" ref="D1815:D1878" si="310">AJ1815</f>
        <v>הפניקס תגמולים ופיצויים (סגורה)</v>
      </c>
      <c r="E1815" s="1786" t="s">
        <v>3929</v>
      </c>
      <c r="F1815" s="1786" t="s">
        <v>2958</v>
      </c>
      <c r="G1815" s="1786" t="s">
        <v>2959</v>
      </c>
      <c r="H1815" s="1786" t="str">
        <f t="shared" ref="H1815:H1878" si="311">AC1815</f>
        <v>לא פעיל</v>
      </c>
      <c r="I1815" s="1788">
        <f t="shared" ref="I1815:I1878" si="312">IF(AE1815="","",AE1815)</f>
        <v>24108</v>
      </c>
      <c r="J1815" s="1788">
        <f t="shared" ref="J1815:J1878" si="313">IF(AD1815="","",AD1815)</f>
        <v>40360</v>
      </c>
      <c r="K1815" s="1786">
        <v>0</v>
      </c>
      <c r="L1815" s="1786" t="s">
        <v>1594</v>
      </c>
      <c r="M1815" s="1786" t="s">
        <v>1653</v>
      </c>
      <c r="N1815" s="1786" t="s">
        <v>1653</v>
      </c>
      <c r="O1815" s="1786">
        <v>0</v>
      </c>
      <c r="P1815" s="1786"/>
      <c r="Q1815" s="1786">
        <v>0</v>
      </c>
      <c r="R1815" s="1788"/>
      <c r="S1815" s="1786">
        <f t="shared" ref="S1815:S1878" si="314">AM1815</f>
        <v>287</v>
      </c>
      <c r="T1815" s="1786" t="str">
        <f t="shared" ref="T1815:T1878" si="315">AN1815</f>
        <v>בנק מזרחי טפחות בע"מ</v>
      </c>
      <c r="U1815" s="1786" t="str">
        <f t="shared" ref="U1815:U1878" si="316">AL1815</f>
        <v>הפניקס תגמולים ופיצויים (סגורה)</v>
      </c>
      <c r="V1815" s="1786">
        <f t="shared" ref="V1815:V1878" si="317">AQ1815</f>
        <v>0</v>
      </c>
      <c r="W1815" s="1789" t="str">
        <f t="shared" ref="W1815:W1878" si="318">AR1815</f>
        <v>הפניקס פנסיה בע"מ</v>
      </c>
      <c r="AC1815" s="1761" t="s">
        <v>1586</v>
      </c>
      <c r="AD1815" s="1762">
        <v>40360</v>
      </c>
      <c r="AE1815" s="1762">
        <v>24108</v>
      </c>
      <c r="AF1815" s="1761" t="s">
        <v>1583</v>
      </c>
      <c r="AG1815" s="1761" t="s">
        <v>1583</v>
      </c>
      <c r="AH1815" s="1761" t="s">
        <v>1583</v>
      </c>
      <c r="AI1815" s="1761" t="s">
        <v>1723</v>
      </c>
      <c r="AJ1815" s="1761" t="s">
        <v>1723</v>
      </c>
      <c r="AK1815" s="1761">
        <v>287</v>
      </c>
      <c r="AL1815" s="1761" t="s">
        <v>1723</v>
      </c>
      <c r="AM1815" s="1761">
        <v>287</v>
      </c>
      <c r="AN1815" s="1761" t="s">
        <v>5370</v>
      </c>
      <c r="AO1815" s="1764"/>
      <c r="AP1815" s="1761"/>
      <c r="AQ1815" s="1761"/>
      <c r="AR1815" s="1761" t="s">
        <v>5508</v>
      </c>
      <c r="AS1815" s="1761" t="s">
        <v>402</v>
      </c>
      <c r="AT1815" s="1761" t="s">
        <v>327</v>
      </c>
      <c r="AU1815" s="1763"/>
      <c r="AV1815" s="1763"/>
    </row>
    <row r="1816" spans="1:48" ht="37.5" hidden="1">
      <c r="A1816" s="1785" t="str">
        <f t="shared" si="308"/>
        <v>גמל</v>
      </c>
      <c r="B1816" s="1786">
        <f t="shared" si="309"/>
        <v>9802</v>
      </c>
      <c r="C1816" s="1787">
        <v>28946</v>
      </c>
      <c r="D1816" s="1786" t="str">
        <f t="shared" si="310"/>
        <v>אומגה קרן השתלמות אג"ח עד 15% מניות</v>
      </c>
      <c r="E1816" s="1786" t="s">
        <v>3929</v>
      </c>
      <c r="F1816" s="1786" t="s">
        <v>2958</v>
      </c>
      <c r="G1816" s="1786" t="s">
        <v>2959</v>
      </c>
      <c r="H1816" s="1786" t="str">
        <f t="shared" si="311"/>
        <v>פעיל</v>
      </c>
      <c r="I1816" s="1788">
        <f t="shared" si="312"/>
        <v>24108</v>
      </c>
      <c r="J1816" s="1788" t="str">
        <f t="shared" si="313"/>
        <v/>
      </c>
      <c r="K1816" s="1786">
        <v>0</v>
      </c>
      <c r="L1816" s="1786" t="s">
        <v>1594</v>
      </c>
      <c r="M1816" s="1786" t="s">
        <v>1653</v>
      </c>
      <c r="N1816" s="1786" t="s">
        <v>1653</v>
      </c>
      <c r="O1816" s="1786">
        <v>0</v>
      </c>
      <c r="P1816" s="1786"/>
      <c r="Q1816" s="1786">
        <v>0</v>
      </c>
      <c r="R1816" s="1788"/>
      <c r="S1816" s="1786">
        <f t="shared" si="314"/>
        <v>286</v>
      </c>
      <c r="T1816" s="1786" t="str">
        <f t="shared" si="315"/>
        <v>הבנק הבינלאומי הראשון</v>
      </c>
      <c r="U1816" s="1786" t="str">
        <f t="shared" si="316"/>
        <v>אומגה קרן השתלמות</v>
      </c>
      <c r="V1816" s="1786" t="str">
        <f t="shared" si="317"/>
        <v>520007469</v>
      </c>
      <c r="W1816" s="1789" t="str">
        <f t="shared" si="318"/>
        <v>מנורה מבטחים והסתדרות המהנדסים ניהול קופות גמל בע"מ</v>
      </c>
      <c r="AC1816" s="1759" t="s">
        <v>346</v>
      </c>
      <c r="AD1816" s="1759"/>
      <c r="AE1816" s="1760">
        <v>24108</v>
      </c>
      <c r="AF1816" s="1759" t="s">
        <v>1653</v>
      </c>
      <c r="AG1816" s="1759" t="s">
        <v>1653</v>
      </c>
      <c r="AH1816" s="1759" t="s">
        <v>1594</v>
      </c>
      <c r="AI1816" s="1759" t="s">
        <v>4379</v>
      </c>
      <c r="AJ1816" s="1759" t="s">
        <v>4379</v>
      </c>
      <c r="AK1816" s="1759">
        <v>9802</v>
      </c>
      <c r="AL1816" s="1759" t="s">
        <v>448</v>
      </c>
      <c r="AM1816" s="1759">
        <v>286</v>
      </c>
      <c r="AN1816" s="1759" t="s">
        <v>5384</v>
      </c>
      <c r="AO1816" s="1764"/>
      <c r="AP1816" s="1759" t="s">
        <v>5377</v>
      </c>
      <c r="AQ1816" s="1759" t="s">
        <v>5378</v>
      </c>
      <c r="AR1816" s="1759" t="s">
        <v>446</v>
      </c>
      <c r="AS1816" s="1759" t="s">
        <v>447</v>
      </c>
      <c r="AT1816" s="1759" t="s">
        <v>327</v>
      </c>
      <c r="AU1816" s="1763"/>
      <c r="AV1816" s="1763"/>
    </row>
    <row r="1817" spans="1:48" ht="37.5" hidden="1">
      <c r="A1817" s="1785" t="str">
        <f t="shared" si="308"/>
        <v>גמל</v>
      </c>
      <c r="B1817" s="1786">
        <f t="shared" si="309"/>
        <v>9803</v>
      </c>
      <c r="C1817" s="1787">
        <v>28946</v>
      </c>
      <c r="D1817" s="1786" t="str">
        <f t="shared" si="310"/>
        <v>אומגה קרן השתלמות אג"ח עד 25% מניות</v>
      </c>
      <c r="E1817" s="1786" t="s">
        <v>3929</v>
      </c>
      <c r="F1817" s="1786" t="s">
        <v>2958</v>
      </c>
      <c r="G1817" s="1786" t="s">
        <v>2959</v>
      </c>
      <c r="H1817" s="1786" t="str">
        <f t="shared" si="311"/>
        <v>פעיל</v>
      </c>
      <c r="I1817" s="1788">
        <f t="shared" si="312"/>
        <v>24108</v>
      </c>
      <c r="J1817" s="1788" t="str">
        <f t="shared" si="313"/>
        <v/>
      </c>
      <c r="K1817" s="1786">
        <v>0</v>
      </c>
      <c r="L1817" s="1786" t="s">
        <v>1594</v>
      </c>
      <c r="M1817" s="1786" t="s">
        <v>1653</v>
      </c>
      <c r="N1817" s="1786" t="s">
        <v>1653</v>
      </c>
      <c r="O1817" s="1786">
        <v>0</v>
      </c>
      <c r="P1817" s="1786"/>
      <c r="Q1817" s="1786">
        <v>0</v>
      </c>
      <c r="R1817" s="1788"/>
      <c r="S1817" s="1786">
        <f t="shared" si="314"/>
        <v>286</v>
      </c>
      <c r="T1817" s="1786" t="str">
        <f t="shared" si="315"/>
        <v>הבנק הבינלאומי הראשון</v>
      </c>
      <c r="U1817" s="1786" t="str">
        <f t="shared" si="316"/>
        <v>אומגה קרן השתלמות</v>
      </c>
      <c r="V1817" s="1786" t="str">
        <f t="shared" si="317"/>
        <v>520007469</v>
      </c>
      <c r="W1817" s="1789" t="str">
        <f t="shared" si="318"/>
        <v>מנורה מבטחים והסתדרות המהנדסים ניהול קופות גמל בע"מ</v>
      </c>
      <c r="AC1817" s="1761" t="s">
        <v>346</v>
      </c>
      <c r="AD1817" s="1759"/>
      <c r="AE1817" s="1762">
        <v>24108</v>
      </c>
      <c r="AF1817" s="1761" t="s">
        <v>1653</v>
      </c>
      <c r="AG1817" s="1761" t="s">
        <v>1653</v>
      </c>
      <c r="AH1817" s="1761" t="s">
        <v>1594</v>
      </c>
      <c r="AI1817" s="1761" t="s">
        <v>4380</v>
      </c>
      <c r="AJ1817" s="1761" t="s">
        <v>4380</v>
      </c>
      <c r="AK1817" s="1761">
        <v>9803</v>
      </c>
      <c r="AL1817" s="1761" t="s">
        <v>448</v>
      </c>
      <c r="AM1817" s="1761">
        <v>286</v>
      </c>
      <c r="AN1817" s="1761" t="s">
        <v>5384</v>
      </c>
      <c r="AO1817" s="1764"/>
      <c r="AP1817" s="1761" t="s">
        <v>5377</v>
      </c>
      <c r="AQ1817" s="1761" t="s">
        <v>5378</v>
      </c>
      <c r="AR1817" s="1761" t="s">
        <v>446</v>
      </c>
      <c r="AS1817" s="1761" t="s">
        <v>447</v>
      </c>
      <c r="AT1817" s="1761" t="s">
        <v>327</v>
      </c>
      <c r="AU1817" s="1763"/>
      <c r="AV1817" s="1763"/>
    </row>
    <row r="1818" spans="1:48" ht="37.5" hidden="1">
      <c r="A1818" s="1785" t="str">
        <f t="shared" si="308"/>
        <v>גמל</v>
      </c>
      <c r="B1818" s="1786">
        <f t="shared" si="309"/>
        <v>286</v>
      </c>
      <c r="C1818" s="1787">
        <v>28946</v>
      </c>
      <c r="D1818" s="1786" t="str">
        <f t="shared" si="310"/>
        <v>אומגה קרן השתלמות מסלול כללי</v>
      </c>
      <c r="E1818" s="1786" t="s">
        <v>3929</v>
      </c>
      <c r="F1818" s="1786" t="s">
        <v>2958</v>
      </c>
      <c r="G1818" s="1786" t="s">
        <v>2959</v>
      </c>
      <c r="H1818" s="1786" t="str">
        <f t="shared" si="311"/>
        <v>פעיל</v>
      </c>
      <c r="I1818" s="1788">
        <f t="shared" si="312"/>
        <v>24108</v>
      </c>
      <c r="J1818" s="1788" t="str">
        <f t="shared" si="313"/>
        <v/>
      </c>
      <c r="K1818" s="1786">
        <v>0</v>
      </c>
      <c r="L1818" s="1786" t="s">
        <v>1594</v>
      </c>
      <c r="M1818" s="1786" t="s">
        <v>1653</v>
      </c>
      <c r="N1818" s="1786" t="s">
        <v>1653</v>
      </c>
      <c r="O1818" s="1786">
        <v>0</v>
      </c>
      <c r="P1818" s="1786"/>
      <c r="Q1818" s="1786">
        <v>0</v>
      </c>
      <c r="R1818" s="1788"/>
      <c r="S1818" s="1786">
        <f t="shared" si="314"/>
        <v>286</v>
      </c>
      <c r="T1818" s="1786" t="str">
        <f t="shared" si="315"/>
        <v>הבנק הבינלאומי הראשון</v>
      </c>
      <c r="U1818" s="1786" t="str">
        <f t="shared" si="316"/>
        <v>אומגה קרן השתלמות</v>
      </c>
      <c r="V1818" s="1786" t="str">
        <f t="shared" si="317"/>
        <v>520007469</v>
      </c>
      <c r="W1818" s="1789" t="str">
        <f t="shared" si="318"/>
        <v>מנורה מבטחים והסתדרות המהנדסים ניהול קופות גמל בע"מ</v>
      </c>
      <c r="AC1818" s="1759" t="s">
        <v>346</v>
      </c>
      <c r="AD1818" s="1759"/>
      <c r="AE1818" s="1760">
        <v>24108</v>
      </c>
      <c r="AF1818" s="1759" t="s">
        <v>1583</v>
      </c>
      <c r="AG1818" s="1759" t="s">
        <v>1583</v>
      </c>
      <c r="AH1818" s="1759" t="s">
        <v>1583</v>
      </c>
      <c r="AI1818" s="1759" t="s">
        <v>3942</v>
      </c>
      <c r="AJ1818" s="1759" t="s">
        <v>3942</v>
      </c>
      <c r="AK1818" s="1759">
        <v>286</v>
      </c>
      <c r="AL1818" s="1759" t="s">
        <v>448</v>
      </c>
      <c r="AM1818" s="1759">
        <v>286</v>
      </c>
      <c r="AN1818" s="1759" t="s">
        <v>5384</v>
      </c>
      <c r="AO1818" s="1764"/>
      <c r="AP1818" s="1759" t="s">
        <v>5377</v>
      </c>
      <c r="AQ1818" s="1759" t="s">
        <v>5378</v>
      </c>
      <c r="AR1818" s="1759" t="s">
        <v>446</v>
      </c>
      <c r="AS1818" s="1759" t="s">
        <v>447</v>
      </c>
      <c r="AT1818" s="1759" t="s">
        <v>327</v>
      </c>
      <c r="AU1818" s="1763"/>
      <c r="AV1818" s="1763"/>
    </row>
    <row r="1819" spans="1:48" ht="37.5" hidden="1">
      <c r="A1819" s="1785" t="str">
        <f t="shared" si="308"/>
        <v>גמל</v>
      </c>
      <c r="B1819" s="1786">
        <f t="shared" si="309"/>
        <v>1446</v>
      </c>
      <c r="C1819" s="1787">
        <v>28946</v>
      </c>
      <c r="D1819" s="1786" t="str">
        <f t="shared" si="310"/>
        <v>אומגה קרן השתלמות מסלול מניות</v>
      </c>
      <c r="E1819" s="1786" t="s">
        <v>3929</v>
      </c>
      <c r="F1819" s="1786" t="s">
        <v>2958</v>
      </c>
      <c r="G1819" s="1786" t="s">
        <v>2959</v>
      </c>
      <c r="H1819" s="1786" t="str">
        <f t="shared" si="311"/>
        <v>פעיל</v>
      </c>
      <c r="I1819" s="1788">
        <f t="shared" si="312"/>
        <v>24108</v>
      </c>
      <c r="J1819" s="1788" t="str">
        <f t="shared" si="313"/>
        <v/>
      </c>
      <c r="K1819" s="1786">
        <v>0</v>
      </c>
      <c r="L1819" s="1786" t="s">
        <v>1594</v>
      </c>
      <c r="M1819" s="1786" t="s">
        <v>1653</v>
      </c>
      <c r="N1819" s="1786" t="s">
        <v>1653</v>
      </c>
      <c r="O1819" s="1786">
        <v>0</v>
      </c>
      <c r="P1819" s="1786"/>
      <c r="Q1819" s="1786">
        <v>0</v>
      </c>
      <c r="R1819" s="1788"/>
      <c r="S1819" s="1786">
        <f t="shared" si="314"/>
        <v>286</v>
      </c>
      <c r="T1819" s="1786" t="str">
        <f t="shared" si="315"/>
        <v>הבנק הבינלאומי הראשון</v>
      </c>
      <c r="U1819" s="1786" t="str">
        <f t="shared" si="316"/>
        <v>אומגה קרן השתלמות</v>
      </c>
      <c r="V1819" s="1786" t="str">
        <f t="shared" si="317"/>
        <v>520007469</v>
      </c>
      <c r="W1819" s="1789" t="str">
        <f t="shared" si="318"/>
        <v>מנורה מבטחים והסתדרות המהנדסים ניהול קופות גמל בע"מ</v>
      </c>
      <c r="AC1819" s="1761" t="s">
        <v>346</v>
      </c>
      <c r="AD1819" s="1761"/>
      <c r="AE1819" s="1762">
        <v>24108</v>
      </c>
      <c r="AF1819" s="1761" t="s">
        <v>1595</v>
      </c>
      <c r="AG1819" s="1761" t="s">
        <v>75</v>
      </c>
      <c r="AH1819" s="1761" t="s">
        <v>1594</v>
      </c>
      <c r="AI1819" s="1761" t="s">
        <v>4107</v>
      </c>
      <c r="AJ1819" s="1761" t="s">
        <v>4107</v>
      </c>
      <c r="AK1819" s="1761">
        <v>1446</v>
      </c>
      <c r="AL1819" s="1761" t="s">
        <v>448</v>
      </c>
      <c r="AM1819" s="1761">
        <v>286</v>
      </c>
      <c r="AN1819" s="1761" t="s">
        <v>5384</v>
      </c>
      <c r="AO1819" s="1764"/>
      <c r="AP1819" s="1761" t="s">
        <v>5377</v>
      </c>
      <c r="AQ1819" s="1761" t="s">
        <v>5378</v>
      </c>
      <c r="AR1819" s="1761" t="s">
        <v>446</v>
      </c>
      <c r="AS1819" s="1761" t="s">
        <v>447</v>
      </c>
      <c r="AT1819" s="1761" t="s">
        <v>327</v>
      </c>
      <c r="AU1819" s="1763"/>
      <c r="AV1819" s="1763"/>
    </row>
    <row r="1820" spans="1:48" ht="37.5" hidden="1">
      <c r="A1820" s="1785" t="str">
        <f t="shared" si="308"/>
        <v>גמל</v>
      </c>
      <c r="B1820" s="1786">
        <f t="shared" si="309"/>
        <v>1445</v>
      </c>
      <c r="C1820" s="1787">
        <v>28946</v>
      </c>
      <c r="D1820" s="1786" t="str">
        <f t="shared" si="310"/>
        <v>אומגה קרן השתלמות מסלול אג"ח</v>
      </c>
      <c r="E1820" s="1786" t="s">
        <v>3929</v>
      </c>
      <c r="F1820" s="1786" t="s">
        <v>2958</v>
      </c>
      <c r="G1820" s="1786" t="s">
        <v>2959</v>
      </c>
      <c r="H1820" s="1786" t="str">
        <f t="shared" si="311"/>
        <v>פעיל</v>
      </c>
      <c r="I1820" s="1788">
        <f t="shared" si="312"/>
        <v>24108</v>
      </c>
      <c r="J1820" s="1788" t="str">
        <f t="shared" si="313"/>
        <v/>
      </c>
      <c r="K1820" s="1786">
        <v>0</v>
      </c>
      <c r="L1820" s="1786" t="s">
        <v>1594</v>
      </c>
      <c r="M1820" s="1786" t="s">
        <v>1653</v>
      </c>
      <c r="N1820" s="1786" t="s">
        <v>1653</v>
      </c>
      <c r="O1820" s="1786">
        <v>0</v>
      </c>
      <c r="P1820" s="1786"/>
      <c r="Q1820" s="1786">
        <v>0</v>
      </c>
      <c r="R1820" s="1788"/>
      <c r="S1820" s="1786">
        <f t="shared" si="314"/>
        <v>286</v>
      </c>
      <c r="T1820" s="1786" t="str">
        <f t="shared" si="315"/>
        <v>הבנק הבינלאומי הראשון</v>
      </c>
      <c r="U1820" s="1786" t="str">
        <f t="shared" si="316"/>
        <v>אומגה קרן השתלמות</v>
      </c>
      <c r="V1820" s="1786" t="str">
        <f t="shared" si="317"/>
        <v>520007469</v>
      </c>
      <c r="W1820" s="1789" t="str">
        <f t="shared" si="318"/>
        <v>מנורה מבטחים והסתדרות המהנדסים ניהול קופות גמל בע"מ</v>
      </c>
      <c r="AC1820" s="1759" t="s">
        <v>346</v>
      </c>
      <c r="AD1820" s="1759"/>
      <c r="AE1820" s="1760">
        <v>24108</v>
      </c>
      <c r="AF1820" s="1759" t="s">
        <v>1653</v>
      </c>
      <c r="AG1820" s="1759" t="s">
        <v>1653</v>
      </c>
      <c r="AH1820" s="1759" t="s">
        <v>1594</v>
      </c>
      <c r="AI1820" s="1759" t="s">
        <v>2469</v>
      </c>
      <c r="AJ1820" s="1759" t="s">
        <v>2469</v>
      </c>
      <c r="AK1820" s="1759">
        <v>1445</v>
      </c>
      <c r="AL1820" s="1759" t="s">
        <v>448</v>
      </c>
      <c r="AM1820" s="1759">
        <v>286</v>
      </c>
      <c r="AN1820" s="1759" t="s">
        <v>5384</v>
      </c>
      <c r="AO1820" s="1764"/>
      <c r="AP1820" s="1759" t="s">
        <v>5377</v>
      </c>
      <c r="AQ1820" s="1759" t="s">
        <v>5378</v>
      </c>
      <c r="AR1820" s="1759" t="s">
        <v>446</v>
      </c>
      <c r="AS1820" s="1759" t="s">
        <v>447</v>
      </c>
      <c r="AT1820" s="1759" t="s">
        <v>327</v>
      </c>
      <c r="AU1820" s="1763"/>
      <c r="AV1820" s="1763"/>
    </row>
    <row r="1821" spans="1:48" ht="50" hidden="1">
      <c r="A1821" s="1785" t="str">
        <f t="shared" si="308"/>
        <v>גמל</v>
      </c>
      <c r="B1821" s="1786">
        <f t="shared" si="309"/>
        <v>2041</v>
      </c>
      <c r="C1821" s="1787">
        <v>28946</v>
      </c>
      <c r="D1821" s="1786" t="str">
        <f t="shared" si="310"/>
        <v>קרן השתלמות למורים תיכוניים מסלול מקוצר מסלול הלכה</v>
      </c>
      <c r="E1821" s="1786" t="s">
        <v>3929</v>
      </c>
      <c r="F1821" s="1786" t="s">
        <v>2958</v>
      </c>
      <c r="G1821" s="1786" t="s">
        <v>2959</v>
      </c>
      <c r="H1821" s="1786" t="str">
        <f t="shared" si="311"/>
        <v>פעיל</v>
      </c>
      <c r="I1821" s="1788">
        <f t="shared" si="312"/>
        <v>25204</v>
      </c>
      <c r="J1821" s="1788" t="str">
        <f t="shared" si="313"/>
        <v/>
      </c>
      <c r="K1821" s="1786">
        <v>0</v>
      </c>
      <c r="L1821" s="1786" t="s">
        <v>1594</v>
      </c>
      <c r="M1821" s="1786" t="s">
        <v>1653</v>
      </c>
      <c r="N1821" s="1786" t="s">
        <v>1653</v>
      </c>
      <c r="O1821" s="1786">
        <v>0</v>
      </c>
      <c r="P1821" s="1786"/>
      <c r="Q1821" s="1786">
        <v>0</v>
      </c>
      <c r="R1821" s="1788"/>
      <c r="S1821" s="1786">
        <f t="shared" si="314"/>
        <v>285</v>
      </c>
      <c r="T1821" s="1786" t="str">
        <f t="shared" si="315"/>
        <v>הבנק הבינלאומי הראשון</v>
      </c>
      <c r="U1821" s="1786" t="str">
        <f t="shared" si="316"/>
        <v>קרן השתלמות למורים תיכוניים מורי סמינרים ומפקחים</v>
      </c>
      <c r="V1821" s="1786">
        <f t="shared" si="317"/>
        <v>0</v>
      </c>
      <c r="W1821" s="1789" t="str">
        <f t="shared" si="318"/>
        <v>קרנות השתלמות למורים תיכוניים, מורי סמינרים ומפקחים - חברה מנהלת בע"מ</v>
      </c>
      <c r="AC1821" s="1761" t="s">
        <v>346</v>
      </c>
      <c r="AD1821" s="1761"/>
      <c r="AE1821" s="1762">
        <v>25204</v>
      </c>
      <c r="AF1821" s="1761" t="s">
        <v>4603</v>
      </c>
      <c r="AG1821" s="1761" t="s">
        <v>2029</v>
      </c>
      <c r="AH1821" s="1761" t="s">
        <v>2028</v>
      </c>
      <c r="AI1821" s="1761" t="s">
        <v>4143</v>
      </c>
      <c r="AJ1821" s="1761" t="s">
        <v>4145</v>
      </c>
      <c r="AK1821" s="1761">
        <v>2041</v>
      </c>
      <c r="AL1821" s="1761" t="s">
        <v>3048</v>
      </c>
      <c r="AM1821" s="1761">
        <v>285</v>
      </c>
      <c r="AN1821" s="1761" t="s">
        <v>5384</v>
      </c>
      <c r="AO1821" s="1764"/>
      <c r="AP1821" s="1761" t="s">
        <v>5516</v>
      </c>
      <c r="AQ1821" s="1761"/>
      <c r="AR1821" s="1761" t="s">
        <v>444</v>
      </c>
      <c r="AS1821" s="1761" t="s">
        <v>445</v>
      </c>
      <c r="AT1821" s="1761" t="s">
        <v>327</v>
      </c>
      <c r="AU1821" s="1763"/>
      <c r="AV1821" s="1763"/>
    </row>
    <row r="1822" spans="1:48" ht="50" hidden="1">
      <c r="A1822" s="1785" t="str">
        <f t="shared" si="308"/>
        <v>גמל</v>
      </c>
      <c r="B1822" s="1786">
        <f t="shared" si="309"/>
        <v>285</v>
      </c>
      <c r="C1822" s="1787">
        <v>28946</v>
      </c>
      <c r="D1822" s="1786" t="str">
        <f t="shared" si="310"/>
        <v>קרן השתלמות למורים תיכונים  מסלול מקוצר מסלול כללי</v>
      </c>
      <c r="E1822" s="1786" t="s">
        <v>3929</v>
      </c>
      <c r="F1822" s="1786" t="s">
        <v>2958</v>
      </c>
      <c r="G1822" s="1786" t="s">
        <v>2959</v>
      </c>
      <c r="H1822" s="1786" t="str">
        <f t="shared" si="311"/>
        <v>פעיל</v>
      </c>
      <c r="I1822" s="1788">
        <f t="shared" si="312"/>
        <v>25204</v>
      </c>
      <c r="J1822" s="1788" t="str">
        <f t="shared" si="313"/>
        <v/>
      </c>
      <c r="K1822" s="1786">
        <v>0</v>
      </c>
      <c r="L1822" s="1786" t="s">
        <v>1594</v>
      </c>
      <c r="M1822" s="1786" t="s">
        <v>1653</v>
      </c>
      <c r="N1822" s="1786" t="s">
        <v>1653</v>
      </c>
      <c r="O1822" s="1786">
        <v>0</v>
      </c>
      <c r="P1822" s="1786"/>
      <c r="Q1822" s="1786">
        <v>0</v>
      </c>
      <c r="R1822" s="1788"/>
      <c r="S1822" s="1786">
        <f t="shared" si="314"/>
        <v>285</v>
      </c>
      <c r="T1822" s="1786" t="str">
        <f t="shared" si="315"/>
        <v>הבנק הבינלאומי הראשון</v>
      </c>
      <c r="U1822" s="1786" t="str">
        <f t="shared" si="316"/>
        <v>קרן השתלמות למורים תיכוניים מורי סמינרים ומפקחים</v>
      </c>
      <c r="V1822" s="1786">
        <f t="shared" si="317"/>
        <v>0</v>
      </c>
      <c r="W1822" s="1789" t="str">
        <f t="shared" si="318"/>
        <v>קרנות השתלמות למורים תיכוניים, מורי סמינרים ומפקחים - חברה מנהלת בע"מ</v>
      </c>
      <c r="AC1822" s="1759" t="s">
        <v>346</v>
      </c>
      <c r="AD1822" s="1759"/>
      <c r="AE1822" s="1760">
        <v>25204</v>
      </c>
      <c r="AF1822" s="1759" t="s">
        <v>1583</v>
      </c>
      <c r="AG1822" s="1759" t="s">
        <v>1583</v>
      </c>
      <c r="AH1822" s="1759" t="s">
        <v>1583</v>
      </c>
      <c r="AI1822" s="1759" t="s">
        <v>3047</v>
      </c>
      <c r="AJ1822" s="1759" t="s">
        <v>1722</v>
      </c>
      <c r="AK1822" s="1759">
        <v>285</v>
      </c>
      <c r="AL1822" s="1759" t="s">
        <v>3048</v>
      </c>
      <c r="AM1822" s="1759">
        <v>285</v>
      </c>
      <c r="AN1822" s="1759" t="s">
        <v>5384</v>
      </c>
      <c r="AO1822" s="1764"/>
      <c r="AP1822" s="1759" t="s">
        <v>5516</v>
      </c>
      <c r="AQ1822" s="1759"/>
      <c r="AR1822" s="1759" t="s">
        <v>444</v>
      </c>
      <c r="AS1822" s="1759" t="s">
        <v>445</v>
      </c>
      <c r="AT1822" s="1759" t="s">
        <v>327</v>
      </c>
      <c r="AU1822" s="1763"/>
      <c r="AV1822" s="1763"/>
    </row>
    <row r="1823" spans="1:48" ht="50" hidden="1">
      <c r="A1823" s="1785" t="str">
        <f t="shared" si="308"/>
        <v>גמל</v>
      </c>
      <c r="B1823" s="1786">
        <f t="shared" si="309"/>
        <v>2042</v>
      </c>
      <c r="C1823" s="1787">
        <v>28946</v>
      </c>
      <c r="D1823" s="1786" t="str">
        <f t="shared" si="310"/>
        <v>קרן השתלמות למורים תיכוניים מסלול מקוצר מסלול  אגח</v>
      </c>
      <c r="E1823" s="1786" t="s">
        <v>3929</v>
      </c>
      <c r="F1823" s="1786" t="s">
        <v>2958</v>
      </c>
      <c r="G1823" s="1786" t="s">
        <v>2959</v>
      </c>
      <c r="H1823" s="1786" t="str">
        <f t="shared" si="311"/>
        <v>פעיל</v>
      </c>
      <c r="I1823" s="1788">
        <f t="shared" si="312"/>
        <v>25204</v>
      </c>
      <c r="J1823" s="1788" t="str">
        <f t="shared" si="313"/>
        <v/>
      </c>
      <c r="K1823" s="1786">
        <v>0</v>
      </c>
      <c r="L1823" s="1786" t="s">
        <v>1594</v>
      </c>
      <c r="M1823" s="1786" t="s">
        <v>1653</v>
      </c>
      <c r="N1823" s="1786" t="s">
        <v>1653</v>
      </c>
      <c r="O1823" s="1786">
        <v>0</v>
      </c>
      <c r="P1823" s="1786"/>
      <c r="Q1823" s="1786">
        <v>0</v>
      </c>
      <c r="R1823" s="1788"/>
      <c r="S1823" s="1786">
        <f t="shared" si="314"/>
        <v>285</v>
      </c>
      <c r="T1823" s="1786" t="str">
        <f t="shared" si="315"/>
        <v>הבנק הבינלאומי הראשון</v>
      </c>
      <c r="U1823" s="1786" t="str">
        <f t="shared" si="316"/>
        <v>קרן השתלמות למורים תיכוניים מורי סמינרים ומפקחים</v>
      </c>
      <c r="V1823" s="1786">
        <f t="shared" si="317"/>
        <v>0</v>
      </c>
      <c r="W1823" s="1789" t="str">
        <f t="shared" si="318"/>
        <v>קרנות השתלמות למורים תיכוניים, מורי סמינרים ומפקחים - חברה מנהלת בע"מ</v>
      </c>
      <c r="AC1823" s="1761" t="s">
        <v>346</v>
      </c>
      <c r="AD1823" s="1761"/>
      <c r="AE1823" s="1762">
        <v>25204</v>
      </c>
      <c r="AF1823" s="1761" t="s">
        <v>1681</v>
      </c>
      <c r="AG1823" s="1761" t="s">
        <v>1653</v>
      </c>
      <c r="AH1823" s="1761" t="s">
        <v>1594</v>
      </c>
      <c r="AI1823" s="1761" t="s">
        <v>3689</v>
      </c>
      <c r="AJ1823" s="1761" t="s">
        <v>2527</v>
      </c>
      <c r="AK1823" s="1761">
        <v>2042</v>
      </c>
      <c r="AL1823" s="1761" t="s">
        <v>3048</v>
      </c>
      <c r="AM1823" s="1761">
        <v>285</v>
      </c>
      <c r="AN1823" s="1761" t="s">
        <v>5384</v>
      </c>
      <c r="AO1823" s="1764"/>
      <c r="AP1823" s="1761" t="s">
        <v>5516</v>
      </c>
      <c r="AQ1823" s="1761"/>
      <c r="AR1823" s="1761" t="s">
        <v>444</v>
      </c>
      <c r="AS1823" s="1761" t="s">
        <v>445</v>
      </c>
      <c r="AT1823" s="1761" t="s">
        <v>327</v>
      </c>
      <c r="AU1823" s="1763"/>
      <c r="AV1823" s="1763"/>
    </row>
    <row r="1824" spans="1:48" ht="37.5" hidden="1">
      <c r="A1824" s="1785" t="str">
        <f t="shared" si="308"/>
        <v>גמל</v>
      </c>
      <c r="B1824" s="1786">
        <f t="shared" si="309"/>
        <v>2039</v>
      </c>
      <c r="C1824" s="1787">
        <v>28946</v>
      </c>
      <c r="D1824" s="1786" t="str">
        <f t="shared" si="310"/>
        <v>קרן השתלמות למורים וגננות מסלול מקוצר - מסלול הלכה</v>
      </c>
      <c r="E1824" s="1786" t="s">
        <v>3929</v>
      </c>
      <c r="F1824" s="1786" t="s">
        <v>2958</v>
      </c>
      <c r="G1824" s="1786" t="s">
        <v>2959</v>
      </c>
      <c r="H1824" s="1786" t="str">
        <f t="shared" si="311"/>
        <v>פעיל</v>
      </c>
      <c r="I1824" s="1788">
        <f t="shared" si="312"/>
        <v>31778</v>
      </c>
      <c r="J1824" s="1788" t="str">
        <f t="shared" si="313"/>
        <v/>
      </c>
      <c r="K1824" s="1786">
        <v>0</v>
      </c>
      <c r="L1824" s="1786" t="s">
        <v>1594</v>
      </c>
      <c r="M1824" s="1786" t="s">
        <v>1653</v>
      </c>
      <c r="N1824" s="1786" t="s">
        <v>1653</v>
      </c>
      <c r="O1824" s="1786">
        <v>0</v>
      </c>
      <c r="P1824" s="1786"/>
      <c r="Q1824" s="1786">
        <v>0</v>
      </c>
      <c r="R1824" s="1788"/>
      <c r="S1824" s="1786">
        <f t="shared" si="314"/>
        <v>284</v>
      </c>
      <c r="T1824" s="1786" t="str">
        <f t="shared" si="315"/>
        <v>הבנק הבינלאומי הראשון</v>
      </c>
      <c r="U1824" s="1786" t="str">
        <f t="shared" si="316"/>
        <v>קרן השתלמות למורים וגננות (מסלול מקוצר)</v>
      </c>
      <c r="V1824" s="1786">
        <f t="shared" si="317"/>
        <v>0</v>
      </c>
      <c r="W1824" s="1789" t="str">
        <f t="shared" si="318"/>
        <v>קרנות השתלמות למורים ולגננות - חברה מנהלת בע"מ</v>
      </c>
      <c r="AC1824" s="1759" t="s">
        <v>346</v>
      </c>
      <c r="AD1824" s="1759"/>
      <c r="AE1824" s="1760">
        <v>31778</v>
      </c>
      <c r="AF1824" s="1759" t="s">
        <v>4603</v>
      </c>
      <c r="AG1824" s="1759" t="s">
        <v>2029</v>
      </c>
      <c r="AH1824" s="1759" t="s">
        <v>2028</v>
      </c>
      <c r="AI1824" s="1759" t="s">
        <v>4141</v>
      </c>
      <c r="AJ1824" s="1759" t="s">
        <v>4144</v>
      </c>
      <c r="AK1824" s="1759">
        <v>2039</v>
      </c>
      <c r="AL1824" s="1759" t="s">
        <v>443</v>
      </c>
      <c r="AM1824" s="1759">
        <v>284</v>
      </c>
      <c r="AN1824" s="1759" t="s">
        <v>5384</v>
      </c>
      <c r="AO1824" s="1764"/>
      <c r="AP1824" s="1759" t="s">
        <v>5516</v>
      </c>
      <c r="AQ1824" s="1759"/>
      <c r="AR1824" s="1759" t="s">
        <v>441</v>
      </c>
      <c r="AS1824" s="1759" t="s">
        <v>442</v>
      </c>
      <c r="AT1824" s="1759" t="s">
        <v>327</v>
      </c>
      <c r="AU1824" s="1763"/>
      <c r="AV1824" s="1763"/>
    </row>
    <row r="1825" spans="1:48" ht="37.5" hidden="1">
      <c r="A1825" s="1785" t="str">
        <f t="shared" si="308"/>
        <v>גמל</v>
      </c>
      <c r="B1825" s="1786">
        <f t="shared" si="309"/>
        <v>284</v>
      </c>
      <c r="C1825" s="1787">
        <v>28946</v>
      </c>
      <c r="D1825" s="1786" t="str">
        <f t="shared" si="310"/>
        <v>קרן השתלמות למורים וגננות מסלול מקוצר - מסלול כללי</v>
      </c>
      <c r="E1825" s="1786" t="s">
        <v>3929</v>
      </c>
      <c r="F1825" s="1786" t="s">
        <v>2958</v>
      </c>
      <c r="G1825" s="1786" t="s">
        <v>2959</v>
      </c>
      <c r="H1825" s="1786" t="str">
        <f t="shared" si="311"/>
        <v>פעיל</v>
      </c>
      <c r="I1825" s="1788">
        <f t="shared" si="312"/>
        <v>31778</v>
      </c>
      <c r="J1825" s="1788" t="str">
        <f t="shared" si="313"/>
        <v/>
      </c>
      <c r="K1825" s="1786">
        <v>0</v>
      </c>
      <c r="L1825" s="1786" t="s">
        <v>1594</v>
      </c>
      <c r="M1825" s="1786" t="s">
        <v>1653</v>
      </c>
      <c r="N1825" s="1786" t="s">
        <v>1653</v>
      </c>
      <c r="O1825" s="1786">
        <v>0</v>
      </c>
      <c r="P1825" s="1786"/>
      <c r="Q1825" s="1786">
        <v>0</v>
      </c>
      <c r="R1825" s="1788"/>
      <c r="S1825" s="1786">
        <f t="shared" si="314"/>
        <v>284</v>
      </c>
      <c r="T1825" s="1786" t="str">
        <f t="shared" si="315"/>
        <v>הבנק הבינלאומי הראשון</v>
      </c>
      <c r="U1825" s="1786" t="str">
        <f t="shared" si="316"/>
        <v>קרן השתלמות למורים וגננות (מסלול מקוצר)</v>
      </c>
      <c r="V1825" s="1786">
        <f t="shared" si="317"/>
        <v>0</v>
      </c>
      <c r="W1825" s="1789" t="str">
        <f t="shared" si="318"/>
        <v>קרנות השתלמות למורים ולגננות - חברה מנהלת בע"מ</v>
      </c>
      <c r="AC1825" s="1761" t="s">
        <v>346</v>
      </c>
      <c r="AD1825" s="1761"/>
      <c r="AE1825" s="1762">
        <v>31778</v>
      </c>
      <c r="AF1825" s="1761" t="s">
        <v>1583</v>
      </c>
      <c r="AG1825" s="1761" t="s">
        <v>1583</v>
      </c>
      <c r="AH1825" s="1761" t="s">
        <v>1583</v>
      </c>
      <c r="AI1825" s="1761" t="s">
        <v>3046</v>
      </c>
      <c r="AJ1825" s="1761" t="s">
        <v>1721</v>
      </c>
      <c r="AK1825" s="1761">
        <v>284</v>
      </c>
      <c r="AL1825" s="1761" t="s">
        <v>443</v>
      </c>
      <c r="AM1825" s="1761">
        <v>284</v>
      </c>
      <c r="AN1825" s="1761" t="s">
        <v>5384</v>
      </c>
      <c r="AO1825" s="1764"/>
      <c r="AP1825" s="1761" t="s">
        <v>5516</v>
      </c>
      <c r="AQ1825" s="1761"/>
      <c r="AR1825" s="1761" t="s">
        <v>441</v>
      </c>
      <c r="AS1825" s="1761" t="s">
        <v>442</v>
      </c>
      <c r="AT1825" s="1761" t="s">
        <v>327</v>
      </c>
      <c r="AU1825" s="1763"/>
      <c r="AV1825" s="1763"/>
    </row>
    <row r="1826" spans="1:48" ht="37.5" hidden="1">
      <c r="A1826" s="1785" t="str">
        <f t="shared" si="308"/>
        <v>גמל</v>
      </c>
      <c r="B1826" s="1786">
        <f t="shared" si="309"/>
        <v>2040</v>
      </c>
      <c r="C1826" s="1787">
        <v>28946</v>
      </c>
      <c r="D1826" s="1786" t="str">
        <f t="shared" si="310"/>
        <v>קרן השתלמות למורים וגננות מסלול מקוצר - מסלול אג"ח</v>
      </c>
      <c r="E1826" s="1786" t="s">
        <v>3929</v>
      </c>
      <c r="F1826" s="1786" t="s">
        <v>2958</v>
      </c>
      <c r="G1826" s="1786" t="s">
        <v>2959</v>
      </c>
      <c r="H1826" s="1786" t="str">
        <f t="shared" si="311"/>
        <v>פעיל</v>
      </c>
      <c r="I1826" s="1788">
        <f t="shared" si="312"/>
        <v>31778</v>
      </c>
      <c r="J1826" s="1788" t="str">
        <f t="shared" si="313"/>
        <v/>
      </c>
      <c r="K1826" s="1786">
        <v>0</v>
      </c>
      <c r="L1826" s="1786" t="s">
        <v>1594</v>
      </c>
      <c r="M1826" s="1786" t="s">
        <v>1653</v>
      </c>
      <c r="N1826" s="1786" t="s">
        <v>1653</v>
      </c>
      <c r="O1826" s="1786">
        <v>0</v>
      </c>
      <c r="P1826" s="1786"/>
      <c r="Q1826" s="1786">
        <v>0</v>
      </c>
      <c r="R1826" s="1788"/>
      <c r="S1826" s="1786">
        <f t="shared" si="314"/>
        <v>284</v>
      </c>
      <c r="T1826" s="1786" t="str">
        <f t="shared" si="315"/>
        <v>הבנק הבינלאומי הראשון</v>
      </c>
      <c r="U1826" s="1786" t="str">
        <f t="shared" si="316"/>
        <v>קרן השתלמות למורים וגננות (מסלול מקוצר)</v>
      </c>
      <c r="V1826" s="1786">
        <f t="shared" si="317"/>
        <v>0</v>
      </c>
      <c r="W1826" s="1789" t="str">
        <f t="shared" si="318"/>
        <v>קרנות השתלמות למורים ולגננות - חברה מנהלת בע"מ</v>
      </c>
      <c r="AC1826" s="1759" t="s">
        <v>346</v>
      </c>
      <c r="AD1826" s="1759"/>
      <c r="AE1826" s="1760">
        <v>31778</v>
      </c>
      <c r="AF1826" s="1759" t="s">
        <v>1681</v>
      </c>
      <c r="AG1826" s="1759" t="s">
        <v>1653</v>
      </c>
      <c r="AH1826" s="1759" t="s">
        <v>1594</v>
      </c>
      <c r="AI1826" s="1759" t="s">
        <v>3688</v>
      </c>
      <c r="AJ1826" s="1759" t="s">
        <v>2526</v>
      </c>
      <c r="AK1826" s="1759">
        <v>2040</v>
      </c>
      <c r="AL1826" s="1759" t="s">
        <v>443</v>
      </c>
      <c r="AM1826" s="1759">
        <v>284</v>
      </c>
      <c r="AN1826" s="1759" t="s">
        <v>5384</v>
      </c>
      <c r="AO1826" s="1764"/>
      <c r="AP1826" s="1759" t="s">
        <v>5516</v>
      </c>
      <c r="AQ1826" s="1759"/>
      <c r="AR1826" s="1759" t="s">
        <v>441</v>
      </c>
      <c r="AS1826" s="1759" t="s">
        <v>442</v>
      </c>
      <c r="AT1826" s="1759" t="s">
        <v>327</v>
      </c>
      <c r="AU1826" s="1763"/>
      <c r="AV1826" s="1763"/>
    </row>
    <row r="1827" spans="1:48" ht="37.5" hidden="1">
      <c r="A1827" s="1785" t="str">
        <f t="shared" si="308"/>
        <v>גמל</v>
      </c>
      <c r="B1827" s="1786">
        <f t="shared" si="309"/>
        <v>8382</v>
      </c>
      <c r="C1827" s="1787">
        <v>28946</v>
      </c>
      <c r="D1827" s="1786" t="str">
        <f t="shared" si="310"/>
        <v>קרן השתלמות למורים בבתיה"ס העי"ס במכללות ובסמינרים (מקוצר) אג"ח אג"ח</v>
      </c>
      <c r="E1827" s="1786" t="s">
        <v>3929</v>
      </c>
      <c r="F1827" s="1786" t="s">
        <v>2958</v>
      </c>
      <c r="G1827" s="1786" t="s">
        <v>2959</v>
      </c>
      <c r="H1827" s="1786" t="str">
        <f t="shared" si="311"/>
        <v>פעיל</v>
      </c>
      <c r="I1827" s="1788">
        <f t="shared" si="312"/>
        <v>23061</v>
      </c>
      <c r="J1827" s="1788" t="str">
        <f t="shared" si="313"/>
        <v/>
      </c>
      <c r="K1827" s="1786">
        <v>0</v>
      </c>
      <c r="L1827" s="1786" t="s">
        <v>1594</v>
      </c>
      <c r="M1827" s="1786" t="s">
        <v>1653</v>
      </c>
      <c r="N1827" s="1786" t="s">
        <v>1653</v>
      </c>
      <c r="O1827" s="1786">
        <v>0</v>
      </c>
      <c r="P1827" s="1786"/>
      <c r="Q1827" s="1786">
        <v>0</v>
      </c>
      <c r="R1827" s="1788"/>
      <c r="S1827" s="1786">
        <f t="shared" si="314"/>
        <v>282</v>
      </c>
      <c r="T1827" s="1786" t="str">
        <f t="shared" si="315"/>
        <v>הבנק הבינלאומי הראשון</v>
      </c>
      <c r="U1827" s="1786" t="str">
        <f t="shared" si="316"/>
        <v>קרן השתלמות למורים בבתיה"ס העי"ס במכללות ובסמינרים (מקוצר)</v>
      </c>
      <c r="V1827" s="1786" t="str">
        <f t="shared" si="317"/>
        <v>589922772</v>
      </c>
      <c r="W1827" s="1789" t="str">
        <f t="shared" si="318"/>
        <v>עגור חברה לניהול קופות גמל וקרנות השתלמות בע"מ</v>
      </c>
      <c r="AC1827" s="1761" t="s">
        <v>346</v>
      </c>
      <c r="AD1827" s="1761"/>
      <c r="AE1827" s="1762">
        <v>23061</v>
      </c>
      <c r="AF1827" s="1761" t="s">
        <v>1653</v>
      </c>
      <c r="AG1827" s="1761" t="s">
        <v>1653</v>
      </c>
      <c r="AH1827" s="1761" t="s">
        <v>1594</v>
      </c>
      <c r="AI1827" s="1761" t="s">
        <v>2931</v>
      </c>
      <c r="AJ1827" s="1761" t="s">
        <v>3732</v>
      </c>
      <c r="AK1827" s="1761">
        <v>8382</v>
      </c>
      <c r="AL1827" s="1761" t="s">
        <v>440</v>
      </c>
      <c r="AM1827" s="1761">
        <v>282</v>
      </c>
      <c r="AN1827" s="1761" t="s">
        <v>5384</v>
      </c>
      <c r="AO1827" s="1764"/>
      <c r="AP1827" s="1761" t="s">
        <v>5625</v>
      </c>
      <c r="AQ1827" s="1761" t="s">
        <v>5626</v>
      </c>
      <c r="AR1827" s="1761" t="s">
        <v>438</v>
      </c>
      <c r="AS1827" s="1761" t="s">
        <v>439</v>
      </c>
      <c r="AT1827" s="1761" t="s">
        <v>327</v>
      </c>
      <c r="AU1827" s="1763"/>
      <c r="AV1827" s="1763"/>
    </row>
    <row r="1828" spans="1:48" ht="37.5" hidden="1">
      <c r="A1828" s="1785" t="str">
        <f t="shared" si="308"/>
        <v>גמל</v>
      </c>
      <c r="B1828" s="1786">
        <f t="shared" si="309"/>
        <v>282</v>
      </c>
      <c r="C1828" s="1787">
        <v>28946</v>
      </c>
      <c r="D1828" s="1786" t="str">
        <f t="shared" si="310"/>
        <v>קרן השתלמות למורים בבתיה"ס העי"ס במכללות ובסמינרים (מקוצר)</v>
      </c>
      <c r="E1828" s="1786" t="s">
        <v>3929</v>
      </c>
      <c r="F1828" s="1786" t="s">
        <v>2958</v>
      </c>
      <c r="G1828" s="1786" t="s">
        <v>2959</v>
      </c>
      <c r="H1828" s="1786" t="str">
        <f t="shared" si="311"/>
        <v>פעיל</v>
      </c>
      <c r="I1828" s="1788">
        <f t="shared" si="312"/>
        <v>23061</v>
      </c>
      <c r="J1828" s="1788" t="str">
        <f t="shared" si="313"/>
        <v/>
      </c>
      <c r="K1828" s="1786">
        <v>0</v>
      </c>
      <c r="L1828" s="1786" t="s">
        <v>1594</v>
      </c>
      <c r="M1828" s="1786" t="s">
        <v>1653</v>
      </c>
      <c r="N1828" s="1786" t="s">
        <v>1653</v>
      </c>
      <c r="O1828" s="1786">
        <v>0</v>
      </c>
      <c r="P1828" s="1786"/>
      <c r="Q1828" s="1786">
        <v>0</v>
      </c>
      <c r="R1828" s="1788"/>
      <c r="S1828" s="1786">
        <f t="shared" si="314"/>
        <v>282</v>
      </c>
      <c r="T1828" s="1786" t="str">
        <f t="shared" si="315"/>
        <v>הבנק הבינלאומי הראשון</v>
      </c>
      <c r="U1828" s="1786" t="str">
        <f t="shared" si="316"/>
        <v>קרן השתלמות למורים בבתיה"ס העי"ס במכללות ובסמינרים (מקוצר)</v>
      </c>
      <c r="V1828" s="1786" t="str">
        <f t="shared" si="317"/>
        <v>589922772</v>
      </c>
      <c r="W1828" s="1789" t="str">
        <f t="shared" si="318"/>
        <v>עגור חברה לניהול קופות גמל וקרנות השתלמות בע"מ</v>
      </c>
      <c r="AC1828" s="1759" t="s">
        <v>346</v>
      </c>
      <c r="AD1828" s="1759"/>
      <c r="AE1828" s="1760">
        <v>23061</v>
      </c>
      <c r="AF1828" s="1759" t="s">
        <v>1583</v>
      </c>
      <c r="AG1828" s="1759" t="s">
        <v>1583</v>
      </c>
      <c r="AH1828" s="1759" t="s">
        <v>1583</v>
      </c>
      <c r="AI1828" s="1759" t="s">
        <v>3045</v>
      </c>
      <c r="AJ1828" s="1759" t="s">
        <v>440</v>
      </c>
      <c r="AK1828" s="1759">
        <v>282</v>
      </c>
      <c r="AL1828" s="1759" t="s">
        <v>440</v>
      </c>
      <c r="AM1828" s="1759">
        <v>282</v>
      </c>
      <c r="AN1828" s="1759" t="s">
        <v>5384</v>
      </c>
      <c r="AO1828" s="1764"/>
      <c r="AP1828" s="1759" t="s">
        <v>5625</v>
      </c>
      <c r="AQ1828" s="1759" t="s">
        <v>5626</v>
      </c>
      <c r="AR1828" s="1759" t="s">
        <v>438</v>
      </c>
      <c r="AS1828" s="1759" t="s">
        <v>439</v>
      </c>
      <c r="AT1828" s="1759" t="s">
        <v>327</v>
      </c>
      <c r="AU1828" s="1763"/>
      <c r="AV1828" s="1763"/>
    </row>
    <row r="1829" spans="1:48" ht="37.5" hidden="1">
      <c r="A1829" s="1785" t="str">
        <f t="shared" si="308"/>
        <v>גמל</v>
      </c>
      <c r="B1829" s="1786">
        <f t="shared" si="309"/>
        <v>8395</v>
      </c>
      <c r="C1829" s="1787">
        <v>28946</v>
      </c>
      <c r="D1829" s="1786" t="str">
        <f t="shared" si="310"/>
        <v>קרן השתלמות למורים בבתיה"ס העי"ס במכללות ובסמינרים (מקוצר) מסלול הלכה</v>
      </c>
      <c r="E1829" s="1786" t="s">
        <v>3929</v>
      </c>
      <c r="F1829" s="1786" t="s">
        <v>2958</v>
      </c>
      <c r="G1829" s="1786" t="s">
        <v>2959</v>
      </c>
      <c r="H1829" s="1786" t="str">
        <f t="shared" si="311"/>
        <v>פעיל</v>
      </c>
      <c r="I1829" s="1788">
        <f t="shared" si="312"/>
        <v>23061</v>
      </c>
      <c r="J1829" s="1788" t="str">
        <f t="shared" si="313"/>
        <v/>
      </c>
      <c r="K1829" s="1786">
        <v>0</v>
      </c>
      <c r="L1829" s="1786" t="s">
        <v>1594</v>
      </c>
      <c r="M1829" s="1786" t="s">
        <v>1653</v>
      </c>
      <c r="N1829" s="1786" t="s">
        <v>1653</v>
      </c>
      <c r="O1829" s="1786">
        <v>0</v>
      </c>
      <c r="P1829" s="1786"/>
      <c r="Q1829" s="1786">
        <v>0</v>
      </c>
      <c r="R1829" s="1788"/>
      <c r="S1829" s="1786">
        <f t="shared" si="314"/>
        <v>282</v>
      </c>
      <c r="T1829" s="1786" t="str">
        <f t="shared" si="315"/>
        <v>הבנק הבינלאומי הראשון</v>
      </c>
      <c r="U1829" s="1786" t="str">
        <f t="shared" si="316"/>
        <v>קרן השתלמות למורים בבתיה"ס העי"ס במכללות ובסמינרים (מקוצר)</v>
      </c>
      <c r="V1829" s="1786" t="str">
        <f t="shared" si="317"/>
        <v>589922772</v>
      </c>
      <c r="W1829" s="1789" t="str">
        <f t="shared" si="318"/>
        <v>עגור חברה לניהול קופות גמל וקרנות השתלמות בע"מ</v>
      </c>
      <c r="AC1829" s="1761" t="s">
        <v>346</v>
      </c>
      <c r="AD1829" s="1761"/>
      <c r="AE1829" s="1762">
        <v>23061</v>
      </c>
      <c r="AF1829" s="1761" t="s">
        <v>4603</v>
      </c>
      <c r="AG1829" s="1761" t="s">
        <v>2029</v>
      </c>
      <c r="AH1829" s="1761" t="s">
        <v>2028</v>
      </c>
      <c r="AI1829" s="1761" t="s">
        <v>4753</v>
      </c>
      <c r="AJ1829" s="1761" t="s">
        <v>4752</v>
      </c>
      <c r="AK1829" s="1761">
        <v>8395</v>
      </c>
      <c r="AL1829" s="1761" t="s">
        <v>440</v>
      </c>
      <c r="AM1829" s="1761">
        <v>282</v>
      </c>
      <c r="AN1829" s="1761" t="s">
        <v>5384</v>
      </c>
      <c r="AO1829" s="1764"/>
      <c r="AP1829" s="1761" t="s">
        <v>5625</v>
      </c>
      <c r="AQ1829" s="1761" t="s">
        <v>5626</v>
      </c>
      <c r="AR1829" s="1761" t="s">
        <v>438</v>
      </c>
      <c r="AS1829" s="1761" t="s">
        <v>439</v>
      </c>
      <c r="AT1829" s="1761" t="s">
        <v>327</v>
      </c>
      <c r="AU1829" s="1763"/>
      <c r="AV1829" s="1763"/>
    </row>
    <row r="1830" spans="1:48" ht="25" hidden="1">
      <c r="A1830" s="1785" t="str">
        <f t="shared" si="308"/>
        <v>גמל</v>
      </c>
      <c r="B1830" s="1786">
        <f t="shared" si="309"/>
        <v>281</v>
      </c>
      <c r="C1830" s="1787">
        <v>28946</v>
      </c>
      <c r="D1830" s="1786" t="str">
        <f t="shared" si="310"/>
        <v>הפניקס מרכזית לפיצויים (סגורה)</v>
      </c>
      <c r="E1830" s="1786" t="s">
        <v>3929</v>
      </c>
      <c r="F1830" s="1786" t="s">
        <v>2958</v>
      </c>
      <c r="G1830" s="1786" t="s">
        <v>2959</v>
      </c>
      <c r="H1830" s="1786" t="str">
        <f t="shared" si="311"/>
        <v>לא פעיל</v>
      </c>
      <c r="I1830" s="1788">
        <f t="shared" si="312"/>
        <v>23833</v>
      </c>
      <c r="J1830" s="1788">
        <f t="shared" si="313"/>
        <v>40360</v>
      </c>
      <c r="K1830" s="1786">
        <v>0</v>
      </c>
      <c r="L1830" s="1786" t="s">
        <v>1594</v>
      </c>
      <c r="M1830" s="1786" t="s">
        <v>1653</v>
      </c>
      <c r="N1830" s="1786" t="s">
        <v>1653</v>
      </c>
      <c r="O1830" s="1786">
        <v>0</v>
      </c>
      <c r="P1830" s="1786"/>
      <c r="Q1830" s="1786">
        <v>0</v>
      </c>
      <c r="R1830" s="1788"/>
      <c r="S1830" s="1786">
        <f t="shared" si="314"/>
        <v>281</v>
      </c>
      <c r="T1830" s="1786" t="str">
        <f t="shared" si="315"/>
        <v>בנק מזרחי טפחות בע"מ</v>
      </c>
      <c r="U1830" s="1786" t="str">
        <f t="shared" si="316"/>
        <v>הפניקס מרכזית לפיצויים (סגורה)</v>
      </c>
      <c r="V1830" s="1786">
        <f t="shared" si="317"/>
        <v>0</v>
      </c>
      <c r="W1830" s="1789" t="str">
        <f t="shared" si="318"/>
        <v>הפניקס פנסיה בע"מ</v>
      </c>
      <c r="AC1830" s="1759" t="s">
        <v>1586</v>
      </c>
      <c r="AD1830" s="1760">
        <v>40360</v>
      </c>
      <c r="AE1830" s="1760">
        <v>23833</v>
      </c>
      <c r="AF1830" s="1759" t="s">
        <v>1583</v>
      </c>
      <c r="AG1830" s="1759" t="s">
        <v>1583</v>
      </c>
      <c r="AH1830" s="1759" t="s">
        <v>1583</v>
      </c>
      <c r="AI1830" s="1759" t="s">
        <v>1720</v>
      </c>
      <c r="AJ1830" s="1759" t="s">
        <v>1720</v>
      </c>
      <c r="AK1830" s="1759">
        <v>281</v>
      </c>
      <c r="AL1830" s="1759" t="s">
        <v>1720</v>
      </c>
      <c r="AM1830" s="1759">
        <v>281</v>
      </c>
      <c r="AN1830" s="1759" t="s">
        <v>5370</v>
      </c>
      <c r="AO1830" s="1764"/>
      <c r="AP1830" s="1759"/>
      <c r="AQ1830" s="1759"/>
      <c r="AR1830" s="1759" t="s">
        <v>5508</v>
      </c>
      <c r="AS1830" s="1759" t="s">
        <v>402</v>
      </c>
      <c r="AT1830" s="1759" t="s">
        <v>327</v>
      </c>
      <c r="AU1830" s="1763"/>
      <c r="AV1830" s="1763"/>
    </row>
    <row r="1831" spans="1:48" ht="37.5" hidden="1">
      <c r="A1831" s="1785" t="str">
        <f t="shared" si="308"/>
        <v>גמל</v>
      </c>
      <c r="B1831" s="1786">
        <f t="shared" si="309"/>
        <v>280</v>
      </c>
      <c r="C1831" s="1787">
        <v>28946</v>
      </c>
      <c r="D1831" s="1786" t="str">
        <f t="shared" si="310"/>
        <v>קופת תגמולים יניב בהתישבות הדתית - א.ש. בע"מ</v>
      </c>
      <c r="E1831" s="1786" t="s">
        <v>3929</v>
      </c>
      <c r="F1831" s="1786" t="s">
        <v>2958</v>
      </c>
      <c r="G1831" s="1786" t="s">
        <v>2959</v>
      </c>
      <c r="H1831" s="1786" t="str">
        <f t="shared" si="311"/>
        <v>לא פעיל</v>
      </c>
      <c r="I1831" s="1788">
        <f t="shared" si="312"/>
        <v>23833</v>
      </c>
      <c r="J1831" s="1788">
        <f t="shared" si="313"/>
        <v>39873</v>
      </c>
      <c r="K1831" s="1786">
        <v>0</v>
      </c>
      <c r="L1831" s="1786" t="s">
        <v>1594</v>
      </c>
      <c r="M1831" s="1786" t="s">
        <v>1653</v>
      </c>
      <c r="N1831" s="1786" t="s">
        <v>1653</v>
      </c>
      <c r="O1831" s="1786">
        <v>0</v>
      </c>
      <c r="P1831" s="1786"/>
      <c r="Q1831" s="1786">
        <v>0</v>
      </c>
      <c r="R1831" s="1788"/>
      <c r="S1831" s="1786">
        <f t="shared" si="314"/>
        <v>280</v>
      </c>
      <c r="T1831" s="1786" t="str">
        <f t="shared" si="315"/>
        <v>בנק מזרחי טפחות בע"מ</v>
      </c>
      <c r="U1831" s="1786" t="str">
        <f t="shared" si="316"/>
        <v>קופת תגמולים יניב בהתישבות הדתית - א.ש. בע"מ</v>
      </c>
      <c r="V1831" s="1786">
        <f t="shared" si="317"/>
        <v>0</v>
      </c>
      <c r="W1831" s="1789" t="str">
        <f t="shared" si="318"/>
        <v>קופת תגמולים יניב בהתישבות הדתית - א.ש. בע"מ</v>
      </c>
      <c r="AC1831" s="1761" t="s">
        <v>1586</v>
      </c>
      <c r="AD1831" s="1762">
        <v>39873</v>
      </c>
      <c r="AE1831" s="1762">
        <v>23833</v>
      </c>
      <c r="AF1831" s="1761" t="s">
        <v>1583</v>
      </c>
      <c r="AG1831" s="1761" t="s">
        <v>1583</v>
      </c>
      <c r="AH1831" s="1761" t="s">
        <v>1583</v>
      </c>
      <c r="AI1831" s="1761" t="s">
        <v>1967</v>
      </c>
      <c r="AJ1831" s="1761" t="s">
        <v>1718</v>
      </c>
      <c r="AK1831" s="1761">
        <v>280</v>
      </c>
      <c r="AL1831" s="1761" t="s">
        <v>1718</v>
      </c>
      <c r="AM1831" s="1761">
        <v>280</v>
      </c>
      <c r="AN1831" s="1761" t="s">
        <v>5370</v>
      </c>
      <c r="AO1831" s="1764"/>
      <c r="AP1831" s="1761"/>
      <c r="AQ1831" s="1761"/>
      <c r="AR1831" s="1761" t="s">
        <v>1718</v>
      </c>
      <c r="AS1831" s="1761" t="s">
        <v>1719</v>
      </c>
      <c r="AT1831" s="1761" t="s">
        <v>327</v>
      </c>
      <c r="AU1831" s="1763"/>
      <c r="AV1831" s="1763"/>
    </row>
    <row r="1832" spans="1:48" ht="37.5" hidden="1">
      <c r="A1832" s="1785" t="str">
        <f t="shared" si="308"/>
        <v>גמל</v>
      </c>
      <c r="B1832" s="1786">
        <f t="shared" si="309"/>
        <v>277</v>
      </c>
      <c r="C1832" s="1787">
        <v>28946</v>
      </c>
      <c r="D1832" s="1786" t="str">
        <f t="shared" si="310"/>
        <v>הבימה</v>
      </c>
      <c r="E1832" s="1786" t="s">
        <v>3929</v>
      </c>
      <c r="F1832" s="1786" t="s">
        <v>2958</v>
      </c>
      <c r="G1832" s="1786" t="s">
        <v>2959</v>
      </c>
      <c r="H1832" s="1786" t="str">
        <f t="shared" si="311"/>
        <v>לא פעיל</v>
      </c>
      <c r="I1832" s="1788">
        <f t="shared" si="312"/>
        <v>25569</v>
      </c>
      <c r="J1832" s="1788">
        <f t="shared" si="313"/>
        <v>25569</v>
      </c>
      <c r="K1832" s="1786">
        <v>0</v>
      </c>
      <c r="L1832" s="1786" t="s">
        <v>1594</v>
      </c>
      <c r="M1832" s="1786" t="s">
        <v>1653</v>
      </c>
      <c r="N1832" s="1786" t="s">
        <v>1653</v>
      </c>
      <c r="O1832" s="1786">
        <v>0</v>
      </c>
      <c r="P1832" s="1786"/>
      <c r="Q1832" s="1786">
        <v>0</v>
      </c>
      <c r="R1832" s="1788"/>
      <c r="S1832" s="1786">
        <f t="shared" si="314"/>
        <v>277</v>
      </c>
      <c r="T1832" s="1786" t="str">
        <f t="shared" si="315"/>
        <v>בנק לאומי בע"מ</v>
      </c>
      <c r="U1832" s="1786" t="str">
        <f t="shared" si="316"/>
        <v>הבימה</v>
      </c>
      <c r="V1832" s="1786">
        <f t="shared" si="317"/>
        <v>0</v>
      </c>
      <c r="W1832" s="1789" t="str">
        <f t="shared" si="318"/>
        <v>קופת התגמולים לעצמאים "עצמה" ליד בל"ל בע"מ</v>
      </c>
      <c r="AC1832" s="1759" t="s">
        <v>1586</v>
      </c>
      <c r="AD1832" s="1760">
        <v>25569</v>
      </c>
      <c r="AE1832" s="1760">
        <v>25569</v>
      </c>
      <c r="AF1832" s="1759" t="s">
        <v>1583</v>
      </c>
      <c r="AG1832" s="1759" t="s">
        <v>1583</v>
      </c>
      <c r="AH1832" s="1759" t="s">
        <v>1583</v>
      </c>
      <c r="AI1832" s="1759" t="s">
        <v>1717</v>
      </c>
      <c r="AJ1832" s="1759" t="s">
        <v>1717</v>
      </c>
      <c r="AK1832" s="1759">
        <v>277</v>
      </c>
      <c r="AL1832" s="1759" t="s">
        <v>1717</v>
      </c>
      <c r="AM1832" s="1759">
        <v>277</v>
      </c>
      <c r="AN1832" s="1759" t="s">
        <v>5470</v>
      </c>
      <c r="AO1832" s="1764"/>
      <c r="AP1832" s="1759"/>
      <c r="AQ1832" s="1759"/>
      <c r="AR1832" s="1759" t="s">
        <v>1661</v>
      </c>
      <c r="AS1832" s="1759" t="s">
        <v>1660</v>
      </c>
      <c r="AT1832" s="1759" t="s">
        <v>327</v>
      </c>
      <c r="AU1832" s="1763"/>
      <c r="AV1832" s="1763"/>
    </row>
    <row r="1833" spans="1:48" ht="37.5" hidden="1">
      <c r="A1833" s="1785" t="str">
        <f t="shared" si="308"/>
        <v>גמל</v>
      </c>
      <c r="B1833" s="1786">
        <f t="shared" si="309"/>
        <v>276</v>
      </c>
      <c r="C1833" s="1787">
        <v>28946</v>
      </c>
      <c r="D1833" s="1786" t="str">
        <f t="shared" si="310"/>
        <v>קופ"ג של חברי הגל - קואופרטיב של מונים בחיפה א.ש. בע"מ</v>
      </c>
      <c r="E1833" s="1786" t="s">
        <v>3929</v>
      </c>
      <c r="F1833" s="1786" t="s">
        <v>2958</v>
      </c>
      <c r="G1833" s="1786" t="s">
        <v>2959</v>
      </c>
      <c r="H1833" s="1786" t="str">
        <f t="shared" si="311"/>
        <v>לא פעיל</v>
      </c>
      <c r="I1833" s="1788">
        <f t="shared" si="312"/>
        <v>24198</v>
      </c>
      <c r="J1833" s="1788">
        <f t="shared" si="313"/>
        <v>37189.649166666699</v>
      </c>
      <c r="K1833" s="1786">
        <v>0</v>
      </c>
      <c r="L1833" s="1786" t="s">
        <v>1594</v>
      </c>
      <c r="M1833" s="1786" t="s">
        <v>1653</v>
      </c>
      <c r="N1833" s="1786" t="s">
        <v>1653</v>
      </c>
      <c r="O1833" s="1786">
        <v>0</v>
      </c>
      <c r="P1833" s="1786"/>
      <c r="Q1833" s="1786">
        <v>0</v>
      </c>
      <c r="R1833" s="1788"/>
      <c r="S1833" s="1786">
        <f t="shared" si="314"/>
        <v>276</v>
      </c>
      <c r="T1833" s="1786">
        <f t="shared" si="315"/>
        <v>0</v>
      </c>
      <c r="U1833" s="1786" t="str">
        <f t="shared" si="316"/>
        <v>קופ"ג של חברי הגל - קואופרטיב של מונים בחיפה א.ש. בע"מ</v>
      </c>
      <c r="V1833" s="1786">
        <f t="shared" si="317"/>
        <v>0</v>
      </c>
      <c r="W1833" s="1789" t="str">
        <f t="shared" si="318"/>
        <v>קופ"ג  של חברי הגל</v>
      </c>
      <c r="AC1833" s="1761" t="s">
        <v>1586</v>
      </c>
      <c r="AD1833" s="1762">
        <v>37189.649166666699</v>
      </c>
      <c r="AE1833" s="1762">
        <v>24198</v>
      </c>
      <c r="AF1833" s="1761" t="s">
        <v>1583</v>
      </c>
      <c r="AG1833" s="1761" t="s">
        <v>1583</v>
      </c>
      <c r="AH1833" s="1761" t="s">
        <v>1583</v>
      </c>
      <c r="AI1833" s="1761" t="s">
        <v>3044</v>
      </c>
      <c r="AJ1833" s="1761" t="s">
        <v>1714</v>
      </c>
      <c r="AK1833" s="1761">
        <v>276</v>
      </c>
      <c r="AL1833" s="1761" t="s">
        <v>1714</v>
      </c>
      <c r="AM1833" s="1761">
        <v>276</v>
      </c>
      <c r="AN1833" s="1761"/>
      <c r="AO1833" s="1764"/>
      <c r="AP1833" s="1761"/>
      <c r="AQ1833" s="1761"/>
      <c r="AR1833" s="1761" t="s">
        <v>1716</v>
      </c>
      <c r="AS1833" s="1761" t="s">
        <v>1715</v>
      </c>
      <c r="AT1833" s="1761" t="s">
        <v>327</v>
      </c>
      <c r="AU1833" s="1763"/>
      <c r="AV1833" s="1763"/>
    </row>
    <row r="1834" spans="1:48" ht="25" hidden="1">
      <c r="A1834" s="1785" t="str">
        <f t="shared" si="308"/>
        <v>גמל</v>
      </c>
      <c r="B1834" s="1786">
        <f t="shared" si="309"/>
        <v>272</v>
      </c>
      <c r="C1834" s="1787">
        <v>28946</v>
      </c>
      <c r="D1834" s="1786" t="str">
        <f t="shared" si="310"/>
        <v>קופה"ג של עובדי הארגז א.ש. בע"מ</v>
      </c>
      <c r="E1834" s="1786" t="s">
        <v>3929</v>
      </c>
      <c r="F1834" s="1786" t="s">
        <v>2958</v>
      </c>
      <c r="G1834" s="1786" t="s">
        <v>2959</v>
      </c>
      <c r="H1834" s="1786" t="str">
        <f t="shared" si="311"/>
        <v>לא פעיל</v>
      </c>
      <c r="I1834" s="1788">
        <f t="shared" si="312"/>
        <v>31778</v>
      </c>
      <c r="J1834" s="1788">
        <f t="shared" si="313"/>
        <v>37621</v>
      </c>
      <c r="K1834" s="1786">
        <v>0</v>
      </c>
      <c r="L1834" s="1786" t="s">
        <v>1594</v>
      </c>
      <c r="M1834" s="1786" t="s">
        <v>1653</v>
      </c>
      <c r="N1834" s="1786" t="s">
        <v>1653</v>
      </c>
      <c r="O1834" s="1786">
        <v>0</v>
      </c>
      <c r="P1834" s="1786"/>
      <c r="Q1834" s="1786">
        <v>0</v>
      </c>
      <c r="R1834" s="1788"/>
      <c r="S1834" s="1786">
        <f t="shared" si="314"/>
        <v>272</v>
      </c>
      <c r="T1834" s="1786">
        <f t="shared" si="315"/>
        <v>0</v>
      </c>
      <c r="U1834" s="1786" t="str">
        <f t="shared" si="316"/>
        <v>קופה"ג של עובדי הארגז א.ש. בע"מ</v>
      </c>
      <c r="V1834" s="1786">
        <f t="shared" si="317"/>
        <v>0</v>
      </c>
      <c r="W1834" s="1789" t="str">
        <f t="shared" si="318"/>
        <v>קופה"ג של עובדי הארגז א.ש בע"מ</v>
      </c>
      <c r="AC1834" s="1759" t="s">
        <v>1586</v>
      </c>
      <c r="AD1834" s="1760">
        <v>37621</v>
      </c>
      <c r="AE1834" s="1760">
        <v>31778</v>
      </c>
      <c r="AF1834" s="1759" t="s">
        <v>1583</v>
      </c>
      <c r="AG1834" s="1759" t="s">
        <v>1583</v>
      </c>
      <c r="AH1834" s="1759" t="s">
        <v>1583</v>
      </c>
      <c r="AI1834" s="1759" t="s">
        <v>3042</v>
      </c>
      <c r="AJ1834" s="1759" t="s">
        <v>1710</v>
      </c>
      <c r="AK1834" s="1759">
        <v>272</v>
      </c>
      <c r="AL1834" s="1759" t="s">
        <v>1710</v>
      </c>
      <c r="AM1834" s="1759">
        <v>272</v>
      </c>
      <c r="AN1834" s="1759"/>
      <c r="AO1834" s="1764"/>
      <c r="AP1834" s="1759"/>
      <c r="AQ1834" s="1759"/>
      <c r="AR1834" s="1759" t="s">
        <v>1712</v>
      </c>
      <c r="AS1834" s="1759" t="s">
        <v>1711</v>
      </c>
      <c r="AT1834" s="1759" t="s">
        <v>327</v>
      </c>
      <c r="AU1834" s="1763"/>
      <c r="AV1834" s="1763"/>
    </row>
    <row r="1835" spans="1:48" ht="25" hidden="1">
      <c r="A1835" s="1785" t="str">
        <f t="shared" si="308"/>
        <v>גמל</v>
      </c>
      <c r="B1835" s="1786">
        <f t="shared" si="309"/>
        <v>268</v>
      </c>
      <c r="C1835" s="1787">
        <v>28946</v>
      </c>
      <c r="D1835" s="1786" t="str">
        <f t="shared" si="310"/>
        <v>הביטחון-קופת גמל מרכזית לפיצויים</v>
      </c>
      <c r="E1835" s="1786" t="s">
        <v>3929</v>
      </c>
      <c r="F1835" s="1786" t="s">
        <v>2958</v>
      </c>
      <c r="G1835" s="1786" t="s">
        <v>2959</v>
      </c>
      <c r="H1835" s="1786" t="str">
        <f t="shared" si="311"/>
        <v>לא פעיל</v>
      </c>
      <c r="I1835" s="1788">
        <f t="shared" si="312"/>
        <v>35065</v>
      </c>
      <c r="J1835" s="1788">
        <f t="shared" si="313"/>
        <v>41561.442696759303</v>
      </c>
      <c r="K1835" s="1786">
        <v>0</v>
      </c>
      <c r="L1835" s="1786" t="s">
        <v>1594</v>
      </c>
      <c r="M1835" s="1786" t="s">
        <v>1653</v>
      </c>
      <c r="N1835" s="1786" t="s">
        <v>1653</v>
      </c>
      <c r="O1835" s="1786">
        <v>0</v>
      </c>
      <c r="P1835" s="1786"/>
      <c r="Q1835" s="1786">
        <v>0</v>
      </c>
      <c r="R1835" s="1788"/>
      <c r="S1835" s="1786">
        <f t="shared" si="314"/>
        <v>268</v>
      </c>
      <c r="T1835" s="1786" t="str">
        <f t="shared" si="315"/>
        <v>בנק אוצר החייל בע"מ</v>
      </c>
      <c r="U1835" s="1786" t="str">
        <f t="shared" si="316"/>
        <v>הביטחון-קופת גמל מרכזית לפיצויים</v>
      </c>
      <c r="V1835" s="1786" t="str">
        <f t="shared" si="317"/>
        <v>520030677</v>
      </c>
      <c r="W1835" s="1789" t="str">
        <f t="shared" si="318"/>
        <v>איילון פנסיה וגמל בע"מ</v>
      </c>
      <c r="AC1835" s="1761" t="s">
        <v>1586</v>
      </c>
      <c r="AD1835" s="1762">
        <v>41561.442696759303</v>
      </c>
      <c r="AE1835" s="1762">
        <v>35065</v>
      </c>
      <c r="AF1835" s="1761" t="s">
        <v>1583</v>
      </c>
      <c r="AG1835" s="1761" t="s">
        <v>1583</v>
      </c>
      <c r="AH1835" s="1761" t="s">
        <v>1583</v>
      </c>
      <c r="AI1835" s="1761" t="s">
        <v>3041</v>
      </c>
      <c r="AJ1835" s="1761" t="s">
        <v>436</v>
      </c>
      <c r="AK1835" s="1761">
        <v>268</v>
      </c>
      <c r="AL1835" s="1761" t="s">
        <v>436</v>
      </c>
      <c r="AM1835" s="1761">
        <v>268</v>
      </c>
      <c r="AN1835" s="1761" t="s">
        <v>5628</v>
      </c>
      <c r="AO1835" s="1764"/>
      <c r="AP1835" s="1761" t="s">
        <v>5385</v>
      </c>
      <c r="AQ1835" s="1761" t="s">
        <v>5386</v>
      </c>
      <c r="AR1835" s="1761" t="s">
        <v>2780</v>
      </c>
      <c r="AS1835" s="1761" t="s">
        <v>426</v>
      </c>
      <c r="AT1835" s="1761" t="s">
        <v>327</v>
      </c>
      <c r="AU1835" s="1763"/>
      <c r="AV1835" s="1763"/>
    </row>
    <row r="1836" spans="1:48" ht="25" hidden="1">
      <c r="A1836" s="1785" t="str">
        <f t="shared" si="308"/>
        <v>גמל</v>
      </c>
      <c r="B1836" s="1786">
        <f t="shared" si="309"/>
        <v>266</v>
      </c>
      <c r="C1836" s="1787">
        <v>28946</v>
      </c>
      <c r="D1836" s="1786" t="str">
        <f t="shared" si="310"/>
        <v>אקסלנס טפחות גמל</v>
      </c>
      <c r="E1836" s="1786" t="s">
        <v>3929</v>
      </c>
      <c r="F1836" s="1786" t="s">
        <v>2958</v>
      </c>
      <c r="G1836" s="1786" t="s">
        <v>2959</v>
      </c>
      <c r="H1836" s="1786" t="str">
        <f t="shared" si="311"/>
        <v>לא פעיל</v>
      </c>
      <c r="I1836" s="1788">
        <f t="shared" si="312"/>
        <v>28491</v>
      </c>
      <c r="J1836" s="1788">
        <f t="shared" si="313"/>
        <v>40917.724004629599</v>
      </c>
      <c r="K1836" s="1786">
        <v>0</v>
      </c>
      <c r="L1836" s="1786" t="s">
        <v>1594</v>
      </c>
      <c r="M1836" s="1786" t="s">
        <v>1653</v>
      </c>
      <c r="N1836" s="1786" t="s">
        <v>1653</v>
      </c>
      <c r="O1836" s="1786">
        <v>0</v>
      </c>
      <c r="P1836" s="1786"/>
      <c r="Q1836" s="1786">
        <v>0</v>
      </c>
      <c r="R1836" s="1788"/>
      <c r="S1836" s="1786">
        <f t="shared" si="314"/>
        <v>266</v>
      </c>
      <c r="T1836" s="1786" t="str">
        <f t="shared" si="315"/>
        <v>בנק מזרחי טפחות בע"מ</v>
      </c>
      <c r="U1836" s="1786" t="str">
        <f t="shared" si="316"/>
        <v>אקסלנס טפחות גמל</v>
      </c>
      <c r="V1836" s="1786" t="str">
        <f t="shared" si="317"/>
        <v>520017450</v>
      </c>
      <c r="W1836" s="1789" t="str">
        <f t="shared" si="318"/>
        <v xml:space="preserve">הפניקס אקסלנס פנסיה וגמל בע"מ </v>
      </c>
      <c r="AC1836" s="1759" t="s">
        <v>1586</v>
      </c>
      <c r="AD1836" s="1760">
        <v>40917.724004629599</v>
      </c>
      <c r="AE1836" s="1760">
        <v>28491</v>
      </c>
      <c r="AF1836" s="1759" t="s">
        <v>1583</v>
      </c>
      <c r="AG1836" s="1759" t="s">
        <v>1583</v>
      </c>
      <c r="AH1836" s="1759" t="s">
        <v>1583</v>
      </c>
      <c r="AI1836" s="1759" t="s">
        <v>1709</v>
      </c>
      <c r="AJ1836" s="1759" t="s">
        <v>1709</v>
      </c>
      <c r="AK1836" s="1759">
        <v>266</v>
      </c>
      <c r="AL1836" s="1759" t="s">
        <v>1709</v>
      </c>
      <c r="AM1836" s="1759">
        <v>266</v>
      </c>
      <c r="AN1836" s="1759" t="s">
        <v>5370</v>
      </c>
      <c r="AO1836" s="1764"/>
      <c r="AP1836" s="1759" t="s">
        <v>5379</v>
      </c>
      <c r="AQ1836" s="1759" t="s">
        <v>5380</v>
      </c>
      <c r="AR1836" s="1759" t="s">
        <v>5381</v>
      </c>
      <c r="AS1836" s="1759" t="s">
        <v>347</v>
      </c>
      <c r="AT1836" s="1759" t="s">
        <v>327</v>
      </c>
      <c r="AU1836" s="1763"/>
      <c r="AV1836" s="1763"/>
    </row>
    <row r="1837" spans="1:48" ht="25" hidden="1">
      <c r="A1837" s="1785" t="str">
        <f t="shared" si="308"/>
        <v>גמל</v>
      </c>
      <c r="B1837" s="1786">
        <f t="shared" si="309"/>
        <v>264</v>
      </c>
      <c r="C1837" s="1787">
        <v>28946</v>
      </c>
      <c r="D1837" s="1786" t="str">
        <f t="shared" si="310"/>
        <v>גפן</v>
      </c>
      <c r="E1837" s="1786" t="s">
        <v>3929</v>
      </c>
      <c r="F1837" s="1786" t="s">
        <v>2958</v>
      </c>
      <c r="G1837" s="1786" t="s">
        <v>2959</v>
      </c>
      <c r="H1837" s="1786" t="str">
        <f t="shared" si="311"/>
        <v>לא פעיל</v>
      </c>
      <c r="I1837" s="1788">
        <f t="shared" si="312"/>
        <v>27968</v>
      </c>
      <c r="J1837" s="1788">
        <f t="shared" si="313"/>
        <v>40917.807858796303</v>
      </c>
      <c r="K1837" s="1786">
        <v>0</v>
      </c>
      <c r="L1837" s="1786" t="s">
        <v>1594</v>
      </c>
      <c r="M1837" s="1786" t="s">
        <v>1653</v>
      </c>
      <c r="N1837" s="1786" t="s">
        <v>1653</v>
      </c>
      <c r="O1837" s="1786">
        <v>0</v>
      </c>
      <c r="P1837" s="1786"/>
      <c r="Q1837" s="1786">
        <v>0</v>
      </c>
      <c r="R1837" s="1788"/>
      <c r="S1837" s="1786">
        <f t="shared" si="314"/>
        <v>264</v>
      </c>
      <c r="T1837" s="1786" t="str">
        <f t="shared" si="315"/>
        <v>בנק דיסקונט לישראל בע"מ</v>
      </c>
      <c r="U1837" s="1786" t="str">
        <f t="shared" si="316"/>
        <v>גפן</v>
      </c>
      <c r="V1837" s="1786">
        <f t="shared" si="317"/>
        <v>0</v>
      </c>
      <c r="W1837" s="1789" t="str">
        <f t="shared" si="318"/>
        <v>כלל פנסיה וגמל בע"מ</v>
      </c>
      <c r="AC1837" s="1761" t="s">
        <v>1586</v>
      </c>
      <c r="AD1837" s="1762">
        <v>40917.807858796303</v>
      </c>
      <c r="AE1837" s="1762">
        <v>27968</v>
      </c>
      <c r="AF1837" s="1761" t="s">
        <v>1583</v>
      </c>
      <c r="AG1837" s="1761" t="s">
        <v>1583</v>
      </c>
      <c r="AH1837" s="1761" t="s">
        <v>1583</v>
      </c>
      <c r="AI1837" s="1761" t="s">
        <v>1707</v>
      </c>
      <c r="AJ1837" s="1761" t="s">
        <v>1707</v>
      </c>
      <c r="AK1837" s="1761">
        <v>264</v>
      </c>
      <c r="AL1837" s="1761" t="s">
        <v>1707</v>
      </c>
      <c r="AM1837" s="1761">
        <v>264</v>
      </c>
      <c r="AN1837" s="1761" t="s">
        <v>5535</v>
      </c>
      <c r="AO1837" s="1764"/>
      <c r="AP1837" s="1761"/>
      <c r="AQ1837" s="1761"/>
      <c r="AR1837" s="1761" t="s">
        <v>378</v>
      </c>
      <c r="AS1837" s="1761" t="s">
        <v>379</v>
      </c>
      <c r="AT1837" s="1761" t="s">
        <v>327</v>
      </c>
      <c r="AU1837" s="1763"/>
      <c r="AV1837" s="1763"/>
    </row>
    <row r="1838" spans="1:48" ht="37.5" hidden="1">
      <c r="A1838" s="1785" t="str">
        <f t="shared" si="308"/>
        <v>גמל</v>
      </c>
      <c r="B1838" s="1786">
        <f t="shared" si="309"/>
        <v>539</v>
      </c>
      <c r="C1838" s="1787">
        <v>28946</v>
      </c>
      <c r="D1838" s="1786" t="str">
        <f t="shared" si="310"/>
        <v>בר קרן גמולים א' - מבטיח תשואה בשיעור 5.5 אחוז לשנה</v>
      </c>
      <c r="E1838" s="1786" t="s">
        <v>3929</v>
      </c>
      <c r="F1838" s="1786" t="s">
        <v>2958</v>
      </c>
      <c r="G1838" s="1786" t="s">
        <v>2959</v>
      </c>
      <c r="H1838" s="1786" t="str">
        <f t="shared" si="311"/>
        <v>פעיל</v>
      </c>
      <c r="I1838" s="1788">
        <f t="shared" si="312"/>
        <v>27030</v>
      </c>
      <c r="J1838" s="1788" t="str">
        <f t="shared" si="313"/>
        <v/>
      </c>
      <c r="K1838" s="1786">
        <v>0</v>
      </c>
      <c r="L1838" s="1786" t="s">
        <v>1594</v>
      </c>
      <c r="M1838" s="1786" t="s">
        <v>1653</v>
      </c>
      <c r="N1838" s="1786" t="s">
        <v>1653</v>
      </c>
      <c r="O1838" s="1786">
        <v>0</v>
      </c>
      <c r="P1838" s="1786"/>
      <c r="Q1838" s="1786">
        <v>0</v>
      </c>
      <c r="R1838" s="1788"/>
      <c r="S1838" s="1786">
        <f t="shared" si="314"/>
        <v>263</v>
      </c>
      <c r="T1838" s="1786" t="str">
        <f t="shared" si="315"/>
        <v>בנק הפועלים בע"מ</v>
      </c>
      <c r="U1838" s="1786" t="str">
        <f t="shared" si="316"/>
        <v>בר קרן גמולים קופת גמל לתגמולים ופיצויים בניהול כלל גמל בע"מ</v>
      </c>
      <c r="V1838" s="1786">
        <f t="shared" si="317"/>
        <v>0</v>
      </c>
      <c r="W1838" s="1789" t="str">
        <f t="shared" si="318"/>
        <v>כלל פנסיה וגמל בע"מ</v>
      </c>
      <c r="AC1838" s="1759" t="s">
        <v>346</v>
      </c>
      <c r="AD1838" s="1759"/>
      <c r="AE1838" s="1760">
        <v>27030</v>
      </c>
      <c r="AF1838" s="1759" t="s">
        <v>2973</v>
      </c>
      <c r="AG1838" s="1759" t="s">
        <v>2973</v>
      </c>
      <c r="AH1838" s="1759" t="s">
        <v>2973</v>
      </c>
      <c r="AI1838" s="1759" t="s">
        <v>3171</v>
      </c>
      <c r="AJ1838" s="1759" t="s">
        <v>1866</v>
      </c>
      <c r="AK1838" s="1759">
        <v>539</v>
      </c>
      <c r="AL1838" s="1759" t="s">
        <v>435</v>
      </c>
      <c r="AM1838" s="1759">
        <v>263</v>
      </c>
      <c r="AN1838" s="1759" t="s">
        <v>1695</v>
      </c>
      <c r="AO1838" s="1764"/>
      <c r="AP1838" s="1759"/>
      <c r="AQ1838" s="1759"/>
      <c r="AR1838" s="1759" t="s">
        <v>378</v>
      </c>
      <c r="AS1838" s="1759" t="s">
        <v>379</v>
      </c>
      <c r="AT1838" s="1759" t="s">
        <v>327</v>
      </c>
      <c r="AU1838" s="1763"/>
      <c r="AV1838" s="1763"/>
    </row>
    <row r="1839" spans="1:48" ht="37.5" hidden="1">
      <c r="A1839" s="1785" t="str">
        <f t="shared" si="308"/>
        <v>גמל</v>
      </c>
      <c r="B1839" s="1786">
        <f t="shared" si="309"/>
        <v>263</v>
      </c>
      <c r="C1839" s="1787">
        <v>28946</v>
      </c>
      <c r="D1839" s="1786" t="str">
        <f t="shared" si="310"/>
        <v>בר קרן גמולים קופת גמל לתגמולים ופיצויים בניהול כלל גמל בע"מ</v>
      </c>
      <c r="E1839" s="1786" t="s">
        <v>3929</v>
      </c>
      <c r="F1839" s="1786" t="s">
        <v>2958</v>
      </c>
      <c r="G1839" s="1786" t="s">
        <v>2959</v>
      </c>
      <c r="H1839" s="1786" t="str">
        <f t="shared" si="311"/>
        <v>פעיל</v>
      </c>
      <c r="I1839" s="1788">
        <f t="shared" si="312"/>
        <v>27030</v>
      </c>
      <c r="J1839" s="1788" t="str">
        <f t="shared" si="313"/>
        <v/>
      </c>
      <c r="K1839" s="1786">
        <v>0</v>
      </c>
      <c r="L1839" s="1786" t="s">
        <v>1594</v>
      </c>
      <c r="M1839" s="1786" t="s">
        <v>1653</v>
      </c>
      <c r="N1839" s="1786" t="s">
        <v>1653</v>
      </c>
      <c r="O1839" s="1786">
        <v>0</v>
      </c>
      <c r="P1839" s="1786"/>
      <c r="Q1839" s="1786">
        <v>0</v>
      </c>
      <c r="R1839" s="1788"/>
      <c r="S1839" s="1786">
        <f t="shared" si="314"/>
        <v>263</v>
      </c>
      <c r="T1839" s="1786" t="str">
        <f t="shared" si="315"/>
        <v>בנק הפועלים בע"מ</v>
      </c>
      <c r="U1839" s="1786" t="str">
        <f t="shared" si="316"/>
        <v>בר קרן גמולים קופת גמל לתגמולים ופיצויים בניהול כלל גמל בע"מ</v>
      </c>
      <c r="V1839" s="1786">
        <f t="shared" si="317"/>
        <v>0</v>
      </c>
      <c r="W1839" s="1789" t="str">
        <f t="shared" si="318"/>
        <v>כלל פנסיה וגמל בע"מ</v>
      </c>
      <c r="AC1839" s="1761" t="s">
        <v>346</v>
      </c>
      <c r="AD1839" s="1759"/>
      <c r="AE1839" s="1762">
        <v>27030</v>
      </c>
      <c r="AF1839" s="1761" t="s">
        <v>1583</v>
      </c>
      <c r="AG1839" s="1761" t="s">
        <v>1583</v>
      </c>
      <c r="AH1839" s="1761" t="s">
        <v>1583</v>
      </c>
      <c r="AI1839" s="1761" t="s">
        <v>3040</v>
      </c>
      <c r="AJ1839" s="1761" t="s">
        <v>435</v>
      </c>
      <c r="AK1839" s="1761">
        <v>263</v>
      </c>
      <c r="AL1839" s="1761" t="s">
        <v>435</v>
      </c>
      <c r="AM1839" s="1761">
        <v>263</v>
      </c>
      <c r="AN1839" s="1761" t="s">
        <v>1695</v>
      </c>
      <c r="AO1839" s="1764"/>
      <c r="AP1839" s="1761"/>
      <c r="AQ1839" s="1761"/>
      <c r="AR1839" s="1761" t="s">
        <v>378</v>
      </c>
      <c r="AS1839" s="1761" t="s">
        <v>379</v>
      </c>
      <c r="AT1839" s="1761" t="s">
        <v>327</v>
      </c>
      <c r="AU1839" s="1763"/>
      <c r="AV1839" s="1763"/>
    </row>
    <row r="1840" spans="1:48" ht="37.5" hidden="1">
      <c r="A1840" s="1785" t="str">
        <f t="shared" si="308"/>
        <v>גמל</v>
      </c>
      <c r="B1840" s="1786">
        <f t="shared" si="309"/>
        <v>540</v>
      </c>
      <c r="C1840" s="1787">
        <v>28946</v>
      </c>
      <c r="D1840" s="1786" t="str">
        <f t="shared" si="310"/>
        <v>בר ב' - מבטיח תשואה בשיעור 4.5 אחוז לשנה</v>
      </c>
      <c r="E1840" s="1786" t="s">
        <v>3929</v>
      </c>
      <c r="F1840" s="1786" t="s">
        <v>2958</v>
      </c>
      <c r="G1840" s="1786" t="s">
        <v>2959</v>
      </c>
      <c r="H1840" s="1786" t="str">
        <f t="shared" si="311"/>
        <v>לא פעיל</v>
      </c>
      <c r="I1840" s="1788">
        <f t="shared" si="312"/>
        <v>27030</v>
      </c>
      <c r="J1840" s="1788">
        <f t="shared" si="313"/>
        <v>38749</v>
      </c>
      <c r="K1840" s="1786">
        <v>0</v>
      </c>
      <c r="L1840" s="1786" t="s">
        <v>1594</v>
      </c>
      <c r="M1840" s="1786" t="s">
        <v>1653</v>
      </c>
      <c r="N1840" s="1786" t="s">
        <v>1653</v>
      </c>
      <c r="O1840" s="1786">
        <v>0</v>
      </c>
      <c r="P1840" s="1786"/>
      <c r="Q1840" s="1786">
        <v>0</v>
      </c>
      <c r="R1840" s="1788"/>
      <c r="S1840" s="1786">
        <f t="shared" si="314"/>
        <v>263</v>
      </c>
      <c r="T1840" s="1786" t="str">
        <f t="shared" si="315"/>
        <v>בנק הפועלים בע"מ</v>
      </c>
      <c r="U1840" s="1786" t="str">
        <f t="shared" si="316"/>
        <v>בר קרן גמולים קופת גמל לתגמולים ופיצויים בניהול כלל גמל בע"מ</v>
      </c>
      <c r="V1840" s="1786">
        <f t="shared" si="317"/>
        <v>0</v>
      </c>
      <c r="W1840" s="1789" t="str">
        <f t="shared" si="318"/>
        <v>בר קרן גמולים בע"מ</v>
      </c>
      <c r="AC1840" s="1759" t="s">
        <v>1586</v>
      </c>
      <c r="AD1840" s="1760">
        <v>38749</v>
      </c>
      <c r="AE1840" s="1760">
        <v>27030</v>
      </c>
      <c r="AF1840" s="1759" t="s">
        <v>1583</v>
      </c>
      <c r="AG1840" s="1759" t="s">
        <v>1583</v>
      </c>
      <c r="AH1840" s="1759" t="s">
        <v>1583</v>
      </c>
      <c r="AI1840" s="1759" t="s">
        <v>3172</v>
      </c>
      <c r="AJ1840" s="1759" t="s">
        <v>1867</v>
      </c>
      <c r="AK1840" s="1759">
        <v>540</v>
      </c>
      <c r="AL1840" s="1759" t="s">
        <v>435</v>
      </c>
      <c r="AM1840" s="1759">
        <v>263</v>
      </c>
      <c r="AN1840" s="1759" t="s">
        <v>1695</v>
      </c>
      <c r="AO1840" s="1764"/>
      <c r="AP1840" s="1759"/>
      <c r="AQ1840" s="1759"/>
      <c r="AR1840" s="1759" t="s">
        <v>3174</v>
      </c>
      <c r="AS1840" s="1759" t="s">
        <v>3173</v>
      </c>
      <c r="AT1840" s="1759" t="s">
        <v>327</v>
      </c>
      <c r="AU1840" s="1763"/>
      <c r="AV1840" s="1763"/>
    </row>
    <row r="1841" spans="1:48" ht="37.5" hidden="1">
      <c r="A1841" s="1785" t="str">
        <f t="shared" si="308"/>
        <v>גמל</v>
      </c>
      <c r="B1841" s="1786">
        <f t="shared" si="309"/>
        <v>261</v>
      </c>
      <c r="C1841" s="1787">
        <v>28946</v>
      </c>
      <c r="D1841" s="1786" t="str">
        <f t="shared" si="310"/>
        <v>היהלום - א.ש. לביטוח הדדי של חברי בורסת היהלומים</v>
      </c>
      <c r="E1841" s="1786" t="s">
        <v>3929</v>
      </c>
      <c r="F1841" s="1786" t="s">
        <v>2958</v>
      </c>
      <c r="G1841" s="1786" t="s">
        <v>2959</v>
      </c>
      <c r="H1841" s="1786" t="str">
        <f t="shared" si="311"/>
        <v>פעיל</v>
      </c>
      <c r="I1841" s="1788">
        <f t="shared" si="312"/>
        <v>31778</v>
      </c>
      <c r="J1841" s="1788" t="str">
        <f t="shared" si="313"/>
        <v/>
      </c>
      <c r="K1841" s="1786">
        <v>0</v>
      </c>
      <c r="L1841" s="1786" t="s">
        <v>1594</v>
      </c>
      <c r="M1841" s="1786" t="s">
        <v>1653</v>
      </c>
      <c r="N1841" s="1786" t="s">
        <v>1653</v>
      </c>
      <c r="O1841" s="1786">
        <v>0</v>
      </c>
      <c r="P1841" s="1786"/>
      <c r="Q1841" s="1786">
        <v>0</v>
      </c>
      <c r="R1841" s="1788"/>
      <c r="S1841" s="1786">
        <f t="shared" si="314"/>
        <v>261</v>
      </c>
      <c r="T1841" s="1786" t="str">
        <f t="shared" si="315"/>
        <v>ניהול  עצמי</v>
      </c>
      <c r="U1841" s="1786" t="str">
        <f t="shared" si="316"/>
        <v>היהלום - א.ש. לביטוח הדדי של חברי בורסת היהלומים</v>
      </c>
      <c r="V1841" s="1786">
        <f t="shared" si="317"/>
        <v>0</v>
      </c>
      <c r="W1841" s="1789" t="str">
        <f t="shared" si="318"/>
        <v>היהלום - א.ש. לבטוח הדדי של חברי בורסת היהלומים</v>
      </c>
      <c r="AC1841" s="1761" t="s">
        <v>346</v>
      </c>
      <c r="AD1841" s="1761"/>
      <c r="AE1841" s="1762">
        <v>31778</v>
      </c>
      <c r="AF1841" s="1761" t="s">
        <v>1583</v>
      </c>
      <c r="AG1841" s="1761" t="s">
        <v>1583</v>
      </c>
      <c r="AH1841" s="1761" t="s">
        <v>1583</v>
      </c>
      <c r="AI1841" s="1761" t="s">
        <v>3038</v>
      </c>
      <c r="AJ1841" s="1761" t="s">
        <v>434</v>
      </c>
      <c r="AK1841" s="1761">
        <v>261</v>
      </c>
      <c r="AL1841" s="1761" t="s">
        <v>434</v>
      </c>
      <c r="AM1841" s="1761">
        <v>261</v>
      </c>
      <c r="AN1841" s="1761" t="s">
        <v>5524</v>
      </c>
      <c r="AO1841" s="1764"/>
      <c r="AP1841" s="1761"/>
      <c r="AQ1841" s="1761"/>
      <c r="AR1841" s="1761" t="s">
        <v>432</v>
      </c>
      <c r="AS1841" s="1761" t="s">
        <v>433</v>
      </c>
      <c r="AT1841" s="1761" t="s">
        <v>327</v>
      </c>
      <c r="AU1841" s="1763"/>
      <c r="AV1841" s="1763"/>
    </row>
    <row r="1842" spans="1:48" ht="25" hidden="1">
      <c r="A1842" s="1785" t="str">
        <f t="shared" si="308"/>
        <v>גמל</v>
      </c>
      <c r="B1842" s="1786">
        <f t="shared" si="309"/>
        <v>533</v>
      </c>
      <c r="C1842" s="1787">
        <v>28946</v>
      </c>
      <c r="D1842" s="1786" t="str">
        <f t="shared" si="310"/>
        <v>מנורה מבטחים אמיר מדד ידוע</v>
      </c>
      <c r="E1842" s="1786" t="s">
        <v>3929</v>
      </c>
      <c r="F1842" s="1786" t="s">
        <v>2958</v>
      </c>
      <c r="G1842" s="1786" t="s">
        <v>2959</v>
      </c>
      <c r="H1842" s="1786" t="str">
        <f t="shared" si="311"/>
        <v>פעיל</v>
      </c>
      <c r="I1842" s="1788">
        <f t="shared" si="312"/>
        <v>28216</v>
      </c>
      <c r="J1842" s="1788" t="str">
        <f t="shared" si="313"/>
        <v/>
      </c>
      <c r="K1842" s="1786">
        <v>0</v>
      </c>
      <c r="L1842" s="1786" t="s">
        <v>1594</v>
      </c>
      <c r="M1842" s="1786" t="s">
        <v>1653</v>
      </c>
      <c r="N1842" s="1786" t="s">
        <v>1653</v>
      </c>
      <c r="O1842" s="1786">
        <v>0</v>
      </c>
      <c r="P1842" s="1786"/>
      <c r="Q1842" s="1786">
        <v>0</v>
      </c>
      <c r="R1842" s="1788"/>
      <c r="S1842" s="1786">
        <f t="shared" si="314"/>
        <v>260</v>
      </c>
      <c r="T1842" s="1786" t="str">
        <f t="shared" si="315"/>
        <v>לאומי</v>
      </c>
      <c r="U1842" s="1786" t="str">
        <f t="shared" si="316"/>
        <v>מנורה מבטחים אמיר כללי</v>
      </c>
      <c r="V1842" s="1786" t="str">
        <f t="shared" si="317"/>
        <v>520007469</v>
      </c>
      <c r="W1842" s="1789" t="str">
        <f t="shared" si="318"/>
        <v>מנורה מבטחים פנסיה וגמל בע"מ</v>
      </c>
      <c r="AC1842" s="1759" t="s">
        <v>346</v>
      </c>
      <c r="AD1842" s="1759"/>
      <c r="AE1842" s="1760">
        <v>28216</v>
      </c>
      <c r="AF1842" s="1759" t="s">
        <v>2973</v>
      </c>
      <c r="AG1842" s="1759" t="s">
        <v>2973</v>
      </c>
      <c r="AH1842" s="1759" t="s">
        <v>2973</v>
      </c>
      <c r="AI1842" s="1759" t="s">
        <v>1860</v>
      </c>
      <c r="AJ1842" s="1759" t="s">
        <v>1860</v>
      </c>
      <c r="AK1842" s="1759">
        <v>533</v>
      </c>
      <c r="AL1842" s="1759" t="s">
        <v>431</v>
      </c>
      <c r="AM1842" s="1759">
        <v>260</v>
      </c>
      <c r="AN1842" s="1759" t="s">
        <v>5305</v>
      </c>
      <c r="AO1842" s="1764"/>
      <c r="AP1842" s="1759" t="s">
        <v>5377</v>
      </c>
      <c r="AQ1842" s="1759" t="s">
        <v>5378</v>
      </c>
      <c r="AR1842" s="1759" t="s">
        <v>2971</v>
      </c>
      <c r="AS1842" s="1759" t="s">
        <v>396</v>
      </c>
      <c r="AT1842" s="1759" t="s">
        <v>327</v>
      </c>
      <c r="AU1842" s="1763"/>
      <c r="AV1842" s="1763"/>
    </row>
    <row r="1843" spans="1:48" ht="25" hidden="1">
      <c r="A1843" s="1785" t="str">
        <f t="shared" si="308"/>
        <v>גמל</v>
      </c>
      <c r="B1843" s="1786">
        <f t="shared" si="309"/>
        <v>260</v>
      </c>
      <c r="C1843" s="1787">
        <v>28946</v>
      </c>
      <c r="D1843" s="1786" t="str">
        <f t="shared" si="310"/>
        <v>מנורה מבטחים אמיר כללי</v>
      </c>
      <c r="E1843" s="1786" t="s">
        <v>3929</v>
      </c>
      <c r="F1843" s="1786" t="s">
        <v>2958</v>
      </c>
      <c r="G1843" s="1786" t="s">
        <v>2959</v>
      </c>
      <c r="H1843" s="1786" t="str">
        <f t="shared" si="311"/>
        <v>פעיל</v>
      </c>
      <c r="I1843" s="1788">
        <f t="shared" si="312"/>
        <v>28216</v>
      </c>
      <c r="J1843" s="1788" t="str">
        <f t="shared" si="313"/>
        <v/>
      </c>
      <c r="K1843" s="1786">
        <v>0</v>
      </c>
      <c r="L1843" s="1786" t="s">
        <v>1594</v>
      </c>
      <c r="M1843" s="1786" t="s">
        <v>1653</v>
      </c>
      <c r="N1843" s="1786" t="s">
        <v>1653</v>
      </c>
      <c r="O1843" s="1786">
        <v>0</v>
      </c>
      <c r="P1843" s="1786"/>
      <c r="Q1843" s="1786">
        <v>0</v>
      </c>
      <c r="R1843" s="1788"/>
      <c r="S1843" s="1786">
        <f t="shared" si="314"/>
        <v>260</v>
      </c>
      <c r="T1843" s="1786" t="str">
        <f t="shared" si="315"/>
        <v>לאומי</v>
      </c>
      <c r="U1843" s="1786" t="str">
        <f t="shared" si="316"/>
        <v>מנורה מבטחים אמיר כללי</v>
      </c>
      <c r="V1843" s="1786" t="str">
        <f t="shared" si="317"/>
        <v>520007469</v>
      </c>
      <c r="W1843" s="1789" t="str">
        <f t="shared" si="318"/>
        <v>מנורה מבטחים פנסיה וגמל בע"מ</v>
      </c>
      <c r="AC1843" s="1761" t="s">
        <v>346</v>
      </c>
      <c r="AD1843" s="1761"/>
      <c r="AE1843" s="1762">
        <v>28216</v>
      </c>
      <c r="AF1843" s="1761" t="s">
        <v>1583</v>
      </c>
      <c r="AG1843" s="1761" t="s">
        <v>1583</v>
      </c>
      <c r="AH1843" s="1761" t="s">
        <v>1583</v>
      </c>
      <c r="AI1843" s="1761" t="s">
        <v>431</v>
      </c>
      <c r="AJ1843" s="1761" t="s">
        <v>431</v>
      </c>
      <c r="AK1843" s="1761">
        <v>260</v>
      </c>
      <c r="AL1843" s="1761" t="s">
        <v>431</v>
      </c>
      <c r="AM1843" s="1761">
        <v>260</v>
      </c>
      <c r="AN1843" s="1761" t="s">
        <v>5305</v>
      </c>
      <c r="AO1843" s="1764"/>
      <c r="AP1843" s="1761" t="s">
        <v>5377</v>
      </c>
      <c r="AQ1843" s="1761" t="s">
        <v>5378</v>
      </c>
      <c r="AR1843" s="1761" t="s">
        <v>2971</v>
      </c>
      <c r="AS1843" s="1761" t="s">
        <v>396</v>
      </c>
      <c r="AT1843" s="1761" t="s">
        <v>327</v>
      </c>
      <c r="AU1843" s="1763"/>
      <c r="AV1843" s="1763"/>
    </row>
    <row r="1844" spans="1:48" ht="25" hidden="1">
      <c r="A1844" s="1785" t="str">
        <f t="shared" si="308"/>
        <v>גמל</v>
      </c>
      <c r="B1844" s="1786">
        <f t="shared" si="309"/>
        <v>536</v>
      </c>
      <c r="C1844" s="1787">
        <v>28946</v>
      </c>
      <c r="D1844" s="1786" t="str">
        <f t="shared" si="310"/>
        <v>מנורה מבטחים אמיר מדד בגין</v>
      </c>
      <c r="E1844" s="1786" t="s">
        <v>3929</v>
      </c>
      <c r="F1844" s="1786" t="s">
        <v>2958</v>
      </c>
      <c r="G1844" s="1786" t="s">
        <v>2959</v>
      </c>
      <c r="H1844" s="1786" t="str">
        <f t="shared" si="311"/>
        <v>פעיל</v>
      </c>
      <c r="I1844" s="1788">
        <f t="shared" si="312"/>
        <v>28216</v>
      </c>
      <c r="J1844" s="1788" t="str">
        <f t="shared" si="313"/>
        <v/>
      </c>
      <c r="K1844" s="1786">
        <v>0</v>
      </c>
      <c r="L1844" s="1786" t="s">
        <v>1594</v>
      </c>
      <c r="M1844" s="1786" t="s">
        <v>1653</v>
      </c>
      <c r="N1844" s="1786" t="s">
        <v>1653</v>
      </c>
      <c r="O1844" s="1786">
        <v>0</v>
      </c>
      <c r="P1844" s="1786"/>
      <c r="Q1844" s="1786">
        <v>0</v>
      </c>
      <c r="R1844" s="1788"/>
      <c r="S1844" s="1786">
        <f t="shared" si="314"/>
        <v>260</v>
      </c>
      <c r="T1844" s="1786" t="str">
        <f t="shared" si="315"/>
        <v>לאומי</v>
      </c>
      <c r="U1844" s="1786" t="str">
        <f t="shared" si="316"/>
        <v>מנורה מבטחים אמיר כללי</v>
      </c>
      <c r="V1844" s="1786" t="str">
        <f t="shared" si="317"/>
        <v>520007469</v>
      </c>
      <c r="W1844" s="1789" t="str">
        <f t="shared" si="318"/>
        <v>מנורה מבטחים פנסיה וגמל בע"מ</v>
      </c>
      <c r="AC1844" s="1759" t="s">
        <v>346</v>
      </c>
      <c r="AD1844" s="1759"/>
      <c r="AE1844" s="1760">
        <v>28216</v>
      </c>
      <c r="AF1844" s="1759" t="s">
        <v>2973</v>
      </c>
      <c r="AG1844" s="1759" t="s">
        <v>2973</v>
      </c>
      <c r="AH1844" s="1759" t="s">
        <v>2973</v>
      </c>
      <c r="AI1844" s="1759" t="s">
        <v>1863</v>
      </c>
      <c r="AJ1844" s="1759" t="s">
        <v>1863</v>
      </c>
      <c r="AK1844" s="1759">
        <v>536</v>
      </c>
      <c r="AL1844" s="1759" t="s">
        <v>431</v>
      </c>
      <c r="AM1844" s="1759">
        <v>260</v>
      </c>
      <c r="AN1844" s="1759" t="s">
        <v>5305</v>
      </c>
      <c r="AO1844" s="1764"/>
      <c r="AP1844" s="1759" t="s">
        <v>5377</v>
      </c>
      <c r="AQ1844" s="1759" t="s">
        <v>5378</v>
      </c>
      <c r="AR1844" s="1759" t="s">
        <v>2971</v>
      </c>
      <c r="AS1844" s="1759" t="s">
        <v>396</v>
      </c>
      <c r="AT1844" s="1759" t="s">
        <v>327</v>
      </c>
      <c r="AU1844" s="1763"/>
      <c r="AV1844" s="1763"/>
    </row>
    <row r="1845" spans="1:48" ht="25" hidden="1">
      <c r="A1845" s="1785" t="str">
        <f t="shared" si="308"/>
        <v>גמל</v>
      </c>
      <c r="B1845" s="1786">
        <f t="shared" si="309"/>
        <v>2238</v>
      </c>
      <c r="C1845" s="1787">
        <v>28946</v>
      </c>
      <c r="D1845" s="1786" t="str">
        <f t="shared" si="310"/>
        <v>איילון תגמולים ואישית לפיצויים מסלול כהלכה</v>
      </c>
      <c r="E1845" s="1786" t="s">
        <v>3929</v>
      </c>
      <c r="F1845" s="1786" t="s">
        <v>2958</v>
      </c>
      <c r="G1845" s="1786" t="s">
        <v>2959</v>
      </c>
      <c r="H1845" s="1786" t="str">
        <f t="shared" si="311"/>
        <v>לא פעיל</v>
      </c>
      <c r="I1845" s="1788">
        <f t="shared" si="312"/>
        <v>25934</v>
      </c>
      <c r="J1845" s="1788">
        <f t="shared" si="313"/>
        <v>42744.365671296298</v>
      </c>
      <c r="K1845" s="1786">
        <v>0</v>
      </c>
      <c r="L1845" s="1786" t="s">
        <v>1594</v>
      </c>
      <c r="M1845" s="1786" t="s">
        <v>1653</v>
      </c>
      <c r="N1845" s="1786" t="s">
        <v>1653</v>
      </c>
      <c r="O1845" s="1786">
        <v>0</v>
      </c>
      <c r="P1845" s="1786"/>
      <c r="Q1845" s="1786">
        <v>0</v>
      </c>
      <c r="R1845" s="1788"/>
      <c r="S1845" s="1786">
        <f t="shared" si="314"/>
        <v>258</v>
      </c>
      <c r="T1845" s="1786" t="str">
        <f t="shared" si="315"/>
        <v>הבנק הבינלאומי הראשון</v>
      </c>
      <c r="U1845" s="1786" t="str">
        <f t="shared" si="316"/>
        <v>איילון תגמולים ואישית לפיצויים מסלולית</v>
      </c>
      <c r="V1845" s="1786" t="str">
        <f t="shared" si="317"/>
        <v>520030677</v>
      </c>
      <c r="W1845" s="1789" t="str">
        <f t="shared" si="318"/>
        <v>איילון פנסיה וגמל בע"מ</v>
      </c>
      <c r="AC1845" s="1761" t="s">
        <v>1586</v>
      </c>
      <c r="AD1845" s="1762">
        <v>42744.365671296298</v>
      </c>
      <c r="AE1845" s="1762">
        <v>25934</v>
      </c>
      <c r="AF1845" s="1761" t="s">
        <v>4603</v>
      </c>
      <c r="AG1845" s="1761" t="s">
        <v>2029</v>
      </c>
      <c r="AH1845" s="1761" t="s">
        <v>2028</v>
      </c>
      <c r="AI1845" s="1761" t="s">
        <v>3716</v>
      </c>
      <c r="AJ1845" s="1761" t="s">
        <v>3715</v>
      </c>
      <c r="AK1845" s="1761">
        <v>2238</v>
      </c>
      <c r="AL1845" s="1761" t="s">
        <v>3037</v>
      </c>
      <c r="AM1845" s="1761">
        <v>258</v>
      </c>
      <c r="AN1845" s="1761" t="s">
        <v>5384</v>
      </c>
      <c r="AO1845" s="1764"/>
      <c r="AP1845" s="1761" t="s">
        <v>5385</v>
      </c>
      <c r="AQ1845" s="1761" t="s">
        <v>5386</v>
      </c>
      <c r="AR1845" s="1761" t="s">
        <v>2780</v>
      </c>
      <c r="AS1845" s="1761" t="s">
        <v>426</v>
      </c>
      <c r="AT1845" s="1761" t="s">
        <v>327</v>
      </c>
      <c r="AU1845" s="1763"/>
      <c r="AV1845" s="1763"/>
    </row>
    <row r="1846" spans="1:48" ht="25" hidden="1">
      <c r="A1846" s="1785" t="str">
        <f t="shared" si="308"/>
        <v>גמל</v>
      </c>
      <c r="B1846" s="1786">
        <f t="shared" si="309"/>
        <v>9431</v>
      </c>
      <c r="C1846" s="1787">
        <v>28946</v>
      </c>
      <c r="D1846" s="1786" t="str">
        <f t="shared" si="310"/>
        <v>איילון תגמולים ואישית לפיצויים מסלול חו"ל</v>
      </c>
      <c r="E1846" s="1786" t="s">
        <v>3929</v>
      </c>
      <c r="F1846" s="1786" t="s">
        <v>2958</v>
      </c>
      <c r="G1846" s="1786" t="s">
        <v>2959</v>
      </c>
      <c r="H1846" s="1786" t="str">
        <f t="shared" si="311"/>
        <v>לא פעיל</v>
      </c>
      <c r="I1846" s="1788">
        <f t="shared" si="312"/>
        <v>25934</v>
      </c>
      <c r="J1846" s="1788">
        <f t="shared" si="313"/>
        <v>42744.365671296298</v>
      </c>
      <c r="K1846" s="1786">
        <v>0</v>
      </c>
      <c r="L1846" s="1786" t="s">
        <v>1594</v>
      </c>
      <c r="M1846" s="1786" t="s">
        <v>1653</v>
      </c>
      <c r="N1846" s="1786" t="s">
        <v>1653</v>
      </c>
      <c r="O1846" s="1786">
        <v>0</v>
      </c>
      <c r="P1846" s="1786"/>
      <c r="Q1846" s="1786">
        <v>0</v>
      </c>
      <c r="R1846" s="1788"/>
      <c r="S1846" s="1786">
        <f t="shared" si="314"/>
        <v>258</v>
      </c>
      <c r="T1846" s="1786" t="str">
        <f t="shared" si="315"/>
        <v>הבנק הבינלאומי הראשון</v>
      </c>
      <c r="U1846" s="1786" t="str">
        <f t="shared" si="316"/>
        <v>איילון תגמולים ואישית לפיצויים מסלולית</v>
      </c>
      <c r="V1846" s="1786" t="str">
        <f t="shared" si="317"/>
        <v>520030677</v>
      </c>
      <c r="W1846" s="1789" t="str">
        <f t="shared" si="318"/>
        <v>איילון פנסיה וגמל בע"מ</v>
      </c>
      <c r="AC1846" s="1759" t="s">
        <v>1586</v>
      </c>
      <c r="AD1846" s="1760">
        <v>42744.365671296298</v>
      </c>
      <c r="AE1846" s="1760">
        <v>25934</v>
      </c>
      <c r="AF1846" s="1759" t="s">
        <v>1948</v>
      </c>
      <c r="AG1846" s="1759" t="s">
        <v>1947</v>
      </c>
      <c r="AH1846" s="1759" t="s">
        <v>1594</v>
      </c>
      <c r="AI1846" s="1759" t="s">
        <v>4267</v>
      </c>
      <c r="AJ1846" s="1759" t="s">
        <v>4266</v>
      </c>
      <c r="AK1846" s="1759">
        <v>9431</v>
      </c>
      <c r="AL1846" s="1759" t="s">
        <v>3037</v>
      </c>
      <c r="AM1846" s="1759">
        <v>258</v>
      </c>
      <c r="AN1846" s="1759" t="s">
        <v>5384</v>
      </c>
      <c r="AO1846" s="1764"/>
      <c r="AP1846" s="1759" t="s">
        <v>5385</v>
      </c>
      <c r="AQ1846" s="1759" t="s">
        <v>5386</v>
      </c>
      <c r="AR1846" s="1759" t="s">
        <v>2780</v>
      </c>
      <c r="AS1846" s="1759" t="s">
        <v>426</v>
      </c>
      <c r="AT1846" s="1759" t="s">
        <v>327</v>
      </c>
      <c r="AU1846" s="1763"/>
      <c r="AV1846" s="1763"/>
    </row>
    <row r="1847" spans="1:48" ht="25" hidden="1">
      <c r="A1847" s="1785" t="str">
        <f t="shared" si="308"/>
        <v>גמל</v>
      </c>
      <c r="B1847" s="1786">
        <f t="shared" si="309"/>
        <v>9550</v>
      </c>
      <c r="C1847" s="1787">
        <v>28946</v>
      </c>
      <c r="D1847" s="1786" t="str">
        <f t="shared" si="310"/>
        <v>איילון תגמולים ואישית לפיצויים מסלולית עד 50</v>
      </c>
      <c r="E1847" s="1786" t="s">
        <v>3929</v>
      </c>
      <c r="F1847" s="1786" t="s">
        <v>2958</v>
      </c>
      <c r="G1847" s="1786" t="s">
        <v>2959</v>
      </c>
      <c r="H1847" s="1786" t="str">
        <f t="shared" si="311"/>
        <v>לא פעיל</v>
      </c>
      <c r="I1847" s="1788">
        <f t="shared" si="312"/>
        <v>25934</v>
      </c>
      <c r="J1847" s="1788">
        <f t="shared" si="313"/>
        <v>42744.365671296298</v>
      </c>
      <c r="K1847" s="1786">
        <v>0</v>
      </c>
      <c r="L1847" s="1786" t="s">
        <v>1594</v>
      </c>
      <c r="M1847" s="1786" t="s">
        <v>1653</v>
      </c>
      <c r="N1847" s="1786" t="s">
        <v>1653</v>
      </c>
      <c r="O1847" s="1786">
        <v>0</v>
      </c>
      <c r="P1847" s="1786"/>
      <c r="Q1847" s="1786">
        <v>0</v>
      </c>
      <c r="R1847" s="1788"/>
      <c r="S1847" s="1786">
        <f t="shared" si="314"/>
        <v>258</v>
      </c>
      <c r="T1847" s="1786" t="str">
        <f t="shared" si="315"/>
        <v>הבנק הבינלאומי הראשון</v>
      </c>
      <c r="U1847" s="1786" t="str">
        <f t="shared" si="316"/>
        <v>איילון תגמולים ואישית לפיצויים מסלולית</v>
      </c>
      <c r="V1847" s="1786" t="str">
        <f t="shared" si="317"/>
        <v>520030677</v>
      </c>
      <c r="W1847" s="1789" t="str">
        <f t="shared" si="318"/>
        <v>איילון פנסיה וגמל בע"מ</v>
      </c>
      <c r="AC1847" s="1761" t="s">
        <v>1586</v>
      </c>
      <c r="AD1847" s="1762">
        <v>42744.365671296298</v>
      </c>
      <c r="AE1847" s="1762">
        <v>25934</v>
      </c>
      <c r="AF1847" s="1761" t="s">
        <v>4151</v>
      </c>
      <c r="AG1847" s="1761" t="s">
        <v>3931</v>
      </c>
      <c r="AH1847" s="1761" t="s">
        <v>3658</v>
      </c>
      <c r="AI1847" s="1761" t="s">
        <v>4293</v>
      </c>
      <c r="AJ1847" s="1761" t="s">
        <v>4292</v>
      </c>
      <c r="AK1847" s="1761">
        <v>9550</v>
      </c>
      <c r="AL1847" s="1761" t="s">
        <v>3037</v>
      </c>
      <c r="AM1847" s="1761">
        <v>258</v>
      </c>
      <c r="AN1847" s="1761" t="s">
        <v>5384</v>
      </c>
      <c r="AO1847" s="1764"/>
      <c r="AP1847" s="1761" t="s">
        <v>5385</v>
      </c>
      <c r="AQ1847" s="1761" t="s">
        <v>5386</v>
      </c>
      <c r="AR1847" s="1761" t="s">
        <v>2780</v>
      </c>
      <c r="AS1847" s="1761" t="s">
        <v>426</v>
      </c>
      <c r="AT1847" s="1761" t="s">
        <v>327</v>
      </c>
      <c r="AU1847" s="1763"/>
      <c r="AV1847" s="1763"/>
    </row>
    <row r="1848" spans="1:48" ht="25" hidden="1">
      <c r="A1848" s="1785" t="str">
        <f t="shared" si="308"/>
        <v>גמל</v>
      </c>
      <c r="B1848" s="1786">
        <f t="shared" si="309"/>
        <v>9551</v>
      </c>
      <c r="C1848" s="1787">
        <v>28946</v>
      </c>
      <c r="D1848" s="1786" t="str">
        <f t="shared" si="310"/>
        <v>איילון תגמולים ואישית לפיצויים מסלולית 60 ומעלה</v>
      </c>
      <c r="E1848" s="1786" t="s">
        <v>3929</v>
      </c>
      <c r="F1848" s="1786" t="s">
        <v>2958</v>
      </c>
      <c r="G1848" s="1786" t="s">
        <v>2959</v>
      </c>
      <c r="H1848" s="1786" t="str">
        <f t="shared" si="311"/>
        <v>לא פעיל</v>
      </c>
      <c r="I1848" s="1788">
        <f t="shared" si="312"/>
        <v>25934</v>
      </c>
      <c r="J1848" s="1788">
        <f t="shared" si="313"/>
        <v>42744.365671296298</v>
      </c>
      <c r="K1848" s="1786">
        <v>0</v>
      </c>
      <c r="L1848" s="1786" t="s">
        <v>1594</v>
      </c>
      <c r="M1848" s="1786" t="s">
        <v>1653</v>
      </c>
      <c r="N1848" s="1786" t="s">
        <v>1653</v>
      </c>
      <c r="O1848" s="1786">
        <v>0</v>
      </c>
      <c r="P1848" s="1786"/>
      <c r="Q1848" s="1786">
        <v>0</v>
      </c>
      <c r="R1848" s="1788"/>
      <c r="S1848" s="1786">
        <f t="shared" si="314"/>
        <v>258</v>
      </c>
      <c r="T1848" s="1786" t="str">
        <f t="shared" si="315"/>
        <v>הבנק הבינלאומי הראשון</v>
      </c>
      <c r="U1848" s="1786" t="str">
        <f t="shared" si="316"/>
        <v>איילון תגמולים ואישית לפיצויים מסלולית</v>
      </c>
      <c r="V1848" s="1786" t="str">
        <f t="shared" si="317"/>
        <v>520030677</v>
      </c>
      <c r="W1848" s="1789" t="str">
        <f t="shared" si="318"/>
        <v>איילון פנסיה וגמל בע"מ</v>
      </c>
      <c r="AC1848" s="1759" t="s">
        <v>1586</v>
      </c>
      <c r="AD1848" s="1760">
        <v>42744.365671296298</v>
      </c>
      <c r="AE1848" s="1760">
        <v>25934</v>
      </c>
      <c r="AF1848" s="1759" t="s">
        <v>3963</v>
      </c>
      <c r="AG1848" s="1759" t="s">
        <v>3931</v>
      </c>
      <c r="AH1848" s="1759" t="s">
        <v>3658</v>
      </c>
      <c r="AI1848" s="1759" t="s">
        <v>4295</v>
      </c>
      <c r="AJ1848" s="1759" t="s">
        <v>4294</v>
      </c>
      <c r="AK1848" s="1759">
        <v>9551</v>
      </c>
      <c r="AL1848" s="1759" t="s">
        <v>3037</v>
      </c>
      <c r="AM1848" s="1759">
        <v>258</v>
      </c>
      <c r="AN1848" s="1759" t="s">
        <v>5384</v>
      </c>
      <c r="AO1848" s="1764"/>
      <c r="AP1848" s="1759" t="s">
        <v>5385</v>
      </c>
      <c r="AQ1848" s="1759" t="s">
        <v>5386</v>
      </c>
      <c r="AR1848" s="1759" t="s">
        <v>2780</v>
      </c>
      <c r="AS1848" s="1759" t="s">
        <v>426</v>
      </c>
      <c r="AT1848" s="1759" t="s">
        <v>327</v>
      </c>
      <c r="AU1848" s="1763"/>
      <c r="AV1848" s="1763"/>
    </row>
    <row r="1849" spans="1:48" ht="25" hidden="1">
      <c r="A1849" s="1785" t="str">
        <f t="shared" si="308"/>
        <v>גמל</v>
      </c>
      <c r="B1849" s="1786">
        <f t="shared" si="309"/>
        <v>258</v>
      </c>
      <c r="C1849" s="1787">
        <v>28946</v>
      </c>
      <c r="D1849" s="1786" t="str">
        <f t="shared" si="310"/>
        <v>איילון תגמולים ואישית לפיצויים מסלול כללי</v>
      </c>
      <c r="E1849" s="1786" t="s">
        <v>3929</v>
      </c>
      <c r="F1849" s="1786" t="s">
        <v>2958</v>
      </c>
      <c r="G1849" s="1786" t="s">
        <v>2959</v>
      </c>
      <c r="H1849" s="1786" t="str">
        <f t="shared" si="311"/>
        <v>לא פעיל</v>
      </c>
      <c r="I1849" s="1788">
        <f t="shared" si="312"/>
        <v>25934</v>
      </c>
      <c r="J1849" s="1788">
        <f t="shared" si="313"/>
        <v>42373.453067129602</v>
      </c>
      <c r="K1849" s="1786">
        <v>0</v>
      </c>
      <c r="L1849" s="1786" t="s">
        <v>1594</v>
      </c>
      <c r="M1849" s="1786" t="s">
        <v>1653</v>
      </c>
      <c r="N1849" s="1786" t="s">
        <v>1653</v>
      </c>
      <c r="O1849" s="1786">
        <v>0</v>
      </c>
      <c r="P1849" s="1786"/>
      <c r="Q1849" s="1786">
        <v>0</v>
      </c>
      <c r="R1849" s="1788"/>
      <c r="S1849" s="1786">
        <f t="shared" si="314"/>
        <v>258</v>
      </c>
      <c r="T1849" s="1786" t="str">
        <f t="shared" si="315"/>
        <v>הבנק הבינלאומי הראשון</v>
      </c>
      <c r="U1849" s="1786" t="str">
        <f t="shared" si="316"/>
        <v>איילון תגמולים ואישית לפיצויים מסלולית</v>
      </c>
      <c r="V1849" s="1786" t="str">
        <f t="shared" si="317"/>
        <v>520030677</v>
      </c>
      <c r="W1849" s="1789" t="str">
        <f t="shared" si="318"/>
        <v>איילון פנסיה וגמל בע"מ</v>
      </c>
      <c r="AC1849" s="1761" t="s">
        <v>1586</v>
      </c>
      <c r="AD1849" s="1762">
        <v>42373.453067129602</v>
      </c>
      <c r="AE1849" s="1762">
        <v>25934</v>
      </c>
      <c r="AF1849" s="1761" t="s">
        <v>1583</v>
      </c>
      <c r="AG1849" s="1761" t="s">
        <v>1583</v>
      </c>
      <c r="AH1849" s="1761" t="s">
        <v>1583</v>
      </c>
      <c r="AI1849" s="1761" t="s">
        <v>3036</v>
      </c>
      <c r="AJ1849" s="1761" t="s">
        <v>3036</v>
      </c>
      <c r="AK1849" s="1761">
        <v>258</v>
      </c>
      <c r="AL1849" s="1761" t="s">
        <v>3037</v>
      </c>
      <c r="AM1849" s="1761">
        <v>258</v>
      </c>
      <c r="AN1849" s="1761" t="s">
        <v>5384</v>
      </c>
      <c r="AO1849" s="1764"/>
      <c r="AP1849" s="1761" t="s">
        <v>5385</v>
      </c>
      <c r="AQ1849" s="1761" t="s">
        <v>5386</v>
      </c>
      <c r="AR1849" s="1761" t="s">
        <v>2780</v>
      </c>
      <c r="AS1849" s="1761" t="s">
        <v>426</v>
      </c>
      <c r="AT1849" s="1761" t="s">
        <v>327</v>
      </c>
      <c r="AU1849" s="1763"/>
      <c r="AV1849" s="1763"/>
    </row>
    <row r="1850" spans="1:48" ht="25" hidden="1">
      <c r="A1850" s="1785" t="str">
        <f t="shared" si="308"/>
        <v>גמל</v>
      </c>
      <c r="B1850" s="1786">
        <f t="shared" si="309"/>
        <v>1062</v>
      </c>
      <c r="C1850" s="1787">
        <v>28946</v>
      </c>
      <c r="D1850" s="1786" t="str">
        <f t="shared" si="310"/>
        <v>איילון תגמולים ואישית לפיצויים מסלול מניות</v>
      </c>
      <c r="E1850" s="1786" t="s">
        <v>3929</v>
      </c>
      <c r="F1850" s="1786" t="s">
        <v>2958</v>
      </c>
      <c r="G1850" s="1786" t="s">
        <v>2959</v>
      </c>
      <c r="H1850" s="1786" t="str">
        <f t="shared" si="311"/>
        <v>לא פעיל</v>
      </c>
      <c r="I1850" s="1788">
        <f t="shared" si="312"/>
        <v>25934</v>
      </c>
      <c r="J1850" s="1788">
        <f t="shared" si="313"/>
        <v>42744.365671296298</v>
      </c>
      <c r="K1850" s="1786">
        <v>0</v>
      </c>
      <c r="L1850" s="1786" t="s">
        <v>1594</v>
      </c>
      <c r="M1850" s="1786" t="s">
        <v>1653</v>
      </c>
      <c r="N1850" s="1786" t="s">
        <v>1653</v>
      </c>
      <c r="O1850" s="1786">
        <v>0</v>
      </c>
      <c r="P1850" s="1786"/>
      <c r="Q1850" s="1786">
        <v>0</v>
      </c>
      <c r="R1850" s="1788"/>
      <c r="S1850" s="1786">
        <f t="shared" si="314"/>
        <v>258</v>
      </c>
      <c r="T1850" s="1786" t="str">
        <f t="shared" si="315"/>
        <v>הבנק הבינלאומי הראשון</v>
      </c>
      <c r="U1850" s="1786" t="str">
        <f t="shared" si="316"/>
        <v>איילון תגמולים ואישית לפיצויים מסלולית</v>
      </c>
      <c r="V1850" s="1786" t="str">
        <f t="shared" si="317"/>
        <v>520030677</v>
      </c>
      <c r="W1850" s="1789" t="str">
        <f t="shared" si="318"/>
        <v>איילון פנסיה וגמל בע"מ</v>
      </c>
      <c r="AC1850" s="1759" t="s">
        <v>1586</v>
      </c>
      <c r="AD1850" s="1760">
        <v>42744.365671296298</v>
      </c>
      <c r="AE1850" s="1760">
        <v>25934</v>
      </c>
      <c r="AF1850" s="1759" t="s">
        <v>1595</v>
      </c>
      <c r="AG1850" s="1759" t="s">
        <v>75</v>
      </c>
      <c r="AH1850" s="1759" t="s">
        <v>1594</v>
      </c>
      <c r="AI1850" s="1759" t="s">
        <v>3493</v>
      </c>
      <c r="AJ1850" s="1759" t="s">
        <v>3492</v>
      </c>
      <c r="AK1850" s="1759">
        <v>1062</v>
      </c>
      <c r="AL1850" s="1759" t="s">
        <v>3037</v>
      </c>
      <c r="AM1850" s="1759">
        <v>258</v>
      </c>
      <c r="AN1850" s="1759" t="s">
        <v>5384</v>
      </c>
      <c r="AO1850" s="1764"/>
      <c r="AP1850" s="1759" t="s">
        <v>5385</v>
      </c>
      <c r="AQ1850" s="1759" t="s">
        <v>5386</v>
      </c>
      <c r="AR1850" s="1759" t="s">
        <v>2780</v>
      </c>
      <c r="AS1850" s="1759" t="s">
        <v>426</v>
      </c>
      <c r="AT1850" s="1759" t="s">
        <v>327</v>
      </c>
      <c r="AU1850" s="1763"/>
      <c r="AV1850" s="1763"/>
    </row>
    <row r="1851" spans="1:48" ht="25" hidden="1">
      <c r="A1851" s="1785" t="str">
        <f t="shared" si="308"/>
        <v>גמל</v>
      </c>
      <c r="B1851" s="1786">
        <f t="shared" si="309"/>
        <v>1063</v>
      </c>
      <c r="C1851" s="1787">
        <v>28946</v>
      </c>
      <c r="D1851" s="1786" t="str">
        <f t="shared" si="310"/>
        <v>איילון תגמולים ואישית לפיצויים מסלול מט"ח</v>
      </c>
      <c r="E1851" s="1786" t="s">
        <v>3929</v>
      </c>
      <c r="F1851" s="1786" t="s">
        <v>2958</v>
      </c>
      <c r="G1851" s="1786" t="s">
        <v>2959</v>
      </c>
      <c r="H1851" s="1786" t="str">
        <f t="shared" si="311"/>
        <v>לא פעיל</v>
      </c>
      <c r="I1851" s="1788">
        <f t="shared" si="312"/>
        <v>25934</v>
      </c>
      <c r="J1851" s="1788">
        <f t="shared" si="313"/>
        <v>42744.365671296298</v>
      </c>
      <c r="K1851" s="1786">
        <v>0</v>
      </c>
      <c r="L1851" s="1786" t="s">
        <v>1594</v>
      </c>
      <c r="M1851" s="1786" t="s">
        <v>1653</v>
      </c>
      <c r="N1851" s="1786" t="s">
        <v>1653</v>
      </c>
      <c r="O1851" s="1786">
        <v>0</v>
      </c>
      <c r="P1851" s="1786"/>
      <c r="Q1851" s="1786">
        <v>0</v>
      </c>
      <c r="R1851" s="1788"/>
      <c r="S1851" s="1786">
        <f t="shared" si="314"/>
        <v>258</v>
      </c>
      <c r="T1851" s="1786" t="str">
        <f t="shared" si="315"/>
        <v>הבנק הבינלאומי הראשון</v>
      </c>
      <c r="U1851" s="1786" t="str">
        <f t="shared" si="316"/>
        <v>איילון תגמולים ואישית לפיצויים מסלולית</v>
      </c>
      <c r="V1851" s="1786" t="str">
        <f t="shared" si="317"/>
        <v>520030677</v>
      </c>
      <c r="W1851" s="1789" t="str">
        <f t="shared" si="318"/>
        <v>איילון פנסיה וגמל בע"מ</v>
      </c>
      <c r="AC1851" s="1761" t="s">
        <v>1586</v>
      </c>
      <c r="AD1851" s="1762">
        <v>42744.365671296298</v>
      </c>
      <c r="AE1851" s="1762">
        <v>25934</v>
      </c>
      <c r="AF1851" s="1761" t="s">
        <v>1611</v>
      </c>
      <c r="AG1851" s="1761" t="s">
        <v>1611</v>
      </c>
      <c r="AH1851" s="1761" t="s">
        <v>1594</v>
      </c>
      <c r="AI1851" s="1761" t="s">
        <v>3495</v>
      </c>
      <c r="AJ1851" s="1761" t="s">
        <v>3494</v>
      </c>
      <c r="AK1851" s="1761">
        <v>1063</v>
      </c>
      <c r="AL1851" s="1761" t="s">
        <v>3037</v>
      </c>
      <c r="AM1851" s="1761">
        <v>258</v>
      </c>
      <c r="AN1851" s="1761" t="s">
        <v>5384</v>
      </c>
      <c r="AO1851" s="1764"/>
      <c r="AP1851" s="1761" t="s">
        <v>5385</v>
      </c>
      <c r="AQ1851" s="1761" t="s">
        <v>5386</v>
      </c>
      <c r="AR1851" s="1761" t="s">
        <v>2780</v>
      </c>
      <c r="AS1851" s="1761" t="s">
        <v>426</v>
      </c>
      <c r="AT1851" s="1761" t="s">
        <v>327</v>
      </c>
      <c r="AU1851" s="1763"/>
      <c r="AV1851" s="1763"/>
    </row>
    <row r="1852" spans="1:48" ht="25" hidden="1">
      <c r="A1852" s="1785" t="str">
        <f t="shared" si="308"/>
        <v>גמל</v>
      </c>
      <c r="B1852" s="1786">
        <f t="shared" si="309"/>
        <v>1064</v>
      </c>
      <c r="C1852" s="1787">
        <v>28946</v>
      </c>
      <c r="D1852" s="1786" t="str">
        <f t="shared" si="310"/>
        <v>איילון תגמולים ואישית לפיצויים מסלול אג"ח</v>
      </c>
      <c r="E1852" s="1786" t="s">
        <v>3929</v>
      </c>
      <c r="F1852" s="1786" t="s">
        <v>2958</v>
      </c>
      <c r="G1852" s="1786" t="s">
        <v>2959</v>
      </c>
      <c r="H1852" s="1786" t="str">
        <f t="shared" si="311"/>
        <v>לא פעיל</v>
      </c>
      <c r="I1852" s="1788">
        <f t="shared" si="312"/>
        <v>25934</v>
      </c>
      <c r="J1852" s="1788">
        <f t="shared" si="313"/>
        <v>42744.365671296298</v>
      </c>
      <c r="K1852" s="1786">
        <v>0</v>
      </c>
      <c r="L1852" s="1786" t="s">
        <v>1594</v>
      </c>
      <c r="M1852" s="1786" t="s">
        <v>1653</v>
      </c>
      <c r="N1852" s="1786" t="s">
        <v>1653</v>
      </c>
      <c r="O1852" s="1786">
        <v>0</v>
      </c>
      <c r="P1852" s="1786"/>
      <c r="Q1852" s="1786">
        <v>0</v>
      </c>
      <c r="R1852" s="1788"/>
      <c r="S1852" s="1786">
        <f t="shared" si="314"/>
        <v>258</v>
      </c>
      <c r="T1852" s="1786" t="str">
        <f t="shared" si="315"/>
        <v>הבנק הבינלאומי הראשון</v>
      </c>
      <c r="U1852" s="1786" t="str">
        <f t="shared" si="316"/>
        <v>איילון תגמולים ואישית לפיצויים מסלולית</v>
      </c>
      <c r="V1852" s="1786" t="str">
        <f t="shared" si="317"/>
        <v>520030677</v>
      </c>
      <c r="W1852" s="1789" t="str">
        <f t="shared" si="318"/>
        <v>איילון פנסיה וגמל בע"מ</v>
      </c>
      <c r="AC1852" s="1759" t="s">
        <v>1586</v>
      </c>
      <c r="AD1852" s="1760">
        <v>42744.365671296298</v>
      </c>
      <c r="AE1852" s="1760">
        <v>25934</v>
      </c>
      <c r="AF1852" s="1759" t="s">
        <v>1653</v>
      </c>
      <c r="AG1852" s="1759" t="s">
        <v>1653</v>
      </c>
      <c r="AH1852" s="1759" t="s">
        <v>1594</v>
      </c>
      <c r="AI1852" s="1759" t="s">
        <v>3497</v>
      </c>
      <c r="AJ1852" s="1759" t="s">
        <v>3496</v>
      </c>
      <c r="AK1852" s="1759">
        <v>1064</v>
      </c>
      <c r="AL1852" s="1759" t="s">
        <v>3037</v>
      </c>
      <c r="AM1852" s="1759">
        <v>258</v>
      </c>
      <c r="AN1852" s="1759" t="s">
        <v>5384</v>
      </c>
      <c r="AO1852" s="1764"/>
      <c r="AP1852" s="1759" t="s">
        <v>5385</v>
      </c>
      <c r="AQ1852" s="1759" t="s">
        <v>5386</v>
      </c>
      <c r="AR1852" s="1759" t="s">
        <v>2780</v>
      </c>
      <c r="AS1852" s="1759" t="s">
        <v>426</v>
      </c>
      <c r="AT1852" s="1759" t="s">
        <v>327</v>
      </c>
      <c r="AU1852" s="1763"/>
      <c r="AV1852" s="1763"/>
    </row>
    <row r="1853" spans="1:48" ht="25" hidden="1">
      <c r="A1853" s="1785" t="str">
        <f t="shared" si="308"/>
        <v>גמל</v>
      </c>
      <c r="B1853" s="1786">
        <f t="shared" si="309"/>
        <v>1068</v>
      </c>
      <c r="C1853" s="1787">
        <v>28946</v>
      </c>
      <c r="D1853" s="1786" t="str">
        <f t="shared" si="310"/>
        <v>איילון תגמולים ואישית לפיצויים מסלול שקלי</v>
      </c>
      <c r="E1853" s="1786" t="s">
        <v>3929</v>
      </c>
      <c r="F1853" s="1786" t="s">
        <v>2958</v>
      </c>
      <c r="G1853" s="1786" t="s">
        <v>2959</v>
      </c>
      <c r="H1853" s="1786" t="str">
        <f t="shared" si="311"/>
        <v>לא פעיל</v>
      </c>
      <c r="I1853" s="1788">
        <f t="shared" si="312"/>
        <v>25934</v>
      </c>
      <c r="J1853" s="1788">
        <f t="shared" si="313"/>
        <v>42744.365671296298</v>
      </c>
      <c r="K1853" s="1786">
        <v>0</v>
      </c>
      <c r="L1853" s="1786" t="s">
        <v>1594</v>
      </c>
      <c r="M1853" s="1786" t="s">
        <v>1653</v>
      </c>
      <c r="N1853" s="1786" t="s">
        <v>1653</v>
      </c>
      <c r="O1853" s="1786">
        <v>0</v>
      </c>
      <c r="P1853" s="1786"/>
      <c r="Q1853" s="1786">
        <v>0</v>
      </c>
      <c r="R1853" s="1788"/>
      <c r="S1853" s="1786">
        <f t="shared" si="314"/>
        <v>258</v>
      </c>
      <c r="T1853" s="1786" t="str">
        <f t="shared" si="315"/>
        <v>הבנק הבינלאומי הראשון</v>
      </c>
      <c r="U1853" s="1786" t="str">
        <f t="shared" si="316"/>
        <v>איילון תגמולים ואישית לפיצויים מסלולית</v>
      </c>
      <c r="V1853" s="1786" t="str">
        <f t="shared" si="317"/>
        <v>520030677</v>
      </c>
      <c r="W1853" s="1789" t="str">
        <f t="shared" si="318"/>
        <v>איילון פנסיה וגמל בע"מ</v>
      </c>
      <c r="AC1853" s="1761" t="s">
        <v>1586</v>
      </c>
      <c r="AD1853" s="1762">
        <v>42744.365671296298</v>
      </c>
      <c r="AE1853" s="1762">
        <v>25934</v>
      </c>
      <c r="AF1853" s="1761" t="s">
        <v>1076</v>
      </c>
      <c r="AG1853" s="1761" t="s">
        <v>1614</v>
      </c>
      <c r="AH1853" s="1761" t="s">
        <v>1594</v>
      </c>
      <c r="AI1853" s="1761" t="s">
        <v>4026</v>
      </c>
      <c r="AJ1853" s="1761" t="s">
        <v>4025</v>
      </c>
      <c r="AK1853" s="1761">
        <v>1068</v>
      </c>
      <c r="AL1853" s="1761" t="s">
        <v>3037</v>
      </c>
      <c r="AM1853" s="1761">
        <v>258</v>
      </c>
      <c r="AN1853" s="1761" t="s">
        <v>5384</v>
      </c>
      <c r="AO1853" s="1764"/>
      <c r="AP1853" s="1761" t="s">
        <v>5385</v>
      </c>
      <c r="AQ1853" s="1761" t="s">
        <v>5386</v>
      </c>
      <c r="AR1853" s="1761" t="s">
        <v>2780</v>
      </c>
      <c r="AS1853" s="1761" t="s">
        <v>426</v>
      </c>
      <c r="AT1853" s="1761" t="s">
        <v>327</v>
      </c>
      <c r="AU1853" s="1763"/>
      <c r="AV1853" s="1763"/>
    </row>
    <row r="1854" spans="1:48" ht="25" hidden="1">
      <c r="A1854" s="1785" t="str">
        <f t="shared" si="308"/>
        <v>גמל</v>
      </c>
      <c r="B1854" s="1786">
        <f t="shared" si="309"/>
        <v>9855</v>
      </c>
      <c r="C1854" s="1787">
        <v>28946</v>
      </c>
      <c r="D1854" s="1786" t="str">
        <f t="shared" si="310"/>
        <v>איילון תגמולים ואישית לפיצויים מסלולית 50 עד 60</v>
      </c>
      <c r="E1854" s="1786" t="s">
        <v>3929</v>
      </c>
      <c r="F1854" s="1786" t="s">
        <v>2958</v>
      </c>
      <c r="G1854" s="1786" t="s">
        <v>2959</v>
      </c>
      <c r="H1854" s="1786" t="str">
        <f t="shared" si="311"/>
        <v>לא פעיל</v>
      </c>
      <c r="I1854" s="1788">
        <f t="shared" si="312"/>
        <v>25934</v>
      </c>
      <c r="J1854" s="1788">
        <f t="shared" si="313"/>
        <v>42744.365671296298</v>
      </c>
      <c r="K1854" s="1786">
        <v>0</v>
      </c>
      <c r="L1854" s="1786" t="s">
        <v>1594</v>
      </c>
      <c r="M1854" s="1786" t="s">
        <v>1653</v>
      </c>
      <c r="N1854" s="1786" t="s">
        <v>1653</v>
      </c>
      <c r="O1854" s="1786">
        <v>0</v>
      </c>
      <c r="P1854" s="1786"/>
      <c r="Q1854" s="1786">
        <v>0</v>
      </c>
      <c r="R1854" s="1788"/>
      <c r="S1854" s="1786">
        <f t="shared" si="314"/>
        <v>258</v>
      </c>
      <c r="T1854" s="1786" t="str">
        <f t="shared" si="315"/>
        <v>הבנק הבינלאומי הראשון</v>
      </c>
      <c r="U1854" s="1786" t="str">
        <f t="shared" si="316"/>
        <v>איילון תגמולים ואישית לפיצויים מסלולית</v>
      </c>
      <c r="V1854" s="1786" t="str">
        <f t="shared" si="317"/>
        <v>520030677</v>
      </c>
      <c r="W1854" s="1789" t="str">
        <f t="shared" si="318"/>
        <v>איילון פנסיה וגמל בע"מ</v>
      </c>
      <c r="AC1854" s="1759" t="s">
        <v>1586</v>
      </c>
      <c r="AD1854" s="1760">
        <v>42744.365671296298</v>
      </c>
      <c r="AE1854" s="1760">
        <v>25934</v>
      </c>
      <c r="AF1854" s="1759" t="s">
        <v>3932</v>
      </c>
      <c r="AG1854" s="1759" t="s">
        <v>3931</v>
      </c>
      <c r="AH1854" s="1759" t="s">
        <v>3658</v>
      </c>
      <c r="AI1854" s="1759" t="s">
        <v>4415</v>
      </c>
      <c r="AJ1854" s="1759" t="s">
        <v>4414</v>
      </c>
      <c r="AK1854" s="1759">
        <v>9855</v>
      </c>
      <c r="AL1854" s="1759" t="s">
        <v>3037</v>
      </c>
      <c r="AM1854" s="1759">
        <v>258</v>
      </c>
      <c r="AN1854" s="1759" t="s">
        <v>5384</v>
      </c>
      <c r="AO1854" s="1764"/>
      <c r="AP1854" s="1759" t="s">
        <v>5385</v>
      </c>
      <c r="AQ1854" s="1759" t="s">
        <v>5386</v>
      </c>
      <c r="AR1854" s="1759" t="s">
        <v>2780</v>
      </c>
      <c r="AS1854" s="1759" t="s">
        <v>426</v>
      </c>
      <c r="AT1854" s="1759" t="s">
        <v>327</v>
      </c>
      <c r="AU1854" s="1763"/>
      <c r="AV1854" s="1763"/>
    </row>
    <row r="1855" spans="1:48" ht="37.5" hidden="1">
      <c r="A1855" s="1785" t="str">
        <f t="shared" si="308"/>
        <v>גמל</v>
      </c>
      <c r="B1855" s="1786">
        <f t="shared" si="309"/>
        <v>725</v>
      </c>
      <c r="C1855" s="1787">
        <v>28946</v>
      </c>
      <c r="D1855" s="1786" t="str">
        <f t="shared" si="310"/>
        <v>הדס ארזים גמל</v>
      </c>
      <c r="E1855" s="1786" t="s">
        <v>3929</v>
      </c>
      <c r="F1855" s="1786" t="s">
        <v>2958</v>
      </c>
      <c r="G1855" s="1786" t="s">
        <v>2959</v>
      </c>
      <c r="H1855" s="1786" t="str">
        <f t="shared" si="311"/>
        <v>לא פעיל</v>
      </c>
      <c r="I1855" s="1788">
        <f t="shared" si="312"/>
        <v>27668</v>
      </c>
      <c r="J1855" s="1788">
        <f t="shared" si="313"/>
        <v>41547.519050925897</v>
      </c>
      <c r="K1855" s="1786">
        <v>0</v>
      </c>
      <c r="L1855" s="1786" t="s">
        <v>1594</v>
      </c>
      <c r="M1855" s="1786" t="s">
        <v>1653</v>
      </c>
      <c r="N1855" s="1786" t="s">
        <v>1653</v>
      </c>
      <c r="O1855" s="1786">
        <v>0</v>
      </c>
      <c r="P1855" s="1786"/>
      <c r="Q1855" s="1786">
        <v>0</v>
      </c>
      <c r="R1855" s="1788"/>
      <c r="S1855" s="1786">
        <f t="shared" si="314"/>
        <v>257</v>
      </c>
      <c r="T1855" s="1786" t="str">
        <f t="shared" si="315"/>
        <v>בנק דיסקונט לישראל בע"מ</v>
      </c>
      <c r="U1855" s="1786" t="str">
        <f t="shared" si="316"/>
        <v>בר יציב הדס ארזים - קופת תגמולים ופיצויים לשכירים ועצמאיים</v>
      </c>
      <c r="V1855" s="1786" t="str">
        <f t="shared" si="317"/>
        <v>513163105</v>
      </c>
      <c r="W1855" s="1789" t="str">
        <f t="shared" si="318"/>
        <v>הלמן - אלדובי קופות גמל ופנסיה בע"מ</v>
      </c>
      <c r="AC1855" s="1761" t="s">
        <v>1586</v>
      </c>
      <c r="AD1855" s="1762">
        <v>41547.519050925897</v>
      </c>
      <c r="AE1855" s="1762">
        <v>27668</v>
      </c>
      <c r="AF1855" s="1761" t="s">
        <v>1583</v>
      </c>
      <c r="AG1855" s="1761" t="s">
        <v>1583</v>
      </c>
      <c r="AH1855" s="1761" t="s">
        <v>1583</v>
      </c>
      <c r="AI1855" s="1761" t="s">
        <v>2003</v>
      </c>
      <c r="AJ1855" s="1761" t="s">
        <v>2003</v>
      </c>
      <c r="AK1855" s="1761">
        <v>725</v>
      </c>
      <c r="AL1855" s="1761" t="s">
        <v>430</v>
      </c>
      <c r="AM1855" s="1761">
        <v>257</v>
      </c>
      <c r="AN1855" s="1761" t="s">
        <v>5535</v>
      </c>
      <c r="AO1855" s="1764"/>
      <c r="AP1855" s="1761" t="s">
        <v>5371</v>
      </c>
      <c r="AQ1855" s="1761" t="s">
        <v>5372</v>
      </c>
      <c r="AR1855" s="1761" t="s">
        <v>354</v>
      </c>
      <c r="AS1855" s="1761" t="s">
        <v>355</v>
      </c>
      <c r="AT1855" s="1761" t="s">
        <v>327</v>
      </c>
      <c r="AU1855" s="1763"/>
      <c r="AV1855" s="1763"/>
    </row>
    <row r="1856" spans="1:48" ht="37.5" hidden="1">
      <c r="A1856" s="1785" t="str">
        <f t="shared" si="308"/>
        <v>גמל</v>
      </c>
      <c r="B1856" s="1786">
        <f t="shared" si="309"/>
        <v>2025</v>
      </c>
      <c r="C1856" s="1787">
        <v>28946</v>
      </c>
      <c r="D1856" s="1786" t="str">
        <f t="shared" si="310"/>
        <v>הדס ארזים אג"ח</v>
      </c>
      <c r="E1856" s="1786" t="s">
        <v>3929</v>
      </c>
      <c r="F1856" s="1786" t="s">
        <v>2958</v>
      </c>
      <c r="G1856" s="1786" t="s">
        <v>2959</v>
      </c>
      <c r="H1856" s="1786" t="str">
        <f t="shared" si="311"/>
        <v>לא פעיל</v>
      </c>
      <c r="I1856" s="1788">
        <f t="shared" si="312"/>
        <v>27668</v>
      </c>
      <c r="J1856" s="1788">
        <f t="shared" si="313"/>
        <v>41547.519050925897</v>
      </c>
      <c r="K1856" s="1786">
        <v>0</v>
      </c>
      <c r="L1856" s="1786" t="s">
        <v>1594</v>
      </c>
      <c r="M1856" s="1786" t="s">
        <v>1653</v>
      </c>
      <c r="N1856" s="1786" t="s">
        <v>1653</v>
      </c>
      <c r="O1856" s="1786">
        <v>0</v>
      </c>
      <c r="P1856" s="1786"/>
      <c r="Q1856" s="1786">
        <v>0</v>
      </c>
      <c r="R1856" s="1788"/>
      <c r="S1856" s="1786">
        <f t="shared" si="314"/>
        <v>257</v>
      </c>
      <c r="T1856" s="1786" t="str">
        <f t="shared" si="315"/>
        <v>בנק דיסקונט לישראל בע"מ</v>
      </c>
      <c r="U1856" s="1786" t="str">
        <f t="shared" si="316"/>
        <v>בר יציב הדס ארזים - קופת תגמולים ופיצויים לשכירים ועצמאיים</v>
      </c>
      <c r="V1856" s="1786" t="str">
        <f t="shared" si="317"/>
        <v>513163105</v>
      </c>
      <c r="W1856" s="1789" t="str">
        <f t="shared" si="318"/>
        <v>הלמן - אלדובי קופות גמל ופנסיה בע"מ</v>
      </c>
      <c r="AC1856" s="1759" t="s">
        <v>1586</v>
      </c>
      <c r="AD1856" s="1760">
        <v>41547.519050925897</v>
      </c>
      <c r="AE1856" s="1760">
        <v>27668</v>
      </c>
      <c r="AF1856" s="1759" t="s">
        <v>1653</v>
      </c>
      <c r="AG1856" s="1759" t="s">
        <v>1653</v>
      </c>
      <c r="AH1856" s="1759" t="s">
        <v>1594</v>
      </c>
      <c r="AI1856" s="1759" t="s">
        <v>2514</v>
      </c>
      <c r="AJ1856" s="1759" t="s">
        <v>2514</v>
      </c>
      <c r="AK1856" s="1759">
        <v>2025</v>
      </c>
      <c r="AL1856" s="1759" t="s">
        <v>430</v>
      </c>
      <c r="AM1856" s="1759">
        <v>257</v>
      </c>
      <c r="AN1856" s="1759" t="s">
        <v>5535</v>
      </c>
      <c r="AO1856" s="1764"/>
      <c r="AP1856" s="1759" t="s">
        <v>5371</v>
      </c>
      <c r="AQ1856" s="1759" t="s">
        <v>5372</v>
      </c>
      <c r="AR1856" s="1759" t="s">
        <v>354</v>
      </c>
      <c r="AS1856" s="1759" t="s">
        <v>355</v>
      </c>
      <c r="AT1856" s="1759" t="s">
        <v>327</v>
      </c>
      <c r="AU1856" s="1763"/>
      <c r="AV1856" s="1763"/>
    </row>
    <row r="1857" spans="1:48" ht="25" hidden="1">
      <c r="A1857" s="1785" t="str">
        <f t="shared" si="308"/>
        <v>גמל</v>
      </c>
      <c r="B1857" s="1786">
        <f t="shared" si="309"/>
        <v>256</v>
      </c>
      <c r="C1857" s="1787">
        <v>28946</v>
      </c>
      <c r="D1857" s="1786" t="str">
        <f t="shared" si="310"/>
        <v>מיטב קרן השפע</v>
      </c>
      <c r="E1857" s="1786" t="s">
        <v>3929</v>
      </c>
      <c r="F1857" s="1786" t="s">
        <v>2958</v>
      </c>
      <c r="G1857" s="1786" t="s">
        <v>2959</v>
      </c>
      <c r="H1857" s="1786" t="str">
        <f t="shared" si="311"/>
        <v>לא פעיל</v>
      </c>
      <c r="I1857" s="1788">
        <f t="shared" si="312"/>
        <v>24659</v>
      </c>
      <c r="J1857" s="1788">
        <f t="shared" si="313"/>
        <v>41283.550636574102</v>
      </c>
      <c r="K1857" s="1786">
        <v>0</v>
      </c>
      <c r="L1857" s="1786" t="s">
        <v>1594</v>
      </c>
      <c r="M1857" s="1786" t="s">
        <v>1653</v>
      </c>
      <c r="N1857" s="1786" t="s">
        <v>1653</v>
      </c>
      <c r="O1857" s="1786">
        <v>0</v>
      </c>
      <c r="P1857" s="1786"/>
      <c r="Q1857" s="1786">
        <v>0</v>
      </c>
      <c r="R1857" s="1788"/>
      <c r="S1857" s="1786">
        <f t="shared" si="314"/>
        <v>256</v>
      </c>
      <c r="T1857" s="1786" t="str">
        <f t="shared" si="315"/>
        <v>הבנק הבינלאומי הראשון</v>
      </c>
      <c r="U1857" s="1786" t="str">
        <f t="shared" si="316"/>
        <v>מיטב קרן השפע</v>
      </c>
      <c r="V1857" s="1786">
        <f t="shared" si="317"/>
        <v>0</v>
      </c>
      <c r="W1857" s="1789" t="str">
        <f t="shared" si="318"/>
        <v>מיטב גמל ופנסיה בע"מ</v>
      </c>
      <c r="AC1857" s="1761" t="s">
        <v>1586</v>
      </c>
      <c r="AD1857" s="1762">
        <v>41283.550636574102</v>
      </c>
      <c r="AE1857" s="1762">
        <v>24659</v>
      </c>
      <c r="AF1857" s="1761" t="s">
        <v>1583</v>
      </c>
      <c r="AG1857" s="1761" t="s">
        <v>1583</v>
      </c>
      <c r="AH1857" s="1761" t="s">
        <v>1583</v>
      </c>
      <c r="AI1857" s="1761" t="s">
        <v>429</v>
      </c>
      <c r="AJ1857" s="1761" t="s">
        <v>429</v>
      </c>
      <c r="AK1857" s="1761">
        <v>256</v>
      </c>
      <c r="AL1857" s="1761" t="s">
        <v>429</v>
      </c>
      <c r="AM1857" s="1761">
        <v>256</v>
      </c>
      <c r="AN1857" s="1761" t="s">
        <v>5384</v>
      </c>
      <c r="AO1857" s="1764"/>
      <c r="AP1857" s="1761"/>
      <c r="AQ1857" s="1761"/>
      <c r="AR1857" s="1761" t="s">
        <v>365</v>
      </c>
      <c r="AS1857" s="1761" t="s">
        <v>366</v>
      </c>
      <c r="AT1857" s="1761" t="s">
        <v>327</v>
      </c>
      <c r="AU1857" s="1763"/>
      <c r="AV1857" s="1763"/>
    </row>
    <row r="1858" spans="1:48" ht="25" hidden="1">
      <c r="A1858" s="1785" t="str">
        <f t="shared" si="308"/>
        <v>גמל</v>
      </c>
      <c r="B1858" s="1786">
        <f t="shared" si="309"/>
        <v>251</v>
      </c>
      <c r="C1858" s="1787">
        <v>28946</v>
      </c>
      <c r="D1858" s="1786" t="str">
        <f t="shared" si="310"/>
        <v>מיטב מרתון גמל</v>
      </c>
      <c r="E1858" s="1786" t="s">
        <v>3929</v>
      </c>
      <c r="F1858" s="1786" t="s">
        <v>2958</v>
      </c>
      <c r="G1858" s="1786" t="s">
        <v>2959</v>
      </c>
      <c r="H1858" s="1786" t="str">
        <f t="shared" si="311"/>
        <v>לא פעיל</v>
      </c>
      <c r="I1858" s="1788">
        <f t="shared" si="312"/>
        <v>24659</v>
      </c>
      <c r="J1858" s="1788">
        <f t="shared" si="313"/>
        <v>41283.541643518503</v>
      </c>
      <c r="K1858" s="1786">
        <v>0</v>
      </c>
      <c r="L1858" s="1786" t="s">
        <v>1594</v>
      </c>
      <c r="M1858" s="1786" t="s">
        <v>1653</v>
      </c>
      <c r="N1858" s="1786" t="s">
        <v>1653</v>
      </c>
      <c r="O1858" s="1786">
        <v>0</v>
      </c>
      <c r="P1858" s="1786"/>
      <c r="Q1858" s="1786">
        <v>0</v>
      </c>
      <c r="R1858" s="1788"/>
      <c r="S1858" s="1786">
        <f t="shared" si="314"/>
        <v>256</v>
      </c>
      <c r="T1858" s="1786" t="str">
        <f t="shared" si="315"/>
        <v>הבנק הבינלאומי הראשון</v>
      </c>
      <c r="U1858" s="1786" t="str">
        <f t="shared" si="316"/>
        <v>מיטב קרן השפע</v>
      </c>
      <c r="V1858" s="1786">
        <f t="shared" si="317"/>
        <v>0</v>
      </c>
      <c r="W1858" s="1789" t="str">
        <f t="shared" si="318"/>
        <v>מיטב גמל ופנסיה בע"מ</v>
      </c>
      <c r="AC1858" s="1759" t="s">
        <v>1586</v>
      </c>
      <c r="AD1858" s="1760">
        <v>41283.541643518503</v>
      </c>
      <c r="AE1858" s="1760">
        <v>24659</v>
      </c>
      <c r="AF1858" s="1759" t="s">
        <v>1583</v>
      </c>
      <c r="AG1858" s="1759" t="s">
        <v>1583</v>
      </c>
      <c r="AH1858" s="1759" t="s">
        <v>1583</v>
      </c>
      <c r="AI1858" s="1759" t="s">
        <v>1704</v>
      </c>
      <c r="AJ1858" s="1759" t="s">
        <v>1704</v>
      </c>
      <c r="AK1858" s="1759">
        <v>251</v>
      </c>
      <c r="AL1858" s="1759" t="s">
        <v>429</v>
      </c>
      <c r="AM1858" s="1759">
        <v>256</v>
      </c>
      <c r="AN1858" s="1759" t="s">
        <v>5384</v>
      </c>
      <c r="AO1858" s="1764"/>
      <c r="AP1858" s="1759"/>
      <c r="AQ1858" s="1759"/>
      <c r="AR1858" s="1759" t="s">
        <v>365</v>
      </c>
      <c r="AS1858" s="1759" t="s">
        <v>366</v>
      </c>
      <c r="AT1858" s="1759" t="s">
        <v>327</v>
      </c>
      <c r="AU1858" s="1763"/>
      <c r="AV1858" s="1763"/>
    </row>
    <row r="1859" spans="1:48" ht="25" hidden="1">
      <c r="A1859" s="1785" t="str">
        <f t="shared" si="308"/>
        <v>גמל</v>
      </c>
      <c r="B1859" s="1786">
        <f t="shared" si="309"/>
        <v>255</v>
      </c>
      <c r="C1859" s="1787">
        <v>28946</v>
      </c>
      <c r="D1859" s="1786" t="str">
        <f t="shared" si="310"/>
        <v>ישיר לפיצויים מקבוצת ביטוח ישיר</v>
      </c>
      <c r="E1859" s="1786" t="s">
        <v>3929</v>
      </c>
      <c r="F1859" s="1786" t="s">
        <v>2958</v>
      </c>
      <c r="G1859" s="1786" t="s">
        <v>2959</v>
      </c>
      <c r="H1859" s="1786" t="str">
        <f t="shared" si="311"/>
        <v>לא פעיל</v>
      </c>
      <c r="I1859" s="1788">
        <f t="shared" si="312"/>
        <v>24108</v>
      </c>
      <c r="J1859" s="1788">
        <f t="shared" si="313"/>
        <v>40542</v>
      </c>
      <c r="K1859" s="1786">
        <v>0</v>
      </c>
      <c r="L1859" s="1786" t="s">
        <v>1594</v>
      </c>
      <c r="M1859" s="1786" t="s">
        <v>1653</v>
      </c>
      <c r="N1859" s="1786" t="s">
        <v>1653</v>
      </c>
      <c r="O1859" s="1786">
        <v>0</v>
      </c>
      <c r="P1859" s="1786"/>
      <c r="Q1859" s="1786">
        <v>0</v>
      </c>
      <c r="R1859" s="1788"/>
      <c r="S1859" s="1786">
        <f t="shared" si="314"/>
        <v>255</v>
      </c>
      <c r="T1859" s="1786" t="str">
        <f t="shared" si="315"/>
        <v>הבנק הבינלאומי הראשון</v>
      </c>
      <c r="U1859" s="1786" t="str">
        <f t="shared" si="316"/>
        <v>ישיר לפיצויים מקבוצת ביטוח ישיר</v>
      </c>
      <c r="V1859" s="1786">
        <f t="shared" si="317"/>
        <v>0</v>
      </c>
      <c r="W1859" s="1789" t="str">
        <f t="shared" si="318"/>
        <v>מיטב ישיר גמל בע"מ</v>
      </c>
      <c r="AC1859" s="1761" t="s">
        <v>1586</v>
      </c>
      <c r="AD1859" s="1762">
        <v>40542</v>
      </c>
      <c r="AE1859" s="1762">
        <v>24108</v>
      </c>
      <c r="AF1859" s="1761" t="s">
        <v>1583</v>
      </c>
      <c r="AG1859" s="1761" t="s">
        <v>1583</v>
      </c>
      <c r="AH1859" s="1761" t="s">
        <v>1583</v>
      </c>
      <c r="AI1859" s="1761" t="s">
        <v>3035</v>
      </c>
      <c r="AJ1859" s="1761" t="s">
        <v>1706</v>
      </c>
      <c r="AK1859" s="1761">
        <v>255</v>
      </c>
      <c r="AL1859" s="1761" t="s">
        <v>1706</v>
      </c>
      <c r="AM1859" s="1761">
        <v>255</v>
      </c>
      <c r="AN1859" s="1761" t="s">
        <v>5384</v>
      </c>
      <c r="AO1859" s="1764"/>
      <c r="AP1859" s="1761"/>
      <c r="AQ1859" s="1761"/>
      <c r="AR1859" s="1761" t="s">
        <v>1589</v>
      </c>
      <c r="AS1859" s="1761" t="s">
        <v>1588</v>
      </c>
      <c r="AT1859" s="1761" t="s">
        <v>327</v>
      </c>
      <c r="AU1859" s="1763"/>
      <c r="AV1859" s="1763"/>
    </row>
    <row r="1860" spans="1:48" ht="25" hidden="1">
      <c r="A1860" s="1785" t="str">
        <f t="shared" si="308"/>
        <v>גמל</v>
      </c>
      <c r="B1860" s="1786">
        <f t="shared" si="309"/>
        <v>254</v>
      </c>
      <c r="C1860" s="1787">
        <v>28946</v>
      </c>
      <c r="D1860" s="1786" t="str">
        <f t="shared" si="310"/>
        <v>ישיר לתגמולים מקבוצת ביטוח ישיר</v>
      </c>
      <c r="E1860" s="1786" t="s">
        <v>3929</v>
      </c>
      <c r="F1860" s="1786" t="s">
        <v>2958</v>
      </c>
      <c r="G1860" s="1786" t="s">
        <v>2959</v>
      </c>
      <c r="H1860" s="1786" t="str">
        <f t="shared" si="311"/>
        <v>לא פעיל</v>
      </c>
      <c r="I1860" s="1788">
        <f t="shared" si="312"/>
        <v>24108</v>
      </c>
      <c r="J1860" s="1788">
        <f t="shared" si="313"/>
        <v>40542</v>
      </c>
      <c r="K1860" s="1786">
        <v>0</v>
      </c>
      <c r="L1860" s="1786" t="s">
        <v>1594</v>
      </c>
      <c r="M1860" s="1786" t="s">
        <v>1653</v>
      </c>
      <c r="N1860" s="1786" t="s">
        <v>1653</v>
      </c>
      <c r="O1860" s="1786">
        <v>0</v>
      </c>
      <c r="P1860" s="1786"/>
      <c r="Q1860" s="1786">
        <v>0</v>
      </c>
      <c r="R1860" s="1788"/>
      <c r="S1860" s="1786">
        <f t="shared" si="314"/>
        <v>254</v>
      </c>
      <c r="T1860" s="1786" t="str">
        <f t="shared" si="315"/>
        <v>הבנק הבינלאומי הראשון</v>
      </c>
      <c r="U1860" s="1786" t="str">
        <f t="shared" si="316"/>
        <v>ישיר לתגמולים מקבוצת ביטוח ישיר</v>
      </c>
      <c r="V1860" s="1786">
        <f t="shared" si="317"/>
        <v>0</v>
      </c>
      <c r="W1860" s="1789" t="str">
        <f t="shared" si="318"/>
        <v>מיטב ישיר גמל בע"מ</v>
      </c>
      <c r="AC1860" s="1759" t="s">
        <v>1586</v>
      </c>
      <c r="AD1860" s="1760">
        <v>40542</v>
      </c>
      <c r="AE1860" s="1760">
        <v>24108</v>
      </c>
      <c r="AF1860" s="1759" t="s">
        <v>1583</v>
      </c>
      <c r="AG1860" s="1759" t="s">
        <v>1583</v>
      </c>
      <c r="AH1860" s="1759" t="s">
        <v>1583</v>
      </c>
      <c r="AI1860" s="1759" t="s">
        <v>3034</v>
      </c>
      <c r="AJ1860" s="1759" t="s">
        <v>1705</v>
      </c>
      <c r="AK1860" s="1759">
        <v>254</v>
      </c>
      <c r="AL1860" s="1759" t="s">
        <v>1705</v>
      </c>
      <c r="AM1860" s="1759">
        <v>254</v>
      </c>
      <c r="AN1860" s="1759" t="s">
        <v>5384</v>
      </c>
      <c r="AO1860" s="1764"/>
      <c r="AP1860" s="1759"/>
      <c r="AQ1860" s="1759"/>
      <c r="AR1860" s="1759" t="s">
        <v>1589</v>
      </c>
      <c r="AS1860" s="1759" t="s">
        <v>1588</v>
      </c>
      <c r="AT1860" s="1759" t="s">
        <v>327</v>
      </c>
      <c r="AU1860" s="1763"/>
      <c r="AV1860" s="1763"/>
    </row>
    <row r="1861" spans="1:48" ht="14" hidden="1">
      <c r="A1861" s="1785" t="str">
        <f t="shared" si="308"/>
        <v>גמל</v>
      </c>
      <c r="B1861" s="1786">
        <f t="shared" si="309"/>
        <v>12541</v>
      </c>
      <c r="C1861" s="1787">
        <v>28946</v>
      </c>
      <c r="D1861" s="1786" t="str">
        <f t="shared" si="310"/>
        <v>כלל תמר אג"ח עד 15% מניות</v>
      </c>
      <c r="E1861" s="1786" t="s">
        <v>3929</v>
      </c>
      <c r="F1861" s="1786" t="s">
        <v>2958</v>
      </c>
      <c r="G1861" s="1786" t="s">
        <v>2959</v>
      </c>
      <c r="H1861" s="1786" t="str">
        <f t="shared" si="311"/>
        <v>פעיל</v>
      </c>
      <c r="I1861" s="1788">
        <f t="shared" si="312"/>
        <v>28946</v>
      </c>
      <c r="J1861" s="1788" t="str">
        <f t="shared" si="313"/>
        <v/>
      </c>
      <c r="K1861" s="1786">
        <v>0</v>
      </c>
      <c r="L1861" s="1786" t="s">
        <v>1594</v>
      </c>
      <c r="M1861" s="1786" t="s">
        <v>1653</v>
      </c>
      <c r="N1861" s="1786" t="s">
        <v>1653</v>
      </c>
      <c r="O1861" s="1786">
        <v>0</v>
      </c>
      <c r="P1861" s="1786"/>
      <c r="Q1861" s="1786">
        <v>0</v>
      </c>
      <c r="R1861" s="1788"/>
      <c r="S1861" s="1786">
        <f t="shared" si="314"/>
        <v>253</v>
      </c>
      <c r="T1861" s="1786" t="str">
        <f t="shared" si="315"/>
        <v>לאומי</v>
      </c>
      <c r="U1861" s="1786" t="str">
        <f t="shared" si="316"/>
        <v>כלל תמר</v>
      </c>
      <c r="V1861" s="1786">
        <f t="shared" si="317"/>
        <v>0</v>
      </c>
      <c r="W1861" s="1789" t="str">
        <f t="shared" si="318"/>
        <v>כלל פנסיה וגמל בע"מ</v>
      </c>
      <c r="AC1861" s="1761" t="s">
        <v>346</v>
      </c>
      <c r="AD1861" s="1761"/>
      <c r="AE1861" s="1762">
        <v>28946</v>
      </c>
      <c r="AF1861" s="1761" t="s">
        <v>3934</v>
      </c>
      <c r="AG1861" s="1761" t="s">
        <v>1653</v>
      </c>
      <c r="AH1861" s="1761" t="s">
        <v>1594</v>
      </c>
      <c r="AI1861" s="1761" t="s">
        <v>5678</v>
      </c>
      <c r="AJ1861" s="1761" t="s">
        <v>5678</v>
      </c>
      <c r="AK1861" s="1761">
        <v>12541</v>
      </c>
      <c r="AL1861" s="1761" t="s">
        <v>428</v>
      </c>
      <c r="AM1861" s="1761">
        <v>253</v>
      </c>
      <c r="AN1861" s="1761" t="s">
        <v>5305</v>
      </c>
      <c r="AO1861" s="1764"/>
      <c r="AP1861" s="1761"/>
      <c r="AQ1861" s="1761"/>
      <c r="AR1861" s="1761" t="s">
        <v>378</v>
      </c>
      <c r="AS1861" s="1761" t="s">
        <v>379</v>
      </c>
      <c r="AT1861" s="1761" t="s">
        <v>327</v>
      </c>
      <c r="AU1861" s="1763"/>
      <c r="AV1861" s="1763"/>
    </row>
    <row r="1862" spans="1:48" ht="14" hidden="1">
      <c r="A1862" s="1785" t="str">
        <f t="shared" si="308"/>
        <v>גמל</v>
      </c>
      <c r="B1862" s="1786">
        <f t="shared" si="309"/>
        <v>9651</v>
      </c>
      <c r="C1862" s="1787">
        <v>28946</v>
      </c>
      <c r="D1862" s="1786" t="str">
        <f t="shared" si="310"/>
        <v>כלל תמר עד 50</v>
      </c>
      <c r="E1862" s="1786" t="s">
        <v>3929</v>
      </c>
      <c r="F1862" s="1786" t="s">
        <v>2958</v>
      </c>
      <c r="G1862" s="1786" t="s">
        <v>2959</v>
      </c>
      <c r="H1862" s="1786" t="str">
        <f t="shared" si="311"/>
        <v>פעיל</v>
      </c>
      <c r="I1862" s="1788">
        <f t="shared" si="312"/>
        <v>28946</v>
      </c>
      <c r="J1862" s="1788" t="str">
        <f t="shared" si="313"/>
        <v/>
      </c>
      <c r="K1862" s="1786">
        <v>0</v>
      </c>
      <c r="L1862" s="1786" t="s">
        <v>1594</v>
      </c>
      <c r="M1862" s="1786" t="s">
        <v>1653</v>
      </c>
      <c r="N1862" s="1786" t="s">
        <v>1653</v>
      </c>
      <c r="O1862" s="1786">
        <v>0</v>
      </c>
      <c r="P1862" s="1786"/>
      <c r="Q1862" s="1786">
        <v>0</v>
      </c>
      <c r="R1862" s="1788"/>
      <c r="S1862" s="1786">
        <f t="shared" si="314"/>
        <v>253</v>
      </c>
      <c r="T1862" s="1786" t="str">
        <f t="shared" si="315"/>
        <v>לאומי</v>
      </c>
      <c r="U1862" s="1786" t="str">
        <f t="shared" si="316"/>
        <v>כלל תמר</v>
      </c>
      <c r="V1862" s="1786">
        <f t="shared" si="317"/>
        <v>0</v>
      </c>
      <c r="W1862" s="1789" t="str">
        <f t="shared" si="318"/>
        <v>כלל פנסיה וגמל בע"מ</v>
      </c>
      <c r="AC1862" s="1759" t="s">
        <v>346</v>
      </c>
      <c r="AD1862" s="1759"/>
      <c r="AE1862" s="1760">
        <v>28946</v>
      </c>
      <c r="AF1862" s="1759" t="s">
        <v>4151</v>
      </c>
      <c r="AG1862" s="1759" t="s">
        <v>3931</v>
      </c>
      <c r="AH1862" s="1759" t="s">
        <v>3658</v>
      </c>
      <c r="AI1862" s="1759" t="s">
        <v>4307</v>
      </c>
      <c r="AJ1862" s="1759" t="s">
        <v>4307</v>
      </c>
      <c r="AK1862" s="1759">
        <v>9651</v>
      </c>
      <c r="AL1862" s="1759" t="s">
        <v>428</v>
      </c>
      <c r="AM1862" s="1759">
        <v>253</v>
      </c>
      <c r="AN1862" s="1759" t="s">
        <v>5305</v>
      </c>
      <c r="AO1862" s="1764"/>
      <c r="AP1862" s="1759"/>
      <c r="AQ1862" s="1759"/>
      <c r="AR1862" s="1759" t="s">
        <v>378</v>
      </c>
      <c r="AS1862" s="1759" t="s">
        <v>379</v>
      </c>
      <c r="AT1862" s="1759" t="s">
        <v>327</v>
      </c>
      <c r="AU1862" s="1763"/>
      <c r="AV1862" s="1763"/>
    </row>
    <row r="1863" spans="1:48" ht="14" hidden="1">
      <c r="A1863" s="1785" t="str">
        <f t="shared" si="308"/>
        <v>גמל</v>
      </c>
      <c r="B1863" s="1786">
        <f t="shared" si="309"/>
        <v>9652</v>
      </c>
      <c r="C1863" s="1787">
        <v>28946</v>
      </c>
      <c r="D1863" s="1786" t="str">
        <f t="shared" si="310"/>
        <v>כלל תמר 50-60</v>
      </c>
      <c r="E1863" s="1786" t="s">
        <v>3929</v>
      </c>
      <c r="F1863" s="1786" t="s">
        <v>2958</v>
      </c>
      <c r="G1863" s="1786" t="s">
        <v>2959</v>
      </c>
      <c r="H1863" s="1786" t="str">
        <f t="shared" si="311"/>
        <v>פעיל</v>
      </c>
      <c r="I1863" s="1788">
        <f t="shared" si="312"/>
        <v>28946</v>
      </c>
      <c r="J1863" s="1788" t="str">
        <f t="shared" si="313"/>
        <v/>
      </c>
      <c r="K1863" s="1786">
        <v>0</v>
      </c>
      <c r="L1863" s="1786" t="s">
        <v>1594</v>
      </c>
      <c r="M1863" s="1786" t="s">
        <v>1653</v>
      </c>
      <c r="N1863" s="1786" t="s">
        <v>1653</v>
      </c>
      <c r="O1863" s="1786">
        <v>0</v>
      </c>
      <c r="P1863" s="1786"/>
      <c r="Q1863" s="1786">
        <v>0</v>
      </c>
      <c r="R1863" s="1788"/>
      <c r="S1863" s="1786">
        <f t="shared" si="314"/>
        <v>253</v>
      </c>
      <c r="T1863" s="1786" t="str">
        <f t="shared" si="315"/>
        <v>לאומי</v>
      </c>
      <c r="U1863" s="1786" t="str">
        <f t="shared" si="316"/>
        <v>כלל תמר</v>
      </c>
      <c r="V1863" s="1786">
        <f t="shared" si="317"/>
        <v>0</v>
      </c>
      <c r="W1863" s="1789" t="str">
        <f t="shared" si="318"/>
        <v>כלל פנסיה וגמל בע"מ</v>
      </c>
      <c r="AC1863" s="1761" t="s">
        <v>346</v>
      </c>
      <c r="AD1863" s="1761"/>
      <c r="AE1863" s="1762">
        <v>28946</v>
      </c>
      <c r="AF1863" s="1761" t="s">
        <v>3932</v>
      </c>
      <c r="AG1863" s="1761" t="s">
        <v>3931</v>
      </c>
      <c r="AH1863" s="1761" t="s">
        <v>3658</v>
      </c>
      <c r="AI1863" s="1761" t="s">
        <v>4308</v>
      </c>
      <c r="AJ1863" s="1761" t="s">
        <v>4308</v>
      </c>
      <c r="AK1863" s="1761">
        <v>9652</v>
      </c>
      <c r="AL1863" s="1761" t="s">
        <v>428</v>
      </c>
      <c r="AM1863" s="1761">
        <v>253</v>
      </c>
      <c r="AN1863" s="1761" t="s">
        <v>5305</v>
      </c>
      <c r="AO1863" s="1764"/>
      <c r="AP1863" s="1761"/>
      <c r="AQ1863" s="1761"/>
      <c r="AR1863" s="1761" t="s">
        <v>378</v>
      </c>
      <c r="AS1863" s="1761" t="s">
        <v>379</v>
      </c>
      <c r="AT1863" s="1761" t="s">
        <v>327</v>
      </c>
      <c r="AU1863" s="1763"/>
      <c r="AV1863" s="1763"/>
    </row>
    <row r="1864" spans="1:48" ht="14" hidden="1">
      <c r="A1864" s="1785" t="str">
        <f t="shared" si="308"/>
        <v>גמל</v>
      </c>
      <c r="B1864" s="1786">
        <f t="shared" si="309"/>
        <v>9653</v>
      </c>
      <c r="C1864" s="1787">
        <v>28946</v>
      </c>
      <c r="D1864" s="1786" t="str">
        <f t="shared" si="310"/>
        <v>כלל תמר 60 ומעלה</v>
      </c>
      <c r="E1864" s="1786" t="s">
        <v>3929</v>
      </c>
      <c r="F1864" s="1786" t="s">
        <v>2958</v>
      </c>
      <c r="G1864" s="1786" t="s">
        <v>2959</v>
      </c>
      <c r="H1864" s="1786" t="str">
        <f t="shared" si="311"/>
        <v>פעיל</v>
      </c>
      <c r="I1864" s="1788">
        <f t="shared" si="312"/>
        <v>28946</v>
      </c>
      <c r="J1864" s="1788" t="str">
        <f t="shared" si="313"/>
        <v/>
      </c>
      <c r="K1864" s="1786">
        <v>0</v>
      </c>
      <c r="L1864" s="1786" t="s">
        <v>1594</v>
      </c>
      <c r="M1864" s="1786" t="s">
        <v>1653</v>
      </c>
      <c r="N1864" s="1786" t="s">
        <v>1653</v>
      </c>
      <c r="O1864" s="1786">
        <v>0</v>
      </c>
      <c r="P1864" s="1786"/>
      <c r="Q1864" s="1786">
        <v>0</v>
      </c>
      <c r="R1864" s="1788"/>
      <c r="S1864" s="1786">
        <f t="shared" si="314"/>
        <v>253</v>
      </c>
      <c r="T1864" s="1786" t="str">
        <f t="shared" si="315"/>
        <v>לאומי</v>
      </c>
      <c r="U1864" s="1786" t="str">
        <f t="shared" si="316"/>
        <v>כלל תמר</v>
      </c>
      <c r="V1864" s="1786">
        <f t="shared" si="317"/>
        <v>0</v>
      </c>
      <c r="W1864" s="1789" t="str">
        <f t="shared" si="318"/>
        <v>כלל פנסיה וגמל בע"מ</v>
      </c>
      <c r="AC1864" s="1759" t="s">
        <v>346</v>
      </c>
      <c r="AD1864" s="1759"/>
      <c r="AE1864" s="1760">
        <v>28946</v>
      </c>
      <c r="AF1864" s="1759" t="s">
        <v>3963</v>
      </c>
      <c r="AG1864" s="1759" t="s">
        <v>3931</v>
      </c>
      <c r="AH1864" s="1759" t="s">
        <v>3658</v>
      </c>
      <c r="AI1864" s="1759" t="s">
        <v>4309</v>
      </c>
      <c r="AJ1864" s="1759" t="s">
        <v>4309</v>
      </c>
      <c r="AK1864" s="1759">
        <v>9653</v>
      </c>
      <c r="AL1864" s="1759" t="s">
        <v>428</v>
      </c>
      <c r="AM1864" s="1759">
        <v>253</v>
      </c>
      <c r="AN1864" s="1759" t="s">
        <v>5305</v>
      </c>
      <c r="AO1864" s="1764"/>
      <c r="AP1864" s="1759"/>
      <c r="AQ1864" s="1759"/>
      <c r="AR1864" s="1759" t="s">
        <v>378</v>
      </c>
      <c r="AS1864" s="1759" t="s">
        <v>379</v>
      </c>
      <c r="AT1864" s="1759" t="s">
        <v>327</v>
      </c>
      <c r="AU1864" s="1763"/>
      <c r="AV1864" s="1763"/>
    </row>
    <row r="1865" spans="1:48" ht="14" hidden="1">
      <c r="A1865" s="1785" t="str">
        <f t="shared" si="308"/>
        <v>גמל</v>
      </c>
      <c r="B1865" s="1786">
        <f t="shared" si="309"/>
        <v>592</v>
      </c>
      <c r="C1865" s="1787">
        <v>28946</v>
      </c>
      <c r="D1865" s="1786" t="str">
        <f t="shared" si="310"/>
        <v>כלל תמר שקלים</v>
      </c>
      <c r="E1865" s="1786" t="s">
        <v>3929</v>
      </c>
      <c r="F1865" s="1786" t="s">
        <v>2958</v>
      </c>
      <c r="G1865" s="1786" t="s">
        <v>2959</v>
      </c>
      <c r="H1865" s="1786" t="str">
        <f t="shared" si="311"/>
        <v>פעיל</v>
      </c>
      <c r="I1865" s="1788">
        <f t="shared" si="312"/>
        <v>28946</v>
      </c>
      <c r="J1865" s="1788" t="str">
        <f t="shared" si="313"/>
        <v/>
      </c>
      <c r="K1865" s="1786">
        <v>0</v>
      </c>
      <c r="L1865" s="1786" t="s">
        <v>1594</v>
      </c>
      <c r="M1865" s="1786" t="s">
        <v>1653</v>
      </c>
      <c r="N1865" s="1786" t="s">
        <v>1653</v>
      </c>
      <c r="O1865" s="1786">
        <v>0</v>
      </c>
      <c r="P1865" s="1786"/>
      <c r="Q1865" s="1786">
        <v>0</v>
      </c>
      <c r="R1865" s="1788"/>
      <c r="S1865" s="1786">
        <f t="shared" si="314"/>
        <v>253</v>
      </c>
      <c r="T1865" s="1786" t="str">
        <f t="shared" si="315"/>
        <v>לאומי</v>
      </c>
      <c r="U1865" s="1786" t="str">
        <f t="shared" si="316"/>
        <v>כלל תמר</v>
      </c>
      <c r="V1865" s="1786">
        <f t="shared" si="317"/>
        <v>0</v>
      </c>
      <c r="W1865" s="1789" t="str">
        <f t="shared" si="318"/>
        <v>כלל פנסיה וגמל בע"מ</v>
      </c>
      <c r="AC1865" s="1761" t="s">
        <v>346</v>
      </c>
      <c r="AD1865" s="1761"/>
      <c r="AE1865" s="1762">
        <v>28946</v>
      </c>
      <c r="AF1865" s="1761" t="s">
        <v>1076</v>
      </c>
      <c r="AG1865" s="1761" t="s">
        <v>1614</v>
      </c>
      <c r="AH1865" s="1761" t="s">
        <v>1594</v>
      </c>
      <c r="AI1865" s="1761" t="s">
        <v>1906</v>
      </c>
      <c r="AJ1865" s="1761" t="s">
        <v>1906</v>
      </c>
      <c r="AK1865" s="1761">
        <v>592</v>
      </c>
      <c r="AL1865" s="1761" t="s">
        <v>428</v>
      </c>
      <c r="AM1865" s="1761">
        <v>253</v>
      </c>
      <c r="AN1865" s="1761" t="s">
        <v>5305</v>
      </c>
      <c r="AO1865" s="1764"/>
      <c r="AP1865" s="1761"/>
      <c r="AQ1865" s="1761"/>
      <c r="AR1865" s="1761" t="s">
        <v>378</v>
      </c>
      <c r="AS1865" s="1761" t="s">
        <v>379</v>
      </c>
      <c r="AT1865" s="1761" t="s">
        <v>327</v>
      </c>
      <c r="AU1865" s="1763"/>
      <c r="AV1865" s="1763"/>
    </row>
    <row r="1866" spans="1:48" ht="14" hidden="1">
      <c r="A1866" s="1785" t="str">
        <f t="shared" si="308"/>
        <v>גמל</v>
      </c>
      <c r="B1866" s="1786">
        <f t="shared" si="309"/>
        <v>1533</v>
      </c>
      <c r="C1866" s="1787">
        <v>28946</v>
      </c>
      <c r="D1866" s="1786" t="str">
        <f t="shared" si="310"/>
        <v>כלל תמר מסלול הלכתי (הוד)</v>
      </c>
      <c r="E1866" s="1786" t="s">
        <v>3929</v>
      </c>
      <c r="F1866" s="1786" t="s">
        <v>2958</v>
      </c>
      <c r="G1866" s="1786" t="s">
        <v>2959</v>
      </c>
      <c r="H1866" s="1786" t="str">
        <f t="shared" si="311"/>
        <v>פעיל</v>
      </c>
      <c r="I1866" s="1788">
        <f t="shared" si="312"/>
        <v>28946</v>
      </c>
      <c r="J1866" s="1788" t="str">
        <f t="shared" si="313"/>
        <v/>
      </c>
      <c r="K1866" s="1786">
        <v>0</v>
      </c>
      <c r="L1866" s="1786" t="s">
        <v>1594</v>
      </c>
      <c r="M1866" s="1786" t="s">
        <v>1653</v>
      </c>
      <c r="N1866" s="1786" t="s">
        <v>1653</v>
      </c>
      <c r="O1866" s="1786">
        <v>0</v>
      </c>
      <c r="P1866" s="1786"/>
      <c r="Q1866" s="1786">
        <v>0</v>
      </c>
      <c r="R1866" s="1788"/>
      <c r="S1866" s="1786">
        <f t="shared" si="314"/>
        <v>253</v>
      </c>
      <c r="T1866" s="1786" t="str">
        <f t="shared" si="315"/>
        <v>לאומי</v>
      </c>
      <c r="U1866" s="1786" t="str">
        <f t="shared" si="316"/>
        <v>כלל תמר</v>
      </c>
      <c r="V1866" s="1786">
        <f t="shared" si="317"/>
        <v>0</v>
      </c>
      <c r="W1866" s="1789" t="str">
        <f t="shared" si="318"/>
        <v>כלל פנסיה וגמל בע"מ</v>
      </c>
      <c r="AC1866" s="1759" t="s">
        <v>346</v>
      </c>
      <c r="AD1866" s="1759"/>
      <c r="AE1866" s="1760">
        <v>28946</v>
      </c>
      <c r="AF1866" s="1759" t="s">
        <v>4603</v>
      </c>
      <c r="AG1866" s="1759" t="s">
        <v>2029</v>
      </c>
      <c r="AH1866" s="1759" t="s">
        <v>2028</v>
      </c>
      <c r="AI1866" s="1759" t="s">
        <v>3678</v>
      </c>
      <c r="AJ1866" s="1759" t="s">
        <v>3678</v>
      </c>
      <c r="AK1866" s="1759">
        <v>1533</v>
      </c>
      <c r="AL1866" s="1759" t="s">
        <v>428</v>
      </c>
      <c r="AM1866" s="1759">
        <v>253</v>
      </c>
      <c r="AN1866" s="1759" t="s">
        <v>5305</v>
      </c>
      <c r="AO1866" s="1764"/>
      <c r="AP1866" s="1759"/>
      <c r="AQ1866" s="1759"/>
      <c r="AR1866" s="1759" t="s">
        <v>378</v>
      </c>
      <c r="AS1866" s="1759" t="s">
        <v>379</v>
      </c>
      <c r="AT1866" s="1759" t="s">
        <v>327</v>
      </c>
      <c r="AU1866" s="1763"/>
      <c r="AV1866" s="1763"/>
    </row>
    <row r="1867" spans="1:48" ht="14" hidden="1">
      <c r="A1867" s="1785" t="str">
        <f t="shared" si="308"/>
        <v>גמל</v>
      </c>
      <c r="B1867" s="1786">
        <f t="shared" si="309"/>
        <v>253</v>
      </c>
      <c r="C1867" s="1787">
        <v>28946</v>
      </c>
      <c r="D1867" s="1786" t="str">
        <f t="shared" si="310"/>
        <v>כלל תמר אג"ח עד 25% מניות</v>
      </c>
      <c r="E1867" s="1786" t="s">
        <v>3929</v>
      </c>
      <c r="F1867" s="1786" t="s">
        <v>2958</v>
      </c>
      <c r="G1867" s="1786" t="s">
        <v>2959</v>
      </c>
      <c r="H1867" s="1786" t="str">
        <f t="shared" si="311"/>
        <v>פעיל</v>
      </c>
      <c r="I1867" s="1788">
        <f t="shared" si="312"/>
        <v>28946</v>
      </c>
      <c r="J1867" s="1788" t="str">
        <f t="shared" si="313"/>
        <v/>
      </c>
      <c r="K1867" s="1786">
        <v>0</v>
      </c>
      <c r="L1867" s="1786" t="s">
        <v>1594</v>
      </c>
      <c r="M1867" s="1786" t="s">
        <v>1653</v>
      </c>
      <c r="N1867" s="1786" t="s">
        <v>1653</v>
      </c>
      <c r="O1867" s="1786">
        <v>0</v>
      </c>
      <c r="P1867" s="1786"/>
      <c r="Q1867" s="1786">
        <v>0</v>
      </c>
      <c r="R1867" s="1788"/>
      <c r="S1867" s="1786">
        <f t="shared" si="314"/>
        <v>253</v>
      </c>
      <c r="T1867" s="1786" t="str">
        <f t="shared" si="315"/>
        <v>לאומי</v>
      </c>
      <c r="U1867" s="1786" t="str">
        <f t="shared" si="316"/>
        <v>כלל תמר</v>
      </c>
      <c r="V1867" s="1786">
        <f t="shared" si="317"/>
        <v>0</v>
      </c>
      <c r="W1867" s="1789" t="str">
        <f t="shared" si="318"/>
        <v>כלל פנסיה וגמל בע"מ</v>
      </c>
      <c r="AC1867" s="1761" t="s">
        <v>346</v>
      </c>
      <c r="AD1867" s="1761"/>
      <c r="AE1867" s="1762">
        <v>28946</v>
      </c>
      <c r="AF1867" s="1761" t="s">
        <v>3934</v>
      </c>
      <c r="AG1867" s="1761" t="s">
        <v>1653</v>
      </c>
      <c r="AH1867" s="1761" t="s">
        <v>1594</v>
      </c>
      <c r="AI1867" s="1761" t="s">
        <v>5679</v>
      </c>
      <c r="AJ1867" s="1761" t="s">
        <v>5680</v>
      </c>
      <c r="AK1867" s="1761">
        <v>253</v>
      </c>
      <c r="AL1867" s="1761" t="s">
        <v>428</v>
      </c>
      <c r="AM1867" s="1761">
        <v>253</v>
      </c>
      <c r="AN1867" s="1761" t="s">
        <v>5305</v>
      </c>
      <c r="AO1867" s="1764"/>
      <c r="AP1867" s="1761"/>
      <c r="AQ1867" s="1761"/>
      <c r="AR1867" s="1761" t="s">
        <v>378</v>
      </c>
      <c r="AS1867" s="1761" t="s">
        <v>379</v>
      </c>
      <c r="AT1867" s="1761" t="s">
        <v>327</v>
      </c>
      <c r="AU1867" s="1763"/>
      <c r="AV1867" s="1763"/>
    </row>
    <row r="1868" spans="1:48" ht="14" hidden="1">
      <c r="A1868" s="1785" t="str">
        <f t="shared" si="308"/>
        <v>גמל</v>
      </c>
      <c r="B1868" s="1786">
        <f t="shared" si="309"/>
        <v>117</v>
      </c>
      <c r="C1868" s="1787">
        <v>28946</v>
      </c>
      <c r="D1868" s="1786" t="str">
        <f t="shared" si="310"/>
        <v xml:space="preserve">כלל תמר אג"ח </v>
      </c>
      <c r="E1868" s="1786" t="s">
        <v>3929</v>
      </c>
      <c r="F1868" s="1786" t="s">
        <v>2958</v>
      </c>
      <c r="G1868" s="1786" t="s">
        <v>2959</v>
      </c>
      <c r="H1868" s="1786" t="str">
        <f t="shared" si="311"/>
        <v>פעיל</v>
      </c>
      <c r="I1868" s="1788">
        <f t="shared" si="312"/>
        <v>28946</v>
      </c>
      <c r="J1868" s="1788" t="str">
        <f t="shared" si="313"/>
        <v/>
      </c>
      <c r="K1868" s="1786">
        <v>0</v>
      </c>
      <c r="L1868" s="1786" t="s">
        <v>1594</v>
      </c>
      <c r="M1868" s="1786" t="s">
        <v>1653</v>
      </c>
      <c r="N1868" s="1786" t="s">
        <v>1653</v>
      </c>
      <c r="O1868" s="1786">
        <v>0</v>
      </c>
      <c r="P1868" s="1786"/>
      <c r="Q1868" s="1786">
        <v>0</v>
      </c>
      <c r="R1868" s="1788"/>
      <c r="S1868" s="1786">
        <f t="shared" si="314"/>
        <v>253</v>
      </c>
      <c r="T1868" s="1786" t="str">
        <f t="shared" si="315"/>
        <v>לאומי</v>
      </c>
      <c r="U1868" s="1786" t="str">
        <f t="shared" si="316"/>
        <v>כלל תמר</v>
      </c>
      <c r="V1868" s="1786">
        <f t="shared" si="317"/>
        <v>0</v>
      </c>
      <c r="W1868" s="1789" t="str">
        <f t="shared" si="318"/>
        <v>כלל פנסיה וגמל בע"מ</v>
      </c>
      <c r="AC1868" s="1759" t="s">
        <v>346</v>
      </c>
      <c r="AD1868" s="1759"/>
      <c r="AE1868" s="1760">
        <v>28946</v>
      </c>
      <c r="AF1868" s="1759" t="s">
        <v>1653</v>
      </c>
      <c r="AG1868" s="1759" t="s">
        <v>1653</v>
      </c>
      <c r="AH1868" s="1759" t="s">
        <v>1594</v>
      </c>
      <c r="AI1868" s="1759" t="s">
        <v>3935</v>
      </c>
      <c r="AJ1868" s="1759" t="s">
        <v>3935</v>
      </c>
      <c r="AK1868" s="1759">
        <v>117</v>
      </c>
      <c r="AL1868" s="1759" t="s">
        <v>428</v>
      </c>
      <c r="AM1868" s="1759">
        <v>253</v>
      </c>
      <c r="AN1868" s="1759" t="s">
        <v>5305</v>
      </c>
      <c r="AO1868" s="1764"/>
      <c r="AP1868" s="1759"/>
      <c r="AQ1868" s="1759"/>
      <c r="AR1868" s="1759" t="s">
        <v>378</v>
      </c>
      <c r="AS1868" s="1759" t="s">
        <v>379</v>
      </c>
      <c r="AT1868" s="1759" t="s">
        <v>327</v>
      </c>
      <c r="AU1868" s="1763"/>
      <c r="AV1868" s="1763"/>
    </row>
    <row r="1869" spans="1:48" ht="14" hidden="1">
      <c r="A1869" s="1785" t="str">
        <f t="shared" si="308"/>
        <v>גמל</v>
      </c>
      <c r="B1869" s="1786">
        <f t="shared" si="309"/>
        <v>124</v>
      </c>
      <c r="C1869" s="1787">
        <v>28946</v>
      </c>
      <c r="D1869" s="1786" t="str">
        <f t="shared" si="310"/>
        <v>כלל תמר מדד</v>
      </c>
      <c r="E1869" s="1786" t="s">
        <v>3929</v>
      </c>
      <c r="F1869" s="1786" t="s">
        <v>2958</v>
      </c>
      <c r="G1869" s="1786" t="s">
        <v>2959</v>
      </c>
      <c r="H1869" s="1786" t="str">
        <f t="shared" si="311"/>
        <v>פעיל</v>
      </c>
      <c r="I1869" s="1788">
        <f t="shared" si="312"/>
        <v>28946</v>
      </c>
      <c r="J1869" s="1788" t="str">
        <f t="shared" si="313"/>
        <v/>
      </c>
      <c r="K1869" s="1786">
        <v>0</v>
      </c>
      <c r="L1869" s="1786" t="s">
        <v>1594</v>
      </c>
      <c r="M1869" s="1786" t="s">
        <v>1653</v>
      </c>
      <c r="N1869" s="1786" t="s">
        <v>1653</v>
      </c>
      <c r="O1869" s="1786">
        <v>0</v>
      </c>
      <c r="P1869" s="1786"/>
      <c r="Q1869" s="1786">
        <v>0</v>
      </c>
      <c r="R1869" s="1788"/>
      <c r="S1869" s="1786">
        <f t="shared" si="314"/>
        <v>253</v>
      </c>
      <c r="T1869" s="1786" t="str">
        <f t="shared" si="315"/>
        <v>לאומי</v>
      </c>
      <c r="U1869" s="1786" t="str">
        <f t="shared" si="316"/>
        <v>כלל תמר</v>
      </c>
      <c r="V1869" s="1786">
        <f t="shared" si="317"/>
        <v>0</v>
      </c>
      <c r="W1869" s="1789" t="str">
        <f t="shared" si="318"/>
        <v>כלל פנסיה וגמל בע"מ</v>
      </c>
      <c r="AC1869" s="1761" t="s">
        <v>346</v>
      </c>
      <c r="AD1869" s="1761"/>
      <c r="AE1869" s="1762">
        <v>28946</v>
      </c>
      <c r="AF1869" s="1761" t="s">
        <v>1094</v>
      </c>
      <c r="AG1869" s="1761" t="s">
        <v>1094</v>
      </c>
      <c r="AH1869" s="1761" t="s">
        <v>1594</v>
      </c>
      <c r="AI1869" s="1761" t="s">
        <v>1607</v>
      </c>
      <c r="AJ1869" s="1761" t="s">
        <v>1607</v>
      </c>
      <c r="AK1869" s="1761">
        <v>124</v>
      </c>
      <c r="AL1869" s="1761" t="s">
        <v>428</v>
      </c>
      <c r="AM1869" s="1761">
        <v>253</v>
      </c>
      <c r="AN1869" s="1761" t="s">
        <v>5305</v>
      </c>
      <c r="AO1869" s="1764"/>
      <c r="AP1869" s="1761"/>
      <c r="AQ1869" s="1761"/>
      <c r="AR1869" s="1761" t="s">
        <v>378</v>
      </c>
      <c r="AS1869" s="1761" t="s">
        <v>379</v>
      </c>
      <c r="AT1869" s="1761" t="s">
        <v>327</v>
      </c>
      <c r="AU1869" s="1763"/>
      <c r="AV1869" s="1763"/>
    </row>
    <row r="1870" spans="1:48" ht="14" hidden="1">
      <c r="A1870" s="1785" t="str">
        <f t="shared" si="308"/>
        <v>גמל</v>
      </c>
      <c r="B1870" s="1786">
        <f t="shared" si="309"/>
        <v>126</v>
      </c>
      <c r="C1870" s="1787">
        <v>28946</v>
      </c>
      <c r="D1870" s="1786" t="str">
        <f t="shared" si="310"/>
        <v>כלל תמר מט"ח</v>
      </c>
      <c r="E1870" s="1786" t="s">
        <v>3929</v>
      </c>
      <c r="F1870" s="1786" t="s">
        <v>2958</v>
      </c>
      <c r="G1870" s="1786" t="s">
        <v>2959</v>
      </c>
      <c r="H1870" s="1786" t="str">
        <f t="shared" si="311"/>
        <v>לא פעיל</v>
      </c>
      <c r="I1870" s="1788">
        <f t="shared" si="312"/>
        <v>28946</v>
      </c>
      <c r="J1870" s="1788">
        <f t="shared" si="313"/>
        <v>42373.475624999999</v>
      </c>
      <c r="K1870" s="1786">
        <v>0</v>
      </c>
      <c r="L1870" s="1786" t="s">
        <v>1594</v>
      </c>
      <c r="M1870" s="1786" t="s">
        <v>1653</v>
      </c>
      <c r="N1870" s="1786" t="s">
        <v>1653</v>
      </c>
      <c r="O1870" s="1786">
        <v>0</v>
      </c>
      <c r="P1870" s="1786"/>
      <c r="Q1870" s="1786">
        <v>0</v>
      </c>
      <c r="R1870" s="1788"/>
      <c r="S1870" s="1786">
        <f t="shared" si="314"/>
        <v>253</v>
      </c>
      <c r="T1870" s="1786" t="str">
        <f t="shared" si="315"/>
        <v>לאומי</v>
      </c>
      <c r="U1870" s="1786" t="str">
        <f t="shared" si="316"/>
        <v>כלל תמר</v>
      </c>
      <c r="V1870" s="1786">
        <f t="shared" si="317"/>
        <v>0</v>
      </c>
      <c r="W1870" s="1789" t="str">
        <f t="shared" si="318"/>
        <v>כלל פנסיה וגמל בע"מ</v>
      </c>
      <c r="AC1870" s="1759" t="s">
        <v>1586</v>
      </c>
      <c r="AD1870" s="1760">
        <v>42373.475624999999</v>
      </c>
      <c r="AE1870" s="1760">
        <v>28946</v>
      </c>
      <c r="AF1870" s="1759" t="s">
        <v>1611</v>
      </c>
      <c r="AG1870" s="1759" t="s">
        <v>1611</v>
      </c>
      <c r="AH1870" s="1759" t="s">
        <v>1594</v>
      </c>
      <c r="AI1870" s="1759" t="s">
        <v>1610</v>
      </c>
      <c r="AJ1870" s="1759" t="s">
        <v>1610</v>
      </c>
      <c r="AK1870" s="1759">
        <v>126</v>
      </c>
      <c r="AL1870" s="1759" t="s">
        <v>428</v>
      </c>
      <c r="AM1870" s="1759">
        <v>253</v>
      </c>
      <c r="AN1870" s="1759" t="s">
        <v>5305</v>
      </c>
      <c r="AO1870" s="1764"/>
      <c r="AP1870" s="1759"/>
      <c r="AQ1870" s="1759"/>
      <c r="AR1870" s="1759" t="s">
        <v>378</v>
      </c>
      <c r="AS1870" s="1759" t="s">
        <v>379</v>
      </c>
      <c r="AT1870" s="1759" t="s">
        <v>327</v>
      </c>
      <c r="AU1870" s="1763"/>
      <c r="AV1870" s="1763"/>
    </row>
    <row r="1871" spans="1:48" ht="14" hidden="1">
      <c r="A1871" s="1785" t="str">
        <f t="shared" si="308"/>
        <v>גמל</v>
      </c>
      <c r="B1871" s="1786">
        <f t="shared" si="309"/>
        <v>127</v>
      </c>
      <c r="C1871" s="1787">
        <v>28946</v>
      </c>
      <c r="D1871" s="1786" t="str">
        <f t="shared" si="310"/>
        <v>כלל תמר מניות</v>
      </c>
      <c r="E1871" s="1786" t="s">
        <v>3929</v>
      </c>
      <c r="F1871" s="1786" t="s">
        <v>2958</v>
      </c>
      <c r="G1871" s="1786" t="s">
        <v>2959</v>
      </c>
      <c r="H1871" s="1786" t="str">
        <f t="shared" si="311"/>
        <v>פעיל</v>
      </c>
      <c r="I1871" s="1788">
        <f t="shared" si="312"/>
        <v>28946</v>
      </c>
      <c r="J1871" s="1788" t="str">
        <f t="shared" si="313"/>
        <v/>
      </c>
      <c r="K1871" s="1786">
        <v>0</v>
      </c>
      <c r="L1871" s="1786" t="s">
        <v>1594</v>
      </c>
      <c r="M1871" s="1786" t="s">
        <v>1653</v>
      </c>
      <c r="N1871" s="1786" t="s">
        <v>1653</v>
      </c>
      <c r="O1871" s="1786">
        <v>0</v>
      </c>
      <c r="P1871" s="1786"/>
      <c r="Q1871" s="1786">
        <v>0</v>
      </c>
      <c r="R1871" s="1788"/>
      <c r="S1871" s="1786">
        <f t="shared" si="314"/>
        <v>253</v>
      </c>
      <c r="T1871" s="1786" t="str">
        <f t="shared" si="315"/>
        <v>לאומי</v>
      </c>
      <c r="U1871" s="1786" t="str">
        <f t="shared" si="316"/>
        <v>כלל תמר</v>
      </c>
      <c r="V1871" s="1786">
        <f t="shared" si="317"/>
        <v>0</v>
      </c>
      <c r="W1871" s="1789" t="str">
        <f t="shared" si="318"/>
        <v>כלל פנסיה וגמל בע"מ</v>
      </c>
      <c r="AC1871" s="1761" t="s">
        <v>346</v>
      </c>
      <c r="AD1871" s="1761"/>
      <c r="AE1871" s="1762">
        <v>28946</v>
      </c>
      <c r="AF1871" s="1761" t="s">
        <v>1595</v>
      </c>
      <c r="AG1871" s="1761" t="s">
        <v>75</v>
      </c>
      <c r="AH1871" s="1761" t="s">
        <v>1594</v>
      </c>
      <c r="AI1871" s="1761" t="s">
        <v>1612</v>
      </c>
      <c r="AJ1871" s="1761" t="s">
        <v>1612</v>
      </c>
      <c r="AK1871" s="1761">
        <v>127</v>
      </c>
      <c r="AL1871" s="1761" t="s">
        <v>428</v>
      </c>
      <c r="AM1871" s="1761">
        <v>253</v>
      </c>
      <c r="AN1871" s="1761" t="s">
        <v>5305</v>
      </c>
      <c r="AO1871" s="1764"/>
      <c r="AP1871" s="1761"/>
      <c r="AQ1871" s="1761"/>
      <c r="AR1871" s="1761" t="s">
        <v>378</v>
      </c>
      <c r="AS1871" s="1761" t="s">
        <v>379</v>
      </c>
      <c r="AT1871" s="1761" t="s">
        <v>327</v>
      </c>
      <c r="AU1871" s="1763"/>
      <c r="AV1871" s="1763"/>
    </row>
    <row r="1872" spans="1:48" ht="14" hidden="1">
      <c r="A1872" s="1785" t="str">
        <f t="shared" si="308"/>
        <v>גמל</v>
      </c>
      <c r="B1872" s="1786">
        <f t="shared" si="309"/>
        <v>128</v>
      </c>
      <c r="C1872" s="1787">
        <v>28946</v>
      </c>
      <c r="D1872" s="1786" t="str">
        <f t="shared" si="310"/>
        <v>כלל תמר שקלי טווח קצר</v>
      </c>
      <c r="E1872" s="1786" t="s">
        <v>3929</v>
      </c>
      <c r="F1872" s="1786" t="s">
        <v>2958</v>
      </c>
      <c r="G1872" s="1786" t="s">
        <v>2959</v>
      </c>
      <c r="H1872" s="1786" t="str">
        <f t="shared" si="311"/>
        <v>פעיל</v>
      </c>
      <c r="I1872" s="1788">
        <f t="shared" si="312"/>
        <v>28946</v>
      </c>
      <c r="J1872" s="1788" t="str">
        <f t="shared" si="313"/>
        <v/>
      </c>
      <c r="K1872" s="1786">
        <v>0</v>
      </c>
      <c r="L1872" s="1786" t="s">
        <v>1594</v>
      </c>
      <c r="M1872" s="1786" t="s">
        <v>1653</v>
      </c>
      <c r="N1872" s="1786" t="s">
        <v>1653</v>
      </c>
      <c r="O1872" s="1786">
        <v>0</v>
      </c>
      <c r="P1872" s="1786"/>
      <c r="Q1872" s="1786">
        <v>0</v>
      </c>
      <c r="R1872" s="1788"/>
      <c r="S1872" s="1786">
        <f t="shared" si="314"/>
        <v>253</v>
      </c>
      <c r="T1872" s="1786" t="str">
        <f t="shared" si="315"/>
        <v>לאומי</v>
      </c>
      <c r="U1872" s="1786" t="str">
        <f t="shared" si="316"/>
        <v>כלל תמר</v>
      </c>
      <c r="V1872" s="1786">
        <f t="shared" si="317"/>
        <v>0</v>
      </c>
      <c r="W1872" s="1789" t="str">
        <f t="shared" si="318"/>
        <v>כלל פנסיה וגמל בע"מ</v>
      </c>
      <c r="AC1872" s="1759" t="s">
        <v>346</v>
      </c>
      <c r="AD1872" s="1759"/>
      <c r="AE1872" s="1760">
        <v>28946</v>
      </c>
      <c r="AF1872" s="1759" t="s">
        <v>1673</v>
      </c>
      <c r="AG1872" s="1759" t="s">
        <v>1614</v>
      </c>
      <c r="AH1872" s="1759" t="s">
        <v>1594</v>
      </c>
      <c r="AI1872" s="1759" t="s">
        <v>1613</v>
      </c>
      <c r="AJ1872" s="1759" t="s">
        <v>1613</v>
      </c>
      <c r="AK1872" s="1759">
        <v>128</v>
      </c>
      <c r="AL1872" s="1759" t="s">
        <v>428</v>
      </c>
      <c r="AM1872" s="1759">
        <v>253</v>
      </c>
      <c r="AN1872" s="1759" t="s">
        <v>5305</v>
      </c>
      <c r="AO1872" s="1764"/>
      <c r="AP1872" s="1759"/>
      <c r="AQ1872" s="1759"/>
      <c r="AR1872" s="1759" t="s">
        <v>378</v>
      </c>
      <c r="AS1872" s="1759" t="s">
        <v>379</v>
      </c>
      <c r="AT1872" s="1759" t="s">
        <v>327</v>
      </c>
      <c r="AU1872" s="1763"/>
      <c r="AV1872" s="1763"/>
    </row>
    <row r="1873" spans="1:48" ht="25" hidden="1">
      <c r="A1873" s="1785" t="str">
        <f t="shared" si="308"/>
        <v>גמל</v>
      </c>
      <c r="B1873" s="1786">
        <f t="shared" si="309"/>
        <v>2034</v>
      </c>
      <c r="C1873" s="1787">
        <v>28946</v>
      </c>
      <c r="D1873" s="1786" t="str">
        <f t="shared" si="310"/>
        <v>כלל תמר אג"ח</v>
      </c>
      <c r="E1873" s="1786" t="s">
        <v>3929</v>
      </c>
      <c r="F1873" s="1786" t="s">
        <v>2958</v>
      </c>
      <c r="G1873" s="1786" t="s">
        <v>2959</v>
      </c>
      <c r="H1873" s="1786" t="str">
        <f t="shared" si="311"/>
        <v>לא פעיל</v>
      </c>
      <c r="I1873" s="1788">
        <f t="shared" si="312"/>
        <v>28946</v>
      </c>
      <c r="J1873" s="1788">
        <f t="shared" si="313"/>
        <v>41655.467303240701</v>
      </c>
      <c r="K1873" s="1786">
        <v>0</v>
      </c>
      <c r="L1873" s="1786" t="s">
        <v>1594</v>
      </c>
      <c r="M1873" s="1786" t="s">
        <v>1653</v>
      </c>
      <c r="N1873" s="1786" t="s">
        <v>1653</v>
      </c>
      <c r="O1873" s="1786">
        <v>0</v>
      </c>
      <c r="P1873" s="1786"/>
      <c r="Q1873" s="1786">
        <v>0</v>
      </c>
      <c r="R1873" s="1788"/>
      <c r="S1873" s="1786">
        <f t="shared" si="314"/>
        <v>253</v>
      </c>
      <c r="T1873" s="1786" t="str">
        <f t="shared" si="315"/>
        <v>בנק דיסקונט לישראל בע"מ</v>
      </c>
      <c r="U1873" s="1786" t="str">
        <f t="shared" si="316"/>
        <v>כלל תמר</v>
      </c>
      <c r="V1873" s="1786">
        <f t="shared" si="317"/>
        <v>0</v>
      </c>
      <c r="W1873" s="1789" t="str">
        <f t="shared" si="318"/>
        <v>כלל פנסיה וגמל בע"מ</v>
      </c>
      <c r="AC1873" s="1761" t="s">
        <v>1586</v>
      </c>
      <c r="AD1873" s="1762">
        <v>41655.467303240701</v>
      </c>
      <c r="AE1873" s="1762">
        <v>28946</v>
      </c>
      <c r="AF1873" s="1761" t="s">
        <v>1653</v>
      </c>
      <c r="AG1873" s="1761" t="s">
        <v>1653</v>
      </c>
      <c r="AH1873" s="1761" t="s">
        <v>1594</v>
      </c>
      <c r="AI1873" s="1761" t="s">
        <v>2523</v>
      </c>
      <c r="AJ1873" s="1761" t="s">
        <v>2523</v>
      </c>
      <c r="AK1873" s="1761">
        <v>2034</v>
      </c>
      <c r="AL1873" s="1761" t="s">
        <v>428</v>
      </c>
      <c r="AM1873" s="1761">
        <v>253</v>
      </c>
      <c r="AN1873" s="1761" t="s">
        <v>5535</v>
      </c>
      <c r="AO1873" s="1764"/>
      <c r="AP1873" s="1761"/>
      <c r="AQ1873" s="1761"/>
      <c r="AR1873" s="1761" t="s">
        <v>378</v>
      </c>
      <c r="AS1873" s="1761" t="s">
        <v>379</v>
      </c>
      <c r="AT1873" s="1761" t="s">
        <v>327</v>
      </c>
      <c r="AU1873" s="1763"/>
      <c r="AV1873" s="1763"/>
    </row>
    <row r="1874" spans="1:48" ht="25" hidden="1">
      <c r="A1874" s="1785" t="str">
        <f t="shared" si="308"/>
        <v>גמל</v>
      </c>
      <c r="B1874" s="1786">
        <f t="shared" si="309"/>
        <v>250</v>
      </c>
      <c r="C1874" s="1787">
        <v>28946</v>
      </c>
      <c r="D1874" s="1786" t="str">
        <f t="shared" si="310"/>
        <v>ישיר פיצויים המלאכה מקבוצת ביטוח ישיר</v>
      </c>
      <c r="E1874" s="1786" t="s">
        <v>3929</v>
      </c>
      <c r="F1874" s="1786" t="s">
        <v>2958</v>
      </c>
      <c r="G1874" s="1786" t="s">
        <v>2959</v>
      </c>
      <c r="H1874" s="1786" t="str">
        <f t="shared" si="311"/>
        <v>לא פעיל</v>
      </c>
      <c r="I1874" s="1788">
        <f t="shared" si="312"/>
        <v>23102</v>
      </c>
      <c r="J1874" s="1788">
        <f t="shared" si="313"/>
        <v>40542</v>
      </c>
      <c r="K1874" s="1786">
        <v>0</v>
      </c>
      <c r="L1874" s="1786" t="s">
        <v>1594</v>
      </c>
      <c r="M1874" s="1786" t="s">
        <v>1653</v>
      </c>
      <c r="N1874" s="1786" t="s">
        <v>1653</v>
      </c>
      <c r="O1874" s="1786">
        <v>0</v>
      </c>
      <c r="P1874" s="1786"/>
      <c r="Q1874" s="1786">
        <v>0</v>
      </c>
      <c r="R1874" s="1788"/>
      <c r="S1874" s="1786">
        <f t="shared" si="314"/>
        <v>250</v>
      </c>
      <c r="T1874" s="1786" t="str">
        <f t="shared" si="315"/>
        <v>הבנק הבינלאומי הראשון</v>
      </c>
      <c r="U1874" s="1786" t="str">
        <f t="shared" si="316"/>
        <v>ישיר פיצויים המלאכה מקבוצת ביטוח ישיר</v>
      </c>
      <c r="V1874" s="1786">
        <f t="shared" si="317"/>
        <v>0</v>
      </c>
      <c r="W1874" s="1789" t="str">
        <f t="shared" si="318"/>
        <v>מיטב ישיר גמל בע"מ</v>
      </c>
      <c r="AC1874" s="1759" t="s">
        <v>1586</v>
      </c>
      <c r="AD1874" s="1760">
        <v>40542</v>
      </c>
      <c r="AE1874" s="1760">
        <v>23102</v>
      </c>
      <c r="AF1874" s="1759" t="s">
        <v>1583</v>
      </c>
      <c r="AG1874" s="1759" t="s">
        <v>1583</v>
      </c>
      <c r="AH1874" s="1759" t="s">
        <v>1583</v>
      </c>
      <c r="AI1874" s="1759" t="s">
        <v>3033</v>
      </c>
      <c r="AJ1874" s="1759" t="s">
        <v>1703</v>
      </c>
      <c r="AK1874" s="1759">
        <v>250</v>
      </c>
      <c r="AL1874" s="1759" t="s">
        <v>1703</v>
      </c>
      <c r="AM1874" s="1759">
        <v>250</v>
      </c>
      <c r="AN1874" s="1759" t="s">
        <v>5384</v>
      </c>
      <c r="AO1874" s="1764"/>
      <c r="AP1874" s="1759"/>
      <c r="AQ1874" s="1759"/>
      <c r="AR1874" s="1759" t="s">
        <v>1589</v>
      </c>
      <c r="AS1874" s="1759" t="s">
        <v>1588</v>
      </c>
      <c r="AT1874" s="1759" t="s">
        <v>327</v>
      </c>
      <c r="AU1874" s="1763"/>
      <c r="AV1874" s="1763"/>
    </row>
    <row r="1875" spans="1:48" ht="25" hidden="1">
      <c r="A1875" s="1785" t="str">
        <f t="shared" si="308"/>
        <v>גמל</v>
      </c>
      <c r="B1875" s="1786">
        <f t="shared" si="309"/>
        <v>249</v>
      </c>
      <c r="C1875" s="1787">
        <v>28946</v>
      </c>
      <c r="D1875" s="1786" t="str">
        <f t="shared" si="310"/>
        <v>הלמן-אלדובי יהבית חסכון</v>
      </c>
      <c r="E1875" s="1786" t="s">
        <v>3929</v>
      </c>
      <c r="F1875" s="1786" t="s">
        <v>2958</v>
      </c>
      <c r="G1875" s="1786" t="s">
        <v>2959</v>
      </c>
      <c r="H1875" s="1786" t="str">
        <f t="shared" si="311"/>
        <v>לא פעיל</v>
      </c>
      <c r="I1875" s="1788">
        <f t="shared" si="312"/>
        <v>24108</v>
      </c>
      <c r="J1875" s="1788">
        <f t="shared" si="313"/>
        <v>40890.624317129601</v>
      </c>
      <c r="K1875" s="1786">
        <v>0</v>
      </c>
      <c r="L1875" s="1786" t="s">
        <v>1594</v>
      </c>
      <c r="M1875" s="1786" t="s">
        <v>1653</v>
      </c>
      <c r="N1875" s="1786" t="s">
        <v>1653</v>
      </c>
      <c r="O1875" s="1786">
        <v>0</v>
      </c>
      <c r="P1875" s="1786"/>
      <c r="Q1875" s="1786">
        <v>0</v>
      </c>
      <c r="R1875" s="1788"/>
      <c r="S1875" s="1786">
        <f t="shared" si="314"/>
        <v>249</v>
      </c>
      <c r="T1875" s="1786" t="str">
        <f t="shared" si="315"/>
        <v>בנק יהב לעובדי המדינה בע"מ</v>
      </c>
      <c r="U1875" s="1786" t="str">
        <f t="shared" si="316"/>
        <v>הלמן-אלדובי יהבית חסכון</v>
      </c>
      <c r="V1875" s="1786" t="str">
        <f t="shared" si="317"/>
        <v>513163105</v>
      </c>
      <c r="W1875" s="1789" t="str">
        <f t="shared" si="318"/>
        <v>הלמן - אלדובי קופות גמל ופנסיה בע"מ</v>
      </c>
      <c r="AC1875" s="1761" t="s">
        <v>1586</v>
      </c>
      <c r="AD1875" s="1762">
        <v>40890.624317129601</v>
      </c>
      <c r="AE1875" s="1762">
        <v>24108</v>
      </c>
      <c r="AF1875" s="1761" t="s">
        <v>1583</v>
      </c>
      <c r="AG1875" s="1761" t="s">
        <v>1583</v>
      </c>
      <c r="AH1875" s="1761" t="s">
        <v>1583</v>
      </c>
      <c r="AI1875" s="1761" t="s">
        <v>1702</v>
      </c>
      <c r="AJ1875" s="1761" t="s">
        <v>1702</v>
      </c>
      <c r="AK1875" s="1761">
        <v>249</v>
      </c>
      <c r="AL1875" s="1761" t="s">
        <v>1702</v>
      </c>
      <c r="AM1875" s="1761">
        <v>249</v>
      </c>
      <c r="AN1875" s="1761" t="s">
        <v>5517</v>
      </c>
      <c r="AO1875" s="1764"/>
      <c r="AP1875" s="1761" t="s">
        <v>5371</v>
      </c>
      <c r="AQ1875" s="1761" t="s">
        <v>5372</v>
      </c>
      <c r="AR1875" s="1761" t="s">
        <v>354</v>
      </c>
      <c r="AS1875" s="1761" t="s">
        <v>355</v>
      </c>
      <c r="AT1875" s="1761" t="s">
        <v>327</v>
      </c>
      <c r="AU1875" s="1763"/>
      <c r="AV1875" s="1763"/>
    </row>
    <row r="1876" spans="1:48" ht="25" hidden="1">
      <c r="A1876" s="1785" t="str">
        <f t="shared" si="308"/>
        <v>גמל</v>
      </c>
      <c r="B1876" s="1786">
        <f t="shared" si="309"/>
        <v>9552</v>
      </c>
      <c r="C1876" s="1787">
        <v>28946</v>
      </c>
      <c r="D1876" s="1786" t="str">
        <f t="shared" si="310"/>
        <v>איילון אגוד תגמולים עד 50</v>
      </c>
      <c r="E1876" s="1786" t="s">
        <v>3929</v>
      </c>
      <c r="F1876" s="1786" t="s">
        <v>2958</v>
      </c>
      <c r="G1876" s="1786" t="s">
        <v>2959</v>
      </c>
      <c r="H1876" s="1786" t="str">
        <f t="shared" si="311"/>
        <v>פעיל</v>
      </c>
      <c r="I1876" s="1788">
        <f t="shared" si="312"/>
        <v>23833</v>
      </c>
      <c r="J1876" s="1788" t="str">
        <f t="shared" si="313"/>
        <v/>
      </c>
      <c r="K1876" s="1786">
        <v>0</v>
      </c>
      <c r="L1876" s="1786" t="s">
        <v>1594</v>
      </c>
      <c r="M1876" s="1786" t="s">
        <v>1653</v>
      </c>
      <c r="N1876" s="1786" t="s">
        <v>1653</v>
      </c>
      <c r="O1876" s="1786">
        <v>0</v>
      </c>
      <c r="P1876" s="1786"/>
      <c r="Q1876" s="1786">
        <v>0</v>
      </c>
      <c r="R1876" s="1788"/>
      <c r="S1876" s="1786">
        <f t="shared" si="314"/>
        <v>247</v>
      </c>
      <c r="T1876" s="1786" t="str">
        <f t="shared" si="315"/>
        <v>הבנק הבינלאומי הראשון</v>
      </c>
      <c r="U1876" s="1786" t="str">
        <f t="shared" si="316"/>
        <v>איילון אגוד תגמולים</v>
      </c>
      <c r="V1876" s="1786" t="str">
        <f t="shared" si="317"/>
        <v>520043795</v>
      </c>
      <c r="W1876" s="1789" t="str">
        <f t="shared" si="318"/>
        <v>מיטב דש גמל ופנסיה בע"מ</v>
      </c>
      <c r="AC1876" s="1759" t="s">
        <v>346</v>
      </c>
      <c r="AD1876" s="1759"/>
      <c r="AE1876" s="1760">
        <v>23833</v>
      </c>
      <c r="AF1876" s="1759" t="s">
        <v>4151</v>
      </c>
      <c r="AG1876" s="1759" t="s">
        <v>3931</v>
      </c>
      <c r="AH1876" s="1759" t="s">
        <v>3658</v>
      </c>
      <c r="AI1876" s="1759" t="s">
        <v>4296</v>
      </c>
      <c r="AJ1876" s="1759" t="s">
        <v>4296</v>
      </c>
      <c r="AK1876" s="1759">
        <v>9552</v>
      </c>
      <c r="AL1876" s="1759" t="s">
        <v>427</v>
      </c>
      <c r="AM1876" s="1759">
        <v>247</v>
      </c>
      <c r="AN1876" s="1759" t="s">
        <v>5384</v>
      </c>
      <c r="AO1876" s="1764"/>
      <c r="AP1876" s="1759" t="s">
        <v>5373</v>
      </c>
      <c r="AQ1876" s="1759" t="s">
        <v>5374</v>
      </c>
      <c r="AR1876" s="1759" t="s">
        <v>2899</v>
      </c>
      <c r="AS1876" s="1759" t="s">
        <v>349</v>
      </c>
      <c r="AT1876" s="1759" t="s">
        <v>327</v>
      </c>
      <c r="AU1876" s="1763"/>
      <c r="AV1876" s="1763"/>
    </row>
    <row r="1877" spans="1:48" ht="25" hidden="1">
      <c r="A1877" s="1785" t="str">
        <f t="shared" si="308"/>
        <v>גמל</v>
      </c>
      <c r="B1877" s="1786">
        <f t="shared" si="309"/>
        <v>9552</v>
      </c>
      <c r="C1877" s="1787">
        <v>28946</v>
      </c>
      <c r="D1877" s="1786" t="str">
        <f t="shared" si="310"/>
        <v>איילון אגוד תגמולים עד 50</v>
      </c>
      <c r="E1877" s="1786" t="s">
        <v>3929</v>
      </c>
      <c r="F1877" s="1786" t="s">
        <v>2958</v>
      </c>
      <c r="G1877" s="1786" t="s">
        <v>2959</v>
      </c>
      <c r="H1877" s="1786" t="str">
        <f t="shared" si="311"/>
        <v>פעיל</v>
      </c>
      <c r="I1877" s="1788">
        <f t="shared" si="312"/>
        <v>23833</v>
      </c>
      <c r="J1877" s="1788" t="str">
        <f t="shared" si="313"/>
        <v/>
      </c>
      <c r="K1877" s="1786">
        <v>0</v>
      </c>
      <c r="L1877" s="1786" t="s">
        <v>1594</v>
      </c>
      <c r="M1877" s="1786" t="s">
        <v>1653</v>
      </c>
      <c r="N1877" s="1786" t="s">
        <v>1653</v>
      </c>
      <c r="O1877" s="1786">
        <v>0</v>
      </c>
      <c r="P1877" s="1786"/>
      <c r="Q1877" s="1786">
        <v>0</v>
      </c>
      <c r="R1877" s="1788"/>
      <c r="S1877" s="1786">
        <f t="shared" si="314"/>
        <v>247</v>
      </c>
      <c r="T1877" s="1786" t="str">
        <f t="shared" si="315"/>
        <v>הבנק הבינלאומי הראשון</v>
      </c>
      <c r="U1877" s="1786" t="str">
        <f t="shared" si="316"/>
        <v>איילון אגוד תגמולים</v>
      </c>
      <c r="V1877" s="1786" t="str">
        <f t="shared" si="317"/>
        <v>520043795</v>
      </c>
      <c r="W1877" s="1789" t="str">
        <f t="shared" si="318"/>
        <v>מיטב דש גמל ופנסיה בע"מ</v>
      </c>
      <c r="AC1877" s="1761" t="s">
        <v>346</v>
      </c>
      <c r="AD1877" s="1759"/>
      <c r="AE1877" s="1762">
        <v>23833</v>
      </c>
      <c r="AF1877" s="1761" t="s">
        <v>4151</v>
      </c>
      <c r="AG1877" s="1761" t="s">
        <v>3931</v>
      </c>
      <c r="AH1877" s="1761" t="s">
        <v>3658</v>
      </c>
      <c r="AI1877" s="1761" t="s">
        <v>4296</v>
      </c>
      <c r="AJ1877" s="1761" t="s">
        <v>4296</v>
      </c>
      <c r="AK1877" s="1761">
        <v>9552</v>
      </c>
      <c r="AL1877" s="1761" t="s">
        <v>427</v>
      </c>
      <c r="AM1877" s="1761">
        <v>247</v>
      </c>
      <c r="AN1877" s="1761" t="s">
        <v>5384</v>
      </c>
      <c r="AO1877" s="1764"/>
      <c r="AP1877" s="1761" t="s">
        <v>5373</v>
      </c>
      <c r="AQ1877" s="1761" t="s">
        <v>5374</v>
      </c>
      <c r="AR1877" s="1761" t="s">
        <v>2899</v>
      </c>
      <c r="AS1877" s="1761" t="s">
        <v>349</v>
      </c>
      <c r="AT1877" s="1761" t="s">
        <v>327</v>
      </c>
      <c r="AU1877" s="1763"/>
      <c r="AV1877" s="1763"/>
    </row>
    <row r="1878" spans="1:48" ht="25" hidden="1">
      <c r="A1878" s="1785" t="str">
        <f t="shared" si="308"/>
        <v>גמל</v>
      </c>
      <c r="B1878" s="1786">
        <f t="shared" si="309"/>
        <v>9553</v>
      </c>
      <c r="C1878" s="1787">
        <v>28946</v>
      </c>
      <c r="D1878" s="1786" t="str">
        <f t="shared" si="310"/>
        <v>איילון אגוד תגמולים 60 ומעלה</v>
      </c>
      <c r="E1878" s="1786" t="s">
        <v>3929</v>
      </c>
      <c r="F1878" s="1786" t="s">
        <v>2958</v>
      </c>
      <c r="G1878" s="1786" t="s">
        <v>2959</v>
      </c>
      <c r="H1878" s="1786" t="str">
        <f t="shared" si="311"/>
        <v>פעיל</v>
      </c>
      <c r="I1878" s="1788">
        <f t="shared" si="312"/>
        <v>23833</v>
      </c>
      <c r="J1878" s="1788" t="str">
        <f t="shared" si="313"/>
        <v/>
      </c>
      <c r="K1878" s="1786">
        <v>0</v>
      </c>
      <c r="L1878" s="1786" t="s">
        <v>1594</v>
      </c>
      <c r="M1878" s="1786" t="s">
        <v>1653</v>
      </c>
      <c r="N1878" s="1786" t="s">
        <v>1653</v>
      </c>
      <c r="O1878" s="1786">
        <v>0</v>
      </c>
      <c r="P1878" s="1786"/>
      <c r="Q1878" s="1786">
        <v>0</v>
      </c>
      <c r="R1878" s="1788"/>
      <c r="S1878" s="1786">
        <f t="shared" si="314"/>
        <v>247</v>
      </c>
      <c r="T1878" s="1786" t="str">
        <f t="shared" si="315"/>
        <v>הבנק הבינלאומי הראשון</v>
      </c>
      <c r="U1878" s="1786" t="str">
        <f t="shared" si="316"/>
        <v>איילון אגוד תגמולים</v>
      </c>
      <c r="V1878" s="1786" t="str">
        <f t="shared" si="317"/>
        <v>520043795</v>
      </c>
      <c r="W1878" s="1789" t="str">
        <f t="shared" si="318"/>
        <v>מיטב דש גמל ופנסיה בע"מ</v>
      </c>
      <c r="AC1878" s="1759" t="s">
        <v>346</v>
      </c>
      <c r="AD1878" s="1759"/>
      <c r="AE1878" s="1760">
        <v>23833</v>
      </c>
      <c r="AF1878" s="1759" t="s">
        <v>3963</v>
      </c>
      <c r="AG1878" s="1759" t="s">
        <v>3931</v>
      </c>
      <c r="AH1878" s="1759" t="s">
        <v>3658</v>
      </c>
      <c r="AI1878" s="1759" t="s">
        <v>4297</v>
      </c>
      <c r="AJ1878" s="1759" t="s">
        <v>4297</v>
      </c>
      <c r="AK1878" s="1759">
        <v>9553</v>
      </c>
      <c r="AL1878" s="1759" t="s">
        <v>427</v>
      </c>
      <c r="AM1878" s="1759">
        <v>247</v>
      </c>
      <c r="AN1878" s="1759" t="s">
        <v>5384</v>
      </c>
      <c r="AO1878" s="1764"/>
      <c r="AP1878" s="1759" t="s">
        <v>5373</v>
      </c>
      <c r="AQ1878" s="1759" t="s">
        <v>5374</v>
      </c>
      <c r="AR1878" s="1759" t="s">
        <v>2899</v>
      </c>
      <c r="AS1878" s="1759" t="s">
        <v>349</v>
      </c>
      <c r="AT1878" s="1759" t="s">
        <v>327</v>
      </c>
      <c r="AU1878" s="1763"/>
      <c r="AV1878" s="1763"/>
    </row>
    <row r="1879" spans="1:48" ht="25" hidden="1">
      <c r="A1879" s="1785" t="str">
        <f t="shared" ref="A1879:A1942" si="319">AT1879</f>
        <v>גמל</v>
      </c>
      <c r="B1879" s="1786">
        <f t="shared" ref="B1879:B1942" si="320">AK1879</f>
        <v>247</v>
      </c>
      <c r="C1879" s="1787">
        <v>28946</v>
      </c>
      <c r="D1879" s="1786" t="str">
        <f t="shared" ref="D1879:D1942" si="321">AJ1879</f>
        <v>איילון אגוד תגמולים מסלול כללי</v>
      </c>
      <c r="E1879" s="1786" t="s">
        <v>3929</v>
      </c>
      <c r="F1879" s="1786" t="s">
        <v>2958</v>
      </c>
      <c r="G1879" s="1786" t="s">
        <v>2959</v>
      </c>
      <c r="H1879" s="1786" t="str">
        <f t="shared" ref="H1879:H1942" si="322">AC1879</f>
        <v>לא פעיל</v>
      </c>
      <c r="I1879" s="1788">
        <f t="shared" ref="I1879:I1942" si="323">IF(AE1879="","",AE1879)</f>
        <v>23833</v>
      </c>
      <c r="J1879" s="1788">
        <f t="shared" ref="J1879:J1942" si="324">IF(AD1879="","",AD1879)</f>
        <v>42373.449583333299</v>
      </c>
      <c r="K1879" s="1786">
        <v>0</v>
      </c>
      <c r="L1879" s="1786" t="s">
        <v>1594</v>
      </c>
      <c r="M1879" s="1786" t="s">
        <v>1653</v>
      </c>
      <c r="N1879" s="1786" t="s">
        <v>1653</v>
      </c>
      <c r="O1879" s="1786">
        <v>0</v>
      </c>
      <c r="P1879" s="1786"/>
      <c r="Q1879" s="1786">
        <v>0</v>
      </c>
      <c r="R1879" s="1788"/>
      <c r="S1879" s="1786">
        <f t="shared" ref="S1879:S1942" si="325">AM1879</f>
        <v>247</v>
      </c>
      <c r="T1879" s="1786" t="str">
        <f t="shared" ref="T1879:T1942" si="326">AN1879</f>
        <v>הבנק הבינלאומי הראשון</v>
      </c>
      <c r="U1879" s="1786" t="str">
        <f t="shared" ref="U1879:U1942" si="327">AL1879</f>
        <v>איילון אגוד תגמולים</v>
      </c>
      <c r="V1879" s="1786" t="str">
        <f t="shared" ref="V1879:V1942" si="328">AQ1879</f>
        <v>520043795</v>
      </c>
      <c r="W1879" s="1789" t="str">
        <f t="shared" ref="W1879:W1942" si="329">AR1879</f>
        <v>מיטב דש גמל ופנסיה בע"מ</v>
      </c>
      <c r="AC1879" s="1761" t="s">
        <v>1586</v>
      </c>
      <c r="AD1879" s="1762">
        <v>42373.449583333299</v>
      </c>
      <c r="AE1879" s="1762">
        <v>23833</v>
      </c>
      <c r="AF1879" s="1761" t="s">
        <v>1583</v>
      </c>
      <c r="AG1879" s="1761" t="s">
        <v>1583</v>
      </c>
      <c r="AH1879" s="1761" t="s">
        <v>1583</v>
      </c>
      <c r="AI1879" s="1761" t="s">
        <v>4516</v>
      </c>
      <c r="AJ1879" s="1761" t="s">
        <v>4516</v>
      </c>
      <c r="AK1879" s="1761">
        <v>247</v>
      </c>
      <c r="AL1879" s="1761" t="s">
        <v>427</v>
      </c>
      <c r="AM1879" s="1761">
        <v>247</v>
      </c>
      <c r="AN1879" s="1761" t="s">
        <v>5384</v>
      </c>
      <c r="AO1879" s="1764"/>
      <c r="AP1879" s="1761" t="s">
        <v>5373</v>
      </c>
      <c r="AQ1879" s="1761" t="s">
        <v>5374</v>
      </c>
      <c r="AR1879" s="1761" t="s">
        <v>2899</v>
      </c>
      <c r="AS1879" s="1761" t="s">
        <v>349</v>
      </c>
      <c r="AT1879" s="1761" t="s">
        <v>327</v>
      </c>
      <c r="AU1879" s="1763"/>
      <c r="AV1879" s="1763"/>
    </row>
    <row r="1880" spans="1:48" ht="25" hidden="1">
      <c r="A1880" s="1785" t="str">
        <f t="shared" si="319"/>
        <v>גמל</v>
      </c>
      <c r="B1880" s="1786">
        <f t="shared" si="320"/>
        <v>9854</v>
      </c>
      <c r="C1880" s="1787">
        <v>28946</v>
      </c>
      <c r="D1880" s="1786" t="str">
        <f t="shared" si="321"/>
        <v>איילון אגוד תגמולים 50 עד 60</v>
      </c>
      <c r="E1880" s="1786" t="s">
        <v>3929</v>
      </c>
      <c r="F1880" s="1786" t="s">
        <v>2958</v>
      </c>
      <c r="G1880" s="1786" t="s">
        <v>2959</v>
      </c>
      <c r="H1880" s="1786" t="str">
        <f t="shared" si="322"/>
        <v>פעיל</v>
      </c>
      <c r="I1880" s="1788">
        <f t="shared" si="323"/>
        <v>23833</v>
      </c>
      <c r="J1880" s="1788" t="str">
        <f t="shared" si="324"/>
        <v/>
      </c>
      <c r="K1880" s="1786">
        <v>0</v>
      </c>
      <c r="L1880" s="1786" t="s">
        <v>1594</v>
      </c>
      <c r="M1880" s="1786" t="s">
        <v>1653</v>
      </c>
      <c r="N1880" s="1786" t="s">
        <v>1653</v>
      </c>
      <c r="O1880" s="1786">
        <v>0</v>
      </c>
      <c r="P1880" s="1786"/>
      <c r="Q1880" s="1786">
        <v>0</v>
      </c>
      <c r="R1880" s="1788"/>
      <c r="S1880" s="1786">
        <f t="shared" si="325"/>
        <v>247</v>
      </c>
      <c r="T1880" s="1786" t="str">
        <f t="shared" si="326"/>
        <v>הבנק הבינלאומי הראשון</v>
      </c>
      <c r="U1880" s="1786" t="str">
        <f t="shared" si="327"/>
        <v>איילון אגוד תגמולים</v>
      </c>
      <c r="V1880" s="1786" t="str">
        <f t="shared" si="328"/>
        <v>520043795</v>
      </c>
      <c r="W1880" s="1789" t="str">
        <f t="shared" si="329"/>
        <v>מיטב דש גמל ופנסיה בע"מ</v>
      </c>
      <c r="AC1880" s="1759" t="s">
        <v>346</v>
      </c>
      <c r="AD1880" s="1759"/>
      <c r="AE1880" s="1760">
        <v>23833</v>
      </c>
      <c r="AF1880" s="1759" t="s">
        <v>3932</v>
      </c>
      <c r="AG1880" s="1759" t="s">
        <v>3931</v>
      </c>
      <c r="AH1880" s="1759" t="s">
        <v>3658</v>
      </c>
      <c r="AI1880" s="1759" t="s">
        <v>4413</v>
      </c>
      <c r="AJ1880" s="1759" t="s">
        <v>4413</v>
      </c>
      <c r="AK1880" s="1759">
        <v>9854</v>
      </c>
      <c r="AL1880" s="1759" t="s">
        <v>427</v>
      </c>
      <c r="AM1880" s="1759">
        <v>247</v>
      </c>
      <c r="AN1880" s="1759" t="s">
        <v>5384</v>
      </c>
      <c r="AO1880" s="1764"/>
      <c r="AP1880" s="1759" t="s">
        <v>5373</v>
      </c>
      <c r="AQ1880" s="1759" t="s">
        <v>5374</v>
      </c>
      <c r="AR1880" s="1759" t="s">
        <v>2899</v>
      </c>
      <c r="AS1880" s="1759" t="s">
        <v>349</v>
      </c>
      <c r="AT1880" s="1759" t="s">
        <v>327</v>
      </c>
      <c r="AU1880" s="1763"/>
      <c r="AV1880" s="1763"/>
    </row>
    <row r="1881" spans="1:48" ht="25" hidden="1">
      <c r="A1881" s="1785" t="str">
        <f t="shared" si="319"/>
        <v>גמל</v>
      </c>
      <c r="B1881" s="1786">
        <f t="shared" si="320"/>
        <v>9854</v>
      </c>
      <c r="C1881" s="1787">
        <v>28946</v>
      </c>
      <c r="D1881" s="1786" t="str">
        <f t="shared" si="321"/>
        <v>איילון אגוד תגמולים 50 עד 60</v>
      </c>
      <c r="E1881" s="1786" t="s">
        <v>3929</v>
      </c>
      <c r="F1881" s="1786" t="s">
        <v>2958</v>
      </c>
      <c r="G1881" s="1786" t="s">
        <v>2959</v>
      </c>
      <c r="H1881" s="1786" t="str">
        <f t="shared" si="322"/>
        <v>פעיל</v>
      </c>
      <c r="I1881" s="1788">
        <f t="shared" si="323"/>
        <v>23833</v>
      </c>
      <c r="J1881" s="1788" t="str">
        <f t="shared" si="324"/>
        <v/>
      </c>
      <c r="K1881" s="1786">
        <v>0</v>
      </c>
      <c r="L1881" s="1786" t="s">
        <v>1594</v>
      </c>
      <c r="M1881" s="1786" t="s">
        <v>1653</v>
      </c>
      <c r="N1881" s="1786" t="s">
        <v>1653</v>
      </c>
      <c r="O1881" s="1786">
        <v>0</v>
      </c>
      <c r="P1881" s="1786"/>
      <c r="Q1881" s="1786">
        <v>0</v>
      </c>
      <c r="R1881" s="1788"/>
      <c r="S1881" s="1786">
        <f t="shared" si="325"/>
        <v>247</v>
      </c>
      <c r="T1881" s="1786" t="str">
        <f t="shared" si="326"/>
        <v>הבנק הבינלאומי הראשון</v>
      </c>
      <c r="U1881" s="1786" t="str">
        <f t="shared" si="327"/>
        <v>איילון אגוד תגמולים</v>
      </c>
      <c r="V1881" s="1786" t="str">
        <f t="shared" si="328"/>
        <v>520043795</v>
      </c>
      <c r="W1881" s="1789" t="str">
        <f t="shared" si="329"/>
        <v>מיטב דש גמל ופנסיה בע"מ</v>
      </c>
      <c r="AC1881" s="1761" t="s">
        <v>346</v>
      </c>
      <c r="AD1881" s="1759"/>
      <c r="AE1881" s="1762">
        <v>23833</v>
      </c>
      <c r="AF1881" s="1761" t="s">
        <v>3932</v>
      </c>
      <c r="AG1881" s="1761" t="s">
        <v>3931</v>
      </c>
      <c r="AH1881" s="1761" t="s">
        <v>3658</v>
      </c>
      <c r="AI1881" s="1761" t="s">
        <v>4413</v>
      </c>
      <c r="AJ1881" s="1761" t="s">
        <v>4413</v>
      </c>
      <c r="AK1881" s="1761">
        <v>9854</v>
      </c>
      <c r="AL1881" s="1761" t="s">
        <v>427</v>
      </c>
      <c r="AM1881" s="1761">
        <v>247</v>
      </c>
      <c r="AN1881" s="1761" t="s">
        <v>5384</v>
      </c>
      <c r="AO1881" s="1764"/>
      <c r="AP1881" s="1761" t="s">
        <v>5373</v>
      </c>
      <c r="AQ1881" s="1761" t="s">
        <v>5374</v>
      </c>
      <c r="AR1881" s="1761" t="s">
        <v>2899</v>
      </c>
      <c r="AS1881" s="1761" t="s">
        <v>349</v>
      </c>
      <c r="AT1881" s="1761" t="s">
        <v>327</v>
      </c>
      <c r="AU1881" s="1763"/>
      <c r="AV1881" s="1763"/>
    </row>
    <row r="1882" spans="1:48" ht="25" hidden="1">
      <c r="A1882" s="1785" t="str">
        <f t="shared" si="319"/>
        <v>גמל</v>
      </c>
      <c r="B1882" s="1786">
        <f t="shared" si="320"/>
        <v>247</v>
      </c>
      <c r="C1882" s="1787">
        <v>28946</v>
      </c>
      <c r="D1882" s="1786" t="str">
        <f t="shared" si="321"/>
        <v>איילון אגוד תגמולים מסלול כללי</v>
      </c>
      <c r="E1882" s="1786" t="s">
        <v>3929</v>
      </c>
      <c r="F1882" s="1786" t="s">
        <v>2958</v>
      </c>
      <c r="G1882" s="1786" t="s">
        <v>2959</v>
      </c>
      <c r="H1882" s="1786" t="str">
        <f t="shared" si="322"/>
        <v>לא פעיל</v>
      </c>
      <c r="I1882" s="1788">
        <f t="shared" si="323"/>
        <v>23833</v>
      </c>
      <c r="J1882" s="1788">
        <f t="shared" si="324"/>
        <v>42373.449583333299</v>
      </c>
      <c r="K1882" s="1786">
        <v>0</v>
      </c>
      <c r="L1882" s="1786" t="s">
        <v>1594</v>
      </c>
      <c r="M1882" s="1786" t="s">
        <v>1653</v>
      </c>
      <c r="N1882" s="1786" t="s">
        <v>1653</v>
      </c>
      <c r="O1882" s="1786">
        <v>0</v>
      </c>
      <c r="P1882" s="1786"/>
      <c r="Q1882" s="1786">
        <v>0</v>
      </c>
      <c r="R1882" s="1788"/>
      <c r="S1882" s="1786">
        <f t="shared" si="325"/>
        <v>247</v>
      </c>
      <c r="T1882" s="1786" t="str">
        <f t="shared" si="326"/>
        <v>הבנק הבינלאומי הראשון</v>
      </c>
      <c r="U1882" s="1786" t="str">
        <f t="shared" si="327"/>
        <v>איילון אגוד תגמולים</v>
      </c>
      <c r="V1882" s="1786" t="str">
        <f t="shared" si="328"/>
        <v>520043795</v>
      </c>
      <c r="W1882" s="1789" t="str">
        <f t="shared" si="329"/>
        <v>מיטב דש גמל ופנסיה בע"מ</v>
      </c>
      <c r="AC1882" s="1759" t="s">
        <v>1586</v>
      </c>
      <c r="AD1882" s="1760">
        <v>42373.449583333299</v>
      </c>
      <c r="AE1882" s="1760">
        <v>23833</v>
      </c>
      <c r="AF1882" s="1759" t="s">
        <v>1583</v>
      </c>
      <c r="AG1882" s="1759" t="s">
        <v>1583</v>
      </c>
      <c r="AH1882" s="1759" t="s">
        <v>1583</v>
      </c>
      <c r="AI1882" s="1759" t="s">
        <v>4516</v>
      </c>
      <c r="AJ1882" s="1759" t="s">
        <v>4516</v>
      </c>
      <c r="AK1882" s="1759">
        <v>247</v>
      </c>
      <c r="AL1882" s="1759" t="s">
        <v>427</v>
      </c>
      <c r="AM1882" s="1759">
        <v>247</v>
      </c>
      <c r="AN1882" s="1759" t="s">
        <v>5384</v>
      </c>
      <c r="AO1882" s="1764"/>
      <c r="AP1882" s="1759" t="s">
        <v>5373</v>
      </c>
      <c r="AQ1882" s="1759" t="s">
        <v>5374</v>
      </c>
      <c r="AR1882" s="1759" t="s">
        <v>2899</v>
      </c>
      <c r="AS1882" s="1759" t="s">
        <v>349</v>
      </c>
      <c r="AT1882" s="1759" t="s">
        <v>327</v>
      </c>
      <c r="AU1882" s="1763"/>
      <c r="AV1882" s="1763"/>
    </row>
    <row r="1883" spans="1:48" ht="25" hidden="1">
      <c r="A1883" s="1785" t="str">
        <f t="shared" si="319"/>
        <v>גמל</v>
      </c>
      <c r="B1883" s="1786">
        <f t="shared" si="320"/>
        <v>9553</v>
      </c>
      <c r="C1883" s="1787">
        <v>28946</v>
      </c>
      <c r="D1883" s="1786" t="str">
        <f t="shared" si="321"/>
        <v>איילון אגוד תגמולים 60 ומעלה</v>
      </c>
      <c r="E1883" s="1786" t="s">
        <v>3929</v>
      </c>
      <c r="F1883" s="1786" t="s">
        <v>2958</v>
      </c>
      <c r="G1883" s="1786" t="s">
        <v>2959</v>
      </c>
      <c r="H1883" s="1786" t="str">
        <f t="shared" si="322"/>
        <v>פעיל</v>
      </c>
      <c r="I1883" s="1788">
        <f t="shared" si="323"/>
        <v>23833</v>
      </c>
      <c r="J1883" s="1788" t="str">
        <f t="shared" si="324"/>
        <v/>
      </c>
      <c r="K1883" s="1786">
        <v>0</v>
      </c>
      <c r="L1883" s="1786" t="s">
        <v>1594</v>
      </c>
      <c r="M1883" s="1786" t="s">
        <v>1653</v>
      </c>
      <c r="N1883" s="1786" t="s">
        <v>1653</v>
      </c>
      <c r="O1883" s="1786">
        <v>0</v>
      </c>
      <c r="P1883" s="1786"/>
      <c r="Q1883" s="1786">
        <v>0</v>
      </c>
      <c r="R1883" s="1788"/>
      <c r="S1883" s="1786">
        <f t="shared" si="325"/>
        <v>247</v>
      </c>
      <c r="T1883" s="1786" t="str">
        <f t="shared" si="326"/>
        <v>הבנק הבינלאומי הראשון</v>
      </c>
      <c r="U1883" s="1786" t="str">
        <f t="shared" si="327"/>
        <v>איילון אגוד תגמולים</v>
      </c>
      <c r="V1883" s="1786" t="str">
        <f t="shared" si="328"/>
        <v>520043795</v>
      </c>
      <c r="W1883" s="1789" t="str">
        <f t="shared" si="329"/>
        <v>מיטב דש גמל ופנסיה בע"מ</v>
      </c>
      <c r="AC1883" s="1761" t="s">
        <v>346</v>
      </c>
      <c r="AD1883" s="1761"/>
      <c r="AE1883" s="1762">
        <v>23833</v>
      </c>
      <c r="AF1883" s="1761" t="s">
        <v>3963</v>
      </c>
      <c r="AG1883" s="1761" t="s">
        <v>3931</v>
      </c>
      <c r="AH1883" s="1761" t="s">
        <v>3658</v>
      </c>
      <c r="AI1883" s="1761" t="s">
        <v>4297</v>
      </c>
      <c r="AJ1883" s="1761" t="s">
        <v>4297</v>
      </c>
      <c r="AK1883" s="1761">
        <v>9553</v>
      </c>
      <c r="AL1883" s="1761" t="s">
        <v>427</v>
      </c>
      <c r="AM1883" s="1761">
        <v>247</v>
      </c>
      <c r="AN1883" s="1761" t="s">
        <v>5384</v>
      </c>
      <c r="AO1883" s="1764"/>
      <c r="AP1883" s="1761" t="s">
        <v>5373</v>
      </c>
      <c r="AQ1883" s="1761" t="s">
        <v>5374</v>
      </c>
      <c r="AR1883" s="1761" t="s">
        <v>2899</v>
      </c>
      <c r="AS1883" s="1761" t="s">
        <v>349</v>
      </c>
      <c r="AT1883" s="1761" t="s">
        <v>327</v>
      </c>
      <c r="AU1883" s="1763"/>
      <c r="AV1883" s="1763"/>
    </row>
    <row r="1884" spans="1:48" ht="37.5" hidden="1">
      <c r="A1884" s="1785" t="str">
        <f t="shared" si="319"/>
        <v>גמל</v>
      </c>
      <c r="B1884" s="1786">
        <f t="shared" si="320"/>
        <v>246</v>
      </c>
      <c r="C1884" s="1787">
        <v>28946</v>
      </c>
      <c r="D1884" s="1786" t="str">
        <f t="shared" si="321"/>
        <v>איילון קופה מרכזית לפיצויים ב</v>
      </c>
      <c r="E1884" s="1786" t="s">
        <v>3929</v>
      </c>
      <c r="F1884" s="1786" t="s">
        <v>2958</v>
      </c>
      <c r="G1884" s="1786" t="s">
        <v>2959</v>
      </c>
      <c r="H1884" s="1786" t="str">
        <f t="shared" si="322"/>
        <v>לא פעיל</v>
      </c>
      <c r="I1884" s="1788">
        <f t="shared" si="323"/>
        <v>24563</v>
      </c>
      <c r="J1884" s="1788">
        <f t="shared" si="324"/>
        <v>40178</v>
      </c>
      <c r="K1884" s="1786">
        <v>0</v>
      </c>
      <c r="L1884" s="1786" t="s">
        <v>1594</v>
      </c>
      <c r="M1884" s="1786" t="s">
        <v>1653</v>
      </c>
      <c r="N1884" s="1786" t="s">
        <v>1653</v>
      </c>
      <c r="O1884" s="1786">
        <v>0</v>
      </c>
      <c r="P1884" s="1786"/>
      <c r="Q1884" s="1786">
        <v>0</v>
      </c>
      <c r="R1884" s="1788"/>
      <c r="S1884" s="1786">
        <f t="shared" si="325"/>
        <v>246</v>
      </c>
      <c r="T1884" s="1786" t="str">
        <f t="shared" si="326"/>
        <v>פיק, כהן ושות' חברה למיכון ומחשבים בע"מ</v>
      </c>
      <c r="U1884" s="1786" t="str">
        <f t="shared" si="327"/>
        <v>איילון קופה מרכזית לפיצויים ב</v>
      </c>
      <c r="V1884" s="1786" t="str">
        <f t="shared" si="328"/>
        <v>520030677</v>
      </c>
      <c r="W1884" s="1789" t="str">
        <f t="shared" si="329"/>
        <v>איילון פנסיה וגמל בע"מ</v>
      </c>
      <c r="AC1884" s="1759" t="s">
        <v>1586</v>
      </c>
      <c r="AD1884" s="1760">
        <v>40178</v>
      </c>
      <c r="AE1884" s="1760">
        <v>24563</v>
      </c>
      <c r="AF1884" s="1759" t="s">
        <v>1583</v>
      </c>
      <c r="AG1884" s="1759" t="s">
        <v>1583</v>
      </c>
      <c r="AH1884" s="1759" t="s">
        <v>1583</v>
      </c>
      <c r="AI1884" s="1759" t="s">
        <v>3032</v>
      </c>
      <c r="AJ1884" s="1759" t="s">
        <v>1700</v>
      </c>
      <c r="AK1884" s="1759">
        <v>246</v>
      </c>
      <c r="AL1884" s="1759" t="s">
        <v>1700</v>
      </c>
      <c r="AM1884" s="1759">
        <v>246</v>
      </c>
      <c r="AN1884" s="1759" t="s">
        <v>5530</v>
      </c>
      <c r="AO1884" s="1764"/>
      <c r="AP1884" s="1759" t="s">
        <v>5385</v>
      </c>
      <c r="AQ1884" s="1759" t="s">
        <v>5386</v>
      </c>
      <c r="AR1884" s="1759" t="s">
        <v>2780</v>
      </c>
      <c r="AS1884" s="1759" t="s">
        <v>426</v>
      </c>
      <c r="AT1884" s="1759" t="s">
        <v>327</v>
      </c>
      <c r="AU1884" s="1763"/>
      <c r="AV1884" s="1763"/>
    </row>
    <row r="1885" spans="1:48" ht="25" hidden="1">
      <c r="A1885" s="1785" t="str">
        <f t="shared" si="319"/>
        <v>גמל</v>
      </c>
      <c r="B1885" s="1786">
        <f t="shared" si="320"/>
        <v>1336</v>
      </c>
      <c r="C1885" s="1787">
        <v>28946</v>
      </c>
      <c r="D1885" s="1786" t="str">
        <f t="shared" si="321"/>
        <v>הראל תעוז מסלול שקלי</v>
      </c>
      <c r="E1885" s="1786" t="s">
        <v>3929</v>
      </c>
      <c r="F1885" s="1786" t="s">
        <v>2958</v>
      </c>
      <c r="G1885" s="1786" t="s">
        <v>2959</v>
      </c>
      <c r="H1885" s="1786" t="str">
        <f t="shared" si="322"/>
        <v>לא פעיל</v>
      </c>
      <c r="I1885" s="1788">
        <f t="shared" si="323"/>
        <v>23833</v>
      </c>
      <c r="J1885" s="1788">
        <f t="shared" si="324"/>
        <v>40909</v>
      </c>
      <c r="K1885" s="1786">
        <v>0</v>
      </c>
      <c r="L1885" s="1786" t="s">
        <v>1594</v>
      </c>
      <c r="M1885" s="1786" t="s">
        <v>1653</v>
      </c>
      <c r="N1885" s="1786" t="s">
        <v>1653</v>
      </c>
      <c r="O1885" s="1786">
        <v>0</v>
      </c>
      <c r="P1885" s="1786"/>
      <c r="Q1885" s="1786">
        <v>0</v>
      </c>
      <c r="R1885" s="1788"/>
      <c r="S1885" s="1786">
        <f t="shared" si="325"/>
        <v>243</v>
      </c>
      <c r="T1885" s="1786" t="str">
        <f t="shared" si="326"/>
        <v>בנק לאומי בע"מ</v>
      </c>
      <c r="U1885" s="1786" t="str">
        <f t="shared" si="327"/>
        <v>הראל - תעוז מסלול כללי</v>
      </c>
      <c r="V1885" s="1786">
        <f t="shared" si="328"/>
        <v>0</v>
      </c>
      <c r="W1885" s="1789" t="str">
        <f t="shared" si="329"/>
        <v>הראל גמל והשתלמות בע"מ</v>
      </c>
      <c r="AC1885" s="1761" t="s">
        <v>1586</v>
      </c>
      <c r="AD1885" s="1762">
        <v>40909</v>
      </c>
      <c r="AE1885" s="1762">
        <v>23833</v>
      </c>
      <c r="AF1885" s="1761" t="s">
        <v>1076</v>
      </c>
      <c r="AG1885" s="1761" t="s">
        <v>1614</v>
      </c>
      <c r="AH1885" s="1761" t="s">
        <v>1594</v>
      </c>
      <c r="AI1885" s="1761" t="s">
        <v>3609</v>
      </c>
      <c r="AJ1885" s="1761" t="s">
        <v>2410</v>
      </c>
      <c r="AK1885" s="1761">
        <v>1336</v>
      </c>
      <c r="AL1885" s="1761" t="s">
        <v>1699</v>
      </c>
      <c r="AM1885" s="1761">
        <v>243</v>
      </c>
      <c r="AN1885" s="1761" t="s">
        <v>5470</v>
      </c>
      <c r="AO1885" s="1764"/>
      <c r="AP1885" s="1761"/>
      <c r="AQ1885" s="1761"/>
      <c r="AR1885" s="1761" t="s">
        <v>344</v>
      </c>
      <c r="AS1885" s="1761" t="s">
        <v>345</v>
      </c>
      <c r="AT1885" s="1761" t="s">
        <v>327</v>
      </c>
      <c r="AU1885" s="1763"/>
      <c r="AV1885" s="1763"/>
    </row>
    <row r="1886" spans="1:48" ht="25" hidden="1">
      <c r="A1886" s="1785" t="str">
        <f t="shared" si="319"/>
        <v>גמל</v>
      </c>
      <c r="B1886" s="1786">
        <f t="shared" si="320"/>
        <v>243</v>
      </c>
      <c r="C1886" s="1787">
        <v>28946</v>
      </c>
      <c r="D1886" s="1786" t="str">
        <f t="shared" si="321"/>
        <v>הראל - תעוז מסלול כללי</v>
      </c>
      <c r="E1886" s="1786" t="s">
        <v>3929</v>
      </c>
      <c r="F1886" s="1786" t="s">
        <v>2958</v>
      </c>
      <c r="G1886" s="1786" t="s">
        <v>2959</v>
      </c>
      <c r="H1886" s="1786" t="str">
        <f t="shared" si="322"/>
        <v>לא פעיל</v>
      </c>
      <c r="I1886" s="1788">
        <f t="shared" si="323"/>
        <v>23833</v>
      </c>
      <c r="J1886" s="1788">
        <f t="shared" si="324"/>
        <v>40909</v>
      </c>
      <c r="K1886" s="1786">
        <v>0</v>
      </c>
      <c r="L1886" s="1786" t="s">
        <v>1594</v>
      </c>
      <c r="M1886" s="1786" t="s">
        <v>1653</v>
      </c>
      <c r="N1886" s="1786" t="s">
        <v>1653</v>
      </c>
      <c r="O1886" s="1786">
        <v>0</v>
      </c>
      <c r="P1886" s="1786"/>
      <c r="Q1886" s="1786">
        <v>0</v>
      </c>
      <c r="R1886" s="1788"/>
      <c r="S1886" s="1786">
        <f t="shared" si="325"/>
        <v>243</v>
      </c>
      <c r="T1886" s="1786" t="str">
        <f t="shared" si="326"/>
        <v>בנק לאומי בע"מ</v>
      </c>
      <c r="U1886" s="1786" t="str">
        <f t="shared" si="327"/>
        <v>הראל - תעוז מסלול כללי</v>
      </c>
      <c r="V1886" s="1786">
        <f t="shared" si="328"/>
        <v>0</v>
      </c>
      <c r="W1886" s="1789" t="str">
        <f t="shared" si="329"/>
        <v>הראל גמל והשתלמות בע"מ</v>
      </c>
      <c r="AC1886" s="1759" t="s">
        <v>1586</v>
      </c>
      <c r="AD1886" s="1760">
        <v>40909</v>
      </c>
      <c r="AE1886" s="1760">
        <v>23833</v>
      </c>
      <c r="AF1886" s="1759" t="s">
        <v>1583</v>
      </c>
      <c r="AG1886" s="1759" t="s">
        <v>1583</v>
      </c>
      <c r="AH1886" s="1759" t="s">
        <v>1583</v>
      </c>
      <c r="AI1886" s="1759" t="s">
        <v>3031</v>
      </c>
      <c r="AJ1886" s="1759" t="s">
        <v>1699</v>
      </c>
      <c r="AK1886" s="1759">
        <v>243</v>
      </c>
      <c r="AL1886" s="1759" t="s">
        <v>1699</v>
      </c>
      <c r="AM1886" s="1759">
        <v>243</v>
      </c>
      <c r="AN1886" s="1759" t="s">
        <v>5470</v>
      </c>
      <c r="AO1886" s="1764"/>
      <c r="AP1886" s="1759"/>
      <c r="AQ1886" s="1759"/>
      <c r="AR1886" s="1759" t="s">
        <v>344</v>
      </c>
      <c r="AS1886" s="1759" t="s">
        <v>345</v>
      </c>
      <c r="AT1886" s="1759" t="s">
        <v>327</v>
      </c>
      <c r="AU1886" s="1763"/>
      <c r="AV1886" s="1763"/>
    </row>
    <row r="1887" spans="1:48" ht="25" hidden="1">
      <c r="A1887" s="1785" t="str">
        <f t="shared" si="319"/>
        <v>גמל</v>
      </c>
      <c r="B1887" s="1786">
        <f t="shared" si="320"/>
        <v>1337</v>
      </c>
      <c r="C1887" s="1787">
        <v>28946</v>
      </c>
      <c r="D1887" s="1786" t="str">
        <f t="shared" si="321"/>
        <v>הראל תעוז מסלול ללא מניות</v>
      </c>
      <c r="E1887" s="1786" t="s">
        <v>3929</v>
      </c>
      <c r="F1887" s="1786" t="s">
        <v>2958</v>
      </c>
      <c r="G1887" s="1786" t="s">
        <v>2959</v>
      </c>
      <c r="H1887" s="1786" t="str">
        <f t="shared" si="322"/>
        <v>לא פעיל</v>
      </c>
      <c r="I1887" s="1788">
        <f t="shared" si="323"/>
        <v>23833</v>
      </c>
      <c r="J1887" s="1788">
        <f t="shared" si="324"/>
        <v>40909</v>
      </c>
      <c r="K1887" s="1786">
        <v>0</v>
      </c>
      <c r="L1887" s="1786" t="s">
        <v>1594</v>
      </c>
      <c r="M1887" s="1786" t="s">
        <v>1653</v>
      </c>
      <c r="N1887" s="1786" t="s">
        <v>1653</v>
      </c>
      <c r="O1887" s="1786">
        <v>0</v>
      </c>
      <c r="P1887" s="1786"/>
      <c r="Q1887" s="1786">
        <v>0</v>
      </c>
      <c r="R1887" s="1788"/>
      <c r="S1887" s="1786">
        <f t="shared" si="325"/>
        <v>243</v>
      </c>
      <c r="T1887" s="1786" t="str">
        <f t="shared" si="326"/>
        <v>בנק לאומי בע"מ</v>
      </c>
      <c r="U1887" s="1786" t="str">
        <f t="shared" si="327"/>
        <v>הראל - תעוז מסלול כללי</v>
      </c>
      <c r="V1887" s="1786">
        <f t="shared" si="328"/>
        <v>0</v>
      </c>
      <c r="W1887" s="1789" t="str">
        <f t="shared" si="329"/>
        <v>הראל גמל והשתלמות בע"מ</v>
      </c>
      <c r="AC1887" s="1761" t="s">
        <v>1586</v>
      </c>
      <c r="AD1887" s="1762">
        <v>40909</v>
      </c>
      <c r="AE1887" s="1762">
        <v>23833</v>
      </c>
      <c r="AF1887" s="1761" t="s">
        <v>1681</v>
      </c>
      <c r="AG1887" s="1761" t="s">
        <v>1583</v>
      </c>
      <c r="AH1887" s="1761" t="s">
        <v>1583</v>
      </c>
      <c r="AI1887" s="1761" t="s">
        <v>3610</v>
      </c>
      <c r="AJ1887" s="1761" t="s">
        <v>2411</v>
      </c>
      <c r="AK1887" s="1761">
        <v>1337</v>
      </c>
      <c r="AL1887" s="1761" t="s">
        <v>1699</v>
      </c>
      <c r="AM1887" s="1761">
        <v>243</v>
      </c>
      <c r="AN1887" s="1761" t="s">
        <v>5470</v>
      </c>
      <c r="AO1887" s="1764"/>
      <c r="AP1887" s="1761"/>
      <c r="AQ1887" s="1761"/>
      <c r="AR1887" s="1761" t="s">
        <v>344</v>
      </c>
      <c r="AS1887" s="1761" t="s">
        <v>345</v>
      </c>
      <c r="AT1887" s="1761" t="s">
        <v>327</v>
      </c>
      <c r="AU1887" s="1763"/>
      <c r="AV1887" s="1763"/>
    </row>
    <row r="1888" spans="1:48" ht="25" hidden="1">
      <c r="A1888" s="1785" t="str">
        <f t="shared" si="319"/>
        <v>גמל</v>
      </c>
      <c r="B1888" s="1786">
        <f t="shared" si="320"/>
        <v>241</v>
      </c>
      <c r="C1888" s="1787">
        <v>28946</v>
      </c>
      <c r="D1888" s="1786" t="str">
        <f t="shared" si="321"/>
        <v>כלל פיצויים למעסיק</v>
      </c>
      <c r="E1888" s="1786" t="s">
        <v>3929</v>
      </c>
      <c r="F1888" s="1786" t="s">
        <v>2958</v>
      </c>
      <c r="G1888" s="1786" t="s">
        <v>2959</v>
      </c>
      <c r="H1888" s="1786" t="str">
        <f t="shared" si="322"/>
        <v>פעיל</v>
      </c>
      <c r="I1888" s="1788">
        <f t="shared" si="323"/>
        <v>23833</v>
      </c>
      <c r="J1888" s="1788" t="str">
        <f t="shared" si="324"/>
        <v/>
      </c>
      <c r="K1888" s="1786">
        <v>0</v>
      </c>
      <c r="L1888" s="1786" t="s">
        <v>1594</v>
      </c>
      <c r="M1888" s="1786" t="s">
        <v>1653</v>
      </c>
      <c r="N1888" s="1786" t="s">
        <v>1653</v>
      </c>
      <c r="O1888" s="1786">
        <v>0</v>
      </c>
      <c r="P1888" s="1786"/>
      <c r="Q1888" s="1786">
        <v>0</v>
      </c>
      <c r="R1888" s="1788"/>
      <c r="S1888" s="1786">
        <f t="shared" si="325"/>
        <v>241</v>
      </c>
      <c r="T1888" s="1786" t="str">
        <f t="shared" si="326"/>
        <v>בנק הפועלים בע"מ</v>
      </c>
      <c r="U1888" s="1786" t="str">
        <f t="shared" si="327"/>
        <v>כלל פיצויים למעסיק</v>
      </c>
      <c r="V1888" s="1786">
        <f t="shared" si="328"/>
        <v>0</v>
      </c>
      <c r="W1888" s="1789" t="str">
        <f t="shared" si="329"/>
        <v>כלל פנסיה וגמל בע"מ</v>
      </c>
      <c r="AC1888" s="1759" t="s">
        <v>346</v>
      </c>
      <c r="AD1888" s="1759"/>
      <c r="AE1888" s="1760">
        <v>23833</v>
      </c>
      <c r="AF1888" s="1759" t="s">
        <v>1583</v>
      </c>
      <c r="AG1888" s="1759" t="s">
        <v>1583</v>
      </c>
      <c r="AH1888" s="1759" t="s">
        <v>1583</v>
      </c>
      <c r="AI1888" s="1759" t="s">
        <v>425</v>
      </c>
      <c r="AJ1888" s="1759" t="s">
        <v>425</v>
      </c>
      <c r="AK1888" s="1759">
        <v>241</v>
      </c>
      <c r="AL1888" s="1759" t="s">
        <v>425</v>
      </c>
      <c r="AM1888" s="1759">
        <v>241</v>
      </c>
      <c r="AN1888" s="1759" t="s">
        <v>1695</v>
      </c>
      <c r="AO1888" s="1764"/>
      <c r="AP1888" s="1759"/>
      <c r="AQ1888" s="1759"/>
      <c r="AR1888" s="1759" t="s">
        <v>378</v>
      </c>
      <c r="AS1888" s="1759" t="s">
        <v>379</v>
      </c>
      <c r="AT1888" s="1759" t="s">
        <v>327</v>
      </c>
      <c r="AU1888" s="1763"/>
      <c r="AV1888" s="1763"/>
    </row>
    <row r="1889" spans="1:48" ht="37.5" hidden="1">
      <c r="A1889" s="1785" t="str">
        <f t="shared" si="319"/>
        <v>גמל</v>
      </c>
      <c r="B1889" s="1786">
        <f t="shared" si="320"/>
        <v>240</v>
      </c>
      <c r="C1889" s="1787">
        <v>28946</v>
      </c>
      <c r="D1889" s="1786" t="str">
        <f t="shared" si="321"/>
        <v>קופה לפיצויים ליד בנק מרכנתיל דיסקונט (1972) בע"מ</v>
      </c>
      <c r="E1889" s="1786" t="s">
        <v>3929</v>
      </c>
      <c r="F1889" s="1786" t="s">
        <v>2958</v>
      </c>
      <c r="G1889" s="1786" t="s">
        <v>2959</v>
      </c>
      <c r="H1889" s="1786" t="str">
        <f t="shared" si="322"/>
        <v>לא פעיל</v>
      </c>
      <c r="I1889" s="1788">
        <f t="shared" si="323"/>
        <v>35431</v>
      </c>
      <c r="J1889" s="1788">
        <f t="shared" si="324"/>
        <v>36516.364699074104</v>
      </c>
      <c r="K1889" s="1786">
        <v>0</v>
      </c>
      <c r="L1889" s="1786" t="s">
        <v>1594</v>
      </c>
      <c r="M1889" s="1786" t="s">
        <v>1653</v>
      </c>
      <c r="N1889" s="1786" t="s">
        <v>1653</v>
      </c>
      <c r="O1889" s="1786">
        <v>0</v>
      </c>
      <c r="P1889" s="1786"/>
      <c r="Q1889" s="1786">
        <v>0</v>
      </c>
      <c r="R1889" s="1788"/>
      <c r="S1889" s="1786">
        <f t="shared" si="325"/>
        <v>240</v>
      </c>
      <c r="T1889" s="1786">
        <f t="shared" si="326"/>
        <v>0</v>
      </c>
      <c r="U1889" s="1786" t="str">
        <f t="shared" si="327"/>
        <v>קופה לפיצויים ליד בנק מרכנתיל דיסקונט (1972) בע"מ</v>
      </c>
      <c r="V1889" s="1786">
        <f t="shared" si="328"/>
        <v>0</v>
      </c>
      <c r="W1889" s="1789" t="str">
        <f t="shared" si="329"/>
        <v>בר יציב - קופות גמל בע"מ</v>
      </c>
      <c r="AC1889" s="1761" t="s">
        <v>1586</v>
      </c>
      <c r="AD1889" s="1762">
        <v>36516.364699074104</v>
      </c>
      <c r="AE1889" s="1762">
        <v>35431</v>
      </c>
      <c r="AF1889" s="1761" t="s">
        <v>1583</v>
      </c>
      <c r="AG1889" s="1761" t="s">
        <v>1583</v>
      </c>
      <c r="AH1889" s="1761" t="s">
        <v>1583</v>
      </c>
      <c r="AI1889" s="1761" t="s">
        <v>3029</v>
      </c>
      <c r="AJ1889" s="1761" t="s">
        <v>1698</v>
      </c>
      <c r="AK1889" s="1761">
        <v>240</v>
      </c>
      <c r="AL1889" s="1761" t="s">
        <v>1698</v>
      </c>
      <c r="AM1889" s="1761">
        <v>240</v>
      </c>
      <c r="AN1889" s="1761"/>
      <c r="AO1889" s="1764"/>
      <c r="AP1889" s="1761"/>
      <c r="AQ1889" s="1761"/>
      <c r="AR1889" s="1761" t="s">
        <v>1690</v>
      </c>
      <c r="AS1889" s="1761" t="s">
        <v>1689</v>
      </c>
      <c r="AT1889" s="1761" t="s">
        <v>327</v>
      </c>
      <c r="AU1889" s="1763"/>
      <c r="AV1889" s="1763"/>
    </row>
    <row r="1890" spans="1:48" ht="25" hidden="1">
      <c r="A1890" s="1785" t="str">
        <f t="shared" si="319"/>
        <v>גמל</v>
      </c>
      <c r="B1890" s="1786">
        <f t="shared" si="320"/>
        <v>239</v>
      </c>
      <c r="C1890" s="1787">
        <v>28946</v>
      </c>
      <c r="D1890" s="1786" t="str">
        <f t="shared" si="321"/>
        <v>קופה כללית לפיצויים</v>
      </c>
      <c r="E1890" s="1786" t="s">
        <v>3929</v>
      </c>
      <c r="F1890" s="1786" t="s">
        <v>2958</v>
      </c>
      <c r="G1890" s="1786" t="s">
        <v>2959</v>
      </c>
      <c r="H1890" s="1786" t="str">
        <f t="shared" si="322"/>
        <v>פעיל</v>
      </c>
      <c r="I1890" s="1788">
        <f t="shared" si="323"/>
        <v>24198</v>
      </c>
      <c r="J1890" s="1788" t="str">
        <f t="shared" si="324"/>
        <v/>
      </c>
      <c r="K1890" s="1786">
        <v>0</v>
      </c>
      <c r="L1890" s="1786" t="s">
        <v>1594</v>
      </c>
      <c r="M1890" s="1786" t="s">
        <v>1653</v>
      </c>
      <c r="N1890" s="1786" t="s">
        <v>1653</v>
      </c>
      <c r="O1890" s="1786">
        <v>0</v>
      </c>
      <c r="P1890" s="1786"/>
      <c r="Q1890" s="1786">
        <v>0</v>
      </c>
      <c r="R1890" s="1788"/>
      <c r="S1890" s="1786">
        <f t="shared" si="325"/>
        <v>239</v>
      </c>
      <c r="T1890" s="1786" t="str">
        <f t="shared" si="326"/>
        <v>בנק דיסקונט לישראל בע"מ</v>
      </c>
      <c r="U1890" s="1786" t="str">
        <f t="shared" si="327"/>
        <v>קופה כללית לפיצויים</v>
      </c>
      <c r="V1890" s="1786">
        <f t="shared" si="328"/>
        <v>0</v>
      </c>
      <c r="W1890" s="1789" t="str">
        <f t="shared" si="329"/>
        <v>כלל פנסיה וגמל בע"מ</v>
      </c>
      <c r="AC1890" s="1759" t="s">
        <v>346</v>
      </c>
      <c r="AD1890" s="1759"/>
      <c r="AE1890" s="1760">
        <v>24198</v>
      </c>
      <c r="AF1890" s="1759" t="s">
        <v>1583</v>
      </c>
      <c r="AG1890" s="1759" t="s">
        <v>1583</v>
      </c>
      <c r="AH1890" s="1759" t="s">
        <v>1583</v>
      </c>
      <c r="AI1890" s="1759" t="s">
        <v>3028</v>
      </c>
      <c r="AJ1890" s="1759" t="s">
        <v>424</v>
      </c>
      <c r="AK1890" s="1759">
        <v>239</v>
      </c>
      <c r="AL1890" s="1759" t="s">
        <v>424</v>
      </c>
      <c r="AM1890" s="1759">
        <v>239</v>
      </c>
      <c r="AN1890" s="1759" t="s">
        <v>5535</v>
      </c>
      <c r="AO1890" s="1764"/>
      <c r="AP1890" s="1759"/>
      <c r="AQ1890" s="1759"/>
      <c r="AR1890" s="1759" t="s">
        <v>378</v>
      </c>
      <c r="AS1890" s="1759" t="s">
        <v>379</v>
      </c>
      <c r="AT1890" s="1759" t="s">
        <v>327</v>
      </c>
      <c r="AU1890" s="1763"/>
      <c r="AV1890" s="1763"/>
    </row>
    <row r="1891" spans="1:48" ht="37.5" hidden="1">
      <c r="A1891" s="1785" t="str">
        <f t="shared" si="319"/>
        <v>גמל</v>
      </c>
      <c r="B1891" s="1786">
        <f t="shared" si="320"/>
        <v>238</v>
      </c>
      <c r="C1891" s="1787">
        <v>28946</v>
      </c>
      <c r="D1891" s="1786" t="str">
        <f t="shared" si="321"/>
        <v>פיצויים לתעש בנלאומי</v>
      </c>
      <c r="E1891" s="1786" t="s">
        <v>3929</v>
      </c>
      <c r="F1891" s="1786" t="s">
        <v>2958</v>
      </c>
      <c r="G1891" s="1786" t="s">
        <v>2959</v>
      </c>
      <c r="H1891" s="1786" t="str">
        <f t="shared" si="322"/>
        <v>לא פעיל</v>
      </c>
      <c r="I1891" s="1788">
        <f t="shared" si="323"/>
        <v>25569</v>
      </c>
      <c r="J1891" s="1788">
        <f t="shared" si="324"/>
        <v>25569</v>
      </c>
      <c r="K1891" s="1786">
        <v>0</v>
      </c>
      <c r="L1891" s="1786" t="s">
        <v>1594</v>
      </c>
      <c r="M1891" s="1786" t="s">
        <v>1653</v>
      </c>
      <c r="N1891" s="1786" t="s">
        <v>1653</v>
      </c>
      <c r="O1891" s="1786">
        <v>0</v>
      </c>
      <c r="P1891" s="1786"/>
      <c r="Q1891" s="1786">
        <v>0</v>
      </c>
      <c r="R1891" s="1788"/>
      <c r="S1891" s="1786">
        <f t="shared" si="325"/>
        <v>238</v>
      </c>
      <c r="T1891" s="1786" t="str">
        <f t="shared" si="326"/>
        <v>בנק לאומי בע"מ</v>
      </c>
      <c r="U1891" s="1786" t="str">
        <f t="shared" si="327"/>
        <v>פיצויים לתעש בנלאומי</v>
      </c>
      <c r="V1891" s="1786">
        <f t="shared" si="328"/>
        <v>0</v>
      </c>
      <c r="W1891" s="1789" t="str">
        <f t="shared" si="329"/>
        <v>קופת התגמולים לעצמאים "עצמה" ליד בל"ל בע"מ</v>
      </c>
      <c r="AC1891" s="1761" t="s">
        <v>1586</v>
      </c>
      <c r="AD1891" s="1762">
        <v>25569</v>
      </c>
      <c r="AE1891" s="1762">
        <v>25569</v>
      </c>
      <c r="AF1891" s="1761" t="s">
        <v>1583</v>
      </c>
      <c r="AG1891" s="1761" t="s">
        <v>1583</v>
      </c>
      <c r="AH1891" s="1761" t="s">
        <v>1583</v>
      </c>
      <c r="AI1891" s="1761" t="s">
        <v>3027</v>
      </c>
      <c r="AJ1891" s="1761" t="s">
        <v>1697</v>
      </c>
      <c r="AK1891" s="1761">
        <v>238</v>
      </c>
      <c r="AL1891" s="1761" t="s">
        <v>1697</v>
      </c>
      <c r="AM1891" s="1761">
        <v>238</v>
      </c>
      <c r="AN1891" s="1761" t="s">
        <v>5470</v>
      </c>
      <c r="AO1891" s="1764"/>
      <c r="AP1891" s="1761"/>
      <c r="AQ1891" s="1761"/>
      <c r="AR1891" s="1761" t="s">
        <v>1661</v>
      </c>
      <c r="AS1891" s="1761" t="s">
        <v>1660</v>
      </c>
      <c r="AT1891" s="1761" t="s">
        <v>327</v>
      </c>
      <c r="AU1891" s="1763"/>
      <c r="AV1891" s="1763"/>
    </row>
    <row r="1892" spans="1:48" ht="25" hidden="1">
      <c r="A1892" s="1785" t="str">
        <f t="shared" si="319"/>
        <v>גמל</v>
      </c>
      <c r="B1892" s="1786">
        <f t="shared" si="320"/>
        <v>1223</v>
      </c>
      <c r="C1892" s="1787">
        <v>28946</v>
      </c>
      <c r="D1892" s="1786" t="str">
        <f t="shared" si="321"/>
        <v>פסגות פיצויים בטא</v>
      </c>
      <c r="E1892" s="1786" t="s">
        <v>3929</v>
      </c>
      <c r="F1892" s="1786" t="s">
        <v>2958</v>
      </c>
      <c r="G1892" s="1786" t="s">
        <v>2959</v>
      </c>
      <c r="H1892" s="1786" t="str">
        <f t="shared" si="322"/>
        <v>פעיל</v>
      </c>
      <c r="I1892" s="1788">
        <f t="shared" si="323"/>
        <v>24198</v>
      </c>
      <c r="J1892" s="1788" t="str">
        <f t="shared" si="324"/>
        <v/>
      </c>
      <c r="K1892" s="1786">
        <v>0</v>
      </c>
      <c r="L1892" s="1786" t="s">
        <v>1594</v>
      </c>
      <c r="M1892" s="1786" t="s">
        <v>1653</v>
      </c>
      <c r="N1892" s="1786" t="s">
        <v>1653</v>
      </c>
      <c r="O1892" s="1786">
        <v>0</v>
      </c>
      <c r="P1892" s="1786"/>
      <c r="Q1892" s="1786">
        <v>0</v>
      </c>
      <c r="R1892" s="1788"/>
      <c r="S1892" s="1786">
        <f t="shared" si="325"/>
        <v>237</v>
      </c>
      <c r="T1892" s="1786" t="str">
        <f t="shared" si="326"/>
        <v>בנק לאומי בע"מ</v>
      </c>
      <c r="U1892" s="1786" t="str">
        <f t="shared" si="327"/>
        <v>פסגות פיצויים כללי</v>
      </c>
      <c r="V1892" s="1786" t="str">
        <f t="shared" si="328"/>
        <v>513767079</v>
      </c>
      <c r="W1892" s="1789" t="str">
        <f t="shared" si="329"/>
        <v>פסגות קופות גמל ופנסיה בע"מ</v>
      </c>
      <c r="AC1892" s="1759" t="s">
        <v>346</v>
      </c>
      <c r="AD1892" s="1759"/>
      <c r="AE1892" s="1760">
        <v>24198</v>
      </c>
      <c r="AF1892" s="1759" t="s">
        <v>1583</v>
      </c>
      <c r="AG1892" s="1759" t="s">
        <v>1583</v>
      </c>
      <c r="AH1892" s="1759" t="s">
        <v>1583</v>
      </c>
      <c r="AI1892" s="1759" t="s">
        <v>2348</v>
      </c>
      <c r="AJ1892" s="1759" t="s">
        <v>2348</v>
      </c>
      <c r="AK1892" s="1759">
        <v>1223</v>
      </c>
      <c r="AL1892" s="1759" t="s">
        <v>423</v>
      </c>
      <c r="AM1892" s="1759">
        <v>237</v>
      </c>
      <c r="AN1892" s="1759" t="s">
        <v>5470</v>
      </c>
      <c r="AO1892" s="1764"/>
      <c r="AP1892" s="1759" t="s">
        <v>5365</v>
      </c>
      <c r="AQ1892" s="1759" t="s">
        <v>5366</v>
      </c>
      <c r="AR1892" s="1759" t="s">
        <v>351</v>
      </c>
      <c r="AS1892" s="1759" t="s">
        <v>352</v>
      </c>
      <c r="AT1892" s="1759" t="s">
        <v>327</v>
      </c>
      <c r="AU1892" s="1763"/>
      <c r="AV1892" s="1763"/>
    </row>
    <row r="1893" spans="1:48" ht="25" hidden="1">
      <c r="A1893" s="1785" t="str">
        <f t="shared" si="319"/>
        <v>גמל</v>
      </c>
      <c r="B1893" s="1786">
        <f t="shared" si="320"/>
        <v>237</v>
      </c>
      <c r="C1893" s="1787">
        <v>28946</v>
      </c>
      <c r="D1893" s="1786" t="str">
        <f t="shared" si="321"/>
        <v>פסגות פיצויים כללי</v>
      </c>
      <c r="E1893" s="1786" t="s">
        <v>3929</v>
      </c>
      <c r="F1893" s="1786" t="s">
        <v>2958</v>
      </c>
      <c r="G1893" s="1786" t="s">
        <v>2959</v>
      </c>
      <c r="H1893" s="1786" t="str">
        <f t="shared" si="322"/>
        <v>פעיל</v>
      </c>
      <c r="I1893" s="1788">
        <f t="shared" si="323"/>
        <v>24198</v>
      </c>
      <c r="J1893" s="1788" t="str">
        <f t="shared" si="324"/>
        <v/>
      </c>
      <c r="K1893" s="1786">
        <v>0</v>
      </c>
      <c r="L1893" s="1786" t="s">
        <v>1594</v>
      </c>
      <c r="M1893" s="1786" t="s">
        <v>1653</v>
      </c>
      <c r="N1893" s="1786" t="s">
        <v>1653</v>
      </c>
      <c r="O1893" s="1786">
        <v>0</v>
      </c>
      <c r="P1893" s="1786"/>
      <c r="Q1893" s="1786">
        <v>0</v>
      </c>
      <c r="R1893" s="1788"/>
      <c r="S1893" s="1786">
        <f t="shared" si="325"/>
        <v>237</v>
      </c>
      <c r="T1893" s="1786" t="str">
        <f t="shared" si="326"/>
        <v>בנק לאומי בע"מ</v>
      </c>
      <c r="U1893" s="1786" t="str">
        <f t="shared" si="327"/>
        <v>פסגות פיצויים כללי</v>
      </c>
      <c r="V1893" s="1786" t="str">
        <f t="shared" si="328"/>
        <v>513767079</v>
      </c>
      <c r="W1893" s="1789" t="str">
        <f t="shared" si="329"/>
        <v>פסגות קופות גמל ופנסיה בע"מ</v>
      </c>
      <c r="AC1893" s="1761" t="s">
        <v>346</v>
      </c>
      <c r="AD1893" s="1759"/>
      <c r="AE1893" s="1762">
        <v>24198</v>
      </c>
      <c r="AF1893" s="1761" t="s">
        <v>1583</v>
      </c>
      <c r="AG1893" s="1761" t="s">
        <v>1583</v>
      </c>
      <c r="AH1893" s="1761" t="s">
        <v>1583</v>
      </c>
      <c r="AI1893" s="1761" t="s">
        <v>423</v>
      </c>
      <c r="AJ1893" s="1761" t="s">
        <v>423</v>
      </c>
      <c r="AK1893" s="1761">
        <v>237</v>
      </c>
      <c r="AL1893" s="1761" t="s">
        <v>423</v>
      </c>
      <c r="AM1893" s="1761">
        <v>237</v>
      </c>
      <c r="AN1893" s="1761" t="s">
        <v>5470</v>
      </c>
      <c r="AO1893" s="1764"/>
      <c r="AP1893" s="1761" t="s">
        <v>5365</v>
      </c>
      <c r="AQ1893" s="1761" t="s">
        <v>5366</v>
      </c>
      <c r="AR1893" s="1761" t="s">
        <v>351</v>
      </c>
      <c r="AS1893" s="1761" t="s">
        <v>352</v>
      </c>
      <c r="AT1893" s="1761" t="s">
        <v>327</v>
      </c>
      <c r="AU1893" s="1763"/>
      <c r="AV1893" s="1763"/>
    </row>
    <row r="1894" spans="1:48" ht="25" hidden="1">
      <c r="A1894" s="1785" t="str">
        <f t="shared" si="319"/>
        <v>גמל</v>
      </c>
      <c r="B1894" s="1786">
        <f t="shared" si="320"/>
        <v>1225</v>
      </c>
      <c r="C1894" s="1787">
        <v>28946</v>
      </c>
      <c r="D1894" s="1786" t="str">
        <f t="shared" si="321"/>
        <v xml:space="preserve">פסגות פיצויים אג"ח </v>
      </c>
      <c r="E1894" s="1786" t="s">
        <v>3929</v>
      </c>
      <c r="F1894" s="1786" t="s">
        <v>2958</v>
      </c>
      <c r="G1894" s="1786" t="s">
        <v>2959</v>
      </c>
      <c r="H1894" s="1786" t="str">
        <f t="shared" si="322"/>
        <v>פעיל</v>
      </c>
      <c r="I1894" s="1788">
        <f t="shared" si="323"/>
        <v>24198</v>
      </c>
      <c r="J1894" s="1788" t="str">
        <f t="shared" si="324"/>
        <v/>
      </c>
      <c r="K1894" s="1786">
        <v>0</v>
      </c>
      <c r="L1894" s="1786" t="s">
        <v>1594</v>
      </c>
      <c r="M1894" s="1786" t="s">
        <v>1653</v>
      </c>
      <c r="N1894" s="1786" t="s">
        <v>1653</v>
      </c>
      <c r="O1894" s="1786">
        <v>0</v>
      </c>
      <c r="P1894" s="1786"/>
      <c r="Q1894" s="1786">
        <v>0</v>
      </c>
      <c r="R1894" s="1788"/>
      <c r="S1894" s="1786">
        <f t="shared" si="325"/>
        <v>237</v>
      </c>
      <c r="T1894" s="1786" t="str">
        <f t="shared" si="326"/>
        <v>בנק לאומי בע"מ</v>
      </c>
      <c r="U1894" s="1786" t="str">
        <f t="shared" si="327"/>
        <v>פסגות פיצויים כללי</v>
      </c>
      <c r="V1894" s="1786" t="str">
        <f t="shared" si="328"/>
        <v>513767079</v>
      </c>
      <c r="W1894" s="1789" t="str">
        <f t="shared" si="329"/>
        <v>פסגות קופות גמל ופנסיה בע"מ</v>
      </c>
      <c r="AC1894" s="1759" t="s">
        <v>346</v>
      </c>
      <c r="AD1894" s="1759"/>
      <c r="AE1894" s="1760">
        <v>24198</v>
      </c>
      <c r="AF1894" s="1759" t="s">
        <v>1653</v>
      </c>
      <c r="AG1894" s="1759" t="s">
        <v>1653</v>
      </c>
      <c r="AH1894" s="1759" t="s">
        <v>1594</v>
      </c>
      <c r="AI1894" s="1759" t="s">
        <v>3558</v>
      </c>
      <c r="AJ1894" s="1759" t="s">
        <v>3558</v>
      </c>
      <c r="AK1894" s="1759">
        <v>1225</v>
      </c>
      <c r="AL1894" s="1759" t="s">
        <v>423</v>
      </c>
      <c r="AM1894" s="1759">
        <v>237</v>
      </c>
      <c r="AN1894" s="1759" t="s">
        <v>5470</v>
      </c>
      <c r="AO1894" s="1764"/>
      <c r="AP1894" s="1759" t="s">
        <v>5365</v>
      </c>
      <c r="AQ1894" s="1759" t="s">
        <v>5366</v>
      </c>
      <c r="AR1894" s="1759" t="s">
        <v>351</v>
      </c>
      <c r="AS1894" s="1759" t="s">
        <v>352</v>
      </c>
      <c r="AT1894" s="1759" t="s">
        <v>327</v>
      </c>
      <c r="AU1894" s="1763"/>
      <c r="AV1894" s="1763"/>
    </row>
    <row r="1895" spans="1:48" ht="25" hidden="1">
      <c r="A1895" s="1785" t="str">
        <f t="shared" si="319"/>
        <v>גמל</v>
      </c>
      <c r="B1895" s="1786">
        <f t="shared" si="320"/>
        <v>1224</v>
      </c>
      <c r="C1895" s="1787">
        <v>28946</v>
      </c>
      <c r="D1895" s="1786" t="str">
        <f t="shared" si="321"/>
        <v>פסגות פיצויים מסלול מניות</v>
      </c>
      <c r="E1895" s="1786" t="s">
        <v>3929</v>
      </c>
      <c r="F1895" s="1786" t="s">
        <v>2958</v>
      </c>
      <c r="G1895" s="1786" t="s">
        <v>2959</v>
      </c>
      <c r="H1895" s="1786" t="str">
        <f t="shared" si="322"/>
        <v>לא פעיל</v>
      </c>
      <c r="I1895" s="1788">
        <f t="shared" si="323"/>
        <v>24198</v>
      </c>
      <c r="J1895" s="1788">
        <f t="shared" si="324"/>
        <v>40051.499085648102</v>
      </c>
      <c r="K1895" s="1786">
        <v>0</v>
      </c>
      <c r="L1895" s="1786" t="s">
        <v>1594</v>
      </c>
      <c r="M1895" s="1786" t="s">
        <v>1653</v>
      </c>
      <c r="N1895" s="1786" t="s">
        <v>1653</v>
      </c>
      <c r="O1895" s="1786">
        <v>0</v>
      </c>
      <c r="P1895" s="1786"/>
      <c r="Q1895" s="1786">
        <v>0</v>
      </c>
      <c r="R1895" s="1788"/>
      <c r="S1895" s="1786">
        <f t="shared" si="325"/>
        <v>237</v>
      </c>
      <c r="T1895" s="1786" t="str">
        <f t="shared" si="326"/>
        <v>בנק לאומי בע"מ</v>
      </c>
      <c r="U1895" s="1786" t="str">
        <f t="shared" si="327"/>
        <v>פסגות פיצויים כללי</v>
      </c>
      <c r="V1895" s="1786" t="str">
        <f t="shared" si="328"/>
        <v>513767079</v>
      </c>
      <c r="W1895" s="1789" t="str">
        <f t="shared" si="329"/>
        <v>פסגות קופות גמל ופנסיה בע"מ</v>
      </c>
      <c r="AC1895" s="1761" t="s">
        <v>1586</v>
      </c>
      <c r="AD1895" s="1762">
        <v>40051.499085648102</v>
      </c>
      <c r="AE1895" s="1762">
        <v>24198</v>
      </c>
      <c r="AF1895" s="1761" t="s">
        <v>1595</v>
      </c>
      <c r="AG1895" s="1761" t="s">
        <v>75</v>
      </c>
      <c r="AH1895" s="1761" t="s">
        <v>1594</v>
      </c>
      <c r="AI1895" s="1761" t="s">
        <v>3557</v>
      </c>
      <c r="AJ1895" s="1761" t="s">
        <v>2349</v>
      </c>
      <c r="AK1895" s="1761">
        <v>1224</v>
      </c>
      <c r="AL1895" s="1761" t="s">
        <v>423</v>
      </c>
      <c r="AM1895" s="1761">
        <v>237</v>
      </c>
      <c r="AN1895" s="1761" t="s">
        <v>5470</v>
      </c>
      <c r="AO1895" s="1764"/>
      <c r="AP1895" s="1761" t="s">
        <v>5365</v>
      </c>
      <c r="AQ1895" s="1761" t="s">
        <v>5366</v>
      </c>
      <c r="AR1895" s="1761" t="s">
        <v>351</v>
      </c>
      <c r="AS1895" s="1761" t="s">
        <v>352</v>
      </c>
      <c r="AT1895" s="1761" t="s">
        <v>327</v>
      </c>
      <c r="AU1895" s="1763"/>
      <c r="AV1895" s="1763"/>
    </row>
    <row r="1896" spans="1:48" ht="37.5" hidden="1">
      <c r="A1896" s="1785" t="str">
        <f t="shared" si="319"/>
        <v>גמל</v>
      </c>
      <c r="B1896" s="1786">
        <f t="shared" si="320"/>
        <v>235</v>
      </c>
      <c r="C1896" s="1787">
        <v>28946</v>
      </c>
      <c r="D1896" s="1786" t="str">
        <f t="shared" si="321"/>
        <v>פקידי יצוא בנלאומי</v>
      </c>
      <c r="E1896" s="1786" t="s">
        <v>3929</v>
      </c>
      <c r="F1896" s="1786" t="s">
        <v>2958</v>
      </c>
      <c r="G1896" s="1786" t="s">
        <v>2959</v>
      </c>
      <c r="H1896" s="1786" t="str">
        <f t="shared" si="322"/>
        <v>לא פעיל</v>
      </c>
      <c r="I1896" s="1788">
        <f t="shared" si="323"/>
        <v>25569</v>
      </c>
      <c r="J1896" s="1788">
        <f t="shared" si="324"/>
        <v>25569</v>
      </c>
      <c r="K1896" s="1786">
        <v>0</v>
      </c>
      <c r="L1896" s="1786" t="s">
        <v>1594</v>
      </c>
      <c r="M1896" s="1786" t="s">
        <v>1653</v>
      </c>
      <c r="N1896" s="1786" t="s">
        <v>1653</v>
      </c>
      <c r="O1896" s="1786">
        <v>0</v>
      </c>
      <c r="P1896" s="1786"/>
      <c r="Q1896" s="1786">
        <v>0</v>
      </c>
      <c r="R1896" s="1788"/>
      <c r="S1896" s="1786">
        <f t="shared" si="325"/>
        <v>235</v>
      </c>
      <c r="T1896" s="1786" t="str">
        <f t="shared" si="326"/>
        <v>בנק לאומי בע"מ</v>
      </c>
      <c r="U1896" s="1786" t="str">
        <f t="shared" si="327"/>
        <v>פקידי יצוא בנלאומי</v>
      </c>
      <c r="V1896" s="1786">
        <f t="shared" si="328"/>
        <v>0</v>
      </c>
      <c r="W1896" s="1789" t="str">
        <f t="shared" si="329"/>
        <v>קופת התגמולים לעצמאים "עצמה" ליד בל"ל בע"מ</v>
      </c>
      <c r="AC1896" s="1759" t="s">
        <v>1586</v>
      </c>
      <c r="AD1896" s="1760">
        <v>25569</v>
      </c>
      <c r="AE1896" s="1760">
        <v>25569</v>
      </c>
      <c r="AF1896" s="1759" t="s">
        <v>1583</v>
      </c>
      <c r="AG1896" s="1759" t="s">
        <v>1583</v>
      </c>
      <c r="AH1896" s="1759" t="s">
        <v>1583</v>
      </c>
      <c r="AI1896" s="1759" t="s">
        <v>3026</v>
      </c>
      <c r="AJ1896" s="1759" t="s">
        <v>1696</v>
      </c>
      <c r="AK1896" s="1759">
        <v>235</v>
      </c>
      <c r="AL1896" s="1759" t="s">
        <v>1696</v>
      </c>
      <c r="AM1896" s="1759">
        <v>235</v>
      </c>
      <c r="AN1896" s="1759" t="s">
        <v>5470</v>
      </c>
      <c r="AO1896" s="1764"/>
      <c r="AP1896" s="1759"/>
      <c r="AQ1896" s="1759"/>
      <c r="AR1896" s="1759" t="s">
        <v>1661</v>
      </c>
      <c r="AS1896" s="1759" t="s">
        <v>1660</v>
      </c>
      <c r="AT1896" s="1759" t="s">
        <v>327</v>
      </c>
      <c r="AU1896" s="1763"/>
      <c r="AV1896" s="1763"/>
    </row>
    <row r="1897" spans="1:48" ht="25" hidden="1">
      <c r="A1897" s="1785" t="str">
        <f t="shared" si="319"/>
        <v>גמל</v>
      </c>
      <c r="B1897" s="1786">
        <f t="shared" si="320"/>
        <v>234</v>
      </c>
      <c r="C1897" s="1787">
        <v>28946</v>
      </c>
      <c r="D1897" s="1786" t="str">
        <f t="shared" si="321"/>
        <v>בי"ת מ"מ למ"ד בע"מ</v>
      </c>
      <c r="E1897" s="1786" t="s">
        <v>3929</v>
      </c>
      <c r="F1897" s="1786" t="s">
        <v>2958</v>
      </c>
      <c r="G1897" s="1786" t="s">
        <v>2959</v>
      </c>
      <c r="H1897" s="1786" t="str">
        <f t="shared" si="322"/>
        <v>לא פעיל</v>
      </c>
      <c r="I1897" s="1788">
        <f t="shared" si="323"/>
        <v>35431</v>
      </c>
      <c r="J1897" s="1788">
        <f t="shared" si="324"/>
        <v>35774.629803240699</v>
      </c>
      <c r="K1897" s="1786">
        <v>0</v>
      </c>
      <c r="L1897" s="1786" t="s">
        <v>1594</v>
      </c>
      <c r="M1897" s="1786" t="s">
        <v>1653</v>
      </c>
      <c r="N1897" s="1786" t="s">
        <v>1653</v>
      </c>
      <c r="O1897" s="1786">
        <v>0</v>
      </c>
      <c r="P1897" s="1786"/>
      <c r="Q1897" s="1786">
        <v>0</v>
      </c>
      <c r="R1897" s="1788"/>
      <c r="S1897" s="1786">
        <f t="shared" si="325"/>
        <v>234</v>
      </c>
      <c r="T1897" s="1786" t="str">
        <f t="shared" si="326"/>
        <v>בנק הפועלים בע"מ</v>
      </c>
      <c r="U1897" s="1786" t="str">
        <f t="shared" si="327"/>
        <v>בי"ת מ"מ למ"ד בע"מ</v>
      </c>
      <c r="V1897" s="1786">
        <f t="shared" si="328"/>
        <v>0</v>
      </c>
      <c r="W1897" s="1789" t="str">
        <f t="shared" si="329"/>
        <v>בנק הפועלים בע"מ</v>
      </c>
      <c r="AC1897" s="1761" t="s">
        <v>1586</v>
      </c>
      <c r="AD1897" s="1762">
        <v>35774.629803240699</v>
      </c>
      <c r="AE1897" s="1762">
        <v>35431</v>
      </c>
      <c r="AF1897" s="1761" t="s">
        <v>1583</v>
      </c>
      <c r="AG1897" s="1761" t="s">
        <v>1583</v>
      </c>
      <c r="AH1897" s="1761" t="s">
        <v>1583</v>
      </c>
      <c r="AI1897" s="1761" t="s">
        <v>3025</v>
      </c>
      <c r="AJ1897" s="1761" t="s">
        <v>1693</v>
      </c>
      <c r="AK1897" s="1761">
        <v>234</v>
      </c>
      <c r="AL1897" s="1761" t="s">
        <v>1693</v>
      </c>
      <c r="AM1897" s="1761">
        <v>234</v>
      </c>
      <c r="AN1897" s="1761" t="s">
        <v>1695</v>
      </c>
      <c r="AO1897" s="1764"/>
      <c r="AP1897" s="1761"/>
      <c r="AQ1897" s="1761"/>
      <c r="AR1897" s="1761" t="s">
        <v>1695</v>
      </c>
      <c r="AS1897" s="1761" t="s">
        <v>1694</v>
      </c>
      <c r="AT1897" s="1761" t="s">
        <v>327</v>
      </c>
      <c r="AU1897" s="1763"/>
      <c r="AV1897" s="1763"/>
    </row>
    <row r="1898" spans="1:48" ht="25" hidden="1">
      <c r="A1898" s="1785" t="str">
        <f t="shared" si="319"/>
        <v>גמל</v>
      </c>
      <c r="B1898" s="1786">
        <f t="shared" si="320"/>
        <v>233</v>
      </c>
      <c r="C1898" s="1787">
        <v>28946</v>
      </c>
      <c r="D1898" s="1786" t="str">
        <f t="shared" si="321"/>
        <v>קופת בל"ד</v>
      </c>
      <c r="E1898" s="1786" t="s">
        <v>3929</v>
      </c>
      <c r="F1898" s="1786" t="s">
        <v>2958</v>
      </c>
      <c r="G1898" s="1786" t="s">
        <v>2959</v>
      </c>
      <c r="H1898" s="1786" t="str">
        <f t="shared" si="322"/>
        <v>פעיל</v>
      </c>
      <c r="I1898" s="1788">
        <f t="shared" si="323"/>
        <v>23833</v>
      </c>
      <c r="J1898" s="1788" t="str">
        <f t="shared" si="324"/>
        <v/>
      </c>
      <c r="K1898" s="1786">
        <v>0</v>
      </c>
      <c r="L1898" s="1786" t="s">
        <v>1594</v>
      </c>
      <c r="M1898" s="1786" t="s">
        <v>1653</v>
      </c>
      <c r="N1898" s="1786" t="s">
        <v>1653</v>
      </c>
      <c r="O1898" s="1786">
        <v>0</v>
      </c>
      <c r="P1898" s="1786"/>
      <c r="Q1898" s="1786">
        <v>0</v>
      </c>
      <c r="R1898" s="1788"/>
      <c r="S1898" s="1786">
        <f t="shared" si="325"/>
        <v>233</v>
      </c>
      <c r="T1898" s="1786" t="str">
        <f t="shared" si="326"/>
        <v>בנק דיסקונט לישראל בע"מ</v>
      </c>
      <c r="U1898" s="1786" t="str">
        <f t="shared" si="327"/>
        <v>קופת בל"ד</v>
      </c>
      <c r="V1898" s="1786" t="str">
        <f t="shared" si="328"/>
        <v>520007030</v>
      </c>
      <c r="W1898" s="1789" t="str">
        <f t="shared" si="329"/>
        <v>חברת ב'ת למ'ד דל'ת בע"מ</v>
      </c>
      <c r="AC1898" s="1759" t="s">
        <v>346</v>
      </c>
      <c r="AD1898" s="1759"/>
      <c r="AE1898" s="1760">
        <v>23833</v>
      </c>
      <c r="AF1898" s="1759" t="s">
        <v>1583</v>
      </c>
      <c r="AG1898" s="1759" t="s">
        <v>1583</v>
      </c>
      <c r="AH1898" s="1759" t="s">
        <v>1583</v>
      </c>
      <c r="AI1898" s="1759" t="s">
        <v>3024</v>
      </c>
      <c r="AJ1898" s="1759" t="s">
        <v>422</v>
      </c>
      <c r="AK1898" s="1759">
        <v>233</v>
      </c>
      <c r="AL1898" s="1759" t="s">
        <v>422</v>
      </c>
      <c r="AM1898" s="1759">
        <v>233</v>
      </c>
      <c r="AN1898" s="1759" t="s">
        <v>5535</v>
      </c>
      <c r="AO1898" s="1764"/>
      <c r="AP1898" s="1759" t="s">
        <v>5535</v>
      </c>
      <c r="AQ1898" s="1759" t="s">
        <v>5681</v>
      </c>
      <c r="AR1898" s="1759" t="s">
        <v>420</v>
      </c>
      <c r="AS1898" s="1759" t="s">
        <v>421</v>
      </c>
      <c r="AT1898" s="1759" t="s">
        <v>327</v>
      </c>
      <c r="AU1898" s="1763"/>
      <c r="AV1898" s="1763"/>
    </row>
    <row r="1899" spans="1:48" ht="25" hidden="1">
      <c r="A1899" s="1785" t="str">
        <f t="shared" si="319"/>
        <v>גמל</v>
      </c>
      <c r="B1899" s="1786">
        <f t="shared" si="320"/>
        <v>231</v>
      </c>
      <c r="C1899" s="1787">
        <v>28946</v>
      </c>
      <c r="D1899" s="1786" t="str">
        <f t="shared" si="321"/>
        <v>עומרים קופה מרכזית לפיצויים</v>
      </c>
      <c r="E1899" s="1786" t="s">
        <v>3929</v>
      </c>
      <c r="F1899" s="1786" t="s">
        <v>2958</v>
      </c>
      <c r="G1899" s="1786" t="s">
        <v>2959</v>
      </c>
      <c r="H1899" s="1786" t="str">
        <f t="shared" si="322"/>
        <v>לא פעיל</v>
      </c>
      <c r="I1899" s="1788">
        <f t="shared" si="323"/>
        <v>34992</v>
      </c>
      <c r="J1899" s="1788">
        <f t="shared" si="324"/>
        <v>41500.403796296298</v>
      </c>
      <c r="K1899" s="1786">
        <v>0</v>
      </c>
      <c r="L1899" s="1786" t="s">
        <v>1594</v>
      </c>
      <c r="M1899" s="1786" t="s">
        <v>1653</v>
      </c>
      <c r="N1899" s="1786" t="s">
        <v>1653</v>
      </c>
      <c r="O1899" s="1786">
        <v>0</v>
      </c>
      <c r="P1899" s="1786"/>
      <c r="Q1899" s="1786">
        <v>0</v>
      </c>
      <c r="R1899" s="1788"/>
      <c r="S1899" s="1786">
        <f t="shared" si="325"/>
        <v>231</v>
      </c>
      <c r="T1899" s="1786" t="str">
        <f t="shared" si="326"/>
        <v>בנק יהב לעובדי המדינה בע"מ</v>
      </c>
      <c r="U1899" s="1786" t="str">
        <f t="shared" si="327"/>
        <v>עומרים קופה מרכזית לפיצויים</v>
      </c>
      <c r="V1899" s="1786" t="str">
        <f t="shared" si="328"/>
        <v>513163105</v>
      </c>
      <c r="W1899" s="1789" t="str">
        <f t="shared" si="329"/>
        <v>הלמן - אלדובי קופות גמל ופנסיה בע"מ</v>
      </c>
      <c r="AC1899" s="1761" t="s">
        <v>1586</v>
      </c>
      <c r="AD1899" s="1762">
        <v>41500.403796296298</v>
      </c>
      <c r="AE1899" s="1762">
        <v>34992</v>
      </c>
      <c r="AF1899" s="1761" t="s">
        <v>1583</v>
      </c>
      <c r="AG1899" s="1761" t="s">
        <v>1583</v>
      </c>
      <c r="AH1899" s="1761" t="s">
        <v>1583</v>
      </c>
      <c r="AI1899" s="1761" t="s">
        <v>419</v>
      </c>
      <c r="AJ1899" s="1761" t="s">
        <v>419</v>
      </c>
      <c r="AK1899" s="1761">
        <v>231</v>
      </c>
      <c r="AL1899" s="1761" t="s">
        <v>419</v>
      </c>
      <c r="AM1899" s="1761">
        <v>231</v>
      </c>
      <c r="AN1899" s="1761" t="s">
        <v>5517</v>
      </c>
      <c r="AO1899" s="1764"/>
      <c r="AP1899" s="1761" t="s">
        <v>5371</v>
      </c>
      <c r="AQ1899" s="1761" t="s">
        <v>5372</v>
      </c>
      <c r="AR1899" s="1761" t="s">
        <v>354</v>
      </c>
      <c r="AS1899" s="1761" t="s">
        <v>355</v>
      </c>
      <c r="AT1899" s="1761" t="s">
        <v>327</v>
      </c>
      <c r="AU1899" s="1763"/>
      <c r="AV1899" s="1763"/>
    </row>
    <row r="1900" spans="1:48" ht="25" hidden="1">
      <c r="A1900" s="1785" t="str">
        <f t="shared" si="319"/>
        <v>גמל</v>
      </c>
      <c r="B1900" s="1786">
        <f t="shared" si="320"/>
        <v>230</v>
      </c>
      <c r="C1900" s="1787">
        <v>28946</v>
      </c>
      <c r="D1900" s="1786" t="str">
        <f t="shared" si="321"/>
        <v>איילון קופת תגמולים ופיצויים</v>
      </c>
      <c r="E1900" s="1786" t="s">
        <v>3929</v>
      </c>
      <c r="F1900" s="1786" t="s">
        <v>2958</v>
      </c>
      <c r="G1900" s="1786" t="s">
        <v>2959</v>
      </c>
      <c r="H1900" s="1786" t="str">
        <f t="shared" si="322"/>
        <v>לא פעיל</v>
      </c>
      <c r="I1900" s="1788">
        <f t="shared" si="323"/>
        <v>23833</v>
      </c>
      <c r="J1900" s="1788">
        <f t="shared" si="324"/>
        <v>40724</v>
      </c>
      <c r="K1900" s="1786">
        <v>0</v>
      </c>
      <c r="L1900" s="1786" t="s">
        <v>1594</v>
      </c>
      <c r="M1900" s="1786" t="s">
        <v>1653</v>
      </c>
      <c r="N1900" s="1786" t="s">
        <v>1653</v>
      </c>
      <c r="O1900" s="1786">
        <v>0</v>
      </c>
      <c r="P1900" s="1786"/>
      <c r="Q1900" s="1786">
        <v>0</v>
      </c>
      <c r="R1900" s="1788"/>
      <c r="S1900" s="1786">
        <f t="shared" si="325"/>
        <v>230</v>
      </c>
      <c r="T1900" s="1786" t="str">
        <f t="shared" si="326"/>
        <v>בנק אוצר החייל בע"מ</v>
      </c>
      <c r="U1900" s="1786" t="str">
        <f t="shared" si="327"/>
        <v>איילון קופת תגמולים ופיצויים</v>
      </c>
      <c r="V1900" s="1786" t="str">
        <f t="shared" si="328"/>
        <v>520030677</v>
      </c>
      <c r="W1900" s="1789" t="str">
        <f t="shared" si="329"/>
        <v>איילון פנסיה וגמל בע"מ</v>
      </c>
      <c r="AC1900" s="1759" t="s">
        <v>1586</v>
      </c>
      <c r="AD1900" s="1760">
        <v>40724</v>
      </c>
      <c r="AE1900" s="1760">
        <v>23833</v>
      </c>
      <c r="AF1900" s="1759" t="s">
        <v>1583</v>
      </c>
      <c r="AG1900" s="1759" t="s">
        <v>1583</v>
      </c>
      <c r="AH1900" s="1759" t="s">
        <v>1583</v>
      </c>
      <c r="AI1900" s="1759" t="s">
        <v>1692</v>
      </c>
      <c r="AJ1900" s="1759" t="s">
        <v>1692</v>
      </c>
      <c r="AK1900" s="1759">
        <v>230</v>
      </c>
      <c r="AL1900" s="1759" t="s">
        <v>1692</v>
      </c>
      <c r="AM1900" s="1759">
        <v>230</v>
      </c>
      <c r="AN1900" s="1759" t="s">
        <v>5628</v>
      </c>
      <c r="AO1900" s="1764"/>
      <c r="AP1900" s="1759" t="s">
        <v>5385</v>
      </c>
      <c r="AQ1900" s="1759" t="s">
        <v>5386</v>
      </c>
      <c r="AR1900" s="1759" t="s">
        <v>2780</v>
      </c>
      <c r="AS1900" s="1759" t="s">
        <v>426</v>
      </c>
      <c r="AT1900" s="1759" t="s">
        <v>327</v>
      </c>
      <c r="AU1900" s="1763"/>
      <c r="AV1900" s="1763"/>
    </row>
    <row r="1901" spans="1:48" ht="50" hidden="1">
      <c r="A1901" s="1785" t="str">
        <f t="shared" si="319"/>
        <v>גמל</v>
      </c>
      <c r="B1901" s="1786">
        <f t="shared" si="320"/>
        <v>229</v>
      </c>
      <c r="C1901" s="1787">
        <v>28946</v>
      </c>
      <c r="D1901" s="1786" t="str">
        <f t="shared" si="321"/>
        <v>קופת התגמולים של עובדי בנק לאומי</v>
      </c>
      <c r="E1901" s="1786" t="s">
        <v>3929</v>
      </c>
      <c r="F1901" s="1786" t="s">
        <v>2958</v>
      </c>
      <c r="G1901" s="1786" t="s">
        <v>2959</v>
      </c>
      <c r="H1901" s="1786" t="str">
        <f t="shared" si="322"/>
        <v>פעיל</v>
      </c>
      <c r="I1901" s="1788">
        <f t="shared" si="323"/>
        <v>24198</v>
      </c>
      <c r="J1901" s="1788" t="str">
        <f t="shared" si="324"/>
        <v/>
      </c>
      <c r="K1901" s="1786">
        <v>0</v>
      </c>
      <c r="L1901" s="1786" t="s">
        <v>1594</v>
      </c>
      <c r="M1901" s="1786" t="s">
        <v>1653</v>
      </c>
      <c r="N1901" s="1786" t="s">
        <v>1653</v>
      </c>
      <c r="O1901" s="1786">
        <v>0</v>
      </c>
      <c r="P1901" s="1786"/>
      <c r="Q1901" s="1786">
        <v>0</v>
      </c>
      <c r="R1901" s="1788"/>
      <c r="S1901" s="1786">
        <f t="shared" si="325"/>
        <v>229</v>
      </c>
      <c r="T1901" s="1786" t="str">
        <f t="shared" si="326"/>
        <v>לאומי</v>
      </c>
      <c r="U1901" s="1786" t="str">
        <f t="shared" si="327"/>
        <v>קופת התגמולים של עובדי בנק לאומי</v>
      </c>
      <c r="V1901" s="1786">
        <f t="shared" si="328"/>
        <v>0</v>
      </c>
      <c r="W1901" s="1789" t="str">
        <f t="shared" si="329"/>
        <v xml:space="preserve">החברה לניהול קופות התגמולים והפיצויים של עובדי בנק לאומי בע"מ </v>
      </c>
      <c r="AC1901" s="1761" t="s">
        <v>346</v>
      </c>
      <c r="AD1901" s="1761"/>
      <c r="AE1901" s="1762">
        <v>24198</v>
      </c>
      <c r="AF1901" s="1761" t="s">
        <v>1583</v>
      </c>
      <c r="AG1901" s="1761" t="s">
        <v>1583</v>
      </c>
      <c r="AH1901" s="1761" t="s">
        <v>1583</v>
      </c>
      <c r="AI1901" s="1761" t="s">
        <v>418</v>
      </c>
      <c r="AJ1901" s="1761" t="s">
        <v>418</v>
      </c>
      <c r="AK1901" s="1761">
        <v>229</v>
      </c>
      <c r="AL1901" s="1761" t="s">
        <v>418</v>
      </c>
      <c r="AM1901" s="1761">
        <v>229</v>
      </c>
      <c r="AN1901" s="1761" t="s">
        <v>5305</v>
      </c>
      <c r="AO1901" s="1764"/>
      <c r="AP1901" s="1761"/>
      <c r="AQ1901" s="1761"/>
      <c r="AR1901" s="1761" t="s">
        <v>4589</v>
      </c>
      <c r="AS1901" s="1761" t="s">
        <v>416</v>
      </c>
      <c r="AT1901" s="1761" t="s">
        <v>327</v>
      </c>
      <c r="AU1901" s="1763"/>
      <c r="AV1901" s="1763"/>
    </row>
    <row r="1902" spans="1:48" ht="37.5" hidden="1">
      <c r="A1902" s="1785" t="str">
        <f t="shared" si="319"/>
        <v>גמל</v>
      </c>
      <c r="B1902" s="1786">
        <f t="shared" si="320"/>
        <v>228</v>
      </c>
      <c r="C1902" s="1787">
        <v>28946</v>
      </c>
      <c r="D1902" s="1786" t="str">
        <f t="shared" si="321"/>
        <v>קופת תגמולים של עובדי בנין לבטוח בע"מ</v>
      </c>
      <c r="E1902" s="1786" t="s">
        <v>3929</v>
      </c>
      <c r="F1902" s="1786" t="s">
        <v>2958</v>
      </c>
      <c r="G1902" s="1786" t="s">
        <v>2959</v>
      </c>
      <c r="H1902" s="1786" t="str">
        <f t="shared" si="322"/>
        <v>לא פעיל</v>
      </c>
      <c r="I1902" s="1788">
        <f t="shared" si="323"/>
        <v>21276</v>
      </c>
      <c r="J1902" s="1788">
        <f t="shared" si="324"/>
        <v>37579</v>
      </c>
      <c r="K1902" s="1786">
        <v>0</v>
      </c>
      <c r="L1902" s="1786" t="s">
        <v>1594</v>
      </c>
      <c r="M1902" s="1786" t="s">
        <v>1653</v>
      </c>
      <c r="N1902" s="1786" t="s">
        <v>1653</v>
      </c>
      <c r="O1902" s="1786">
        <v>0</v>
      </c>
      <c r="P1902" s="1786"/>
      <c r="Q1902" s="1786">
        <v>0</v>
      </c>
      <c r="R1902" s="1788"/>
      <c r="S1902" s="1786">
        <f t="shared" si="325"/>
        <v>228</v>
      </c>
      <c r="T1902" s="1786">
        <f t="shared" si="326"/>
        <v>0</v>
      </c>
      <c r="U1902" s="1786" t="str">
        <f t="shared" si="327"/>
        <v>קופת תגמולים של עובדי בנין לבטוח בע"מ</v>
      </c>
      <c r="V1902" s="1786">
        <f t="shared" si="328"/>
        <v>0</v>
      </c>
      <c r="W1902" s="1789" t="str">
        <f t="shared" si="329"/>
        <v>קופת תגמולים של עובדי בנין לבטוח בע"מ</v>
      </c>
      <c r="AC1902" s="1759" t="s">
        <v>1586</v>
      </c>
      <c r="AD1902" s="1760">
        <v>37579</v>
      </c>
      <c r="AE1902" s="1760">
        <v>21276</v>
      </c>
      <c r="AF1902" s="1759" t="s">
        <v>1583</v>
      </c>
      <c r="AG1902" s="1759" t="s">
        <v>1583</v>
      </c>
      <c r="AH1902" s="1759" t="s">
        <v>1583</v>
      </c>
      <c r="AI1902" s="1759" t="s">
        <v>3023</v>
      </c>
      <c r="AJ1902" s="1759" t="s">
        <v>1691</v>
      </c>
      <c r="AK1902" s="1759">
        <v>228</v>
      </c>
      <c r="AL1902" s="1759" t="s">
        <v>1691</v>
      </c>
      <c r="AM1902" s="1759">
        <v>228</v>
      </c>
      <c r="AN1902" s="1759"/>
      <c r="AO1902" s="1764"/>
      <c r="AP1902" s="1759"/>
      <c r="AQ1902" s="1759"/>
      <c r="AR1902" s="1759" t="s">
        <v>1691</v>
      </c>
      <c r="AS1902" s="1759"/>
      <c r="AT1902" s="1759" t="s">
        <v>327</v>
      </c>
      <c r="AU1902" s="1763"/>
      <c r="AV1902" s="1763"/>
    </row>
    <row r="1903" spans="1:48" ht="25" hidden="1">
      <c r="A1903" s="1785" t="str">
        <f t="shared" si="319"/>
        <v>גמל</v>
      </c>
      <c r="B1903" s="1786">
        <f t="shared" si="320"/>
        <v>227</v>
      </c>
      <c r="C1903" s="1787">
        <v>28946</v>
      </c>
      <c r="D1903" s="1786" t="str">
        <f t="shared" si="321"/>
        <v>קופת תגמולים של עובדי בנק מרכנתיל</v>
      </c>
      <c r="E1903" s="1786" t="s">
        <v>3929</v>
      </c>
      <c r="F1903" s="1786" t="s">
        <v>2958</v>
      </c>
      <c r="G1903" s="1786" t="s">
        <v>2959</v>
      </c>
      <c r="H1903" s="1786" t="str">
        <f t="shared" si="322"/>
        <v>לא פעיל</v>
      </c>
      <c r="I1903" s="1788">
        <f t="shared" si="323"/>
        <v>35431</v>
      </c>
      <c r="J1903" s="1788">
        <f t="shared" si="324"/>
        <v>35800.654050925899</v>
      </c>
      <c r="K1903" s="1786">
        <v>0</v>
      </c>
      <c r="L1903" s="1786" t="s">
        <v>1594</v>
      </c>
      <c r="M1903" s="1786" t="s">
        <v>1653</v>
      </c>
      <c r="N1903" s="1786" t="s">
        <v>1653</v>
      </c>
      <c r="O1903" s="1786">
        <v>0</v>
      </c>
      <c r="P1903" s="1786"/>
      <c r="Q1903" s="1786">
        <v>0</v>
      </c>
      <c r="R1903" s="1788"/>
      <c r="S1903" s="1786">
        <f t="shared" si="325"/>
        <v>227</v>
      </c>
      <c r="T1903" s="1786">
        <f t="shared" si="326"/>
        <v>0</v>
      </c>
      <c r="U1903" s="1786" t="str">
        <f t="shared" si="327"/>
        <v>קופת תגמולים של עובדי בנק מרכנתיל</v>
      </c>
      <c r="V1903" s="1786">
        <f t="shared" si="328"/>
        <v>0</v>
      </c>
      <c r="W1903" s="1789" t="str">
        <f t="shared" si="329"/>
        <v>בר יציב - קופות גמל בע"מ</v>
      </c>
      <c r="AC1903" s="1761" t="s">
        <v>1586</v>
      </c>
      <c r="AD1903" s="1762">
        <v>35800.654050925899</v>
      </c>
      <c r="AE1903" s="1762">
        <v>35431</v>
      </c>
      <c r="AF1903" s="1761" t="s">
        <v>1583</v>
      </c>
      <c r="AG1903" s="1761" t="s">
        <v>1583</v>
      </c>
      <c r="AH1903" s="1761" t="s">
        <v>1583</v>
      </c>
      <c r="AI1903" s="1761" t="s">
        <v>3022</v>
      </c>
      <c r="AJ1903" s="1761" t="s">
        <v>1688</v>
      </c>
      <c r="AK1903" s="1761">
        <v>227</v>
      </c>
      <c r="AL1903" s="1761" t="s">
        <v>1688</v>
      </c>
      <c r="AM1903" s="1761">
        <v>227</v>
      </c>
      <c r="AN1903" s="1761"/>
      <c r="AO1903" s="1764"/>
      <c r="AP1903" s="1761"/>
      <c r="AQ1903" s="1761"/>
      <c r="AR1903" s="1761" t="s">
        <v>1690</v>
      </c>
      <c r="AS1903" s="1761" t="s">
        <v>1689</v>
      </c>
      <c r="AT1903" s="1761" t="s">
        <v>327</v>
      </c>
      <c r="AU1903" s="1763"/>
      <c r="AV1903" s="1763"/>
    </row>
    <row r="1904" spans="1:48" ht="50" hidden="1">
      <c r="A1904" s="1785" t="str">
        <f t="shared" si="319"/>
        <v>גמל</v>
      </c>
      <c r="B1904" s="1786">
        <f t="shared" si="320"/>
        <v>226</v>
      </c>
      <c r="C1904" s="1787">
        <v>28946</v>
      </c>
      <c r="D1904" s="1786" t="str">
        <f t="shared" si="321"/>
        <v>קופת תגמולים של המורים והעובדים של ביה"ס הריאלי העברי בחיפה א.ש. בע"מ</v>
      </c>
      <c r="E1904" s="1786" t="s">
        <v>3929</v>
      </c>
      <c r="F1904" s="1786" t="s">
        <v>2958</v>
      </c>
      <c r="G1904" s="1786" t="s">
        <v>2959</v>
      </c>
      <c r="H1904" s="1786" t="str">
        <f t="shared" si="322"/>
        <v>לא פעיל</v>
      </c>
      <c r="I1904" s="1788">
        <f t="shared" si="323"/>
        <v>24563</v>
      </c>
      <c r="J1904" s="1788">
        <f t="shared" si="324"/>
        <v>37987</v>
      </c>
      <c r="K1904" s="1786">
        <v>0</v>
      </c>
      <c r="L1904" s="1786" t="s">
        <v>1594</v>
      </c>
      <c r="M1904" s="1786" t="s">
        <v>1653</v>
      </c>
      <c r="N1904" s="1786" t="s">
        <v>1653</v>
      </c>
      <c r="O1904" s="1786">
        <v>0</v>
      </c>
      <c r="P1904" s="1786"/>
      <c r="Q1904" s="1786">
        <v>0</v>
      </c>
      <c r="R1904" s="1788"/>
      <c r="S1904" s="1786">
        <f t="shared" si="325"/>
        <v>226</v>
      </c>
      <c r="T1904" s="1786" t="str">
        <f t="shared" si="326"/>
        <v>אמן בע"מ</v>
      </c>
      <c r="U1904" s="1786" t="str">
        <f t="shared" si="327"/>
        <v>קופת תגמולים של המורים והעובדים של ביה"ס הריאלי העברי בחיפה א.ש. בע"מ</v>
      </c>
      <c r="V1904" s="1786">
        <f t="shared" si="328"/>
        <v>0</v>
      </c>
      <c r="W1904" s="1789" t="str">
        <f t="shared" si="329"/>
        <v>קופת תגמולים של המורים והעובדים של ביה"ס הריאלי העברי בחיפה א.ש בע"מ</v>
      </c>
      <c r="AC1904" s="1759" t="s">
        <v>1586</v>
      </c>
      <c r="AD1904" s="1760">
        <v>37987</v>
      </c>
      <c r="AE1904" s="1760">
        <v>24563</v>
      </c>
      <c r="AF1904" s="1759" t="s">
        <v>1583</v>
      </c>
      <c r="AG1904" s="1759" t="s">
        <v>1583</v>
      </c>
      <c r="AH1904" s="1759" t="s">
        <v>1583</v>
      </c>
      <c r="AI1904" s="1759" t="s">
        <v>3021</v>
      </c>
      <c r="AJ1904" s="1759" t="s">
        <v>1685</v>
      </c>
      <c r="AK1904" s="1759">
        <v>226</v>
      </c>
      <c r="AL1904" s="1759" t="s">
        <v>1685</v>
      </c>
      <c r="AM1904" s="1759">
        <v>226</v>
      </c>
      <c r="AN1904" s="1759" t="s">
        <v>5549</v>
      </c>
      <c r="AO1904" s="1764"/>
      <c r="AP1904" s="1759"/>
      <c r="AQ1904" s="1759"/>
      <c r="AR1904" s="1759" t="s">
        <v>1687</v>
      </c>
      <c r="AS1904" s="1759" t="s">
        <v>1686</v>
      </c>
      <c r="AT1904" s="1759" t="s">
        <v>327</v>
      </c>
      <c r="AU1904" s="1763"/>
      <c r="AV1904" s="1763"/>
    </row>
    <row r="1905" spans="1:48" ht="50" hidden="1">
      <c r="A1905" s="1785" t="str">
        <f t="shared" si="319"/>
        <v>גמל</v>
      </c>
      <c r="B1905" s="1786">
        <f t="shared" si="320"/>
        <v>225</v>
      </c>
      <c r="C1905" s="1787">
        <v>28946</v>
      </c>
      <c r="D1905" s="1786" t="str">
        <f t="shared" si="321"/>
        <v>קופת התגמולים של עובדי בנק לאומי למשכנתאות</v>
      </c>
      <c r="E1905" s="1786" t="s">
        <v>3929</v>
      </c>
      <c r="F1905" s="1786" t="s">
        <v>2958</v>
      </c>
      <c r="G1905" s="1786" t="s">
        <v>2959</v>
      </c>
      <c r="H1905" s="1786" t="str">
        <f t="shared" si="322"/>
        <v>לא פעיל</v>
      </c>
      <c r="I1905" s="1788">
        <f t="shared" si="323"/>
        <v>24198</v>
      </c>
      <c r="J1905" s="1788">
        <f t="shared" si="324"/>
        <v>41280.405023148101</v>
      </c>
      <c r="K1905" s="1786">
        <v>0</v>
      </c>
      <c r="L1905" s="1786" t="s">
        <v>1594</v>
      </c>
      <c r="M1905" s="1786" t="s">
        <v>1653</v>
      </c>
      <c r="N1905" s="1786" t="s">
        <v>1653</v>
      </c>
      <c r="O1905" s="1786">
        <v>0</v>
      </c>
      <c r="P1905" s="1786"/>
      <c r="Q1905" s="1786">
        <v>0</v>
      </c>
      <c r="R1905" s="1788"/>
      <c r="S1905" s="1786">
        <f t="shared" si="325"/>
        <v>225</v>
      </c>
      <c r="T1905" s="1786" t="str">
        <f t="shared" si="326"/>
        <v>בנק לאומי בע"מ</v>
      </c>
      <c r="U1905" s="1786" t="str">
        <f t="shared" si="327"/>
        <v>קופת התגמולים של עובדי בנק לאומי למשכנתאות</v>
      </c>
      <c r="V1905" s="1786">
        <f t="shared" si="328"/>
        <v>0</v>
      </c>
      <c r="W1905" s="1789" t="str">
        <f t="shared" si="329"/>
        <v xml:space="preserve">החברה לניהול קופות התגמולים והפיצויים של עובדי בנק לאומי בע"מ </v>
      </c>
      <c r="AC1905" s="1761" t="s">
        <v>1586</v>
      </c>
      <c r="AD1905" s="1762">
        <v>41280.405023148101</v>
      </c>
      <c r="AE1905" s="1762">
        <v>24198</v>
      </c>
      <c r="AF1905" s="1761" t="s">
        <v>1583</v>
      </c>
      <c r="AG1905" s="1761" t="s">
        <v>1583</v>
      </c>
      <c r="AH1905" s="1761" t="s">
        <v>1583</v>
      </c>
      <c r="AI1905" s="1761" t="s">
        <v>417</v>
      </c>
      <c r="AJ1905" s="1761" t="s">
        <v>417</v>
      </c>
      <c r="AK1905" s="1761">
        <v>225</v>
      </c>
      <c r="AL1905" s="1761" t="s">
        <v>417</v>
      </c>
      <c r="AM1905" s="1761">
        <v>225</v>
      </c>
      <c r="AN1905" s="1761" t="s">
        <v>5470</v>
      </c>
      <c r="AO1905" s="1764"/>
      <c r="AP1905" s="1761"/>
      <c r="AQ1905" s="1761"/>
      <c r="AR1905" s="1761" t="s">
        <v>4589</v>
      </c>
      <c r="AS1905" s="1761" t="s">
        <v>416</v>
      </c>
      <c r="AT1905" s="1761" t="s">
        <v>327</v>
      </c>
      <c r="AU1905" s="1763"/>
      <c r="AV1905" s="1763"/>
    </row>
    <row r="1906" spans="1:48" ht="50" hidden="1">
      <c r="A1906" s="1785" t="str">
        <f t="shared" si="319"/>
        <v>גמל</v>
      </c>
      <c r="B1906" s="1786">
        <f t="shared" si="320"/>
        <v>224</v>
      </c>
      <c r="C1906" s="1787">
        <v>28946</v>
      </c>
      <c r="D1906" s="1786" t="str">
        <f t="shared" si="321"/>
        <v>מבצר</v>
      </c>
      <c r="E1906" s="1786" t="s">
        <v>3929</v>
      </c>
      <c r="F1906" s="1786" t="s">
        <v>2958</v>
      </c>
      <c r="G1906" s="1786" t="s">
        <v>2959</v>
      </c>
      <c r="H1906" s="1786" t="str">
        <f t="shared" si="322"/>
        <v>לא פעיל</v>
      </c>
      <c r="I1906" s="1788">
        <f t="shared" si="323"/>
        <v>35431</v>
      </c>
      <c r="J1906" s="1788">
        <f t="shared" si="324"/>
        <v>35773.434490740699</v>
      </c>
      <c r="K1906" s="1786">
        <v>0</v>
      </c>
      <c r="L1906" s="1786" t="s">
        <v>1594</v>
      </c>
      <c r="M1906" s="1786" t="s">
        <v>1653</v>
      </c>
      <c r="N1906" s="1786" t="s">
        <v>1653</v>
      </c>
      <c r="O1906" s="1786">
        <v>0</v>
      </c>
      <c r="P1906" s="1786"/>
      <c r="Q1906" s="1786">
        <v>0</v>
      </c>
      <c r="R1906" s="1788"/>
      <c r="S1906" s="1786">
        <f t="shared" si="325"/>
        <v>224</v>
      </c>
      <c r="T1906" s="1786" t="str">
        <f t="shared" si="326"/>
        <v>בנק לאומי בע"מ</v>
      </c>
      <c r="U1906" s="1786" t="str">
        <f t="shared" si="327"/>
        <v>מבצר</v>
      </c>
      <c r="V1906" s="1786">
        <f t="shared" si="328"/>
        <v>0</v>
      </c>
      <c r="W1906" s="1789" t="str">
        <f t="shared" si="329"/>
        <v>תעוזה קופת גמל לתגמולים ולפיצויים ליד הבנק הבינלאומי הראשון</v>
      </c>
      <c r="AC1906" s="1759" t="s">
        <v>1586</v>
      </c>
      <c r="AD1906" s="1760">
        <v>35773.434490740699</v>
      </c>
      <c r="AE1906" s="1760">
        <v>35431</v>
      </c>
      <c r="AF1906" s="1759" t="s">
        <v>1583</v>
      </c>
      <c r="AG1906" s="1759" t="s">
        <v>1583</v>
      </c>
      <c r="AH1906" s="1759" t="s">
        <v>1583</v>
      </c>
      <c r="AI1906" s="1759" t="s">
        <v>1682</v>
      </c>
      <c r="AJ1906" s="1759" t="s">
        <v>1682</v>
      </c>
      <c r="AK1906" s="1759">
        <v>224</v>
      </c>
      <c r="AL1906" s="1759" t="s">
        <v>1682</v>
      </c>
      <c r="AM1906" s="1759">
        <v>224</v>
      </c>
      <c r="AN1906" s="1759" t="s">
        <v>5470</v>
      </c>
      <c r="AO1906" s="1764"/>
      <c r="AP1906" s="1759"/>
      <c r="AQ1906" s="1759"/>
      <c r="AR1906" s="1759" t="s">
        <v>1684</v>
      </c>
      <c r="AS1906" s="1759" t="s">
        <v>1683</v>
      </c>
      <c r="AT1906" s="1759" t="s">
        <v>327</v>
      </c>
      <c r="AU1906" s="1763"/>
      <c r="AV1906" s="1763"/>
    </row>
    <row r="1907" spans="1:48" ht="37.5" hidden="1">
      <c r="A1907" s="1785" t="str">
        <f t="shared" si="319"/>
        <v>גמל</v>
      </c>
      <c r="B1907" s="1786">
        <f t="shared" si="320"/>
        <v>222</v>
      </c>
      <c r="C1907" s="1787">
        <v>28946</v>
      </c>
      <c r="D1907" s="1786" t="str">
        <f t="shared" si="321"/>
        <v>השתלמות לשוטרים וסוהרים</v>
      </c>
      <c r="E1907" s="1786" t="s">
        <v>3929</v>
      </c>
      <c r="F1907" s="1786" t="s">
        <v>2958</v>
      </c>
      <c r="G1907" s="1786" t="s">
        <v>2959</v>
      </c>
      <c r="H1907" s="1786" t="str">
        <f t="shared" si="322"/>
        <v>לא פעיל</v>
      </c>
      <c r="I1907" s="1788">
        <f t="shared" si="323"/>
        <v>25569</v>
      </c>
      <c r="J1907" s="1788">
        <f t="shared" si="324"/>
        <v>25569</v>
      </c>
      <c r="K1907" s="1786">
        <v>0</v>
      </c>
      <c r="L1907" s="1786" t="s">
        <v>1594</v>
      </c>
      <c r="M1907" s="1786" t="s">
        <v>1653</v>
      </c>
      <c r="N1907" s="1786" t="s">
        <v>1653</v>
      </c>
      <c r="O1907" s="1786">
        <v>0</v>
      </c>
      <c r="P1907" s="1786"/>
      <c r="Q1907" s="1786">
        <v>0</v>
      </c>
      <c r="R1907" s="1788"/>
      <c r="S1907" s="1786">
        <f t="shared" si="325"/>
        <v>222</v>
      </c>
      <c r="T1907" s="1786" t="str">
        <f t="shared" si="326"/>
        <v>בנק לאומי בע"מ</v>
      </c>
      <c r="U1907" s="1786" t="str">
        <f t="shared" si="327"/>
        <v>השתלמות לשוטרים וסוהרים</v>
      </c>
      <c r="V1907" s="1786">
        <f t="shared" si="328"/>
        <v>0</v>
      </c>
      <c r="W1907" s="1789" t="str">
        <f t="shared" si="329"/>
        <v>קופת התגמולים לעצמאים "עצמה" ליד בל"ל בע"מ</v>
      </c>
      <c r="AC1907" s="1761" t="s">
        <v>1586</v>
      </c>
      <c r="AD1907" s="1762">
        <v>25569</v>
      </c>
      <c r="AE1907" s="1762">
        <v>25569</v>
      </c>
      <c r="AF1907" s="1761" t="s">
        <v>1583</v>
      </c>
      <c r="AG1907" s="1761" t="s">
        <v>1583</v>
      </c>
      <c r="AH1907" s="1761" t="s">
        <v>1583</v>
      </c>
      <c r="AI1907" s="1761" t="s">
        <v>3018</v>
      </c>
      <c r="AJ1907" s="1761" t="s">
        <v>1680</v>
      </c>
      <c r="AK1907" s="1761">
        <v>222</v>
      </c>
      <c r="AL1907" s="1761" t="s">
        <v>1680</v>
      </c>
      <c r="AM1907" s="1761">
        <v>222</v>
      </c>
      <c r="AN1907" s="1761" t="s">
        <v>5470</v>
      </c>
      <c r="AO1907" s="1764"/>
      <c r="AP1907" s="1761"/>
      <c r="AQ1907" s="1761"/>
      <c r="AR1907" s="1761" t="s">
        <v>1661</v>
      </c>
      <c r="AS1907" s="1761" t="s">
        <v>1660</v>
      </c>
      <c r="AT1907" s="1761" t="s">
        <v>327</v>
      </c>
      <c r="AU1907" s="1763"/>
      <c r="AV1907" s="1763"/>
    </row>
    <row r="1908" spans="1:48" ht="37.5" hidden="1">
      <c r="A1908" s="1785" t="str">
        <f t="shared" si="319"/>
        <v>גמל</v>
      </c>
      <c r="B1908" s="1786">
        <f t="shared" si="320"/>
        <v>9927</v>
      </c>
      <c r="C1908" s="1787">
        <v>28946</v>
      </c>
      <c r="D1908" s="1786" t="str">
        <f t="shared" si="321"/>
        <v>קופת התגמולים לעובדי בנק דיסקונט לבני  50 ומטה</v>
      </c>
      <c r="E1908" s="1786" t="s">
        <v>3929</v>
      </c>
      <c r="F1908" s="1786" t="s">
        <v>2958</v>
      </c>
      <c r="G1908" s="1786" t="s">
        <v>2959</v>
      </c>
      <c r="H1908" s="1786" t="str">
        <f t="shared" si="322"/>
        <v>לא פעיל</v>
      </c>
      <c r="I1908" s="1788">
        <f t="shared" si="323"/>
        <v>23102</v>
      </c>
      <c r="J1908" s="1788">
        <f t="shared" si="324"/>
        <v>43845.432696759301</v>
      </c>
      <c r="K1908" s="1786">
        <v>0</v>
      </c>
      <c r="L1908" s="1786" t="s">
        <v>1594</v>
      </c>
      <c r="M1908" s="1786" t="s">
        <v>1653</v>
      </c>
      <c r="N1908" s="1786" t="s">
        <v>1653</v>
      </c>
      <c r="O1908" s="1786">
        <v>0</v>
      </c>
      <c r="P1908" s="1786"/>
      <c r="Q1908" s="1786">
        <v>0</v>
      </c>
      <c r="R1908" s="1788"/>
      <c r="S1908" s="1786">
        <f t="shared" si="325"/>
        <v>221</v>
      </c>
      <c r="T1908" s="1786" t="str">
        <f t="shared" si="326"/>
        <v>בנק לאומי בע"מ</v>
      </c>
      <c r="U1908" s="1786" t="str">
        <f t="shared" si="327"/>
        <v>קופת התגמולים לעובדי בנק דיסקונט</v>
      </c>
      <c r="V1908" s="1786" t="str">
        <f t="shared" si="328"/>
        <v>520033986</v>
      </c>
      <c r="W1908" s="1789" t="str">
        <f t="shared" si="329"/>
        <v>הראל פנסיה וגמל בע"מ</v>
      </c>
      <c r="AC1908" s="1759" t="s">
        <v>1586</v>
      </c>
      <c r="AD1908" s="1760">
        <v>43845.432696759301</v>
      </c>
      <c r="AE1908" s="1760">
        <v>23102</v>
      </c>
      <c r="AF1908" s="1759" t="s">
        <v>4151</v>
      </c>
      <c r="AG1908" s="1759" t="s">
        <v>3931</v>
      </c>
      <c r="AH1908" s="1759" t="s">
        <v>3658</v>
      </c>
      <c r="AI1908" s="1759" t="s">
        <v>4453</v>
      </c>
      <c r="AJ1908" s="1759" t="s">
        <v>4452</v>
      </c>
      <c r="AK1908" s="1759">
        <v>9927</v>
      </c>
      <c r="AL1908" s="1759" t="s">
        <v>415</v>
      </c>
      <c r="AM1908" s="1759">
        <v>221</v>
      </c>
      <c r="AN1908" s="1759" t="s">
        <v>5470</v>
      </c>
      <c r="AO1908" s="1764"/>
      <c r="AP1908" s="1759" t="s">
        <v>5396</v>
      </c>
      <c r="AQ1908" s="1759" t="s">
        <v>5397</v>
      </c>
      <c r="AR1908" s="1759" t="s">
        <v>4588</v>
      </c>
      <c r="AS1908" s="1759" t="s">
        <v>405</v>
      </c>
      <c r="AT1908" s="1759" t="s">
        <v>327</v>
      </c>
      <c r="AU1908" s="1763"/>
      <c r="AV1908" s="1763"/>
    </row>
    <row r="1909" spans="1:48" ht="37.5" hidden="1">
      <c r="A1909" s="1785" t="str">
        <f t="shared" si="319"/>
        <v>גמל</v>
      </c>
      <c r="B1909" s="1786">
        <f t="shared" si="320"/>
        <v>9928</v>
      </c>
      <c r="C1909" s="1787">
        <v>28946</v>
      </c>
      <c r="D1909" s="1786" t="str">
        <f t="shared" si="321"/>
        <v>קופת התגמולים לעובדי בנק דיסקונט לבני 50 עד 60</v>
      </c>
      <c r="E1909" s="1786" t="s">
        <v>3929</v>
      </c>
      <c r="F1909" s="1786" t="s">
        <v>2958</v>
      </c>
      <c r="G1909" s="1786" t="s">
        <v>2959</v>
      </c>
      <c r="H1909" s="1786" t="str">
        <f t="shared" si="322"/>
        <v>לא פעיל</v>
      </c>
      <c r="I1909" s="1788">
        <f t="shared" si="323"/>
        <v>23102</v>
      </c>
      <c r="J1909" s="1788">
        <f t="shared" si="324"/>
        <v>43845.432696759301</v>
      </c>
      <c r="K1909" s="1786">
        <v>0</v>
      </c>
      <c r="L1909" s="1786" t="s">
        <v>1594</v>
      </c>
      <c r="M1909" s="1786" t="s">
        <v>1653</v>
      </c>
      <c r="N1909" s="1786" t="s">
        <v>1653</v>
      </c>
      <c r="O1909" s="1786">
        <v>0</v>
      </c>
      <c r="P1909" s="1786"/>
      <c r="Q1909" s="1786">
        <v>0</v>
      </c>
      <c r="R1909" s="1788"/>
      <c r="S1909" s="1786">
        <f t="shared" si="325"/>
        <v>221</v>
      </c>
      <c r="T1909" s="1786" t="str">
        <f t="shared" si="326"/>
        <v>בנק לאומי בע"מ</v>
      </c>
      <c r="U1909" s="1786" t="str">
        <f t="shared" si="327"/>
        <v>קופת התגמולים לעובדי בנק דיסקונט</v>
      </c>
      <c r="V1909" s="1786" t="str">
        <f t="shared" si="328"/>
        <v>520033986</v>
      </c>
      <c r="W1909" s="1789" t="str">
        <f t="shared" si="329"/>
        <v>הראל פנסיה וגמל בע"מ</v>
      </c>
      <c r="AC1909" s="1761" t="s">
        <v>1586</v>
      </c>
      <c r="AD1909" s="1762">
        <v>43845.432696759301</v>
      </c>
      <c r="AE1909" s="1762">
        <v>23102</v>
      </c>
      <c r="AF1909" s="1761" t="s">
        <v>3932</v>
      </c>
      <c r="AG1909" s="1761" t="s">
        <v>3931</v>
      </c>
      <c r="AH1909" s="1761" t="s">
        <v>3658</v>
      </c>
      <c r="AI1909" s="1761" t="s">
        <v>4455</v>
      </c>
      <c r="AJ1909" s="1761" t="s">
        <v>4454</v>
      </c>
      <c r="AK1909" s="1761">
        <v>9928</v>
      </c>
      <c r="AL1909" s="1761" t="s">
        <v>415</v>
      </c>
      <c r="AM1909" s="1761">
        <v>221</v>
      </c>
      <c r="AN1909" s="1761" t="s">
        <v>5470</v>
      </c>
      <c r="AO1909" s="1764"/>
      <c r="AP1909" s="1761" t="s">
        <v>5396</v>
      </c>
      <c r="AQ1909" s="1761" t="s">
        <v>5397</v>
      </c>
      <c r="AR1909" s="1761" t="s">
        <v>4588</v>
      </c>
      <c r="AS1909" s="1761" t="s">
        <v>405</v>
      </c>
      <c r="AT1909" s="1761" t="s">
        <v>327</v>
      </c>
      <c r="AU1909" s="1763"/>
      <c r="AV1909" s="1763"/>
    </row>
    <row r="1910" spans="1:48" ht="37.5" hidden="1">
      <c r="A1910" s="1785" t="str">
        <f t="shared" si="319"/>
        <v>גמל</v>
      </c>
      <c r="B1910" s="1786">
        <f t="shared" si="320"/>
        <v>9929</v>
      </c>
      <c r="C1910" s="1787">
        <v>28946</v>
      </c>
      <c r="D1910" s="1786" t="str">
        <f t="shared" si="321"/>
        <v>קופת התגמולים לעובדי בנק דיסקונט לבני 60 ומעלה</v>
      </c>
      <c r="E1910" s="1786" t="s">
        <v>3929</v>
      </c>
      <c r="F1910" s="1786" t="s">
        <v>2958</v>
      </c>
      <c r="G1910" s="1786" t="s">
        <v>2959</v>
      </c>
      <c r="H1910" s="1786" t="str">
        <f t="shared" si="322"/>
        <v>לא פעיל</v>
      </c>
      <c r="I1910" s="1788">
        <f t="shared" si="323"/>
        <v>23102</v>
      </c>
      <c r="J1910" s="1788">
        <f t="shared" si="324"/>
        <v>43845.432696759301</v>
      </c>
      <c r="K1910" s="1786">
        <v>0</v>
      </c>
      <c r="L1910" s="1786" t="s">
        <v>1594</v>
      </c>
      <c r="M1910" s="1786" t="s">
        <v>1653</v>
      </c>
      <c r="N1910" s="1786" t="s">
        <v>1653</v>
      </c>
      <c r="O1910" s="1786">
        <v>0</v>
      </c>
      <c r="P1910" s="1786"/>
      <c r="Q1910" s="1786">
        <v>0</v>
      </c>
      <c r="R1910" s="1788"/>
      <c r="S1910" s="1786">
        <f t="shared" si="325"/>
        <v>221</v>
      </c>
      <c r="T1910" s="1786" t="str">
        <f t="shared" si="326"/>
        <v>בנק לאומי בע"מ</v>
      </c>
      <c r="U1910" s="1786" t="str">
        <f t="shared" si="327"/>
        <v>קופת התגמולים לעובדי בנק דיסקונט</v>
      </c>
      <c r="V1910" s="1786" t="str">
        <f t="shared" si="328"/>
        <v>520033986</v>
      </c>
      <c r="W1910" s="1789" t="str">
        <f t="shared" si="329"/>
        <v>הראל פנסיה וגמל בע"מ</v>
      </c>
      <c r="AC1910" s="1759" t="s">
        <v>1586</v>
      </c>
      <c r="AD1910" s="1760">
        <v>43845.432696759301</v>
      </c>
      <c r="AE1910" s="1760">
        <v>23102</v>
      </c>
      <c r="AF1910" s="1759" t="s">
        <v>3963</v>
      </c>
      <c r="AG1910" s="1759" t="s">
        <v>3931</v>
      </c>
      <c r="AH1910" s="1759" t="s">
        <v>3658</v>
      </c>
      <c r="AI1910" s="1759" t="s">
        <v>4457</v>
      </c>
      <c r="AJ1910" s="1759" t="s">
        <v>4456</v>
      </c>
      <c r="AK1910" s="1759">
        <v>9929</v>
      </c>
      <c r="AL1910" s="1759" t="s">
        <v>415</v>
      </c>
      <c r="AM1910" s="1759">
        <v>221</v>
      </c>
      <c r="AN1910" s="1759" t="s">
        <v>5470</v>
      </c>
      <c r="AO1910" s="1764"/>
      <c r="AP1910" s="1759" t="s">
        <v>5396</v>
      </c>
      <c r="AQ1910" s="1759" t="s">
        <v>5397</v>
      </c>
      <c r="AR1910" s="1759" t="s">
        <v>4588</v>
      </c>
      <c r="AS1910" s="1759" t="s">
        <v>405</v>
      </c>
      <c r="AT1910" s="1759" t="s">
        <v>327</v>
      </c>
      <c r="AU1910" s="1763"/>
      <c r="AV1910" s="1763"/>
    </row>
    <row r="1911" spans="1:48" ht="37.5" hidden="1">
      <c r="A1911" s="1785" t="str">
        <f t="shared" si="319"/>
        <v>גמל</v>
      </c>
      <c r="B1911" s="1786">
        <f t="shared" si="320"/>
        <v>221</v>
      </c>
      <c r="C1911" s="1787">
        <v>28946</v>
      </c>
      <c r="D1911" s="1786" t="str">
        <f t="shared" si="321"/>
        <v>קןפת התגמולים לעובדי בנק דיסקונט מסלול כללי</v>
      </c>
      <c r="E1911" s="1786" t="s">
        <v>3929</v>
      </c>
      <c r="F1911" s="1786" t="s">
        <v>2958</v>
      </c>
      <c r="G1911" s="1786" t="s">
        <v>2959</v>
      </c>
      <c r="H1911" s="1786" t="str">
        <f t="shared" si="322"/>
        <v>לא פעיל</v>
      </c>
      <c r="I1911" s="1788">
        <f t="shared" si="323"/>
        <v>23102</v>
      </c>
      <c r="J1911" s="1788">
        <f t="shared" si="324"/>
        <v>42370.769247685203</v>
      </c>
      <c r="K1911" s="1786">
        <v>0</v>
      </c>
      <c r="L1911" s="1786" t="s">
        <v>1594</v>
      </c>
      <c r="M1911" s="1786" t="s">
        <v>1653</v>
      </c>
      <c r="N1911" s="1786" t="s">
        <v>1653</v>
      </c>
      <c r="O1911" s="1786">
        <v>0</v>
      </c>
      <c r="P1911" s="1786"/>
      <c r="Q1911" s="1786">
        <v>0</v>
      </c>
      <c r="R1911" s="1788"/>
      <c r="S1911" s="1786">
        <f t="shared" si="325"/>
        <v>221</v>
      </c>
      <c r="T1911" s="1786" t="str">
        <f t="shared" si="326"/>
        <v>בנק לאומי בע"מ</v>
      </c>
      <c r="U1911" s="1786" t="str">
        <f t="shared" si="327"/>
        <v>קופת התגמולים לעובדי בנק דיסקונט</v>
      </c>
      <c r="V1911" s="1786" t="str">
        <f t="shared" si="328"/>
        <v>520033986</v>
      </c>
      <c r="W1911" s="1789" t="str">
        <f t="shared" si="329"/>
        <v>הראל פנסיה וגמל בע"מ</v>
      </c>
      <c r="AC1911" s="1761" t="s">
        <v>1586</v>
      </c>
      <c r="AD1911" s="1762">
        <v>42370.769247685203</v>
      </c>
      <c r="AE1911" s="1762">
        <v>23102</v>
      </c>
      <c r="AF1911" s="1761" t="s">
        <v>1583</v>
      </c>
      <c r="AG1911" s="1761" t="s">
        <v>1583</v>
      </c>
      <c r="AH1911" s="1761" t="s">
        <v>1583</v>
      </c>
      <c r="AI1911" s="1761" t="s">
        <v>3017</v>
      </c>
      <c r="AJ1911" s="1761" t="s">
        <v>4515</v>
      </c>
      <c r="AK1911" s="1761">
        <v>221</v>
      </c>
      <c r="AL1911" s="1761" t="s">
        <v>415</v>
      </c>
      <c r="AM1911" s="1761">
        <v>221</v>
      </c>
      <c r="AN1911" s="1761" t="s">
        <v>5470</v>
      </c>
      <c r="AO1911" s="1764"/>
      <c r="AP1911" s="1761" t="s">
        <v>5396</v>
      </c>
      <c r="AQ1911" s="1761" t="s">
        <v>5397</v>
      </c>
      <c r="AR1911" s="1761" t="s">
        <v>4588</v>
      </c>
      <c r="AS1911" s="1761" t="s">
        <v>405</v>
      </c>
      <c r="AT1911" s="1761" t="s">
        <v>327</v>
      </c>
      <c r="AU1911" s="1763"/>
      <c r="AV1911" s="1763"/>
    </row>
    <row r="1912" spans="1:48" ht="37.5" hidden="1">
      <c r="A1912" s="1785" t="str">
        <f t="shared" si="319"/>
        <v>גמל</v>
      </c>
      <c r="B1912" s="1786">
        <f t="shared" si="320"/>
        <v>2233</v>
      </c>
      <c r="C1912" s="1787">
        <v>28946</v>
      </c>
      <c r="D1912" s="1786" t="str">
        <f t="shared" si="321"/>
        <v>קופת התגמולים לעובדי בנק דיסקונט מסלול אג"ח עד 10% מניות</v>
      </c>
      <c r="E1912" s="1786" t="s">
        <v>3929</v>
      </c>
      <c r="F1912" s="1786" t="s">
        <v>2958</v>
      </c>
      <c r="G1912" s="1786" t="s">
        <v>2959</v>
      </c>
      <c r="H1912" s="1786" t="str">
        <f t="shared" si="322"/>
        <v>לא פעיל</v>
      </c>
      <c r="I1912" s="1788">
        <f t="shared" si="323"/>
        <v>23102</v>
      </c>
      <c r="J1912" s="1788">
        <f t="shared" si="324"/>
        <v>42370.769247685203</v>
      </c>
      <c r="K1912" s="1786">
        <v>0</v>
      </c>
      <c r="L1912" s="1786" t="s">
        <v>1594</v>
      </c>
      <c r="M1912" s="1786" t="s">
        <v>1653</v>
      </c>
      <c r="N1912" s="1786" t="s">
        <v>1653</v>
      </c>
      <c r="O1912" s="1786">
        <v>0</v>
      </c>
      <c r="P1912" s="1786"/>
      <c r="Q1912" s="1786">
        <v>0</v>
      </c>
      <c r="R1912" s="1788"/>
      <c r="S1912" s="1786">
        <f t="shared" si="325"/>
        <v>221</v>
      </c>
      <c r="T1912" s="1786" t="str">
        <f t="shared" si="326"/>
        <v>בנק לאומי בע"מ</v>
      </c>
      <c r="U1912" s="1786" t="str">
        <f t="shared" si="327"/>
        <v>קופת התגמולים לעובדי בנק דיסקונט</v>
      </c>
      <c r="V1912" s="1786" t="str">
        <f t="shared" si="328"/>
        <v>520033986</v>
      </c>
      <c r="W1912" s="1789" t="str">
        <f t="shared" si="329"/>
        <v>הראל פנסיה וגמל בע"מ</v>
      </c>
      <c r="AC1912" s="1759" t="s">
        <v>1586</v>
      </c>
      <c r="AD1912" s="1760">
        <v>42370.769247685203</v>
      </c>
      <c r="AE1912" s="1760">
        <v>23102</v>
      </c>
      <c r="AF1912" s="1759" t="s">
        <v>1653</v>
      </c>
      <c r="AG1912" s="1759" t="s">
        <v>1653</v>
      </c>
      <c r="AH1912" s="1759" t="s">
        <v>1594</v>
      </c>
      <c r="AI1912" s="1759" t="s">
        <v>3711</v>
      </c>
      <c r="AJ1912" s="1759" t="s">
        <v>3710</v>
      </c>
      <c r="AK1912" s="1759">
        <v>2233</v>
      </c>
      <c r="AL1912" s="1759" t="s">
        <v>415</v>
      </c>
      <c r="AM1912" s="1759">
        <v>221</v>
      </c>
      <c r="AN1912" s="1759" t="s">
        <v>5470</v>
      </c>
      <c r="AO1912" s="1764"/>
      <c r="AP1912" s="1759" t="s">
        <v>5396</v>
      </c>
      <c r="AQ1912" s="1759" t="s">
        <v>5397</v>
      </c>
      <c r="AR1912" s="1759" t="s">
        <v>4588</v>
      </c>
      <c r="AS1912" s="1759" t="s">
        <v>405</v>
      </c>
      <c r="AT1912" s="1759" t="s">
        <v>327</v>
      </c>
      <c r="AU1912" s="1763"/>
      <c r="AV1912" s="1763"/>
    </row>
    <row r="1913" spans="1:48" ht="37.5" hidden="1">
      <c r="A1913" s="1785" t="str">
        <f t="shared" si="319"/>
        <v>גמל</v>
      </c>
      <c r="B1913" s="1786">
        <f t="shared" si="320"/>
        <v>2234</v>
      </c>
      <c r="C1913" s="1787">
        <v>28946</v>
      </c>
      <c r="D1913" s="1786" t="str">
        <f t="shared" si="321"/>
        <v>גמל דיסקונט אג"ח ממשלת ישראל</v>
      </c>
      <c r="E1913" s="1786" t="s">
        <v>3929</v>
      </c>
      <c r="F1913" s="1786" t="s">
        <v>2958</v>
      </c>
      <c r="G1913" s="1786" t="s">
        <v>2959</v>
      </c>
      <c r="H1913" s="1786" t="str">
        <f t="shared" si="322"/>
        <v>לא פעיל</v>
      </c>
      <c r="I1913" s="1788">
        <f t="shared" si="323"/>
        <v>23102</v>
      </c>
      <c r="J1913" s="1788">
        <f t="shared" si="324"/>
        <v>43845.432696759301</v>
      </c>
      <c r="K1913" s="1786">
        <v>0</v>
      </c>
      <c r="L1913" s="1786" t="s">
        <v>1594</v>
      </c>
      <c r="M1913" s="1786" t="s">
        <v>1653</v>
      </c>
      <c r="N1913" s="1786" t="s">
        <v>1653</v>
      </c>
      <c r="O1913" s="1786">
        <v>0</v>
      </c>
      <c r="P1913" s="1786"/>
      <c r="Q1913" s="1786">
        <v>0</v>
      </c>
      <c r="R1913" s="1788"/>
      <c r="S1913" s="1786">
        <f t="shared" si="325"/>
        <v>221</v>
      </c>
      <c r="T1913" s="1786" t="str">
        <f t="shared" si="326"/>
        <v>בנק לאומי בע"מ</v>
      </c>
      <c r="U1913" s="1786" t="str">
        <f t="shared" si="327"/>
        <v>קופת התגמולים לעובדי בנק דיסקונט</v>
      </c>
      <c r="V1913" s="1786" t="str">
        <f t="shared" si="328"/>
        <v>520033986</v>
      </c>
      <c r="W1913" s="1789" t="str">
        <f t="shared" si="329"/>
        <v>הראל פנסיה וגמל בע"מ</v>
      </c>
      <c r="AC1913" s="1761" t="s">
        <v>1586</v>
      </c>
      <c r="AD1913" s="1762">
        <v>43845.432696759301</v>
      </c>
      <c r="AE1913" s="1762">
        <v>23102</v>
      </c>
      <c r="AF1913" s="1761" t="s">
        <v>2009</v>
      </c>
      <c r="AG1913" s="1761" t="s">
        <v>1653</v>
      </c>
      <c r="AH1913" s="1761" t="s">
        <v>1594</v>
      </c>
      <c r="AI1913" s="1761" t="s">
        <v>4177</v>
      </c>
      <c r="AJ1913" s="1761" t="s">
        <v>4177</v>
      </c>
      <c r="AK1913" s="1761">
        <v>2234</v>
      </c>
      <c r="AL1913" s="1761" t="s">
        <v>415</v>
      </c>
      <c r="AM1913" s="1761">
        <v>221</v>
      </c>
      <c r="AN1913" s="1761" t="s">
        <v>5470</v>
      </c>
      <c r="AO1913" s="1764"/>
      <c r="AP1913" s="1761" t="s">
        <v>5396</v>
      </c>
      <c r="AQ1913" s="1761" t="s">
        <v>5397</v>
      </c>
      <c r="AR1913" s="1761" t="s">
        <v>4588</v>
      </c>
      <c r="AS1913" s="1761" t="s">
        <v>405</v>
      </c>
      <c r="AT1913" s="1761" t="s">
        <v>327</v>
      </c>
      <c r="AU1913" s="1763"/>
      <c r="AV1913" s="1763"/>
    </row>
    <row r="1914" spans="1:48" ht="37.5" hidden="1">
      <c r="A1914" s="1785" t="str">
        <f t="shared" si="319"/>
        <v>גמל</v>
      </c>
      <c r="B1914" s="1786">
        <f t="shared" si="320"/>
        <v>2232</v>
      </c>
      <c r="C1914" s="1787">
        <v>28946</v>
      </c>
      <c r="D1914" s="1786" t="str">
        <f t="shared" si="321"/>
        <v>קופת התגמולים לעובדי בנק דיסקונט מסלול מניות</v>
      </c>
      <c r="E1914" s="1786" t="s">
        <v>3929</v>
      </c>
      <c r="F1914" s="1786" t="s">
        <v>2958</v>
      </c>
      <c r="G1914" s="1786" t="s">
        <v>2959</v>
      </c>
      <c r="H1914" s="1786" t="str">
        <f t="shared" si="322"/>
        <v>לא פעיל</v>
      </c>
      <c r="I1914" s="1788">
        <f t="shared" si="323"/>
        <v>23102</v>
      </c>
      <c r="J1914" s="1788">
        <f t="shared" si="324"/>
        <v>42370.769247685203</v>
      </c>
      <c r="K1914" s="1786">
        <v>0</v>
      </c>
      <c r="L1914" s="1786" t="s">
        <v>1594</v>
      </c>
      <c r="M1914" s="1786" t="s">
        <v>1653</v>
      </c>
      <c r="N1914" s="1786" t="s">
        <v>1653</v>
      </c>
      <c r="O1914" s="1786">
        <v>0</v>
      </c>
      <c r="P1914" s="1786"/>
      <c r="Q1914" s="1786">
        <v>0</v>
      </c>
      <c r="R1914" s="1788"/>
      <c r="S1914" s="1786">
        <f t="shared" si="325"/>
        <v>221</v>
      </c>
      <c r="T1914" s="1786" t="str">
        <f t="shared" si="326"/>
        <v>בנק לאומי בע"מ</v>
      </c>
      <c r="U1914" s="1786" t="str">
        <f t="shared" si="327"/>
        <v>קופת התגמולים לעובדי בנק דיסקונט</v>
      </c>
      <c r="V1914" s="1786" t="str">
        <f t="shared" si="328"/>
        <v>520033986</v>
      </c>
      <c r="W1914" s="1789" t="str">
        <f t="shared" si="329"/>
        <v>הראל פנסיה וגמל בע"מ</v>
      </c>
      <c r="AC1914" s="1759" t="s">
        <v>1586</v>
      </c>
      <c r="AD1914" s="1760">
        <v>42370.769247685203</v>
      </c>
      <c r="AE1914" s="1760">
        <v>23102</v>
      </c>
      <c r="AF1914" s="1759" t="s">
        <v>1595</v>
      </c>
      <c r="AG1914" s="1759" t="s">
        <v>75</v>
      </c>
      <c r="AH1914" s="1759" t="s">
        <v>1594</v>
      </c>
      <c r="AI1914" s="1759" t="s">
        <v>3709</v>
      </c>
      <c r="AJ1914" s="1759" t="s">
        <v>2668</v>
      </c>
      <c r="AK1914" s="1759">
        <v>2232</v>
      </c>
      <c r="AL1914" s="1759" t="s">
        <v>415</v>
      </c>
      <c r="AM1914" s="1759">
        <v>221</v>
      </c>
      <c r="AN1914" s="1759" t="s">
        <v>5470</v>
      </c>
      <c r="AO1914" s="1764"/>
      <c r="AP1914" s="1759" t="s">
        <v>5396</v>
      </c>
      <c r="AQ1914" s="1759" t="s">
        <v>5397</v>
      </c>
      <c r="AR1914" s="1759" t="s">
        <v>4588</v>
      </c>
      <c r="AS1914" s="1759" t="s">
        <v>405</v>
      </c>
      <c r="AT1914" s="1759" t="s">
        <v>327</v>
      </c>
      <c r="AU1914" s="1763"/>
      <c r="AV1914" s="1763"/>
    </row>
    <row r="1915" spans="1:48" ht="37.5" hidden="1">
      <c r="A1915" s="1785" t="str">
        <f t="shared" si="319"/>
        <v>גמל</v>
      </c>
      <c r="B1915" s="1786">
        <f t="shared" si="320"/>
        <v>220</v>
      </c>
      <c r="C1915" s="1787">
        <v>28946</v>
      </c>
      <c r="D1915" s="1786" t="str">
        <f t="shared" si="321"/>
        <v>קופת גמל של העובדים בבתי הקולנוע א.ש. בע"מ</v>
      </c>
      <c r="E1915" s="1786" t="s">
        <v>3929</v>
      </c>
      <c r="F1915" s="1786" t="s">
        <v>2958</v>
      </c>
      <c r="G1915" s="1786" t="s">
        <v>2959</v>
      </c>
      <c r="H1915" s="1786" t="str">
        <f t="shared" si="322"/>
        <v>לא פעיל</v>
      </c>
      <c r="I1915" s="1788">
        <f t="shared" si="323"/>
        <v>24198</v>
      </c>
      <c r="J1915" s="1788">
        <f t="shared" si="324"/>
        <v>39663</v>
      </c>
      <c r="K1915" s="1786">
        <v>0</v>
      </c>
      <c r="L1915" s="1786" t="s">
        <v>1594</v>
      </c>
      <c r="M1915" s="1786" t="s">
        <v>1653</v>
      </c>
      <c r="N1915" s="1786" t="s">
        <v>1653</v>
      </c>
      <c r="O1915" s="1786">
        <v>0</v>
      </c>
      <c r="P1915" s="1786"/>
      <c r="Q1915" s="1786">
        <v>0</v>
      </c>
      <c r="R1915" s="1788"/>
      <c r="S1915" s="1786">
        <f t="shared" si="325"/>
        <v>220</v>
      </c>
      <c r="T1915" s="1786" t="str">
        <f t="shared" si="326"/>
        <v>בנק דיסקונט לישראל בע"מ</v>
      </c>
      <c r="U1915" s="1786" t="str">
        <f t="shared" si="327"/>
        <v>קופת גמל של העובדים בבתי הקולנוע א.ש. בע"מ</v>
      </c>
      <c r="V1915" s="1786">
        <f t="shared" si="328"/>
        <v>0</v>
      </c>
      <c r="W1915" s="1789" t="str">
        <f t="shared" si="329"/>
        <v>קופ"ג של העובדים בבתי הקולנוע א. ש. בע"מ</v>
      </c>
      <c r="AC1915" s="1761" t="s">
        <v>1586</v>
      </c>
      <c r="AD1915" s="1762">
        <v>39663</v>
      </c>
      <c r="AE1915" s="1762">
        <v>24198</v>
      </c>
      <c r="AF1915" s="1761" t="s">
        <v>1583</v>
      </c>
      <c r="AG1915" s="1761" t="s">
        <v>1583</v>
      </c>
      <c r="AH1915" s="1761" t="s">
        <v>1583</v>
      </c>
      <c r="AI1915" s="1761" t="s">
        <v>3016</v>
      </c>
      <c r="AJ1915" s="1761" t="s">
        <v>1677</v>
      </c>
      <c r="AK1915" s="1761">
        <v>220</v>
      </c>
      <c r="AL1915" s="1761" t="s">
        <v>1677</v>
      </c>
      <c r="AM1915" s="1761">
        <v>220</v>
      </c>
      <c r="AN1915" s="1761" t="s">
        <v>5535</v>
      </c>
      <c r="AO1915" s="1764"/>
      <c r="AP1915" s="1761"/>
      <c r="AQ1915" s="1761"/>
      <c r="AR1915" s="1761" t="s">
        <v>1679</v>
      </c>
      <c r="AS1915" s="1761" t="s">
        <v>1678</v>
      </c>
      <c r="AT1915" s="1761" t="s">
        <v>327</v>
      </c>
      <c r="AU1915" s="1763"/>
      <c r="AV1915" s="1763"/>
    </row>
    <row r="1916" spans="1:48" ht="25" hidden="1">
      <c r="A1916" s="1785" t="str">
        <f t="shared" si="319"/>
        <v>גמל</v>
      </c>
      <c r="B1916" s="1786">
        <f t="shared" si="320"/>
        <v>219</v>
      </c>
      <c r="C1916" s="1787">
        <v>28946</v>
      </c>
      <c r="D1916" s="1786" t="str">
        <f t="shared" si="321"/>
        <v>אלמוג קופה מרכזית לפיצויים ליד כלל ישראל</v>
      </c>
      <c r="E1916" s="1786" t="s">
        <v>3929</v>
      </c>
      <c r="F1916" s="1786" t="s">
        <v>2958</v>
      </c>
      <c r="G1916" s="1786" t="s">
        <v>2959</v>
      </c>
      <c r="H1916" s="1786" t="str">
        <f t="shared" si="322"/>
        <v>פעיל</v>
      </c>
      <c r="I1916" s="1788">
        <f t="shared" si="323"/>
        <v>27030</v>
      </c>
      <c r="J1916" s="1788" t="str">
        <f t="shared" si="324"/>
        <v/>
      </c>
      <c r="K1916" s="1786">
        <v>0</v>
      </c>
      <c r="L1916" s="1786" t="s">
        <v>1594</v>
      </c>
      <c r="M1916" s="1786" t="s">
        <v>1653</v>
      </c>
      <c r="N1916" s="1786" t="s">
        <v>1653</v>
      </c>
      <c r="O1916" s="1786">
        <v>0</v>
      </c>
      <c r="P1916" s="1786"/>
      <c r="Q1916" s="1786">
        <v>0</v>
      </c>
      <c r="R1916" s="1788"/>
      <c r="S1916" s="1786">
        <f t="shared" si="325"/>
        <v>219</v>
      </c>
      <c r="T1916" s="1786" t="str">
        <f t="shared" si="326"/>
        <v>ד.ס.ש ייעוץ ושירותים בע"מ</v>
      </c>
      <c r="U1916" s="1786" t="str">
        <f t="shared" si="327"/>
        <v>אלמוג קופה מרכזית לפיצויים ליד כלל ישראל</v>
      </c>
      <c r="V1916" s="1786">
        <f t="shared" si="328"/>
        <v>0</v>
      </c>
      <c r="W1916" s="1789" t="str">
        <f t="shared" si="329"/>
        <v>כלל פנסיה וגמל בע"מ</v>
      </c>
      <c r="AC1916" s="1759" t="s">
        <v>346</v>
      </c>
      <c r="AD1916" s="1759"/>
      <c r="AE1916" s="1760">
        <v>27030</v>
      </c>
      <c r="AF1916" s="1759" t="s">
        <v>1583</v>
      </c>
      <c r="AG1916" s="1759" t="s">
        <v>1583</v>
      </c>
      <c r="AH1916" s="1759" t="s">
        <v>1583</v>
      </c>
      <c r="AI1916" s="1759" t="s">
        <v>3015</v>
      </c>
      <c r="AJ1916" s="1759" t="s">
        <v>412</v>
      </c>
      <c r="AK1916" s="1759">
        <v>219</v>
      </c>
      <c r="AL1916" s="1759" t="s">
        <v>412</v>
      </c>
      <c r="AM1916" s="1759">
        <v>219</v>
      </c>
      <c r="AN1916" s="1759" t="s">
        <v>5393</v>
      </c>
      <c r="AO1916" s="1764"/>
      <c r="AP1916" s="1759"/>
      <c r="AQ1916" s="1759"/>
      <c r="AR1916" s="1759" t="s">
        <v>378</v>
      </c>
      <c r="AS1916" s="1759" t="s">
        <v>379</v>
      </c>
      <c r="AT1916" s="1759" t="s">
        <v>327</v>
      </c>
      <c r="AU1916" s="1763"/>
      <c r="AV1916" s="1763"/>
    </row>
    <row r="1917" spans="1:48" ht="75" hidden="1">
      <c r="A1917" s="1785" t="str">
        <f t="shared" si="319"/>
        <v>גמל</v>
      </c>
      <c r="B1917" s="1786">
        <f t="shared" si="320"/>
        <v>218</v>
      </c>
      <c r="C1917" s="1787">
        <v>28946</v>
      </c>
      <c r="D1917" s="1786" t="str">
        <f t="shared" si="321"/>
        <v>קופת התגמולים לעובדים האקדמאים של אוניברסיטת תל אביב - מסלול כללי</v>
      </c>
      <c r="E1917" s="1786" t="s">
        <v>3929</v>
      </c>
      <c r="F1917" s="1786" t="s">
        <v>2958</v>
      </c>
      <c r="G1917" s="1786" t="s">
        <v>2959</v>
      </c>
      <c r="H1917" s="1786" t="str">
        <f t="shared" si="322"/>
        <v>לא פעיל</v>
      </c>
      <c r="I1917" s="1788">
        <f t="shared" si="323"/>
        <v>24198</v>
      </c>
      <c r="J1917" s="1788">
        <f t="shared" si="324"/>
        <v>43136.601412037002</v>
      </c>
      <c r="K1917" s="1786">
        <v>0</v>
      </c>
      <c r="L1917" s="1786" t="s">
        <v>1594</v>
      </c>
      <c r="M1917" s="1786" t="s">
        <v>1653</v>
      </c>
      <c r="N1917" s="1786" t="s">
        <v>1653</v>
      </c>
      <c r="O1917" s="1786">
        <v>0</v>
      </c>
      <c r="P1917" s="1786"/>
      <c r="Q1917" s="1786">
        <v>0</v>
      </c>
      <c r="R1917" s="1788"/>
      <c r="S1917" s="1786">
        <f t="shared" si="325"/>
        <v>218</v>
      </c>
      <c r="T1917" s="1786" t="str">
        <f t="shared" si="326"/>
        <v>אוניברסיטת ת'א</v>
      </c>
      <c r="U1917" s="1786" t="str">
        <f t="shared" si="327"/>
        <v>קופת התגמולים לעובדים האקדמאים של אוניברסיטת תל אביב (1965) בע"מ</v>
      </c>
      <c r="V1917" s="1786">
        <f t="shared" si="328"/>
        <v>0</v>
      </c>
      <c r="W1917" s="1789" t="str">
        <f t="shared" si="329"/>
        <v>חברה לניהול קופת גמל מפעלית ליד קופת התגמולים לעובדים אקדמאיים של אוניברסיטת תל אביב (1965) בע"מ</v>
      </c>
      <c r="AC1917" s="1761" t="s">
        <v>1586</v>
      </c>
      <c r="AD1917" s="1762">
        <v>43136.601412037002</v>
      </c>
      <c r="AE1917" s="1762">
        <v>24198</v>
      </c>
      <c r="AF1917" s="1761" t="s">
        <v>1583</v>
      </c>
      <c r="AG1917" s="1761" t="s">
        <v>1583</v>
      </c>
      <c r="AH1917" s="1761" t="s">
        <v>1583</v>
      </c>
      <c r="AI1917" s="1761" t="s">
        <v>3014</v>
      </c>
      <c r="AJ1917" s="1761" t="s">
        <v>5682</v>
      </c>
      <c r="AK1917" s="1761">
        <v>218</v>
      </c>
      <c r="AL1917" s="1761" t="s">
        <v>411</v>
      </c>
      <c r="AM1917" s="1761">
        <v>218</v>
      </c>
      <c r="AN1917" s="1761" t="s">
        <v>5683</v>
      </c>
      <c r="AO1917" s="1764"/>
      <c r="AP1917" s="1761"/>
      <c r="AQ1917" s="1761"/>
      <c r="AR1917" s="1761" t="s">
        <v>409</v>
      </c>
      <c r="AS1917" s="1761" t="s">
        <v>410</v>
      </c>
      <c r="AT1917" s="1761" t="s">
        <v>327</v>
      </c>
      <c r="AU1917" s="1763"/>
      <c r="AV1917" s="1763"/>
    </row>
    <row r="1918" spans="1:48" ht="75" hidden="1">
      <c r="A1918" s="1785" t="str">
        <f t="shared" si="319"/>
        <v>גמל</v>
      </c>
      <c r="B1918" s="1786">
        <f t="shared" si="320"/>
        <v>2080</v>
      </c>
      <c r="C1918" s="1787">
        <v>28946</v>
      </c>
      <c r="D1918" s="1786" t="str">
        <f t="shared" si="321"/>
        <v>קופת התגמולים לעובדים האקדמאים של אוניברסיטת תל אביב - מסלול שקלי</v>
      </c>
      <c r="E1918" s="1786" t="s">
        <v>3929</v>
      </c>
      <c r="F1918" s="1786" t="s">
        <v>2958</v>
      </c>
      <c r="G1918" s="1786" t="s">
        <v>2959</v>
      </c>
      <c r="H1918" s="1786" t="str">
        <f t="shared" si="322"/>
        <v>לא פעיל</v>
      </c>
      <c r="I1918" s="1788">
        <f t="shared" si="323"/>
        <v>24198</v>
      </c>
      <c r="J1918" s="1788">
        <f t="shared" si="324"/>
        <v>43136.604826388902</v>
      </c>
      <c r="K1918" s="1786">
        <v>0</v>
      </c>
      <c r="L1918" s="1786" t="s">
        <v>1594</v>
      </c>
      <c r="M1918" s="1786" t="s">
        <v>1653</v>
      </c>
      <c r="N1918" s="1786" t="s">
        <v>1653</v>
      </c>
      <c r="O1918" s="1786">
        <v>0</v>
      </c>
      <c r="P1918" s="1786"/>
      <c r="Q1918" s="1786">
        <v>0</v>
      </c>
      <c r="R1918" s="1788"/>
      <c r="S1918" s="1786">
        <f t="shared" si="325"/>
        <v>218</v>
      </c>
      <c r="T1918" s="1786" t="str">
        <f t="shared" si="326"/>
        <v>אוניברסיטת ת'א</v>
      </c>
      <c r="U1918" s="1786" t="str">
        <f t="shared" si="327"/>
        <v>קופת התגמולים לעובדים האקדמאים של אוניברסיטת תל אביב (1965) בע"מ</v>
      </c>
      <c r="V1918" s="1786">
        <f t="shared" si="328"/>
        <v>0</v>
      </c>
      <c r="W1918" s="1789" t="str">
        <f t="shared" si="329"/>
        <v>חברה לניהול קופת גמל מפעלית ליד קופת התגמולים לעובדים אקדמאיים של אוניברסיטת תל אביב (1965) בע"מ</v>
      </c>
      <c r="AC1918" s="1759" t="s">
        <v>1586</v>
      </c>
      <c r="AD1918" s="1760">
        <v>43136.604826388902</v>
      </c>
      <c r="AE1918" s="1760">
        <v>24198</v>
      </c>
      <c r="AF1918" s="1759" t="s">
        <v>1076</v>
      </c>
      <c r="AG1918" s="1759" t="s">
        <v>1614</v>
      </c>
      <c r="AH1918" s="1759" t="s">
        <v>1594</v>
      </c>
      <c r="AI1918" s="1759" t="s">
        <v>3697</v>
      </c>
      <c r="AJ1918" s="1759" t="s">
        <v>5684</v>
      </c>
      <c r="AK1918" s="1759">
        <v>2080</v>
      </c>
      <c r="AL1918" s="1759" t="s">
        <v>411</v>
      </c>
      <c r="AM1918" s="1759">
        <v>218</v>
      </c>
      <c r="AN1918" s="1759" t="s">
        <v>5683</v>
      </c>
      <c r="AO1918" s="1764"/>
      <c r="AP1918" s="1759"/>
      <c r="AQ1918" s="1759"/>
      <c r="AR1918" s="1759" t="s">
        <v>409</v>
      </c>
      <c r="AS1918" s="1759" t="s">
        <v>410</v>
      </c>
      <c r="AT1918" s="1759" t="s">
        <v>327</v>
      </c>
      <c r="AU1918" s="1763"/>
      <c r="AV1918" s="1763"/>
    </row>
    <row r="1919" spans="1:48" ht="25" hidden="1">
      <c r="A1919" s="1785" t="str">
        <f t="shared" si="319"/>
        <v>גמל</v>
      </c>
      <c r="B1919" s="1786">
        <f t="shared" si="320"/>
        <v>217</v>
      </c>
      <c r="C1919" s="1787">
        <v>28946</v>
      </c>
      <c r="D1919" s="1786" t="str">
        <f t="shared" si="321"/>
        <v>שילוב</v>
      </c>
      <c r="E1919" s="1786" t="s">
        <v>3929</v>
      </c>
      <c r="F1919" s="1786" t="s">
        <v>2958</v>
      </c>
      <c r="G1919" s="1786" t="s">
        <v>2959</v>
      </c>
      <c r="H1919" s="1786" t="str">
        <f t="shared" si="322"/>
        <v>לא פעיל</v>
      </c>
      <c r="I1919" s="1788">
        <f t="shared" si="323"/>
        <v>35431</v>
      </c>
      <c r="J1919" s="1788">
        <f t="shared" si="324"/>
        <v>35773.431793981501</v>
      </c>
      <c r="K1919" s="1786">
        <v>0</v>
      </c>
      <c r="L1919" s="1786" t="s">
        <v>1594</v>
      </c>
      <c r="M1919" s="1786" t="s">
        <v>1653</v>
      </c>
      <c r="N1919" s="1786" t="s">
        <v>1653</v>
      </c>
      <c r="O1919" s="1786">
        <v>0</v>
      </c>
      <c r="P1919" s="1786"/>
      <c r="Q1919" s="1786">
        <v>0</v>
      </c>
      <c r="R1919" s="1788"/>
      <c r="S1919" s="1786">
        <f t="shared" si="325"/>
        <v>217</v>
      </c>
      <c r="T1919" s="1786">
        <f t="shared" si="326"/>
        <v>0</v>
      </c>
      <c r="U1919" s="1786" t="str">
        <f t="shared" si="327"/>
        <v>שילוב</v>
      </c>
      <c r="V1919" s="1786">
        <f t="shared" si="328"/>
        <v>0</v>
      </c>
      <c r="W1919" s="1789" t="str">
        <f t="shared" si="329"/>
        <v>שילוב קרן פנסיה בע"מ</v>
      </c>
      <c r="AC1919" s="1761" t="s">
        <v>1586</v>
      </c>
      <c r="AD1919" s="1762">
        <v>35773.431793981501</v>
      </c>
      <c r="AE1919" s="1762">
        <v>35431</v>
      </c>
      <c r="AF1919" s="1761" t="s">
        <v>1583</v>
      </c>
      <c r="AG1919" s="1761" t="s">
        <v>1583</v>
      </c>
      <c r="AH1919" s="1761" t="s">
        <v>1583</v>
      </c>
      <c r="AI1919" s="1761" t="s">
        <v>1674</v>
      </c>
      <c r="AJ1919" s="1761" t="s">
        <v>1674</v>
      </c>
      <c r="AK1919" s="1761">
        <v>217</v>
      </c>
      <c r="AL1919" s="1761" t="s">
        <v>1674</v>
      </c>
      <c r="AM1919" s="1761">
        <v>217</v>
      </c>
      <c r="AN1919" s="1761"/>
      <c r="AO1919" s="1764"/>
      <c r="AP1919" s="1761"/>
      <c r="AQ1919" s="1761"/>
      <c r="AR1919" s="1761" t="s">
        <v>1676</v>
      </c>
      <c r="AS1919" s="1761" t="s">
        <v>1675</v>
      </c>
      <c r="AT1919" s="1761" t="s">
        <v>327</v>
      </c>
      <c r="AU1919" s="1763"/>
      <c r="AV1919" s="1763"/>
    </row>
    <row r="1920" spans="1:48" ht="37.5" hidden="1">
      <c r="A1920" s="1785" t="str">
        <f t="shared" si="319"/>
        <v>גמל</v>
      </c>
      <c r="B1920" s="1786">
        <f t="shared" si="320"/>
        <v>215</v>
      </c>
      <c r="C1920" s="1787">
        <v>28946</v>
      </c>
      <c r="D1920" s="1786" t="str">
        <f t="shared" si="321"/>
        <v>קופת פיצויים של עובדי אמישראגז בע"מ</v>
      </c>
      <c r="E1920" s="1786" t="s">
        <v>3929</v>
      </c>
      <c r="F1920" s="1786" t="s">
        <v>2958</v>
      </c>
      <c r="G1920" s="1786" t="s">
        <v>2959</v>
      </c>
      <c r="H1920" s="1786" t="str">
        <f t="shared" si="322"/>
        <v>לא פעיל</v>
      </c>
      <c r="I1920" s="1788">
        <f t="shared" si="323"/>
        <v>20455</v>
      </c>
      <c r="J1920" s="1788">
        <f t="shared" si="324"/>
        <v>41247.549988425897</v>
      </c>
      <c r="K1920" s="1786">
        <v>0</v>
      </c>
      <c r="L1920" s="1786" t="s">
        <v>1594</v>
      </c>
      <c r="M1920" s="1786" t="s">
        <v>1653</v>
      </c>
      <c r="N1920" s="1786" t="s">
        <v>1653</v>
      </c>
      <c r="O1920" s="1786">
        <v>0</v>
      </c>
      <c r="P1920" s="1786"/>
      <c r="Q1920" s="1786">
        <v>0</v>
      </c>
      <c r="R1920" s="1788"/>
      <c r="S1920" s="1786">
        <f t="shared" si="325"/>
        <v>215</v>
      </c>
      <c r="T1920" s="1786" t="str">
        <f t="shared" si="326"/>
        <v>החברה האמריקאית ישראלית לגז</v>
      </c>
      <c r="U1920" s="1786" t="str">
        <f t="shared" si="327"/>
        <v>קופת פיצויים של עובדי אמישראגז בע"מ</v>
      </c>
      <c r="V1920" s="1786">
        <f t="shared" si="328"/>
        <v>0</v>
      </c>
      <c r="W1920" s="1789" t="str">
        <f t="shared" si="329"/>
        <v>קופת הפיצויים של עובדי אמישראגז בע"מ</v>
      </c>
      <c r="AC1920" s="1759" t="s">
        <v>1586</v>
      </c>
      <c r="AD1920" s="1760">
        <v>41247.549988425897</v>
      </c>
      <c r="AE1920" s="1760">
        <v>20455</v>
      </c>
      <c r="AF1920" s="1759" t="s">
        <v>1583</v>
      </c>
      <c r="AG1920" s="1759" t="s">
        <v>1583</v>
      </c>
      <c r="AH1920" s="1759" t="s">
        <v>1583</v>
      </c>
      <c r="AI1920" s="1759" t="s">
        <v>3013</v>
      </c>
      <c r="AJ1920" s="1759" t="s">
        <v>408</v>
      </c>
      <c r="AK1920" s="1759">
        <v>215</v>
      </c>
      <c r="AL1920" s="1759" t="s">
        <v>408</v>
      </c>
      <c r="AM1920" s="1759">
        <v>215</v>
      </c>
      <c r="AN1920" s="1759" t="s">
        <v>5685</v>
      </c>
      <c r="AO1920" s="1764"/>
      <c r="AP1920" s="1759"/>
      <c r="AQ1920" s="1759"/>
      <c r="AR1920" s="1759" t="s">
        <v>406</v>
      </c>
      <c r="AS1920" s="1759" t="s">
        <v>407</v>
      </c>
      <c r="AT1920" s="1759" t="s">
        <v>327</v>
      </c>
      <c r="AU1920" s="1763"/>
      <c r="AV1920" s="1763"/>
    </row>
    <row r="1921" spans="1:48" ht="37.5">
      <c r="A1921" s="1785" t="str">
        <f t="shared" si="319"/>
        <v>פנסיה</v>
      </c>
      <c r="B1921" s="1786">
        <f t="shared" si="320"/>
        <v>12027</v>
      </c>
      <c r="C1921" s="1787">
        <v>28946</v>
      </c>
      <c r="D1921" s="1786" t="str">
        <f t="shared" si="321"/>
        <v>הראל  פנסיה - בסיסי למקבלי קצבה</v>
      </c>
      <c r="E1921" s="1786" t="s">
        <v>3929</v>
      </c>
      <c r="F1921" s="1786" t="s">
        <v>2958</v>
      </c>
      <c r="G1921" s="1786" t="s">
        <v>2959</v>
      </c>
      <c r="H1921" s="1786" t="str">
        <f t="shared" si="322"/>
        <v>פעיל</v>
      </c>
      <c r="I1921" s="1788">
        <f t="shared" si="323"/>
        <v>35065</v>
      </c>
      <c r="J1921" s="1788" t="str">
        <f t="shared" si="324"/>
        <v/>
      </c>
      <c r="K1921" s="1786">
        <v>0</v>
      </c>
      <c r="L1921" s="1786" t="s">
        <v>1594</v>
      </c>
      <c r="M1921" s="1786" t="s">
        <v>1653</v>
      </c>
      <c r="N1921" s="1786" t="s">
        <v>1653</v>
      </c>
      <c r="O1921" s="1786">
        <v>0</v>
      </c>
      <c r="P1921" s="1786"/>
      <c r="Q1921" s="1786">
        <v>0</v>
      </c>
      <c r="R1921" s="1788"/>
      <c r="S1921" s="1786">
        <f t="shared" si="325"/>
        <v>214</v>
      </c>
      <c r="T1921" s="1786">
        <f t="shared" si="326"/>
        <v>0</v>
      </c>
      <c r="U1921" s="1786" t="str">
        <f t="shared" si="327"/>
        <v>הראל  פנסיה</v>
      </c>
      <c r="V1921" s="1786" t="str">
        <f t="shared" si="328"/>
        <v>520033986</v>
      </c>
      <c r="W1921" s="1789" t="str">
        <f t="shared" si="329"/>
        <v>הראל פנסיה וגמל בע"מ</v>
      </c>
      <c r="AC1921" s="1761" t="s">
        <v>346</v>
      </c>
      <c r="AD1921" s="1761"/>
      <c r="AE1921" s="1762">
        <v>35065</v>
      </c>
      <c r="AF1921" s="1761" t="s">
        <v>1583</v>
      </c>
      <c r="AG1921" s="1761" t="s">
        <v>1583</v>
      </c>
      <c r="AH1921" s="1761" t="s">
        <v>1583</v>
      </c>
      <c r="AI1921" s="1761" t="s">
        <v>4173</v>
      </c>
      <c r="AJ1921" s="1761" t="s">
        <v>4173</v>
      </c>
      <c r="AK1921" s="1761">
        <v>12027</v>
      </c>
      <c r="AL1921" s="1761" t="s">
        <v>4163</v>
      </c>
      <c r="AM1921" s="1761">
        <v>214</v>
      </c>
      <c r="AN1921" s="1761"/>
      <c r="AO1921" s="1764"/>
      <c r="AP1921" s="1761" t="s">
        <v>5396</v>
      </c>
      <c r="AQ1921" s="1761" t="s">
        <v>5397</v>
      </c>
      <c r="AR1921" s="1761" t="s">
        <v>4588</v>
      </c>
      <c r="AS1921" s="1761" t="s">
        <v>405</v>
      </c>
      <c r="AT1921" s="1761" t="s">
        <v>328</v>
      </c>
      <c r="AU1921" s="1763"/>
      <c r="AV1921" s="1763"/>
    </row>
    <row r="1922" spans="1:48" ht="37.5">
      <c r="A1922" s="1785" t="str">
        <f t="shared" si="319"/>
        <v>פנסיה</v>
      </c>
      <c r="B1922" s="1786">
        <f t="shared" si="320"/>
        <v>2203</v>
      </c>
      <c r="C1922" s="1787">
        <v>28946</v>
      </c>
      <c r="D1922" s="1786" t="str">
        <f t="shared" si="321"/>
        <v>הראל  פנסיה - בסיסי למקבלי קצבה קיימים</v>
      </c>
      <c r="E1922" s="1786" t="s">
        <v>3929</v>
      </c>
      <c r="F1922" s="1786" t="s">
        <v>2958</v>
      </c>
      <c r="G1922" s="1786" t="s">
        <v>2959</v>
      </c>
      <c r="H1922" s="1786" t="str">
        <f t="shared" si="322"/>
        <v>פעיל</v>
      </c>
      <c r="I1922" s="1788">
        <f t="shared" si="323"/>
        <v>35065</v>
      </c>
      <c r="J1922" s="1788" t="str">
        <f t="shared" si="324"/>
        <v/>
      </c>
      <c r="K1922" s="1786">
        <v>0</v>
      </c>
      <c r="L1922" s="1786" t="s">
        <v>1594</v>
      </c>
      <c r="M1922" s="1786" t="s">
        <v>1653</v>
      </c>
      <c r="N1922" s="1786" t="s">
        <v>1653</v>
      </c>
      <c r="O1922" s="1786">
        <v>0</v>
      </c>
      <c r="P1922" s="1786"/>
      <c r="Q1922" s="1786">
        <v>0</v>
      </c>
      <c r="R1922" s="1788"/>
      <c r="S1922" s="1786">
        <f t="shared" si="325"/>
        <v>214</v>
      </c>
      <c r="T1922" s="1786">
        <f t="shared" si="326"/>
        <v>0</v>
      </c>
      <c r="U1922" s="1786" t="str">
        <f t="shared" si="327"/>
        <v>הראל  פנסיה</v>
      </c>
      <c r="V1922" s="1786" t="str">
        <f t="shared" si="328"/>
        <v>520033986</v>
      </c>
      <c r="W1922" s="1789" t="str">
        <f t="shared" si="329"/>
        <v>הראל פנסיה וגמל בע"מ</v>
      </c>
      <c r="AC1922" s="1759" t="s">
        <v>346</v>
      </c>
      <c r="AD1922" s="1759"/>
      <c r="AE1922" s="1760">
        <v>35065</v>
      </c>
      <c r="AF1922" s="1759" t="s">
        <v>1583</v>
      </c>
      <c r="AG1922" s="1759" t="s">
        <v>1583</v>
      </c>
      <c r="AH1922" s="1759" t="s">
        <v>1583</v>
      </c>
      <c r="AI1922" s="1759" t="s">
        <v>5686</v>
      </c>
      <c r="AJ1922" s="1759" t="s">
        <v>5686</v>
      </c>
      <c r="AK1922" s="1759">
        <v>2203</v>
      </c>
      <c r="AL1922" s="1759" t="s">
        <v>4163</v>
      </c>
      <c r="AM1922" s="1759">
        <v>214</v>
      </c>
      <c r="AN1922" s="1759"/>
      <c r="AO1922" s="1764"/>
      <c r="AP1922" s="1759" t="s">
        <v>5396</v>
      </c>
      <c r="AQ1922" s="1759" t="s">
        <v>5397</v>
      </c>
      <c r="AR1922" s="1759" t="s">
        <v>4588</v>
      </c>
      <c r="AS1922" s="1759" t="s">
        <v>405</v>
      </c>
      <c r="AT1922" s="1759" t="s">
        <v>328</v>
      </c>
      <c r="AU1922" s="1763"/>
      <c r="AV1922" s="1763"/>
    </row>
    <row r="1923" spans="1:48" ht="37.5">
      <c r="A1923" s="1785" t="str">
        <f t="shared" si="319"/>
        <v>פנסיה</v>
      </c>
      <c r="B1923" s="1786">
        <f t="shared" si="320"/>
        <v>12663</v>
      </c>
      <c r="C1923" s="1787">
        <v>28946</v>
      </c>
      <c r="D1923" s="1786" t="str">
        <f t="shared" si="321"/>
        <v>הראל פנסיה - ילידי שנות ה- 2000</v>
      </c>
      <c r="E1923" s="1786" t="s">
        <v>3929</v>
      </c>
      <c r="F1923" s="1786" t="s">
        <v>2958</v>
      </c>
      <c r="G1923" s="1786" t="s">
        <v>2959</v>
      </c>
      <c r="H1923" s="1786" t="str">
        <f t="shared" si="322"/>
        <v>לא פעיל</v>
      </c>
      <c r="I1923" s="1788">
        <f t="shared" si="323"/>
        <v>35065</v>
      </c>
      <c r="J1923" s="1788">
        <f t="shared" si="324"/>
        <v>43830.785370370402</v>
      </c>
      <c r="K1923" s="1786">
        <v>0</v>
      </c>
      <c r="L1923" s="1786" t="s">
        <v>1594</v>
      </c>
      <c r="M1923" s="1786" t="s">
        <v>1653</v>
      </c>
      <c r="N1923" s="1786" t="s">
        <v>1653</v>
      </c>
      <c r="O1923" s="1786">
        <v>0</v>
      </c>
      <c r="P1923" s="1786"/>
      <c r="Q1923" s="1786">
        <v>0</v>
      </c>
      <c r="R1923" s="1788"/>
      <c r="S1923" s="1786">
        <f t="shared" si="325"/>
        <v>214</v>
      </c>
      <c r="T1923" s="1786">
        <f t="shared" si="326"/>
        <v>0</v>
      </c>
      <c r="U1923" s="1786" t="str">
        <f t="shared" si="327"/>
        <v>הראל  פנסיה</v>
      </c>
      <c r="V1923" s="1786" t="str">
        <f t="shared" si="328"/>
        <v>520033986</v>
      </c>
      <c r="W1923" s="1789" t="str">
        <f t="shared" si="329"/>
        <v>הראל פנסיה וגמל בע"מ</v>
      </c>
      <c r="AC1923" s="1761" t="s">
        <v>1586</v>
      </c>
      <c r="AD1923" s="1762">
        <v>43830.785370370402</v>
      </c>
      <c r="AE1923" s="1762">
        <v>35065</v>
      </c>
      <c r="AF1923" s="1761" t="s">
        <v>4113</v>
      </c>
      <c r="AG1923" s="1761" t="s">
        <v>4113</v>
      </c>
      <c r="AH1923" s="1761" t="s">
        <v>3658</v>
      </c>
      <c r="AI1923" s="1761" t="s">
        <v>5687</v>
      </c>
      <c r="AJ1923" s="1761" t="s">
        <v>5687</v>
      </c>
      <c r="AK1923" s="1761">
        <v>12663</v>
      </c>
      <c r="AL1923" s="1761" t="s">
        <v>4163</v>
      </c>
      <c r="AM1923" s="1761">
        <v>214</v>
      </c>
      <c r="AN1923" s="1761"/>
      <c r="AO1923" s="1764"/>
      <c r="AP1923" s="1761" t="s">
        <v>5396</v>
      </c>
      <c r="AQ1923" s="1761" t="s">
        <v>5397</v>
      </c>
      <c r="AR1923" s="1761" t="s">
        <v>4588</v>
      </c>
      <c r="AS1923" s="1761" t="s">
        <v>405</v>
      </c>
      <c r="AT1923" s="1761" t="s">
        <v>328</v>
      </c>
      <c r="AU1923" s="1763"/>
      <c r="AV1923" s="1763"/>
    </row>
    <row r="1924" spans="1:48" ht="37.5">
      <c r="A1924" s="1785" t="str">
        <f t="shared" si="319"/>
        <v>פנסיה</v>
      </c>
      <c r="B1924" s="1786">
        <f t="shared" si="320"/>
        <v>8588</v>
      </c>
      <c r="C1924" s="1787">
        <v>28946</v>
      </c>
      <c r="D1924" s="1786" t="str">
        <f t="shared" si="321"/>
        <v>הראל פנסיה  - זכאים קיימים לקצבה</v>
      </c>
      <c r="E1924" s="1786" t="s">
        <v>3929</v>
      </c>
      <c r="F1924" s="1786" t="s">
        <v>2958</v>
      </c>
      <c r="G1924" s="1786" t="s">
        <v>2959</v>
      </c>
      <c r="H1924" s="1786" t="str">
        <f t="shared" si="322"/>
        <v>פעיל</v>
      </c>
      <c r="I1924" s="1788">
        <f t="shared" si="323"/>
        <v>35065</v>
      </c>
      <c r="J1924" s="1788" t="str">
        <f t="shared" si="324"/>
        <v/>
      </c>
      <c r="K1924" s="1786">
        <v>0</v>
      </c>
      <c r="L1924" s="1786" t="s">
        <v>1594</v>
      </c>
      <c r="M1924" s="1786" t="s">
        <v>1653</v>
      </c>
      <c r="N1924" s="1786" t="s">
        <v>1653</v>
      </c>
      <c r="O1924" s="1786">
        <v>0</v>
      </c>
      <c r="P1924" s="1786"/>
      <c r="Q1924" s="1786">
        <v>0</v>
      </c>
      <c r="R1924" s="1788"/>
      <c r="S1924" s="1786">
        <f t="shared" si="325"/>
        <v>214</v>
      </c>
      <c r="T1924" s="1786">
        <f t="shared" si="326"/>
        <v>0</v>
      </c>
      <c r="U1924" s="1786" t="str">
        <f t="shared" si="327"/>
        <v>הראל  פנסיה</v>
      </c>
      <c r="V1924" s="1786" t="str">
        <f t="shared" si="328"/>
        <v>520033986</v>
      </c>
      <c r="W1924" s="1789" t="str">
        <f t="shared" si="329"/>
        <v>הראל פנסיה וגמל בע"מ</v>
      </c>
      <c r="AC1924" s="1759" t="s">
        <v>346</v>
      </c>
      <c r="AD1924" s="1759"/>
      <c r="AE1924" s="1760">
        <v>35065</v>
      </c>
      <c r="AF1924" s="1759" t="s">
        <v>1583</v>
      </c>
      <c r="AG1924" s="1759" t="s">
        <v>1583</v>
      </c>
      <c r="AH1924" s="1759" t="s">
        <v>1583</v>
      </c>
      <c r="AI1924" s="1759" t="s">
        <v>5688</v>
      </c>
      <c r="AJ1924" s="1759" t="s">
        <v>5688</v>
      </c>
      <c r="AK1924" s="1759">
        <v>8588</v>
      </c>
      <c r="AL1924" s="1759" t="s">
        <v>4163</v>
      </c>
      <c r="AM1924" s="1759">
        <v>214</v>
      </c>
      <c r="AN1924" s="1759"/>
      <c r="AO1924" s="1764"/>
      <c r="AP1924" s="1759" t="s">
        <v>5396</v>
      </c>
      <c r="AQ1924" s="1759" t="s">
        <v>5397</v>
      </c>
      <c r="AR1924" s="1759" t="s">
        <v>4588</v>
      </c>
      <c r="AS1924" s="1759" t="s">
        <v>405</v>
      </c>
      <c r="AT1924" s="1759" t="s">
        <v>328</v>
      </c>
      <c r="AU1924" s="1763"/>
      <c r="AV1924" s="1763"/>
    </row>
    <row r="1925" spans="1:48" ht="37.5">
      <c r="A1925" s="1785" t="str">
        <f t="shared" si="319"/>
        <v>פנסיה</v>
      </c>
      <c r="B1925" s="1786">
        <f t="shared" si="320"/>
        <v>8806</v>
      </c>
      <c r="C1925" s="1787">
        <v>28946</v>
      </c>
      <c r="D1925" s="1786" t="str">
        <f t="shared" si="321"/>
        <v>הראל פנסיה- הלכה למקבלי קצבה קיימים</v>
      </c>
      <c r="E1925" s="1786" t="s">
        <v>3929</v>
      </c>
      <c r="F1925" s="1786" t="s">
        <v>2958</v>
      </c>
      <c r="G1925" s="1786" t="s">
        <v>2959</v>
      </c>
      <c r="H1925" s="1786" t="str">
        <f t="shared" si="322"/>
        <v>פעיל</v>
      </c>
      <c r="I1925" s="1788">
        <f t="shared" si="323"/>
        <v>35065</v>
      </c>
      <c r="J1925" s="1788" t="str">
        <f t="shared" si="324"/>
        <v/>
      </c>
      <c r="K1925" s="1786">
        <v>0</v>
      </c>
      <c r="L1925" s="1786" t="s">
        <v>1594</v>
      </c>
      <c r="M1925" s="1786" t="s">
        <v>1653</v>
      </c>
      <c r="N1925" s="1786" t="s">
        <v>1653</v>
      </c>
      <c r="O1925" s="1786">
        <v>0</v>
      </c>
      <c r="P1925" s="1786"/>
      <c r="Q1925" s="1786">
        <v>0</v>
      </c>
      <c r="R1925" s="1788"/>
      <c r="S1925" s="1786">
        <f t="shared" si="325"/>
        <v>214</v>
      </c>
      <c r="T1925" s="1786">
        <f t="shared" si="326"/>
        <v>0</v>
      </c>
      <c r="U1925" s="1786" t="str">
        <f t="shared" si="327"/>
        <v>הראל  פנסיה</v>
      </c>
      <c r="V1925" s="1786" t="str">
        <f t="shared" si="328"/>
        <v>520033986</v>
      </c>
      <c r="W1925" s="1789" t="str">
        <f t="shared" si="329"/>
        <v>הראל פנסיה וגמל בע"מ</v>
      </c>
      <c r="AC1925" s="1761" t="s">
        <v>346</v>
      </c>
      <c r="AD1925" s="1759"/>
      <c r="AE1925" s="1762">
        <v>35065</v>
      </c>
      <c r="AF1925" s="1761" t="s">
        <v>4603</v>
      </c>
      <c r="AG1925" s="1761" t="s">
        <v>2029</v>
      </c>
      <c r="AH1925" s="1761" t="s">
        <v>2028</v>
      </c>
      <c r="AI1925" s="1761" t="s">
        <v>5689</v>
      </c>
      <c r="AJ1925" s="1761" t="s">
        <v>5689</v>
      </c>
      <c r="AK1925" s="1761">
        <v>8806</v>
      </c>
      <c r="AL1925" s="1761" t="s">
        <v>4163</v>
      </c>
      <c r="AM1925" s="1761">
        <v>214</v>
      </c>
      <c r="AN1925" s="1761"/>
      <c r="AO1925" s="1764"/>
      <c r="AP1925" s="1761" t="s">
        <v>5396</v>
      </c>
      <c r="AQ1925" s="1761" t="s">
        <v>5397</v>
      </c>
      <c r="AR1925" s="1761" t="s">
        <v>4588</v>
      </c>
      <c r="AS1925" s="1761" t="s">
        <v>405</v>
      </c>
      <c r="AT1925" s="1761" t="s">
        <v>328</v>
      </c>
      <c r="AU1925" s="1763"/>
      <c r="AV1925" s="1763"/>
    </row>
    <row r="1926" spans="1:48" ht="37.5">
      <c r="A1926" s="1785" t="str">
        <f t="shared" si="319"/>
        <v>פנסיה</v>
      </c>
      <c r="B1926" s="1786">
        <f t="shared" si="320"/>
        <v>9097</v>
      </c>
      <c r="C1926" s="1787">
        <v>28946</v>
      </c>
      <c r="D1926" s="1786" t="str">
        <f t="shared" si="321"/>
        <v>הראל פנסיה - שיקלי טווח קצר</v>
      </c>
      <c r="E1926" s="1786" t="s">
        <v>3929</v>
      </c>
      <c r="F1926" s="1786" t="s">
        <v>2958</v>
      </c>
      <c r="G1926" s="1786" t="s">
        <v>2959</v>
      </c>
      <c r="H1926" s="1786" t="str">
        <f t="shared" si="322"/>
        <v>פעיל</v>
      </c>
      <c r="I1926" s="1788">
        <f t="shared" si="323"/>
        <v>35065</v>
      </c>
      <c r="J1926" s="1788" t="str">
        <f t="shared" si="324"/>
        <v/>
      </c>
      <c r="K1926" s="1786">
        <v>0</v>
      </c>
      <c r="L1926" s="1786" t="s">
        <v>1594</v>
      </c>
      <c r="M1926" s="1786" t="s">
        <v>1653</v>
      </c>
      <c r="N1926" s="1786" t="s">
        <v>1653</v>
      </c>
      <c r="O1926" s="1786">
        <v>0</v>
      </c>
      <c r="P1926" s="1786"/>
      <c r="Q1926" s="1786">
        <v>0</v>
      </c>
      <c r="R1926" s="1788"/>
      <c r="S1926" s="1786">
        <f t="shared" si="325"/>
        <v>214</v>
      </c>
      <c r="T1926" s="1786">
        <f t="shared" si="326"/>
        <v>0</v>
      </c>
      <c r="U1926" s="1786" t="str">
        <f t="shared" si="327"/>
        <v>הראל  פנסיה</v>
      </c>
      <c r="V1926" s="1786" t="str">
        <f t="shared" si="328"/>
        <v>520033986</v>
      </c>
      <c r="W1926" s="1789" t="str">
        <f t="shared" si="329"/>
        <v>הראל פנסיה וגמל בע"מ</v>
      </c>
      <c r="AC1926" s="1759" t="s">
        <v>346</v>
      </c>
      <c r="AD1926" s="1759"/>
      <c r="AE1926" s="1760">
        <v>35065</v>
      </c>
      <c r="AF1926" s="1759" t="s">
        <v>1673</v>
      </c>
      <c r="AG1926" s="1759" t="s">
        <v>1614</v>
      </c>
      <c r="AH1926" s="1759" t="s">
        <v>1594</v>
      </c>
      <c r="AI1926" s="1759" t="s">
        <v>4259</v>
      </c>
      <c r="AJ1926" s="1759" t="s">
        <v>4259</v>
      </c>
      <c r="AK1926" s="1759">
        <v>9097</v>
      </c>
      <c r="AL1926" s="1759" t="s">
        <v>4163</v>
      </c>
      <c r="AM1926" s="1759">
        <v>214</v>
      </c>
      <c r="AN1926" s="1759"/>
      <c r="AO1926" s="1764"/>
      <c r="AP1926" s="1759" t="s">
        <v>5396</v>
      </c>
      <c r="AQ1926" s="1759" t="s">
        <v>5397</v>
      </c>
      <c r="AR1926" s="1759" t="s">
        <v>4588</v>
      </c>
      <c r="AS1926" s="1759" t="s">
        <v>405</v>
      </c>
      <c r="AT1926" s="1759" t="s">
        <v>328</v>
      </c>
      <c r="AU1926" s="1763"/>
      <c r="AV1926" s="1763"/>
    </row>
    <row r="1927" spans="1:48" ht="37.5">
      <c r="A1927" s="1785" t="str">
        <f t="shared" si="319"/>
        <v>פנסיה</v>
      </c>
      <c r="B1927" s="1786">
        <f t="shared" si="320"/>
        <v>9820</v>
      </c>
      <c r="C1927" s="1787">
        <v>28946</v>
      </c>
      <c r="D1927" s="1786" t="str">
        <f t="shared" si="321"/>
        <v>הראל  פנסיה - מנוף כללי</v>
      </c>
      <c r="E1927" s="1786" t="s">
        <v>3929</v>
      </c>
      <c r="F1927" s="1786" t="s">
        <v>2958</v>
      </c>
      <c r="G1927" s="1786" t="s">
        <v>2959</v>
      </c>
      <c r="H1927" s="1786" t="str">
        <f t="shared" si="322"/>
        <v>לא פעיל</v>
      </c>
      <c r="I1927" s="1788">
        <f t="shared" si="323"/>
        <v>35065</v>
      </c>
      <c r="J1927" s="1788">
        <f t="shared" si="324"/>
        <v>42453.458182870403</v>
      </c>
      <c r="K1927" s="1786">
        <v>0</v>
      </c>
      <c r="L1927" s="1786" t="s">
        <v>1594</v>
      </c>
      <c r="M1927" s="1786" t="s">
        <v>1653</v>
      </c>
      <c r="N1927" s="1786" t="s">
        <v>1653</v>
      </c>
      <c r="O1927" s="1786">
        <v>0</v>
      </c>
      <c r="P1927" s="1786"/>
      <c r="Q1927" s="1786">
        <v>0</v>
      </c>
      <c r="R1927" s="1788"/>
      <c r="S1927" s="1786">
        <f t="shared" si="325"/>
        <v>214</v>
      </c>
      <c r="T1927" s="1786">
        <f t="shared" si="326"/>
        <v>0</v>
      </c>
      <c r="U1927" s="1786" t="str">
        <f t="shared" si="327"/>
        <v>הראל  פנסיה</v>
      </c>
      <c r="V1927" s="1786" t="str">
        <f t="shared" si="328"/>
        <v>520033986</v>
      </c>
      <c r="W1927" s="1789" t="str">
        <f t="shared" si="329"/>
        <v>הראל פנסיה וגמל בע"מ</v>
      </c>
      <c r="AC1927" s="1761" t="s">
        <v>1586</v>
      </c>
      <c r="AD1927" s="1762">
        <v>42453.458182870403</v>
      </c>
      <c r="AE1927" s="1762">
        <v>35065</v>
      </c>
      <c r="AF1927" s="1761" t="s">
        <v>1583</v>
      </c>
      <c r="AG1927" s="1761" t="s">
        <v>1583</v>
      </c>
      <c r="AH1927" s="1761" t="s">
        <v>1583</v>
      </c>
      <c r="AI1927" s="1761" t="s">
        <v>4397</v>
      </c>
      <c r="AJ1927" s="1761" t="s">
        <v>4396</v>
      </c>
      <c r="AK1927" s="1761">
        <v>9820</v>
      </c>
      <c r="AL1927" s="1761" t="s">
        <v>4163</v>
      </c>
      <c r="AM1927" s="1761">
        <v>214</v>
      </c>
      <c r="AN1927" s="1761"/>
      <c r="AO1927" s="1764"/>
      <c r="AP1927" s="1761" t="s">
        <v>5396</v>
      </c>
      <c r="AQ1927" s="1761" t="s">
        <v>5397</v>
      </c>
      <c r="AR1927" s="1761" t="s">
        <v>4588</v>
      </c>
      <c r="AS1927" s="1761" t="s">
        <v>405</v>
      </c>
      <c r="AT1927" s="1761" t="s">
        <v>328</v>
      </c>
      <c r="AU1927" s="1763"/>
      <c r="AV1927" s="1763"/>
    </row>
    <row r="1928" spans="1:48" ht="37.5">
      <c r="A1928" s="1785" t="str">
        <f t="shared" si="319"/>
        <v>פנסיה</v>
      </c>
      <c r="B1928" s="1786">
        <f t="shared" si="320"/>
        <v>9821</v>
      </c>
      <c r="C1928" s="1787">
        <v>28946</v>
      </c>
      <c r="D1928" s="1786" t="str">
        <f t="shared" si="321"/>
        <v>הראל  פנסיה - ילידי שנות ה-90</v>
      </c>
      <c r="E1928" s="1786" t="s">
        <v>3929</v>
      </c>
      <c r="F1928" s="1786" t="s">
        <v>2958</v>
      </c>
      <c r="G1928" s="1786" t="s">
        <v>2959</v>
      </c>
      <c r="H1928" s="1786" t="str">
        <f t="shared" si="322"/>
        <v>לא פעיל</v>
      </c>
      <c r="I1928" s="1788">
        <f t="shared" si="323"/>
        <v>35065</v>
      </c>
      <c r="J1928" s="1788">
        <f t="shared" si="324"/>
        <v>43830.785370370402</v>
      </c>
      <c r="K1928" s="1786">
        <v>0</v>
      </c>
      <c r="L1928" s="1786" t="s">
        <v>1594</v>
      </c>
      <c r="M1928" s="1786" t="s">
        <v>1653</v>
      </c>
      <c r="N1928" s="1786" t="s">
        <v>1653</v>
      </c>
      <c r="O1928" s="1786">
        <v>0</v>
      </c>
      <c r="P1928" s="1786"/>
      <c r="Q1928" s="1786">
        <v>0</v>
      </c>
      <c r="R1928" s="1788"/>
      <c r="S1928" s="1786">
        <f t="shared" si="325"/>
        <v>214</v>
      </c>
      <c r="T1928" s="1786">
        <f t="shared" si="326"/>
        <v>0</v>
      </c>
      <c r="U1928" s="1786" t="str">
        <f t="shared" si="327"/>
        <v>הראל  פנסיה</v>
      </c>
      <c r="V1928" s="1786" t="str">
        <f t="shared" si="328"/>
        <v>520033986</v>
      </c>
      <c r="W1928" s="1789" t="str">
        <f t="shared" si="329"/>
        <v>הראל פנסיה וגמל בע"מ</v>
      </c>
      <c r="AC1928" s="1759" t="s">
        <v>1586</v>
      </c>
      <c r="AD1928" s="1760">
        <v>43830.785370370402</v>
      </c>
      <c r="AE1928" s="1760">
        <v>35065</v>
      </c>
      <c r="AF1928" s="1759" t="s">
        <v>4113</v>
      </c>
      <c r="AG1928" s="1759" t="s">
        <v>4113</v>
      </c>
      <c r="AH1928" s="1759" t="s">
        <v>3658</v>
      </c>
      <c r="AI1928" s="1759" t="s">
        <v>4399</v>
      </c>
      <c r="AJ1928" s="1759" t="s">
        <v>4398</v>
      </c>
      <c r="AK1928" s="1759">
        <v>9821</v>
      </c>
      <c r="AL1928" s="1759" t="s">
        <v>4163</v>
      </c>
      <c r="AM1928" s="1759">
        <v>214</v>
      </c>
      <c r="AN1928" s="1759"/>
      <c r="AO1928" s="1764"/>
      <c r="AP1928" s="1759" t="s">
        <v>5396</v>
      </c>
      <c r="AQ1928" s="1759" t="s">
        <v>5397</v>
      </c>
      <c r="AR1928" s="1759" t="s">
        <v>4588</v>
      </c>
      <c r="AS1928" s="1759" t="s">
        <v>405</v>
      </c>
      <c r="AT1928" s="1759" t="s">
        <v>328</v>
      </c>
      <c r="AU1928" s="1763"/>
      <c r="AV1928" s="1763"/>
    </row>
    <row r="1929" spans="1:48" ht="37.5">
      <c r="A1929" s="1785" t="str">
        <f t="shared" si="319"/>
        <v>פנסיה</v>
      </c>
      <c r="B1929" s="1786">
        <f t="shared" si="320"/>
        <v>9822</v>
      </c>
      <c r="C1929" s="1787">
        <v>28946</v>
      </c>
      <c r="D1929" s="1786" t="str">
        <f t="shared" si="321"/>
        <v>הראל  פנסיה - ילידי 1990 עד 1994</v>
      </c>
      <c r="E1929" s="1786" t="s">
        <v>3929</v>
      </c>
      <c r="F1929" s="1786" t="s">
        <v>2958</v>
      </c>
      <c r="G1929" s="1786" t="s">
        <v>2959</v>
      </c>
      <c r="H1929" s="1786" t="str">
        <f t="shared" si="322"/>
        <v>לא פעיל</v>
      </c>
      <c r="I1929" s="1788">
        <f t="shared" si="323"/>
        <v>35065</v>
      </c>
      <c r="J1929" s="1788">
        <f t="shared" si="324"/>
        <v>42366.381087962996</v>
      </c>
      <c r="K1929" s="1786">
        <v>0</v>
      </c>
      <c r="L1929" s="1786" t="s">
        <v>1594</v>
      </c>
      <c r="M1929" s="1786" t="s">
        <v>1653</v>
      </c>
      <c r="N1929" s="1786" t="s">
        <v>1653</v>
      </c>
      <c r="O1929" s="1786">
        <v>0</v>
      </c>
      <c r="P1929" s="1786"/>
      <c r="Q1929" s="1786">
        <v>0</v>
      </c>
      <c r="R1929" s="1788"/>
      <c r="S1929" s="1786">
        <f t="shared" si="325"/>
        <v>214</v>
      </c>
      <c r="T1929" s="1786">
        <f t="shared" si="326"/>
        <v>0</v>
      </c>
      <c r="U1929" s="1786" t="str">
        <f t="shared" si="327"/>
        <v>הראל  פנסיה</v>
      </c>
      <c r="V1929" s="1786" t="str">
        <f t="shared" si="328"/>
        <v>520033986</v>
      </c>
      <c r="W1929" s="1789" t="str">
        <f t="shared" si="329"/>
        <v>הראל פנסיה וגמל בע"מ</v>
      </c>
      <c r="AC1929" s="1761" t="s">
        <v>1586</v>
      </c>
      <c r="AD1929" s="1762">
        <v>42366.381087962996</v>
      </c>
      <c r="AE1929" s="1762">
        <v>35065</v>
      </c>
      <c r="AF1929" s="1761" t="s">
        <v>4113</v>
      </c>
      <c r="AG1929" s="1761" t="s">
        <v>4113</v>
      </c>
      <c r="AH1929" s="1761" t="s">
        <v>3658</v>
      </c>
      <c r="AI1929" s="1761" t="s">
        <v>4536</v>
      </c>
      <c r="AJ1929" s="1761" t="s">
        <v>4535</v>
      </c>
      <c r="AK1929" s="1761">
        <v>9822</v>
      </c>
      <c r="AL1929" s="1761" t="s">
        <v>4163</v>
      </c>
      <c r="AM1929" s="1761">
        <v>214</v>
      </c>
      <c r="AN1929" s="1761"/>
      <c r="AO1929" s="1764"/>
      <c r="AP1929" s="1761" t="s">
        <v>5396</v>
      </c>
      <c r="AQ1929" s="1761" t="s">
        <v>5397</v>
      </c>
      <c r="AR1929" s="1761" t="s">
        <v>4588</v>
      </c>
      <c r="AS1929" s="1761" t="s">
        <v>405</v>
      </c>
      <c r="AT1929" s="1761" t="s">
        <v>328</v>
      </c>
      <c r="AU1929" s="1763"/>
      <c r="AV1929" s="1763"/>
    </row>
    <row r="1930" spans="1:48" ht="37.5">
      <c r="A1930" s="1785" t="str">
        <f t="shared" si="319"/>
        <v>פנסיה</v>
      </c>
      <c r="B1930" s="1786">
        <f t="shared" si="320"/>
        <v>9823</v>
      </c>
      <c r="C1930" s="1787">
        <v>28946</v>
      </c>
      <c r="D1930" s="1786" t="str">
        <f t="shared" si="321"/>
        <v>הראל פנסיה - גילאי 50 ומטה</v>
      </c>
      <c r="E1930" s="1786" t="s">
        <v>3929</v>
      </c>
      <c r="F1930" s="1786" t="s">
        <v>2958</v>
      </c>
      <c r="G1930" s="1786" t="s">
        <v>2959</v>
      </c>
      <c r="H1930" s="1786" t="str">
        <f t="shared" si="322"/>
        <v>פעיל</v>
      </c>
      <c r="I1930" s="1788">
        <f t="shared" si="323"/>
        <v>35065</v>
      </c>
      <c r="J1930" s="1788" t="str">
        <f t="shared" si="324"/>
        <v/>
      </c>
      <c r="K1930" s="1786">
        <v>0</v>
      </c>
      <c r="L1930" s="1786" t="s">
        <v>1594</v>
      </c>
      <c r="M1930" s="1786" t="s">
        <v>1653</v>
      </c>
      <c r="N1930" s="1786" t="s">
        <v>1653</v>
      </c>
      <c r="O1930" s="1786">
        <v>0</v>
      </c>
      <c r="P1930" s="1786"/>
      <c r="Q1930" s="1786">
        <v>0</v>
      </c>
      <c r="R1930" s="1788"/>
      <c r="S1930" s="1786">
        <f t="shared" si="325"/>
        <v>214</v>
      </c>
      <c r="T1930" s="1786">
        <f t="shared" si="326"/>
        <v>0</v>
      </c>
      <c r="U1930" s="1786" t="str">
        <f t="shared" si="327"/>
        <v>הראל  פנסיה</v>
      </c>
      <c r="V1930" s="1786" t="str">
        <f t="shared" si="328"/>
        <v>520033986</v>
      </c>
      <c r="W1930" s="1789" t="str">
        <f t="shared" si="329"/>
        <v>הראל פנסיה וגמל בע"מ</v>
      </c>
      <c r="AC1930" s="1759" t="s">
        <v>346</v>
      </c>
      <c r="AD1930" s="1759"/>
      <c r="AE1930" s="1760">
        <v>35065</v>
      </c>
      <c r="AF1930" s="1759" t="s">
        <v>4151</v>
      </c>
      <c r="AG1930" s="1759" t="s">
        <v>3931</v>
      </c>
      <c r="AH1930" s="1759" t="s">
        <v>3658</v>
      </c>
      <c r="AI1930" s="1759" t="s">
        <v>5690</v>
      </c>
      <c r="AJ1930" s="1759" t="s">
        <v>5691</v>
      </c>
      <c r="AK1930" s="1759">
        <v>9823</v>
      </c>
      <c r="AL1930" s="1759" t="s">
        <v>4163</v>
      </c>
      <c r="AM1930" s="1759">
        <v>214</v>
      </c>
      <c r="AN1930" s="1759"/>
      <c r="AO1930" s="1764"/>
      <c r="AP1930" s="1759" t="s">
        <v>5396</v>
      </c>
      <c r="AQ1930" s="1759" t="s">
        <v>5397</v>
      </c>
      <c r="AR1930" s="1759" t="s">
        <v>4588</v>
      </c>
      <c r="AS1930" s="1759" t="s">
        <v>405</v>
      </c>
      <c r="AT1930" s="1759" t="s">
        <v>328</v>
      </c>
      <c r="AU1930" s="1763"/>
      <c r="AV1930" s="1763"/>
    </row>
    <row r="1931" spans="1:48" ht="37.5">
      <c r="A1931" s="1785" t="str">
        <f t="shared" si="319"/>
        <v>פנסיה</v>
      </c>
      <c r="B1931" s="1786">
        <f t="shared" si="320"/>
        <v>9824</v>
      </c>
      <c r="C1931" s="1787">
        <v>28946</v>
      </c>
      <c r="D1931" s="1786" t="str">
        <f t="shared" si="321"/>
        <v>הראל  פנסיה - ילידי 1980 עד 1984</v>
      </c>
      <c r="E1931" s="1786" t="s">
        <v>3929</v>
      </c>
      <c r="F1931" s="1786" t="s">
        <v>2958</v>
      </c>
      <c r="G1931" s="1786" t="s">
        <v>2959</v>
      </c>
      <c r="H1931" s="1786" t="str">
        <f t="shared" si="322"/>
        <v>לא פעיל</v>
      </c>
      <c r="I1931" s="1788">
        <f t="shared" si="323"/>
        <v>35065</v>
      </c>
      <c r="J1931" s="1788">
        <f t="shared" si="324"/>
        <v>42366.381087962996</v>
      </c>
      <c r="K1931" s="1786">
        <v>0</v>
      </c>
      <c r="L1931" s="1786" t="s">
        <v>1594</v>
      </c>
      <c r="M1931" s="1786" t="s">
        <v>1653</v>
      </c>
      <c r="N1931" s="1786" t="s">
        <v>1653</v>
      </c>
      <c r="O1931" s="1786">
        <v>0</v>
      </c>
      <c r="P1931" s="1786"/>
      <c r="Q1931" s="1786">
        <v>0</v>
      </c>
      <c r="R1931" s="1788"/>
      <c r="S1931" s="1786">
        <f t="shared" si="325"/>
        <v>214</v>
      </c>
      <c r="T1931" s="1786">
        <f t="shared" si="326"/>
        <v>0</v>
      </c>
      <c r="U1931" s="1786" t="str">
        <f t="shared" si="327"/>
        <v>הראל  פנסיה</v>
      </c>
      <c r="V1931" s="1786" t="str">
        <f t="shared" si="328"/>
        <v>520033986</v>
      </c>
      <c r="W1931" s="1789" t="str">
        <f t="shared" si="329"/>
        <v>הראל פנסיה וגמל בע"מ</v>
      </c>
      <c r="AC1931" s="1761" t="s">
        <v>1586</v>
      </c>
      <c r="AD1931" s="1762">
        <v>42366.381087962996</v>
      </c>
      <c r="AE1931" s="1762">
        <v>35065</v>
      </c>
      <c r="AF1931" s="1761" t="s">
        <v>4113</v>
      </c>
      <c r="AG1931" s="1761" t="s">
        <v>4113</v>
      </c>
      <c r="AH1931" s="1761" t="s">
        <v>3658</v>
      </c>
      <c r="AI1931" s="1761" t="s">
        <v>4538</v>
      </c>
      <c r="AJ1931" s="1761" t="s">
        <v>4537</v>
      </c>
      <c r="AK1931" s="1761">
        <v>9824</v>
      </c>
      <c r="AL1931" s="1761" t="s">
        <v>4163</v>
      </c>
      <c r="AM1931" s="1761">
        <v>214</v>
      </c>
      <c r="AN1931" s="1761"/>
      <c r="AO1931" s="1764"/>
      <c r="AP1931" s="1761" t="s">
        <v>5396</v>
      </c>
      <c r="AQ1931" s="1761" t="s">
        <v>5397</v>
      </c>
      <c r="AR1931" s="1761" t="s">
        <v>4588</v>
      </c>
      <c r="AS1931" s="1761" t="s">
        <v>405</v>
      </c>
      <c r="AT1931" s="1761" t="s">
        <v>328</v>
      </c>
      <c r="AU1931" s="1763"/>
      <c r="AV1931" s="1763"/>
    </row>
    <row r="1932" spans="1:48" ht="37.5">
      <c r="A1932" s="1785" t="str">
        <f t="shared" si="319"/>
        <v>פנסיה</v>
      </c>
      <c r="B1932" s="1786">
        <f t="shared" si="320"/>
        <v>9825</v>
      </c>
      <c r="C1932" s="1787">
        <v>28946</v>
      </c>
      <c r="D1932" s="1786" t="str">
        <f t="shared" si="321"/>
        <v>הראל  פנסיה - ילידי שנות ה-70</v>
      </c>
      <c r="E1932" s="1786" t="s">
        <v>3929</v>
      </c>
      <c r="F1932" s="1786" t="s">
        <v>2958</v>
      </c>
      <c r="G1932" s="1786" t="s">
        <v>2959</v>
      </c>
      <c r="H1932" s="1786" t="str">
        <f t="shared" si="322"/>
        <v>לא פעיל</v>
      </c>
      <c r="I1932" s="1788">
        <f t="shared" si="323"/>
        <v>35065</v>
      </c>
      <c r="J1932" s="1788">
        <f t="shared" si="324"/>
        <v>43830.785370370402</v>
      </c>
      <c r="K1932" s="1786">
        <v>0</v>
      </c>
      <c r="L1932" s="1786" t="s">
        <v>1594</v>
      </c>
      <c r="M1932" s="1786" t="s">
        <v>1653</v>
      </c>
      <c r="N1932" s="1786" t="s">
        <v>1653</v>
      </c>
      <c r="O1932" s="1786">
        <v>0</v>
      </c>
      <c r="P1932" s="1786"/>
      <c r="Q1932" s="1786">
        <v>0</v>
      </c>
      <c r="R1932" s="1788"/>
      <c r="S1932" s="1786">
        <f t="shared" si="325"/>
        <v>214</v>
      </c>
      <c r="T1932" s="1786">
        <f t="shared" si="326"/>
        <v>0</v>
      </c>
      <c r="U1932" s="1786" t="str">
        <f t="shared" si="327"/>
        <v>הראל  פנסיה</v>
      </c>
      <c r="V1932" s="1786" t="str">
        <f t="shared" si="328"/>
        <v>520033986</v>
      </c>
      <c r="W1932" s="1789" t="str">
        <f t="shared" si="329"/>
        <v>הראל פנסיה וגמל בע"מ</v>
      </c>
      <c r="AC1932" s="1759" t="s">
        <v>1586</v>
      </c>
      <c r="AD1932" s="1760">
        <v>43830.785370370402</v>
      </c>
      <c r="AE1932" s="1760">
        <v>35065</v>
      </c>
      <c r="AF1932" s="1759" t="s">
        <v>4113</v>
      </c>
      <c r="AG1932" s="1759" t="s">
        <v>4113</v>
      </c>
      <c r="AH1932" s="1759" t="s">
        <v>3658</v>
      </c>
      <c r="AI1932" s="1759" t="s">
        <v>4401</v>
      </c>
      <c r="AJ1932" s="1759" t="s">
        <v>4400</v>
      </c>
      <c r="AK1932" s="1759">
        <v>9825</v>
      </c>
      <c r="AL1932" s="1759" t="s">
        <v>4163</v>
      </c>
      <c r="AM1932" s="1759">
        <v>214</v>
      </c>
      <c r="AN1932" s="1759"/>
      <c r="AO1932" s="1764"/>
      <c r="AP1932" s="1759" t="s">
        <v>5396</v>
      </c>
      <c r="AQ1932" s="1759" t="s">
        <v>5397</v>
      </c>
      <c r="AR1932" s="1759" t="s">
        <v>4588</v>
      </c>
      <c r="AS1932" s="1759" t="s">
        <v>405</v>
      </c>
      <c r="AT1932" s="1759" t="s">
        <v>328</v>
      </c>
      <c r="AU1932" s="1763"/>
      <c r="AV1932" s="1763"/>
    </row>
    <row r="1933" spans="1:48" ht="37.5">
      <c r="A1933" s="1785" t="str">
        <f t="shared" si="319"/>
        <v>פנסיה</v>
      </c>
      <c r="B1933" s="1786">
        <f t="shared" si="320"/>
        <v>9826</v>
      </c>
      <c r="C1933" s="1787">
        <v>28946</v>
      </c>
      <c r="D1933" s="1786" t="str">
        <f t="shared" si="321"/>
        <v>הראל  פנסיה - ילידי 1970 עד 1974</v>
      </c>
      <c r="E1933" s="1786" t="s">
        <v>3929</v>
      </c>
      <c r="F1933" s="1786" t="s">
        <v>2958</v>
      </c>
      <c r="G1933" s="1786" t="s">
        <v>2959</v>
      </c>
      <c r="H1933" s="1786" t="str">
        <f t="shared" si="322"/>
        <v>לא פעיל</v>
      </c>
      <c r="I1933" s="1788">
        <f t="shared" si="323"/>
        <v>35065</v>
      </c>
      <c r="J1933" s="1788">
        <f t="shared" si="324"/>
        <v>42366.381087962996</v>
      </c>
      <c r="K1933" s="1786">
        <v>0</v>
      </c>
      <c r="L1933" s="1786" t="s">
        <v>1594</v>
      </c>
      <c r="M1933" s="1786" t="s">
        <v>1653</v>
      </c>
      <c r="N1933" s="1786" t="s">
        <v>1653</v>
      </c>
      <c r="O1933" s="1786">
        <v>0</v>
      </c>
      <c r="P1933" s="1786"/>
      <c r="Q1933" s="1786">
        <v>0</v>
      </c>
      <c r="R1933" s="1788"/>
      <c r="S1933" s="1786">
        <f t="shared" si="325"/>
        <v>214</v>
      </c>
      <c r="T1933" s="1786">
        <f t="shared" si="326"/>
        <v>0</v>
      </c>
      <c r="U1933" s="1786" t="str">
        <f t="shared" si="327"/>
        <v>הראל  פנסיה</v>
      </c>
      <c r="V1933" s="1786" t="str">
        <f t="shared" si="328"/>
        <v>520033986</v>
      </c>
      <c r="W1933" s="1789" t="str">
        <f t="shared" si="329"/>
        <v>הראל פנסיה וגמל בע"מ</v>
      </c>
      <c r="AC1933" s="1761" t="s">
        <v>1586</v>
      </c>
      <c r="AD1933" s="1762">
        <v>42366.381087962996</v>
      </c>
      <c r="AE1933" s="1762">
        <v>35065</v>
      </c>
      <c r="AF1933" s="1761" t="s">
        <v>4113</v>
      </c>
      <c r="AG1933" s="1761" t="s">
        <v>4113</v>
      </c>
      <c r="AH1933" s="1761" t="s">
        <v>3658</v>
      </c>
      <c r="AI1933" s="1761" t="s">
        <v>4540</v>
      </c>
      <c r="AJ1933" s="1761" t="s">
        <v>4539</v>
      </c>
      <c r="AK1933" s="1761">
        <v>9826</v>
      </c>
      <c r="AL1933" s="1761" t="s">
        <v>4163</v>
      </c>
      <c r="AM1933" s="1761">
        <v>214</v>
      </c>
      <c r="AN1933" s="1761"/>
      <c r="AO1933" s="1764"/>
      <c r="AP1933" s="1761" t="s">
        <v>5396</v>
      </c>
      <c r="AQ1933" s="1761" t="s">
        <v>5397</v>
      </c>
      <c r="AR1933" s="1761" t="s">
        <v>4588</v>
      </c>
      <c r="AS1933" s="1761" t="s">
        <v>405</v>
      </c>
      <c r="AT1933" s="1761" t="s">
        <v>328</v>
      </c>
      <c r="AU1933" s="1763"/>
      <c r="AV1933" s="1763"/>
    </row>
    <row r="1934" spans="1:48" ht="37.5">
      <c r="A1934" s="1785" t="str">
        <f t="shared" si="319"/>
        <v>פנסיה</v>
      </c>
      <c r="B1934" s="1786">
        <f t="shared" si="320"/>
        <v>9827</v>
      </c>
      <c r="C1934" s="1787">
        <v>28946</v>
      </c>
      <c r="D1934" s="1786" t="str">
        <f t="shared" si="321"/>
        <v>הראל פנסיה - גילאי 50 עד 60</v>
      </c>
      <c r="E1934" s="1786" t="s">
        <v>3929</v>
      </c>
      <c r="F1934" s="1786" t="s">
        <v>2958</v>
      </c>
      <c r="G1934" s="1786" t="s">
        <v>2959</v>
      </c>
      <c r="H1934" s="1786" t="str">
        <f t="shared" si="322"/>
        <v>פעיל</v>
      </c>
      <c r="I1934" s="1788">
        <f t="shared" si="323"/>
        <v>35065</v>
      </c>
      <c r="J1934" s="1788" t="str">
        <f t="shared" si="324"/>
        <v/>
      </c>
      <c r="K1934" s="1786">
        <v>0</v>
      </c>
      <c r="L1934" s="1786" t="s">
        <v>1594</v>
      </c>
      <c r="M1934" s="1786" t="s">
        <v>1653</v>
      </c>
      <c r="N1934" s="1786" t="s">
        <v>1653</v>
      </c>
      <c r="O1934" s="1786">
        <v>0</v>
      </c>
      <c r="P1934" s="1786"/>
      <c r="Q1934" s="1786">
        <v>0</v>
      </c>
      <c r="R1934" s="1788"/>
      <c r="S1934" s="1786">
        <f t="shared" si="325"/>
        <v>214</v>
      </c>
      <c r="T1934" s="1786">
        <f t="shared" si="326"/>
        <v>0</v>
      </c>
      <c r="U1934" s="1786" t="str">
        <f t="shared" si="327"/>
        <v>הראל  פנסיה</v>
      </c>
      <c r="V1934" s="1786" t="str">
        <f t="shared" si="328"/>
        <v>520033986</v>
      </c>
      <c r="W1934" s="1789" t="str">
        <f t="shared" si="329"/>
        <v>הראל פנסיה וגמל בע"מ</v>
      </c>
      <c r="AC1934" s="1759" t="s">
        <v>346</v>
      </c>
      <c r="AD1934" s="1759"/>
      <c r="AE1934" s="1760">
        <v>35065</v>
      </c>
      <c r="AF1934" s="1759" t="s">
        <v>3932</v>
      </c>
      <c r="AG1934" s="1759" t="s">
        <v>3931</v>
      </c>
      <c r="AH1934" s="1759" t="s">
        <v>3658</v>
      </c>
      <c r="AI1934" s="1759" t="s">
        <v>5692</v>
      </c>
      <c r="AJ1934" s="1759" t="s">
        <v>5693</v>
      </c>
      <c r="AK1934" s="1759">
        <v>9827</v>
      </c>
      <c r="AL1934" s="1759" t="s">
        <v>4163</v>
      </c>
      <c r="AM1934" s="1759">
        <v>214</v>
      </c>
      <c r="AN1934" s="1759"/>
      <c r="AO1934" s="1764"/>
      <c r="AP1934" s="1759" t="s">
        <v>5396</v>
      </c>
      <c r="AQ1934" s="1759" t="s">
        <v>5397</v>
      </c>
      <c r="AR1934" s="1759" t="s">
        <v>4588</v>
      </c>
      <c r="AS1934" s="1759" t="s">
        <v>405</v>
      </c>
      <c r="AT1934" s="1759" t="s">
        <v>328</v>
      </c>
      <c r="AU1934" s="1763"/>
      <c r="AV1934" s="1763"/>
    </row>
    <row r="1935" spans="1:48" ht="37.5">
      <c r="A1935" s="1785" t="str">
        <f t="shared" si="319"/>
        <v>פנסיה</v>
      </c>
      <c r="B1935" s="1786">
        <f t="shared" si="320"/>
        <v>9828</v>
      </c>
      <c r="C1935" s="1787">
        <v>28946</v>
      </c>
      <c r="D1935" s="1786" t="str">
        <f t="shared" si="321"/>
        <v>הראל  פנסיה - ילידי 1960 עד 1964</v>
      </c>
      <c r="E1935" s="1786" t="s">
        <v>3929</v>
      </c>
      <c r="F1935" s="1786" t="s">
        <v>2958</v>
      </c>
      <c r="G1935" s="1786" t="s">
        <v>2959</v>
      </c>
      <c r="H1935" s="1786" t="str">
        <f t="shared" si="322"/>
        <v>לא פעיל</v>
      </c>
      <c r="I1935" s="1788">
        <f t="shared" si="323"/>
        <v>35065</v>
      </c>
      <c r="J1935" s="1788">
        <f t="shared" si="324"/>
        <v>42366.381087962996</v>
      </c>
      <c r="K1935" s="1786">
        <v>0</v>
      </c>
      <c r="L1935" s="1786" t="s">
        <v>1594</v>
      </c>
      <c r="M1935" s="1786" t="s">
        <v>1653</v>
      </c>
      <c r="N1935" s="1786" t="s">
        <v>1653</v>
      </c>
      <c r="O1935" s="1786">
        <v>0</v>
      </c>
      <c r="P1935" s="1786"/>
      <c r="Q1935" s="1786">
        <v>0</v>
      </c>
      <c r="R1935" s="1788"/>
      <c r="S1935" s="1786">
        <f t="shared" si="325"/>
        <v>214</v>
      </c>
      <c r="T1935" s="1786">
        <f t="shared" si="326"/>
        <v>0</v>
      </c>
      <c r="U1935" s="1786" t="str">
        <f t="shared" si="327"/>
        <v>הראל  פנסיה</v>
      </c>
      <c r="V1935" s="1786" t="str">
        <f t="shared" si="328"/>
        <v>520033986</v>
      </c>
      <c r="W1935" s="1789" t="str">
        <f t="shared" si="329"/>
        <v>הראל פנסיה וגמל בע"מ</v>
      </c>
      <c r="AC1935" s="1761" t="s">
        <v>1586</v>
      </c>
      <c r="AD1935" s="1762">
        <v>42366.381087962996</v>
      </c>
      <c r="AE1935" s="1762">
        <v>35065</v>
      </c>
      <c r="AF1935" s="1761" t="s">
        <v>4113</v>
      </c>
      <c r="AG1935" s="1761" t="s">
        <v>4113</v>
      </c>
      <c r="AH1935" s="1761" t="s">
        <v>3658</v>
      </c>
      <c r="AI1935" s="1761" t="s">
        <v>4542</v>
      </c>
      <c r="AJ1935" s="1761" t="s">
        <v>4541</v>
      </c>
      <c r="AK1935" s="1761">
        <v>9828</v>
      </c>
      <c r="AL1935" s="1761" t="s">
        <v>4163</v>
      </c>
      <c r="AM1935" s="1761">
        <v>214</v>
      </c>
      <c r="AN1935" s="1761"/>
      <c r="AO1935" s="1764"/>
      <c r="AP1935" s="1761" t="s">
        <v>5396</v>
      </c>
      <c r="AQ1935" s="1761" t="s">
        <v>5397</v>
      </c>
      <c r="AR1935" s="1761" t="s">
        <v>4588</v>
      </c>
      <c r="AS1935" s="1761" t="s">
        <v>405</v>
      </c>
      <c r="AT1935" s="1761" t="s">
        <v>328</v>
      </c>
      <c r="AU1935" s="1763"/>
      <c r="AV1935" s="1763"/>
    </row>
    <row r="1936" spans="1:48" ht="37.5">
      <c r="A1936" s="1785" t="str">
        <f t="shared" si="319"/>
        <v>פנסיה</v>
      </c>
      <c r="B1936" s="1786">
        <f t="shared" si="320"/>
        <v>9829</v>
      </c>
      <c r="C1936" s="1787">
        <v>28946</v>
      </c>
      <c r="D1936" s="1786" t="str">
        <f t="shared" si="321"/>
        <v>הראל פנסיה - גילאי 60 ומעלה</v>
      </c>
      <c r="E1936" s="1786" t="s">
        <v>3929</v>
      </c>
      <c r="F1936" s="1786" t="s">
        <v>2958</v>
      </c>
      <c r="G1936" s="1786" t="s">
        <v>2959</v>
      </c>
      <c r="H1936" s="1786" t="str">
        <f t="shared" si="322"/>
        <v>פעיל</v>
      </c>
      <c r="I1936" s="1788">
        <f t="shared" si="323"/>
        <v>35065</v>
      </c>
      <c r="J1936" s="1788" t="str">
        <f t="shared" si="324"/>
        <v/>
      </c>
      <c r="K1936" s="1786">
        <v>0</v>
      </c>
      <c r="L1936" s="1786" t="s">
        <v>1594</v>
      </c>
      <c r="M1936" s="1786" t="s">
        <v>1653</v>
      </c>
      <c r="N1936" s="1786" t="s">
        <v>1653</v>
      </c>
      <c r="O1936" s="1786">
        <v>0</v>
      </c>
      <c r="P1936" s="1786"/>
      <c r="Q1936" s="1786">
        <v>0</v>
      </c>
      <c r="R1936" s="1788"/>
      <c r="S1936" s="1786">
        <f t="shared" si="325"/>
        <v>214</v>
      </c>
      <c r="T1936" s="1786">
        <f t="shared" si="326"/>
        <v>0</v>
      </c>
      <c r="U1936" s="1786" t="str">
        <f t="shared" si="327"/>
        <v>הראל  פנסיה</v>
      </c>
      <c r="V1936" s="1786" t="str">
        <f t="shared" si="328"/>
        <v>520033986</v>
      </c>
      <c r="W1936" s="1789" t="str">
        <f t="shared" si="329"/>
        <v>הראל פנסיה וגמל בע"מ</v>
      </c>
      <c r="AC1936" s="1759" t="s">
        <v>346</v>
      </c>
      <c r="AD1936" s="1759"/>
      <c r="AE1936" s="1760">
        <v>35065</v>
      </c>
      <c r="AF1936" s="1759" t="s">
        <v>3963</v>
      </c>
      <c r="AG1936" s="1759" t="s">
        <v>3931</v>
      </c>
      <c r="AH1936" s="1759" t="s">
        <v>3658</v>
      </c>
      <c r="AI1936" s="1759" t="s">
        <v>5694</v>
      </c>
      <c r="AJ1936" s="1759" t="s">
        <v>5695</v>
      </c>
      <c r="AK1936" s="1759">
        <v>9829</v>
      </c>
      <c r="AL1936" s="1759" t="s">
        <v>4163</v>
      </c>
      <c r="AM1936" s="1759">
        <v>214</v>
      </c>
      <c r="AN1936" s="1759"/>
      <c r="AO1936" s="1764"/>
      <c r="AP1936" s="1759" t="s">
        <v>5396</v>
      </c>
      <c r="AQ1936" s="1759" t="s">
        <v>5397</v>
      </c>
      <c r="AR1936" s="1759" t="s">
        <v>4588</v>
      </c>
      <c r="AS1936" s="1759" t="s">
        <v>405</v>
      </c>
      <c r="AT1936" s="1759" t="s">
        <v>328</v>
      </c>
      <c r="AU1936" s="1763"/>
      <c r="AV1936" s="1763"/>
    </row>
    <row r="1937" spans="1:48" ht="37.5">
      <c r="A1937" s="1785" t="str">
        <f t="shared" si="319"/>
        <v>פנסיה</v>
      </c>
      <c r="B1937" s="1786">
        <f t="shared" si="320"/>
        <v>9853</v>
      </c>
      <c r="C1937" s="1787">
        <v>28946</v>
      </c>
      <c r="D1937" s="1786" t="str">
        <f t="shared" si="321"/>
        <v>הראל  פנסיה - ילידי 1950 עד 1954</v>
      </c>
      <c r="E1937" s="1786" t="s">
        <v>3929</v>
      </c>
      <c r="F1937" s="1786" t="s">
        <v>2958</v>
      </c>
      <c r="G1937" s="1786" t="s">
        <v>2959</v>
      </c>
      <c r="H1937" s="1786" t="str">
        <f t="shared" si="322"/>
        <v>לא פעיל</v>
      </c>
      <c r="I1937" s="1788">
        <f t="shared" si="323"/>
        <v>35065</v>
      </c>
      <c r="J1937" s="1788">
        <f t="shared" si="324"/>
        <v>42366.381087962996</v>
      </c>
      <c r="K1937" s="1786">
        <v>0</v>
      </c>
      <c r="L1937" s="1786" t="s">
        <v>1594</v>
      </c>
      <c r="M1937" s="1786" t="s">
        <v>1653</v>
      </c>
      <c r="N1937" s="1786" t="s">
        <v>1653</v>
      </c>
      <c r="O1937" s="1786">
        <v>0</v>
      </c>
      <c r="P1937" s="1786"/>
      <c r="Q1937" s="1786">
        <v>0</v>
      </c>
      <c r="R1937" s="1788"/>
      <c r="S1937" s="1786">
        <f t="shared" si="325"/>
        <v>214</v>
      </c>
      <c r="T1937" s="1786">
        <f t="shared" si="326"/>
        <v>0</v>
      </c>
      <c r="U1937" s="1786" t="str">
        <f t="shared" si="327"/>
        <v>הראל  פנסיה</v>
      </c>
      <c r="V1937" s="1786" t="str">
        <f t="shared" si="328"/>
        <v>520033986</v>
      </c>
      <c r="W1937" s="1789" t="str">
        <f t="shared" si="329"/>
        <v>הראל פנסיה וגמל בע"מ</v>
      </c>
      <c r="AC1937" s="1761" t="s">
        <v>1586</v>
      </c>
      <c r="AD1937" s="1762">
        <v>42366.381087962996</v>
      </c>
      <c r="AE1937" s="1762">
        <v>35065</v>
      </c>
      <c r="AF1937" s="1761" t="s">
        <v>4113</v>
      </c>
      <c r="AG1937" s="1761" t="s">
        <v>4113</v>
      </c>
      <c r="AH1937" s="1761" t="s">
        <v>3658</v>
      </c>
      <c r="AI1937" s="1761" t="s">
        <v>4543</v>
      </c>
      <c r="AJ1937" s="1761" t="s">
        <v>4543</v>
      </c>
      <c r="AK1937" s="1761">
        <v>9853</v>
      </c>
      <c r="AL1937" s="1761" t="s">
        <v>4163</v>
      </c>
      <c r="AM1937" s="1761">
        <v>214</v>
      </c>
      <c r="AN1937" s="1761"/>
      <c r="AO1937" s="1764"/>
      <c r="AP1937" s="1761" t="s">
        <v>5396</v>
      </c>
      <c r="AQ1937" s="1761" t="s">
        <v>5397</v>
      </c>
      <c r="AR1937" s="1761" t="s">
        <v>4588</v>
      </c>
      <c r="AS1937" s="1761" t="s">
        <v>405</v>
      </c>
      <c r="AT1937" s="1761" t="s">
        <v>328</v>
      </c>
      <c r="AU1937" s="1763"/>
      <c r="AV1937" s="1763"/>
    </row>
    <row r="1938" spans="1:48" ht="37.5">
      <c r="A1938" s="1785" t="str">
        <f t="shared" si="319"/>
        <v>פנסיה</v>
      </c>
      <c r="B1938" s="1786">
        <f t="shared" si="320"/>
        <v>2172</v>
      </c>
      <c r="C1938" s="1787">
        <v>28946</v>
      </c>
      <c r="D1938" s="1786" t="str">
        <f t="shared" si="321"/>
        <v>הראל  פנסיה - גילעד כללי</v>
      </c>
      <c r="E1938" s="1786" t="s">
        <v>3929</v>
      </c>
      <c r="F1938" s="1786" t="s">
        <v>2958</v>
      </c>
      <c r="G1938" s="1786" t="s">
        <v>2959</v>
      </c>
      <c r="H1938" s="1786" t="str">
        <f t="shared" si="322"/>
        <v>פעיל</v>
      </c>
      <c r="I1938" s="1788">
        <f t="shared" si="323"/>
        <v>35065</v>
      </c>
      <c r="J1938" s="1788" t="str">
        <f t="shared" si="324"/>
        <v/>
      </c>
      <c r="K1938" s="1786">
        <v>0</v>
      </c>
      <c r="L1938" s="1786" t="s">
        <v>1594</v>
      </c>
      <c r="M1938" s="1786" t="s">
        <v>1653</v>
      </c>
      <c r="N1938" s="1786" t="s">
        <v>1653</v>
      </c>
      <c r="O1938" s="1786">
        <v>0</v>
      </c>
      <c r="P1938" s="1786"/>
      <c r="Q1938" s="1786">
        <v>0</v>
      </c>
      <c r="R1938" s="1788"/>
      <c r="S1938" s="1786">
        <f t="shared" si="325"/>
        <v>214</v>
      </c>
      <c r="T1938" s="1786">
        <f t="shared" si="326"/>
        <v>0</v>
      </c>
      <c r="U1938" s="1786" t="str">
        <f t="shared" si="327"/>
        <v>הראל  פנסיה</v>
      </c>
      <c r="V1938" s="1786" t="str">
        <f t="shared" si="328"/>
        <v>520033986</v>
      </c>
      <c r="W1938" s="1789" t="str">
        <f t="shared" si="329"/>
        <v>הראל פנסיה וגמל בע"מ</v>
      </c>
      <c r="AC1938" s="1759" t="s">
        <v>346</v>
      </c>
      <c r="AD1938" s="1759"/>
      <c r="AE1938" s="1760">
        <v>35065</v>
      </c>
      <c r="AF1938" s="1759" t="s">
        <v>1583</v>
      </c>
      <c r="AG1938" s="1759" t="s">
        <v>1583</v>
      </c>
      <c r="AH1938" s="1759" t="s">
        <v>1583</v>
      </c>
      <c r="AI1938" s="1759" t="s">
        <v>4162</v>
      </c>
      <c r="AJ1938" s="1759" t="s">
        <v>4161</v>
      </c>
      <c r="AK1938" s="1759">
        <v>2172</v>
      </c>
      <c r="AL1938" s="1759" t="s">
        <v>4163</v>
      </c>
      <c r="AM1938" s="1759">
        <v>214</v>
      </c>
      <c r="AN1938" s="1759"/>
      <c r="AO1938" s="1764"/>
      <c r="AP1938" s="1759" t="s">
        <v>5396</v>
      </c>
      <c r="AQ1938" s="1759" t="s">
        <v>5397</v>
      </c>
      <c r="AR1938" s="1759" t="s">
        <v>4588</v>
      </c>
      <c r="AS1938" s="1759" t="s">
        <v>405</v>
      </c>
      <c r="AT1938" s="1759" t="s">
        <v>328</v>
      </c>
      <c r="AU1938" s="1763"/>
      <c r="AV1938" s="1763"/>
    </row>
    <row r="1939" spans="1:48" ht="37.5">
      <c r="A1939" s="1785" t="str">
        <f t="shared" si="319"/>
        <v>פנסיה</v>
      </c>
      <c r="B1939" s="1786">
        <f t="shared" si="320"/>
        <v>2173</v>
      </c>
      <c r="C1939" s="1787">
        <v>28946</v>
      </c>
      <c r="D1939" s="1786" t="str">
        <f t="shared" si="321"/>
        <v>הראל פנסיה - הלכה</v>
      </c>
      <c r="E1939" s="1786" t="s">
        <v>3929</v>
      </c>
      <c r="F1939" s="1786" t="s">
        <v>2958</v>
      </c>
      <c r="G1939" s="1786" t="s">
        <v>2959</v>
      </c>
      <c r="H1939" s="1786" t="str">
        <f t="shared" si="322"/>
        <v>פעיל</v>
      </c>
      <c r="I1939" s="1788">
        <f t="shared" si="323"/>
        <v>35065</v>
      </c>
      <c r="J1939" s="1788" t="str">
        <f t="shared" si="324"/>
        <v/>
      </c>
      <c r="K1939" s="1786">
        <v>0</v>
      </c>
      <c r="L1939" s="1786" t="s">
        <v>1594</v>
      </c>
      <c r="M1939" s="1786" t="s">
        <v>1653</v>
      </c>
      <c r="N1939" s="1786" t="s">
        <v>1653</v>
      </c>
      <c r="O1939" s="1786">
        <v>0</v>
      </c>
      <c r="P1939" s="1786"/>
      <c r="Q1939" s="1786">
        <v>0</v>
      </c>
      <c r="R1939" s="1788"/>
      <c r="S1939" s="1786">
        <f t="shared" si="325"/>
        <v>214</v>
      </c>
      <c r="T1939" s="1786">
        <f t="shared" si="326"/>
        <v>0</v>
      </c>
      <c r="U1939" s="1786" t="str">
        <f t="shared" si="327"/>
        <v>הראל  פנסיה</v>
      </c>
      <c r="V1939" s="1786" t="str">
        <f t="shared" si="328"/>
        <v>520033986</v>
      </c>
      <c r="W1939" s="1789" t="str">
        <f t="shared" si="329"/>
        <v>הראל פנסיה וגמל בע"מ</v>
      </c>
      <c r="AC1939" s="1761" t="s">
        <v>346</v>
      </c>
      <c r="AD1939" s="1759"/>
      <c r="AE1939" s="1762">
        <v>35065</v>
      </c>
      <c r="AF1939" s="1761" t="s">
        <v>4603</v>
      </c>
      <c r="AG1939" s="1761" t="s">
        <v>2029</v>
      </c>
      <c r="AH1939" s="1761" t="s">
        <v>2028</v>
      </c>
      <c r="AI1939" s="1761" t="s">
        <v>4164</v>
      </c>
      <c r="AJ1939" s="1761" t="s">
        <v>4164</v>
      </c>
      <c r="AK1939" s="1761">
        <v>2173</v>
      </c>
      <c r="AL1939" s="1761" t="s">
        <v>4163</v>
      </c>
      <c r="AM1939" s="1761">
        <v>214</v>
      </c>
      <c r="AN1939" s="1761"/>
      <c r="AO1939" s="1764"/>
      <c r="AP1939" s="1761" t="s">
        <v>5396</v>
      </c>
      <c r="AQ1939" s="1761" t="s">
        <v>5397</v>
      </c>
      <c r="AR1939" s="1761" t="s">
        <v>4588</v>
      </c>
      <c r="AS1939" s="1761" t="s">
        <v>405</v>
      </c>
      <c r="AT1939" s="1761" t="s">
        <v>328</v>
      </c>
      <c r="AU1939" s="1763"/>
      <c r="AV1939" s="1763"/>
    </row>
    <row r="1940" spans="1:48" ht="37.5">
      <c r="A1940" s="1785" t="str">
        <f t="shared" si="319"/>
        <v>פנסיה</v>
      </c>
      <c r="B1940" s="1786">
        <f t="shared" si="320"/>
        <v>2174</v>
      </c>
      <c r="C1940" s="1787">
        <v>28946</v>
      </c>
      <c r="D1940" s="1786" t="str">
        <f t="shared" si="321"/>
        <v>הראל פנסיה - אג"ח ללא מניות</v>
      </c>
      <c r="E1940" s="1786" t="s">
        <v>3929</v>
      </c>
      <c r="F1940" s="1786" t="s">
        <v>2958</v>
      </c>
      <c r="G1940" s="1786" t="s">
        <v>2959</v>
      </c>
      <c r="H1940" s="1786" t="str">
        <f t="shared" si="322"/>
        <v>פעיל</v>
      </c>
      <c r="I1940" s="1788">
        <f t="shared" si="323"/>
        <v>35065</v>
      </c>
      <c r="J1940" s="1788" t="str">
        <f t="shared" si="324"/>
        <v/>
      </c>
      <c r="K1940" s="1786">
        <v>0</v>
      </c>
      <c r="L1940" s="1786" t="s">
        <v>1594</v>
      </c>
      <c r="M1940" s="1786" t="s">
        <v>1653</v>
      </c>
      <c r="N1940" s="1786" t="s">
        <v>1653</v>
      </c>
      <c r="O1940" s="1786">
        <v>0</v>
      </c>
      <c r="P1940" s="1786"/>
      <c r="Q1940" s="1786">
        <v>0</v>
      </c>
      <c r="R1940" s="1788"/>
      <c r="S1940" s="1786">
        <f t="shared" si="325"/>
        <v>214</v>
      </c>
      <c r="T1940" s="1786">
        <f t="shared" si="326"/>
        <v>0</v>
      </c>
      <c r="U1940" s="1786" t="str">
        <f t="shared" si="327"/>
        <v>הראל  פנסיה</v>
      </c>
      <c r="V1940" s="1786" t="str">
        <f t="shared" si="328"/>
        <v>520033986</v>
      </c>
      <c r="W1940" s="1789" t="str">
        <f t="shared" si="329"/>
        <v>הראל פנסיה וגמל בע"מ</v>
      </c>
      <c r="AC1940" s="1759" t="s">
        <v>346</v>
      </c>
      <c r="AD1940" s="1759"/>
      <c r="AE1940" s="1760">
        <v>35065</v>
      </c>
      <c r="AF1940" s="1759" t="s">
        <v>1681</v>
      </c>
      <c r="AG1940" s="1759" t="s">
        <v>1653</v>
      </c>
      <c r="AH1940" s="1759" t="s">
        <v>1594</v>
      </c>
      <c r="AI1940" s="1759" t="s">
        <v>4165</v>
      </c>
      <c r="AJ1940" s="1759" t="s">
        <v>4165</v>
      </c>
      <c r="AK1940" s="1759">
        <v>2174</v>
      </c>
      <c r="AL1940" s="1759" t="s">
        <v>4163</v>
      </c>
      <c r="AM1940" s="1759">
        <v>214</v>
      </c>
      <c r="AN1940" s="1759"/>
      <c r="AO1940" s="1764"/>
      <c r="AP1940" s="1759" t="s">
        <v>5396</v>
      </c>
      <c r="AQ1940" s="1759" t="s">
        <v>5397</v>
      </c>
      <c r="AR1940" s="1759" t="s">
        <v>4588</v>
      </c>
      <c r="AS1940" s="1759" t="s">
        <v>405</v>
      </c>
      <c r="AT1940" s="1759" t="s">
        <v>328</v>
      </c>
      <c r="AU1940" s="1763"/>
      <c r="AV1940" s="1763"/>
    </row>
    <row r="1941" spans="1:48" ht="37.5">
      <c r="A1941" s="1785" t="str">
        <f t="shared" si="319"/>
        <v>פנסיה</v>
      </c>
      <c r="B1941" s="1786">
        <f t="shared" si="320"/>
        <v>2175</v>
      </c>
      <c r="C1941" s="1787">
        <v>28946</v>
      </c>
      <c r="D1941" s="1786" t="str">
        <f t="shared" si="321"/>
        <v>הראל פנסיה - מניות</v>
      </c>
      <c r="E1941" s="1786" t="s">
        <v>3929</v>
      </c>
      <c r="F1941" s="1786" t="s">
        <v>2958</v>
      </c>
      <c r="G1941" s="1786" t="s">
        <v>2959</v>
      </c>
      <c r="H1941" s="1786" t="str">
        <f t="shared" si="322"/>
        <v>פעיל</v>
      </c>
      <c r="I1941" s="1788">
        <f t="shared" si="323"/>
        <v>35065</v>
      </c>
      <c r="J1941" s="1788" t="str">
        <f t="shared" si="324"/>
        <v/>
      </c>
      <c r="K1941" s="1786">
        <v>0</v>
      </c>
      <c r="L1941" s="1786" t="s">
        <v>1594</v>
      </c>
      <c r="M1941" s="1786" t="s">
        <v>1653</v>
      </c>
      <c r="N1941" s="1786" t="s">
        <v>1653</v>
      </c>
      <c r="O1941" s="1786">
        <v>0</v>
      </c>
      <c r="P1941" s="1786"/>
      <c r="Q1941" s="1786">
        <v>0</v>
      </c>
      <c r="R1941" s="1788"/>
      <c r="S1941" s="1786">
        <f t="shared" si="325"/>
        <v>214</v>
      </c>
      <c r="T1941" s="1786">
        <f t="shared" si="326"/>
        <v>0</v>
      </c>
      <c r="U1941" s="1786" t="str">
        <f t="shared" si="327"/>
        <v>הראל  פנסיה</v>
      </c>
      <c r="V1941" s="1786" t="str">
        <f t="shared" si="328"/>
        <v>520033986</v>
      </c>
      <c r="W1941" s="1789" t="str">
        <f t="shared" si="329"/>
        <v>הראל פנסיה וגמל בע"מ</v>
      </c>
      <c r="AC1941" s="1761" t="s">
        <v>346</v>
      </c>
      <c r="AD1941" s="1761"/>
      <c r="AE1941" s="1762">
        <v>35065</v>
      </c>
      <c r="AF1941" s="1761" t="s">
        <v>1595</v>
      </c>
      <c r="AG1941" s="1761" t="s">
        <v>75</v>
      </c>
      <c r="AH1941" s="1761" t="s">
        <v>1594</v>
      </c>
      <c r="AI1941" s="1761" t="s">
        <v>4166</v>
      </c>
      <c r="AJ1941" s="1761" t="s">
        <v>4166</v>
      </c>
      <c r="AK1941" s="1761">
        <v>2175</v>
      </c>
      <c r="AL1941" s="1761" t="s">
        <v>4163</v>
      </c>
      <c r="AM1941" s="1761">
        <v>214</v>
      </c>
      <c r="AN1941" s="1761"/>
      <c r="AO1941" s="1764"/>
      <c r="AP1941" s="1761" t="s">
        <v>5396</v>
      </c>
      <c r="AQ1941" s="1761" t="s">
        <v>5397</v>
      </c>
      <c r="AR1941" s="1761" t="s">
        <v>4588</v>
      </c>
      <c r="AS1941" s="1761" t="s">
        <v>405</v>
      </c>
      <c r="AT1941" s="1761" t="s">
        <v>328</v>
      </c>
      <c r="AU1941" s="1763"/>
      <c r="AV1941" s="1763"/>
    </row>
    <row r="1942" spans="1:48" ht="37.5">
      <c r="A1942" s="1785" t="str">
        <f t="shared" si="319"/>
        <v>פנסיה</v>
      </c>
      <c r="B1942" s="1786">
        <f t="shared" si="320"/>
        <v>2177</v>
      </c>
      <c r="C1942" s="1787">
        <v>28946</v>
      </c>
      <c r="D1942" s="1786" t="str">
        <f t="shared" si="321"/>
        <v>הראל פנסיה - מנוף כללי</v>
      </c>
      <c r="E1942" s="1786" t="s">
        <v>3929</v>
      </c>
      <c r="F1942" s="1786" t="s">
        <v>2958</v>
      </c>
      <c r="G1942" s="1786" t="s">
        <v>2959</v>
      </c>
      <c r="H1942" s="1786" t="str">
        <f t="shared" si="322"/>
        <v>פעיל</v>
      </c>
      <c r="I1942" s="1788">
        <f t="shared" si="323"/>
        <v>35065</v>
      </c>
      <c r="J1942" s="1788" t="str">
        <f t="shared" si="324"/>
        <v/>
      </c>
      <c r="K1942" s="1786">
        <v>0</v>
      </c>
      <c r="L1942" s="1786" t="s">
        <v>1594</v>
      </c>
      <c r="M1942" s="1786" t="s">
        <v>1653</v>
      </c>
      <c r="N1942" s="1786" t="s">
        <v>1653</v>
      </c>
      <c r="O1942" s="1786">
        <v>0</v>
      </c>
      <c r="P1942" s="1786"/>
      <c r="Q1942" s="1786">
        <v>0</v>
      </c>
      <c r="R1942" s="1788"/>
      <c r="S1942" s="1786">
        <f t="shared" si="325"/>
        <v>214</v>
      </c>
      <c r="T1942" s="1786">
        <f t="shared" si="326"/>
        <v>0</v>
      </c>
      <c r="U1942" s="1786" t="str">
        <f t="shared" si="327"/>
        <v>הראל  פנסיה</v>
      </c>
      <c r="V1942" s="1786" t="str">
        <f t="shared" si="328"/>
        <v>520033986</v>
      </c>
      <c r="W1942" s="1789" t="str">
        <f t="shared" si="329"/>
        <v>הראל פנסיה וגמל בע"מ</v>
      </c>
      <c r="AC1942" s="1759" t="s">
        <v>346</v>
      </c>
      <c r="AD1942" s="1759"/>
      <c r="AE1942" s="1760">
        <v>35065</v>
      </c>
      <c r="AF1942" s="1759" t="s">
        <v>1583</v>
      </c>
      <c r="AG1942" s="1759" t="s">
        <v>1583</v>
      </c>
      <c r="AH1942" s="1759" t="s">
        <v>1583</v>
      </c>
      <c r="AI1942" s="1759" t="s">
        <v>4167</v>
      </c>
      <c r="AJ1942" s="1759" t="s">
        <v>4167</v>
      </c>
      <c r="AK1942" s="1759">
        <v>2177</v>
      </c>
      <c r="AL1942" s="1759" t="s">
        <v>4163</v>
      </c>
      <c r="AM1942" s="1759">
        <v>214</v>
      </c>
      <c r="AN1942" s="1759"/>
      <c r="AO1942" s="1764"/>
      <c r="AP1942" s="1759" t="s">
        <v>5396</v>
      </c>
      <c r="AQ1942" s="1759" t="s">
        <v>5397</v>
      </c>
      <c r="AR1942" s="1759" t="s">
        <v>4588</v>
      </c>
      <c r="AS1942" s="1759" t="s">
        <v>405</v>
      </c>
      <c r="AT1942" s="1759" t="s">
        <v>328</v>
      </c>
      <c r="AU1942" s="1763"/>
      <c r="AV1942" s="1763"/>
    </row>
    <row r="1943" spans="1:48" ht="37.5">
      <c r="A1943" s="1785" t="str">
        <f t="shared" ref="A1943:A2006" si="330">AT1943</f>
        <v>פנסיה</v>
      </c>
      <c r="B1943" s="1786">
        <f t="shared" ref="B1943:B2006" si="331">AK1943</f>
        <v>12028</v>
      </c>
      <c r="C1943" s="1787">
        <v>28946</v>
      </c>
      <c r="D1943" s="1786" t="str">
        <f t="shared" ref="D1943:D2006" si="332">AJ1943</f>
        <v>הראל פנסיה -  הלכה למקבלי קצבה</v>
      </c>
      <c r="E1943" s="1786" t="s">
        <v>3929</v>
      </c>
      <c r="F1943" s="1786" t="s">
        <v>2958</v>
      </c>
      <c r="G1943" s="1786" t="s">
        <v>2959</v>
      </c>
      <c r="H1943" s="1786" t="str">
        <f t="shared" ref="H1943:H2006" si="333">AC1943</f>
        <v>פעיל</v>
      </c>
      <c r="I1943" s="1788">
        <f t="shared" ref="I1943:I2006" si="334">IF(AE1943="","",AE1943)</f>
        <v>35065</v>
      </c>
      <c r="J1943" s="1788" t="str">
        <f t="shared" ref="J1943:J2006" si="335">IF(AD1943="","",AD1943)</f>
        <v/>
      </c>
      <c r="K1943" s="1786">
        <v>0</v>
      </c>
      <c r="L1943" s="1786" t="s">
        <v>1594</v>
      </c>
      <c r="M1943" s="1786" t="s">
        <v>1653</v>
      </c>
      <c r="N1943" s="1786" t="s">
        <v>1653</v>
      </c>
      <c r="O1943" s="1786">
        <v>0</v>
      </c>
      <c r="P1943" s="1786"/>
      <c r="Q1943" s="1786">
        <v>0</v>
      </c>
      <c r="R1943" s="1788"/>
      <c r="S1943" s="1786">
        <f t="shared" ref="S1943:S2006" si="336">AM1943</f>
        <v>214</v>
      </c>
      <c r="T1943" s="1786">
        <f t="shared" ref="T1943:T2006" si="337">AN1943</f>
        <v>0</v>
      </c>
      <c r="U1943" s="1786" t="str">
        <f t="shared" ref="U1943:U2006" si="338">AL1943</f>
        <v>הראל  פנסיה</v>
      </c>
      <c r="V1943" s="1786" t="str">
        <f t="shared" ref="V1943:V2006" si="339">AQ1943</f>
        <v>520033986</v>
      </c>
      <c r="W1943" s="1789" t="str">
        <f t="shared" ref="W1943:W2006" si="340">AR1943</f>
        <v>הראל פנסיה וגמל בע"מ</v>
      </c>
      <c r="AC1943" s="1761" t="s">
        <v>346</v>
      </c>
      <c r="AD1943" s="1761"/>
      <c r="AE1943" s="1762">
        <v>35065</v>
      </c>
      <c r="AF1943" s="1761" t="s">
        <v>4603</v>
      </c>
      <c r="AG1943" s="1761" t="s">
        <v>2029</v>
      </c>
      <c r="AH1943" s="1761" t="s">
        <v>2028</v>
      </c>
      <c r="AI1943" s="1761" t="s">
        <v>5696</v>
      </c>
      <c r="AJ1943" s="1761" t="s">
        <v>5696</v>
      </c>
      <c r="AK1943" s="1761">
        <v>12028</v>
      </c>
      <c r="AL1943" s="1761" t="s">
        <v>4163</v>
      </c>
      <c r="AM1943" s="1761">
        <v>214</v>
      </c>
      <c r="AN1943" s="1761"/>
      <c r="AO1943" s="1764"/>
      <c r="AP1943" s="1761" t="s">
        <v>5396</v>
      </c>
      <c r="AQ1943" s="1761" t="s">
        <v>5397</v>
      </c>
      <c r="AR1943" s="1761" t="s">
        <v>4588</v>
      </c>
      <c r="AS1943" s="1761" t="s">
        <v>405</v>
      </c>
      <c r="AT1943" s="1761" t="s">
        <v>328</v>
      </c>
      <c r="AU1943" s="1763"/>
      <c r="AV1943" s="1763"/>
    </row>
    <row r="1944" spans="1:48" ht="37.5" hidden="1">
      <c r="A1944" s="1785" t="str">
        <f t="shared" si="330"/>
        <v>גמל</v>
      </c>
      <c r="B1944" s="1786">
        <f t="shared" si="331"/>
        <v>213</v>
      </c>
      <c r="C1944" s="1787">
        <v>28946</v>
      </c>
      <c r="D1944" s="1786" t="str">
        <f t="shared" si="332"/>
        <v>קופת תגמולים של עובדי אמפא וחברות מסונפות בע"מ</v>
      </c>
      <c r="E1944" s="1786" t="s">
        <v>3929</v>
      </c>
      <c r="F1944" s="1786" t="s">
        <v>2958</v>
      </c>
      <c r="G1944" s="1786" t="s">
        <v>2959</v>
      </c>
      <c r="H1944" s="1786" t="str">
        <f t="shared" si="333"/>
        <v>לא פעיל</v>
      </c>
      <c r="I1944" s="1788">
        <f t="shared" si="334"/>
        <v>35431</v>
      </c>
      <c r="J1944" s="1788">
        <f t="shared" si="335"/>
        <v>36507.405671296299</v>
      </c>
      <c r="K1944" s="1786">
        <v>0</v>
      </c>
      <c r="L1944" s="1786" t="s">
        <v>1594</v>
      </c>
      <c r="M1944" s="1786" t="s">
        <v>1653</v>
      </c>
      <c r="N1944" s="1786" t="s">
        <v>1653</v>
      </c>
      <c r="O1944" s="1786">
        <v>0</v>
      </c>
      <c r="P1944" s="1786"/>
      <c r="Q1944" s="1786">
        <v>0</v>
      </c>
      <c r="R1944" s="1788"/>
      <c r="S1944" s="1786">
        <f t="shared" si="336"/>
        <v>213</v>
      </c>
      <c r="T1944" s="1786">
        <f t="shared" si="337"/>
        <v>0</v>
      </c>
      <c r="U1944" s="1786" t="str">
        <f t="shared" si="338"/>
        <v>קופת תגמולים של עובדי אמפא וחברות מסונפות בע"מ</v>
      </c>
      <c r="V1944" s="1786">
        <f t="shared" si="339"/>
        <v>0</v>
      </c>
      <c r="W1944" s="1789" t="str">
        <f t="shared" si="340"/>
        <v>קופ"ג של עובדי אמפא וחברות מסונפות בע"מ</v>
      </c>
      <c r="AC1944" s="1759" t="s">
        <v>1586</v>
      </c>
      <c r="AD1944" s="1760">
        <v>36507.405671296299</v>
      </c>
      <c r="AE1944" s="1760">
        <v>35431</v>
      </c>
      <c r="AF1944" s="1759" t="s">
        <v>1583</v>
      </c>
      <c r="AG1944" s="1759" t="s">
        <v>1583</v>
      </c>
      <c r="AH1944" s="1759" t="s">
        <v>1583</v>
      </c>
      <c r="AI1944" s="1759" t="s">
        <v>3012</v>
      </c>
      <c r="AJ1944" s="1759" t="s">
        <v>1668</v>
      </c>
      <c r="AK1944" s="1759">
        <v>213</v>
      </c>
      <c r="AL1944" s="1759" t="s">
        <v>1668</v>
      </c>
      <c r="AM1944" s="1759">
        <v>213</v>
      </c>
      <c r="AN1944" s="1759"/>
      <c r="AO1944" s="1764"/>
      <c r="AP1944" s="1759"/>
      <c r="AQ1944" s="1759"/>
      <c r="AR1944" s="1759" t="s">
        <v>1670</v>
      </c>
      <c r="AS1944" s="1759" t="s">
        <v>1669</v>
      </c>
      <c r="AT1944" s="1759" t="s">
        <v>327</v>
      </c>
      <c r="AU1944" s="1763"/>
      <c r="AV1944" s="1763"/>
    </row>
    <row r="1945" spans="1:48" ht="25" hidden="1">
      <c r="A1945" s="1785" t="str">
        <f t="shared" si="330"/>
        <v>גמל</v>
      </c>
      <c r="B1945" s="1786">
        <f t="shared" si="331"/>
        <v>2087</v>
      </c>
      <c r="C1945" s="1787">
        <v>28946</v>
      </c>
      <c r="D1945" s="1786" t="str">
        <f t="shared" si="332"/>
        <v>אקסלנס גמל זהב חו"ל</v>
      </c>
      <c r="E1945" s="1786" t="s">
        <v>3929</v>
      </c>
      <c r="F1945" s="1786" t="s">
        <v>2958</v>
      </c>
      <c r="G1945" s="1786" t="s">
        <v>2959</v>
      </c>
      <c r="H1945" s="1786" t="str">
        <f t="shared" si="333"/>
        <v>לא פעיל</v>
      </c>
      <c r="I1945" s="1788">
        <f t="shared" si="334"/>
        <v>24198</v>
      </c>
      <c r="J1945" s="1788">
        <f t="shared" si="335"/>
        <v>41674.668368055602</v>
      </c>
      <c r="K1945" s="1786">
        <v>0</v>
      </c>
      <c r="L1945" s="1786" t="s">
        <v>1594</v>
      </c>
      <c r="M1945" s="1786" t="s">
        <v>1653</v>
      </c>
      <c r="N1945" s="1786" t="s">
        <v>1653</v>
      </c>
      <c r="O1945" s="1786">
        <v>0</v>
      </c>
      <c r="P1945" s="1786"/>
      <c r="Q1945" s="1786">
        <v>0</v>
      </c>
      <c r="R1945" s="1788"/>
      <c r="S1945" s="1786">
        <f t="shared" si="336"/>
        <v>211</v>
      </c>
      <c r="T1945" s="1786" t="str">
        <f t="shared" si="337"/>
        <v>בנק הפועלים בע"מ</v>
      </c>
      <c r="U1945" s="1786" t="str">
        <f t="shared" si="338"/>
        <v>אקסלנס גמל זהב</v>
      </c>
      <c r="V1945" s="1786" t="str">
        <f t="shared" si="339"/>
        <v>520017450</v>
      </c>
      <c r="W1945" s="1789" t="str">
        <f t="shared" si="340"/>
        <v xml:space="preserve">הפניקס אקסלנס פנסיה וגמל בע"מ </v>
      </c>
      <c r="AC1945" s="1761" t="s">
        <v>1586</v>
      </c>
      <c r="AD1945" s="1762">
        <v>41674.668368055602</v>
      </c>
      <c r="AE1945" s="1762">
        <v>24198</v>
      </c>
      <c r="AF1945" s="1761" t="s">
        <v>1948</v>
      </c>
      <c r="AG1945" s="1761" t="s">
        <v>1947</v>
      </c>
      <c r="AH1945" s="1761" t="s">
        <v>1594</v>
      </c>
      <c r="AI1945" s="1761" t="s">
        <v>2549</v>
      </c>
      <c r="AJ1945" s="1761" t="s">
        <v>2549</v>
      </c>
      <c r="AK1945" s="1761">
        <v>2087</v>
      </c>
      <c r="AL1945" s="1761" t="s">
        <v>404</v>
      </c>
      <c r="AM1945" s="1761">
        <v>211</v>
      </c>
      <c r="AN1945" s="1761" t="s">
        <v>1695</v>
      </c>
      <c r="AO1945" s="1764"/>
      <c r="AP1945" s="1761" t="s">
        <v>5379</v>
      </c>
      <c r="AQ1945" s="1761" t="s">
        <v>5380</v>
      </c>
      <c r="AR1945" s="1761" t="s">
        <v>5381</v>
      </c>
      <c r="AS1945" s="1761" t="s">
        <v>347</v>
      </c>
      <c r="AT1945" s="1761" t="s">
        <v>327</v>
      </c>
      <c r="AU1945" s="1763"/>
      <c r="AV1945" s="1763"/>
    </row>
    <row r="1946" spans="1:48" ht="25" hidden="1">
      <c r="A1946" s="1785" t="str">
        <f t="shared" si="330"/>
        <v>גמל</v>
      </c>
      <c r="B1946" s="1786">
        <f t="shared" si="331"/>
        <v>2240</v>
      </c>
      <c r="C1946" s="1787">
        <v>28946</v>
      </c>
      <c r="D1946" s="1786" t="str">
        <f t="shared" si="332"/>
        <v>אקסלנס גמל זהב אג"ח צמוד מדד</v>
      </c>
      <c r="E1946" s="1786" t="s">
        <v>3929</v>
      </c>
      <c r="F1946" s="1786" t="s">
        <v>2958</v>
      </c>
      <c r="G1946" s="1786" t="s">
        <v>2959</v>
      </c>
      <c r="H1946" s="1786" t="str">
        <f t="shared" si="333"/>
        <v>לא פעיל</v>
      </c>
      <c r="I1946" s="1788">
        <f t="shared" si="334"/>
        <v>24198</v>
      </c>
      <c r="J1946" s="1788">
        <f t="shared" si="335"/>
        <v>41674.668368055602</v>
      </c>
      <c r="K1946" s="1786">
        <v>0</v>
      </c>
      <c r="L1946" s="1786" t="s">
        <v>1594</v>
      </c>
      <c r="M1946" s="1786" t="s">
        <v>1653</v>
      </c>
      <c r="N1946" s="1786" t="s">
        <v>1653</v>
      </c>
      <c r="O1946" s="1786">
        <v>0</v>
      </c>
      <c r="P1946" s="1786"/>
      <c r="Q1946" s="1786">
        <v>0</v>
      </c>
      <c r="R1946" s="1788"/>
      <c r="S1946" s="1786">
        <f t="shared" si="336"/>
        <v>211</v>
      </c>
      <c r="T1946" s="1786" t="str">
        <f t="shared" si="337"/>
        <v>בנק הפועלים בע"מ</v>
      </c>
      <c r="U1946" s="1786" t="str">
        <f t="shared" si="338"/>
        <v>אקסלנס גמל זהב</v>
      </c>
      <c r="V1946" s="1786" t="str">
        <f t="shared" si="339"/>
        <v>520017450</v>
      </c>
      <c r="W1946" s="1789" t="str">
        <f t="shared" si="340"/>
        <v xml:space="preserve">הפניקס אקסלנס פנסיה וגמל בע"מ </v>
      </c>
      <c r="AC1946" s="1759" t="s">
        <v>1586</v>
      </c>
      <c r="AD1946" s="1760">
        <v>41674.668368055602</v>
      </c>
      <c r="AE1946" s="1760">
        <v>24198</v>
      </c>
      <c r="AF1946" s="1759" t="s">
        <v>71</v>
      </c>
      <c r="AG1946" s="1759" t="s">
        <v>1653</v>
      </c>
      <c r="AH1946" s="1759" t="s">
        <v>1594</v>
      </c>
      <c r="AI1946" s="1759" t="s">
        <v>3718</v>
      </c>
      <c r="AJ1946" s="1759" t="s">
        <v>3718</v>
      </c>
      <c r="AK1946" s="1759">
        <v>2240</v>
      </c>
      <c r="AL1946" s="1759" t="s">
        <v>404</v>
      </c>
      <c r="AM1946" s="1759">
        <v>211</v>
      </c>
      <c r="AN1946" s="1759" t="s">
        <v>1695</v>
      </c>
      <c r="AO1946" s="1764"/>
      <c r="AP1946" s="1759" t="s">
        <v>5379</v>
      </c>
      <c r="AQ1946" s="1759" t="s">
        <v>5380</v>
      </c>
      <c r="AR1946" s="1759" t="s">
        <v>5381</v>
      </c>
      <c r="AS1946" s="1759" t="s">
        <v>347</v>
      </c>
      <c r="AT1946" s="1759" t="s">
        <v>327</v>
      </c>
      <c r="AU1946" s="1763"/>
      <c r="AV1946" s="1763"/>
    </row>
    <row r="1947" spans="1:48" ht="14" hidden="1">
      <c r="A1947" s="1785" t="str">
        <f t="shared" si="330"/>
        <v>גמל</v>
      </c>
      <c r="B1947" s="1786">
        <f t="shared" si="331"/>
        <v>210</v>
      </c>
      <c r="C1947" s="1787">
        <v>28946</v>
      </c>
      <c r="D1947" s="1786" t="str">
        <f t="shared" si="332"/>
        <v>אמקור</v>
      </c>
      <c r="E1947" s="1786" t="s">
        <v>3929</v>
      </c>
      <c r="F1947" s="1786" t="s">
        <v>2958</v>
      </c>
      <c r="G1947" s="1786" t="s">
        <v>2959</v>
      </c>
      <c r="H1947" s="1786" t="str">
        <f t="shared" si="333"/>
        <v>לא פעיל</v>
      </c>
      <c r="I1947" s="1788">
        <f t="shared" si="334"/>
        <v>35431</v>
      </c>
      <c r="J1947" s="1788">
        <f t="shared" si="335"/>
        <v>35995.661504629599</v>
      </c>
      <c r="K1947" s="1786">
        <v>0</v>
      </c>
      <c r="L1947" s="1786" t="s">
        <v>1594</v>
      </c>
      <c r="M1947" s="1786" t="s">
        <v>1653</v>
      </c>
      <c r="N1947" s="1786" t="s">
        <v>1653</v>
      </c>
      <c r="O1947" s="1786">
        <v>0</v>
      </c>
      <c r="P1947" s="1786"/>
      <c r="Q1947" s="1786">
        <v>0</v>
      </c>
      <c r="R1947" s="1788"/>
      <c r="S1947" s="1786">
        <f t="shared" si="336"/>
        <v>210</v>
      </c>
      <c r="T1947" s="1786">
        <f t="shared" si="337"/>
        <v>0</v>
      </c>
      <c r="U1947" s="1786" t="str">
        <f t="shared" si="338"/>
        <v>אמקור</v>
      </c>
      <c r="V1947" s="1786">
        <f t="shared" si="339"/>
        <v>0</v>
      </c>
      <c r="W1947" s="1789" t="str">
        <f t="shared" si="340"/>
        <v>גמול</v>
      </c>
      <c r="AC1947" s="1761" t="s">
        <v>1586</v>
      </c>
      <c r="AD1947" s="1762">
        <v>35995.661504629599</v>
      </c>
      <c r="AE1947" s="1762">
        <v>35431</v>
      </c>
      <c r="AF1947" s="1761" t="s">
        <v>1583</v>
      </c>
      <c r="AG1947" s="1761" t="s">
        <v>1583</v>
      </c>
      <c r="AH1947" s="1761" t="s">
        <v>1583</v>
      </c>
      <c r="AI1947" s="1761" t="s">
        <v>1666</v>
      </c>
      <c r="AJ1947" s="1761" t="s">
        <v>1666</v>
      </c>
      <c r="AK1947" s="1761">
        <v>210</v>
      </c>
      <c r="AL1947" s="1761" t="s">
        <v>1666</v>
      </c>
      <c r="AM1947" s="1761">
        <v>210</v>
      </c>
      <c r="AN1947" s="1761"/>
      <c r="AO1947" s="1764"/>
      <c r="AP1947" s="1761"/>
      <c r="AQ1947" s="1761"/>
      <c r="AR1947" s="1761" t="s">
        <v>1667</v>
      </c>
      <c r="AS1947" s="1761"/>
      <c r="AT1947" s="1761" t="s">
        <v>327</v>
      </c>
      <c r="AU1947" s="1763"/>
      <c r="AV1947" s="1763"/>
    </row>
    <row r="1948" spans="1:48" ht="25">
      <c r="A1948" s="1785" t="str">
        <f t="shared" si="330"/>
        <v>פנסיה</v>
      </c>
      <c r="B1948" s="1786">
        <f t="shared" si="331"/>
        <v>9974</v>
      </c>
      <c r="C1948" s="1787">
        <v>28946</v>
      </c>
      <c r="D1948" s="1786" t="str">
        <f t="shared" si="332"/>
        <v xml:space="preserve">הפניקס פנסיה מקיפה  - מסלול לבני 50 ומטה </v>
      </c>
      <c r="E1948" s="1786" t="s">
        <v>3929</v>
      </c>
      <c r="F1948" s="1786" t="s">
        <v>2958</v>
      </c>
      <c r="G1948" s="1786" t="s">
        <v>2959</v>
      </c>
      <c r="H1948" s="1786" t="str">
        <f t="shared" si="333"/>
        <v>פעיל</v>
      </c>
      <c r="I1948" s="1788">
        <f t="shared" si="334"/>
        <v>34700</v>
      </c>
      <c r="J1948" s="1788" t="str">
        <f t="shared" si="335"/>
        <v/>
      </c>
      <c r="K1948" s="1786">
        <v>0</v>
      </c>
      <c r="L1948" s="1786" t="s">
        <v>1594</v>
      </c>
      <c r="M1948" s="1786" t="s">
        <v>1653</v>
      </c>
      <c r="N1948" s="1786" t="s">
        <v>1653</v>
      </c>
      <c r="O1948" s="1786">
        <v>0</v>
      </c>
      <c r="P1948" s="1786"/>
      <c r="Q1948" s="1786">
        <v>0</v>
      </c>
      <c r="R1948" s="1788"/>
      <c r="S1948" s="1786">
        <f t="shared" si="336"/>
        <v>209</v>
      </c>
      <c r="T1948" s="1786">
        <f t="shared" si="337"/>
        <v>0</v>
      </c>
      <c r="U1948" s="1786" t="str">
        <f t="shared" si="338"/>
        <v>הפניקס פנסיה מקיפה</v>
      </c>
      <c r="V1948" s="1786" t="str">
        <f t="shared" si="339"/>
        <v>520017450</v>
      </c>
      <c r="W1948" s="1789" t="str">
        <f t="shared" si="340"/>
        <v xml:space="preserve">הפניקס אקסלנס פנסיה וגמל בע"מ </v>
      </c>
      <c r="AC1948" s="1759" t="s">
        <v>346</v>
      </c>
      <c r="AD1948" s="1759"/>
      <c r="AE1948" s="1760">
        <v>34700</v>
      </c>
      <c r="AF1948" s="1759" t="s">
        <v>4151</v>
      </c>
      <c r="AG1948" s="1759" t="s">
        <v>3931</v>
      </c>
      <c r="AH1948" s="1759" t="s">
        <v>3658</v>
      </c>
      <c r="AI1948" s="1759" t="s">
        <v>4502</v>
      </c>
      <c r="AJ1948" s="1759" t="s">
        <v>4502</v>
      </c>
      <c r="AK1948" s="1759">
        <v>9974</v>
      </c>
      <c r="AL1948" s="1759" t="s">
        <v>403</v>
      </c>
      <c r="AM1948" s="1759">
        <v>209</v>
      </c>
      <c r="AN1948" s="1759"/>
      <c r="AO1948" s="1764"/>
      <c r="AP1948" s="1759" t="s">
        <v>5379</v>
      </c>
      <c r="AQ1948" s="1759" t="s">
        <v>5380</v>
      </c>
      <c r="AR1948" s="1759" t="s">
        <v>5381</v>
      </c>
      <c r="AS1948" s="1759" t="s">
        <v>347</v>
      </c>
      <c r="AT1948" s="1759" t="s">
        <v>328</v>
      </c>
      <c r="AU1948" s="1763"/>
      <c r="AV1948" s="1763"/>
    </row>
    <row r="1949" spans="1:48" ht="25">
      <c r="A1949" s="1785" t="str">
        <f t="shared" si="330"/>
        <v>פנסיה</v>
      </c>
      <c r="B1949" s="1786">
        <f t="shared" si="331"/>
        <v>2201</v>
      </c>
      <c r="C1949" s="1787">
        <v>28946</v>
      </c>
      <c r="D1949" s="1786" t="str">
        <f t="shared" si="332"/>
        <v>הפניקס פנסיה מקיפה - מסלול בסיסי למקבלי קצבה</v>
      </c>
      <c r="E1949" s="1786" t="s">
        <v>3929</v>
      </c>
      <c r="F1949" s="1786" t="s">
        <v>2958</v>
      </c>
      <c r="G1949" s="1786" t="s">
        <v>2959</v>
      </c>
      <c r="H1949" s="1786" t="str">
        <f t="shared" si="333"/>
        <v>פעיל</v>
      </c>
      <c r="I1949" s="1788">
        <f t="shared" si="334"/>
        <v>34700</v>
      </c>
      <c r="J1949" s="1788" t="str">
        <f t="shared" si="335"/>
        <v/>
      </c>
      <c r="K1949" s="1786">
        <v>0</v>
      </c>
      <c r="L1949" s="1786" t="s">
        <v>1594</v>
      </c>
      <c r="M1949" s="1786" t="s">
        <v>1653</v>
      </c>
      <c r="N1949" s="1786" t="s">
        <v>1653</v>
      </c>
      <c r="O1949" s="1786">
        <v>0</v>
      </c>
      <c r="P1949" s="1786"/>
      <c r="Q1949" s="1786">
        <v>0</v>
      </c>
      <c r="R1949" s="1788"/>
      <c r="S1949" s="1786">
        <f t="shared" si="336"/>
        <v>209</v>
      </c>
      <c r="T1949" s="1786">
        <f t="shared" si="337"/>
        <v>0</v>
      </c>
      <c r="U1949" s="1786" t="str">
        <f t="shared" si="338"/>
        <v>הפניקס פנסיה מקיפה</v>
      </c>
      <c r="V1949" s="1786" t="str">
        <f t="shared" si="339"/>
        <v>520017450</v>
      </c>
      <c r="W1949" s="1789" t="str">
        <f t="shared" si="340"/>
        <v xml:space="preserve">הפניקס אקסלנס פנסיה וגמל בע"מ </v>
      </c>
      <c r="AC1949" s="1761" t="s">
        <v>346</v>
      </c>
      <c r="AD1949" s="1759"/>
      <c r="AE1949" s="1762">
        <v>34700</v>
      </c>
      <c r="AF1949" s="1761" t="s">
        <v>4160</v>
      </c>
      <c r="AG1949" s="1761" t="s">
        <v>2614</v>
      </c>
      <c r="AH1949" s="1761" t="s">
        <v>3658</v>
      </c>
      <c r="AI1949" s="1761" t="s">
        <v>5697</v>
      </c>
      <c r="AJ1949" s="1761" t="s">
        <v>5697</v>
      </c>
      <c r="AK1949" s="1761">
        <v>2201</v>
      </c>
      <c r="AL1949" s="1761" t="s">
        <v>403</v>
      </c>
      <c r="AM1949" s="1761">
        <v>209</v>
      </c>
      <c r="AN1949" s="1761"/>
      <c r="AO1949" s="1764"/>
      <c r="AP1949" s="1761" t="s">
        <v>5379</v>
      </c>
      <c r="AQ1949" s="1761" t="s">
        <v>5380</v>
      </c>
      <c r="AR1949" s="1761" t="s">
        <v>5381</v>
      </c>
      <c r="AS1949" s="1761" t="s">
        <v>347</v>
      </c>
      <c r="AT1949" s="1761" t="s">
        <v>328</v>
      </c>
      <c r="AU1949" s="1763"/>
      <c r="AV1949" s="1763"/>
    </row>
    <row r="1950" spans="1:48" ht="25">
      <c r="A1950" s="1785" t="str">
        <f t="shared" si="330"/>
        <v>פנסיה</v>
      </c>
      <c r="B1950" s="1786">
        <f t="shared" si="331"/>
        <v>9976</v>
      </c>
      <c r="C1950" s="1787">
        <v>28946</v>
      </c>
      <c r="D1950" s="1786" t="str">
        <f t="shared" si="332"/>
        <v>הפניקס פנסיה מקיפה - מסלול לבני 60 ומעלה</v>
      </c>
      <c r="E1950" s="1786" t="s">
        <v>3929</v>
      </c>
      <c r="F1950" s="1786" t="s">
        <v>2958</v>
      </c>
      <c r="G1950" s="1786" t="s">
        <v>2959</v>
      </c>
      <c r="H1950" s="1786" t="str">
        <f t="shared" si="333"/>
        <v>פעיל</v>
      </c>
      <c r="I1950" s="1788">
        <f t="shared" si="334"/>
        <v>34700</v>
      </c>
      <c r="J1950" s="1788" t="str">
        <f t="shared" si="335"/>
        <v/>
      </c>
      <c r="K1950" s="1786">
        <v>0</v>
      </c>
      <c r="L1950" s="1786" t="s">
        <v>1594</v>
      </c>
      <c r="M1950" s="1786" t="s">
        <v>1653</v>
      </c>
      <c r="N1950" s="1786" t="s">
        <v>1653</v>
      </c>
      <c r="O1950" s="1786">
        <v>0</v>
      </c>
      <c r="P1950" s="1786"/>
      <c r="Q1950" s="1786">
        <v>0</v>
      </c>
      <c r="R1950" s="1788"/>
      <c r="S1950" s="1786">
        <f t="shared" si="336"/>
        <v>209</v>
      </c>
      <c r="T1950" s="1786">
        <f t="shared" si="337"/>
        <v>0</v>
      </c>
      <c r="U1950" s="1786" t="str">
        <f t="shared" si="338"/>
        <v>הפניקס פנסיה מקיפה</v>
      </c>
      <c r="V1950" s="1786" t="str">
        <f t="shared" si="339"/>
        <v>520017450</v>
      </c>
      <c r="W1950" s="1789" t="str">
        <f t="shared" si="340"/>
        <v xml:space="preserve">הפניקס אקסלנס פנסיה וגמל בע"מ </v>
      </c>
      <c r="AC1950" s="1759" t="s">
        <v>346</v>
      </c>
      <c r="AD1950" s="1759"/>
      <c r="AE1950" s="1760">
        <v>34700</v>
      </c>
      <c r="AF1950" s="1759" t="s">
        <v>3963</v>
      </c>
      <c r="AG1950" s="1759" t="s">
        <v>3931</v>
      </c>
      <c r="AH1950" s="1759" t="s">
        <v>3658</v>
      </c>
      <c r="AI1950" s="1759" t="s">
        <v>4504</v>
      </c>
      <c r="AJ1950" s="1759" t="s">
        <v>4504</v>
      </c>
      <c r="AK1950" s="1759">
        <v>9976</v>
      </c>
      <c r="AL1950" s="1759" t="s">
        <v>403</v>
      </c>
      <c r="AM1950" s="1759">
        <v>209</v>
      </c>
      <c r="AN1950" s="1759"/>
      <c r="AO1950" s="1764"/>
      <c r="AP1950" s="1759" t="s">
        <v>5379</v>
      </c>
      <c r="AQ1950" s="1759" t="s">
        <v>5380</v>
      </c>
      <c r="AR1950" s="1759" t="s">
        <v>5381</v>
      </c>
      <c r="AS1950" s="1759" t="s">
        <v>347</v>
      </c>
      <c r="AT1950" s="1759" t="s">
        <v>328</v>
      </c>
      <c r="AU1950" s="1763"/>
      <c r="AV1950" s="1763"/>
    </row>
    <row r="1951" spans="1:48" ht="25">
      <c r="A1951" s="1785" t="str">
        <f t="shared" si="330"/>
        <v>פנסיה</v>
      </c>
      <c r="B1951" s="1786">
        <f t="shared" si="331"/>
        <v>9978</v>
      </c>
      <c r="C1951" s="1787">
        <v>28946</v>
      </c>
      <c r="D1951" s="1786" t="str">
        <f t="shared" si="332"/>
        <v xml:space="preserve">הפניקס מסלול פאסיבי - מדדי אג"ח </v>
      </c>
      <c r="E1951" s="1786" t="s">
        <v>3929</v>
      </c>
      <c r="F1951" s="1786" t="s">
        <v>2958</v>
      </c>
      <c r="G1951" s="1786" t="s">
        <v>2959</v>
      </c>
      <c r="H1951" s="1786" t="str">
        <f t="shared" si="333"/>
        <v>לא פעיל</v>
      </c>
      <c r="I1951" s="1788">
        <f t="shared" si="334"/>
        <v>34700</v>
      </c>
      <c r="J1951" s="1788">
        <f t="shared" si="335"/>
        <v>43278.726168981499</v>
      </c>
      <c r="K1951" s="1786">
        <v>0</v>
      </c>
      <c r="L1951" s="1786" t="s">
        <v>1594</v>
      </c>
      <c r="M1951" s="1786" t="s">
        <v>1653</v>
      </c>
      <c r="N1951" s="1786" t="s">
        <v>1653</v>
      </c>
      <c r="O1951" s="1786">
        <v>0</v>
      </c>
      <c r="P1951" s="1786"/>
      <c r="Q1951" s="1786">
        <v>0</v>
      </c>
      <c r="R1951" s="1788"/>
      <c r="S1951" s="1786">
        <f t="shared" si="336"/>
        <v>209</v>
      </c>
      <c r="T1951" s="1786">
        <f t="shared" si="337"/>
        <v>0</v>
      </c>
      <c r="U1951" s="1786" t="str">
        <f t="shared" si="338"/>
        <v>הפניקס פנסיה מקיפה</v>
      </c>
      <c r="V1951" s="1786" t="str">
        <f t="shared" si="339"/>
        <v>520017450</v>
      </c>
      <c r="W1951" s="1789" t="str">
        <f t="shared" si="340"/>
        <v xml:space="preserve">הפניקס אקסלנס פנסיה וגמל בע"מ </v>
      </c>
      <c r="AC1951" s="1761" t="s">
        <v>1586</v>
      </c>
      <c r="AD1951" s="1762">
        <v>43278.726168981499</v>
      </c>
      <c r="AE1951" s="1762">
        <v>34700</v>
      </c>
      <c r="AF1951" s="1761" t="s">
        <v>3959</v>
      </c>
      <c r="AG1951" s="1761" t="s">
        <v>1653</v>
      </c>
      <c r="AH1951" s="1761" t="s">
        <v>1594</v>
      </c>
      <c r="AI1951" s="1761" t="s">
        <v>4505</v>
      </c>
      <c r="AJ1951" s="1761" t="s">
        <v>4505</v>
      </c>
      <c r="AK1951" s="1761">
        <v>9978</v>
      </c>
      <c r="AL1951" s="1761" t="s">
        <v>403</v>
      </c>
      <c r="AM1951" s="1761">
        <v>209</v>
      </c>
      <c r="AN1951" s="1761"/>
      <c r="AO1951" s="1764"/>
      <c r="AP1951" s="1761" t="s">
        <v>5379</v>
      </c>
      <c r="AQ1951" s="1761" t="s">
        <v>5380</v>
      </c>
      <c r="AR1951" s="1761" t="s">
        <v>5381</v>
      </c>
      <c r="AS1951" s="1761" t="s">
        <v>347</v>
      </c>
      <c r="AT1951" s="1761" t="s">
        <v>328</v>
      </c>
      <c r="AU1951" s="1763"/>
      <c r="AV1951" s="1763"/>
    </row>
    <row r="1952" spans="1:48" ht="25">
      <c r="A1952" s="1785" t="str">
        <f t="shared" si="330"/>
        <v>פנסיה</v>
      </c>
      <c r="B1952" s="1786">
        <f t="shared" si="331"/>
        <v>9979</v>
      </c>
      <c r="C1952" s="1787">
        <v>28946</v>
      </c>
      <c r="D1952" s="1786" t="str">
        <f t="shared" si="332"/>
        <v>הפניקס מסלול פאסיבי - מדדי אג"ח חו"ל</v>
      </c>
      <c r="E1952" s="1786" t="s">
        <v>3929</v>
      </c>
      <c r="F1952" s="1786" t="s">
        <v>2958</v>
      </c>
      <c r="G1952" s="1786" t="s">
        <v>2959</v>
      </c>
      <c r="H1952" s="1786" t="str">
        <f t="shared" si="333"/>
        <v>פעיל</v>
      </c>
      <c r="I1952" s="1788">
        <f t="shared" si="334"/>
        <v>34700</v>
      </c>
      <c r="J1952" s="1788" t="str">
        <f t="shared" si="335"/>
        <v/>
      </c>
      <c r="K1952" s="1786">
        <v>0</v>
      </c>
      <c r="L1952" s="1786" t="s">
        <v>1594</v>
      </c>
      <c r="M1952" s="1786" t="s">
        <v>1653</v>
      </c>
      <c r="N1952" s="1786" t="s">
        <v>1653</v>
      </c>
      <c r="O1952" s="1786">
        <v>0</v>
      </c>
      <c r="P1952" s="1786"/>
      <c r="Q1952" s="1786">
        <v>0</v>
      </c>
      <c r="R1952" s="1788"/>
      <c r="S1952" s="1786">
        <f t="shared" si="336"/>
        <v>209</v>
      </c>
      <c r="T1952" s="1786">
        <f t="shared" si="337"/>
        <v>0</v>
      </c>
      <c r="U1952" s="1786" t="str">
        <f t="shared" si="338"/>
        <v>הפניקס פנסיה מקיפה</v>
      </c>
      <c r="V1952" s="1786" t="str">
        <f t="shared" si="339"/>
        <v>520017450</v>
      </c>
      <c r="W1952" s="1789" t="str">
        <f t="shared" si="340"/>
        <v xml:space="preserve">הפניקס אקסלנס פנסיה וגמל בע"מ </v>
      </c>
      <c r="AC1952" s="1759" t="s">
        <v>346</v>
      </c>
      <c r="AD1952" s="1759"/>
      <c r="AE1952" s="1760">
        <v>34700</v>
      </c>
      <c r="AF1952" s="1759" t="s">
        <v>4618</v>
      </c>
      <c r="AG1952" s="1759" t="s">
        <v>1653</v>
      </c>
      <c r="AH1952" s="1759" t="s">
        <v>1594</v>
      </c>
      <c r="AI1952" s="1759" t="s">
        <v>4506</v>
      </c>
      <c r="AJ1952" s="1759" t="s">
        <v>4506</v>
      </c>
      <c r="AK1952" s="1759">
        <v>9979</v>
      </c>
      <c r="AL1952" s="1759" t="s">
        <v>403</v>
      </c>
      <c r="AM1952" s="1759">
        <v>209</v>
      </c>
      <c r="AN1952" s="1759"/>
      <c r="AO1952" s="1764"/>
      <c r="AP1952" s="1759" t="s">
        <v>5379</v>
      </c>
      <c r="AQ1952" s="1759" t="s">
        <v>5380</v>
      </c>
      <c r="AR1952" s="1759" t="s">
        <v>5381</v>
      </c>
      <c r="AS1952" s="1759" t="s">
        <v>347</v>
      </c>
      <c r="AT1952" s="1759" t="s">
        <v>328</v>
      </c>
      <c r="AU1952" s="1763"/>
      <c r="AV1952" s="1763"/>
    </row>
    <row r="1953" spans="1:48" ht="25">
      <c r="A1953" s="1785" t="str">
        <f t="shared" si="330"/>
        <v>פנסיה</v>
      </c>
      <c r="B1953" s="1786">
        <f t="shared" si="331"/>
        <v>9980</v>
      </c>
      <c r="C1953" s="1787">
        <v>28946</v>
      </c>
      <c r="D1953" s="1786" t="str">
        <f t="shared" si="332"/>
        <v>הפניקס מסלול אג"ח עד 25% מניות</v>
      </c>
      <c r="E1953" s="1786" t="s">
        <v>3929</v>
      </c>
      <c r="F1953" s="1786" t="s">
        <v>2958</v>
      </c>
      <c r="G1953" s="1786" t="s">
        <v>2959</v>
      </c>
      <c r="H1953" s="1786" t="str">
        <f t="shared" si="333"/>
        <v>פעיל</v>
      </c>
      <c r="I1953" s="1788">
        <f t="shared" si="334"/>
        <v>34700</v>
      </c>
      <c r="J1953" s="1788" t="str">
        <f t="shared" si="335"/>
        <v/>
      </c>
      <c r="K1953" s="1786">
        <v>0</v>
      </c>
      <c r="L1953" s="1786" t="s">
        <v>1594</v>
      </c>
      <c r="M1953" s="1786" t="s">
        <v>1653</v>
      </c>
      <c r="N1953" s="1786" t="s">
        <v>1653</v>
      </c>
      <c r="O1953" s="1786">
        <v>0</v>
      </c>
      <c r="P1953" s="1786"/>
      <c r="Q1953" s="1786">
        <v>0</v>
      </c>
      <c r="R1953" s="1788"/>
      <c r="S1953" s="1786">
        <f t="shared" si="336"/>
        <v>209</v>
      </c>
      <c r="T1953" s="1786">
        <f t="shared" si="337"/>
        <v>0</v>
      </c>
      <c r="U1953" s="1786" t="str">
        <f t="shared" si="338"/>
        <v>הפניקס פנסיה מקיפה</v>
      </c>
      <c r="V1953" s="1786" t="str">
        <f t="shared" si="339"/>
        <v>520017450</v>
      </c>
      <c r="W1953" s="1789" t="str">
        <f t="shared" si="340"/>
        <v xml:space="preserve">הפניקס אקסלנס פנסיה וגמל בע"מ </v>
      </c>
      <c r="AC1953" s="1761" t="s">
        <v>346</v>
      </c>
      <c r="AD1953" s="1759"/>
      <c r="AE1953" s="1762">
        <v>34700</v>
      </c>
      <c r="AF1953" s="1761" t="s">
        <v>1653</v>
      </c>
      <c r="AG1953" s="1761" t="s">
        <v>1653</v>
      </c>
      <c r="AH1953" s="1761" t="s">
        <v>1594</v>
      </c>
      <c r="AI1953" s="1761" t="s">
        <v>4507</v>
      </c>
      <c r="AJ1953" s="1761" t="s">
        <v>4507</v>
      </c>
      <c r="AK1953" s="1761">
        <v>9980</v>
      </c>
      <c r="AL1953" s="1761" t="s">
        <v>403</v>
      </c>
      <c r="AM1953" s="1761">
        <v>209</v>
      </c>
      <c r="AN1953" s="1761"/>
      <c r="AO1953" s="1764"/>
      <c r="AP1953" s="1761" t="s">
        <v>5379</v>
      </c>
      <c r="AQ1953" s="1761" t="s">
        <v>5380</v>
      </c>
      <c r="AR1953" s="1761" t="s">
        <v>5381</v>
      </c>
      <c r="AS1953" s="1761" t="s">
        <v>347</v>
      </c>
      <c r="AT1953" s="1761" t="s">
        <v>328</v>
      </c>
      <c r="AU1953" s="1763"/>
      <c r="AV1953" s="1763"/>
    </row>
    <row r="1954" spans="1:48" ht="25">
      <c r="A1954" s="1785" t="str">
        <f t="shared" si="330"/>
        <v>פנסיה</v>
      </c>
      <c r="B1954" s="1786">
        <f t="shared" si="331"/>
        <v>9982</v>
      </c>
      <c r="C1954" s="1787">
        <v>28946</v>
      </c>
      <c r="D1954" s="1786" t="str">
        <f t="shared" si="332"/>
        <v xml:space="preserve">הפניקס מסלול פאסיבי - מדדי מניות </v>
      </c>
      <c r="E1954" s="1786" t="s">
        <v>3929</v>
      </c>
      <c r="F1954" s="1786" t="s">
        <v>2958</v>
      </c>
      <c r="G1954" s="1786" t="s">
        <v>2959</v>
      </c>
      <c r="H1954" s="1786" t="str">
        <f t="shared" si="333"/>
        <v>לא פעיל</v>
      </c>
      <c r="I1954" s="1788">
        <f t="shared" si="334"/>
        <v>34700</v>
      </c>
      <c r="J1954" s="1788">
        <f t="shared" si="335"/>
        <v>43278.726168981499</v>
      </c>
      <c r="K1954" s="1786">
        <v>0</v>
      </c>
      <c r="L1954" s="1786" t="s">
        <v>1594</v>
      </c>
      <c r="M1954" s="1786" t="s">
        <v>1653</v>
      </c>
      <c r="N1954" s="1786" t="s">
        <v>1653</v>
      </c>
      <c r="O1954" s="1786">
        <v>0</v>
      </c>
      <c r="P1954" s="1786"/>
      <c r="Q1954" s="1786">
        <v>0</v>
      </c>
      <c r="R1954" s="1788"/>
      <c r="S1954" s="1786">
        <f t="shared" si="336"/>
        <v>209</v>
      </c>
      <c r="T1954" s="1786">
        <f t="shared" si="337"/>
        <v>0</v>
      </c>
      <c r="U1954" s="1786" t="str">
        <f t="shared" si="338"/>
        <v>הפניקס פנסיה מקיפה</v>
      </c>
      <c r="V1954" s="1786" t="str">
        <f t="shared" si="339"/>
        <v>520017450</v>
      </c>
      <c r="W1954" s="1789" t="str">
        <f t="shared" si="340"/>
        <v xml:space="preserve">הפניקס אקסלנס פנסיה וגמל בע"מ </v>
      </c>
      <c r="AC1954" s="1759" t="s">
        <v>1586</v>
      </c>
      <c r="AD1954" s="1760">
        <v>43278.726168981499</v>
      </c>
      <c r="AE1954" s="1760">
        <v>34700</v>
      </c>
      <c r="AF1954" s="1759" t="s">
        <v>3959</v>
      </c>
      <c r="AG1954" s="1759" t="s">
        <v>75</v>
      </c>
      <c r="AH1954" s="1759" t="s">
        <v>1594</v>
      </c>
      <c r="AI1954" s="1759" t="s">
        <v>4508</v>
      </c>
      <c r="AJ1954" s="1759" t="s">
        <v>4508</v>
      </c>
      <c r="AK1954" s="1759">
        <v>9982</v>
      </c>
      <c r="AL1954" s="1759" t="s">
        <v>403</v>
      </c>
      <c r="AM1954" s="1759">
        <v>209</v>
      </c>
      <c r="AN1954" s="1759"/>
      <c r="AO1954" s="1764"/>
      <c r="AP1954" s="1759" t="s">
        <v>5379</v>
      </c>
      <c r="AQ1954" s="1759" t="s">
        <v>5380</v>
      </c>
      <c r="AR1954" s="1759" t="s">
        <v>5381</v>
      </c>
      <c r="AS1954" s="1759" t="s">
        <v>347</v>
      </c>
      <c r="AT1954" s="1759" t="s">
        <v>328</v>
      </c>
      <c r="AU1954" s="1763"/>
      <c r="AV1954" s="1763"/>
    </row>
    <row r="1955" spans="1:48" ht="25">
      <c r="A1955" s="1785" t="str">
        <f t="shared" si="330"/>
        <v>פנסיה</v>
      </c>
      <c r="B1955" s="1786">
        <f t="shared" si="331"/>
        <v>9983</v>
      </c>
      <c r="C1955" s="1787">
        <v>28946</v>
      </c>
      <c r="D1955" s="1786" t="str">
        <f t="shared" si="332"/>
        <v xml:space="preserve">הפניקס מסלול פאסיבי - מדדי מניות חו"ל </v>
      </c>
      <c r="E1955" s="1786" t="s">
        <v>3929</v>
      </c>
      <c r="F1955" s="1786" t="s">
        <v>2958</v>
      </c>
      <c r="G1955" s="1786" t="s">
        <v>2959</v>
      </c>
      <c r="H1955" s="1786" t="str">
        <f t="shared" si="333"/>
        <v>פעיל</v>
      </c>
      <c r="I1955" s="1788">
        <f t="shared" si="334"/>
        <v>34700</v>
      </c>
      <c r="J1955" s="1788" t="str">
        <f t="shared" si="335"/>
        <v/>
      </c>
      <c r="K1955" s="1786">
        <v>0</v>
      </c>
      <c r="L1955" s="1786" t="s">
        <v>1594</v>
      </c>
      <c r="M1955" s="1786" t="s">
        <v>1653</v>
      </c>
      <c r="N1955" s="1786" t="s">
        <v>1653</v>
      </c>
      <c r="O1955" s="1786">
        <v>0</v>
      </c>
      <c r="P1955" s="1786"/>
      <c r="Q1955" s="1786">
        <v>0</v>
      </c>
      <c r="R1955" s="1788"/>
      <c r="S1955" s="1786">
        <f t="shared" si="336"/>
        <v>209</v>
      </c>
      <c r="T1955" s="1786">
        <f t="shared" si="337"/>
        <v>0</v>
      </c>
      <c r="U1955" s="1786" t="str">
        <f t="shared" si="338"/>
        <v>הפניקס פנסיה מקיפה</v>
      </c>
      <c r="V1955" s="1786" t="str">
        <f t="shared" si="339"/>
        <v>520017450</v>
      </c>
      <c r="W1955" s="1789" t="str">
        <f t="shared" si="340"/>
        <v xml:space="preserve">הפניקס אקסלנס פנסיה וגמל בע"מ </v>
      </c>
      <c r="AC1955" s="1761" t="s">
        <v>346</v>
      </c>
      <c r="AD1955" s="1761"/>
      <c r="AE1955" s="1762">
        <v>34700</v>
      </c>
      <c r="AF1955" s="1761" t="s">
        <v>4618</v>
      </c>
      <c r="AG1955" s="1761" t="s">
        <v>75</v>
      </c>
      <c r="AH1955" s="1761" t="s">
        <v>1594</v>
      </c>
      <c r="AI1955" s="1761" t="s">
        <v>4509</v>
      </c>
      <c r="AJ1955" s="1761" t="s">
        <v>4509</v>
      </c>
      <c r="AK1955" s="1761">
        <v>9983</v>
      </c>
      <c r="AL1955" s="1761" t="s">
        <v>403</v>
      </c>
      <c r="AM1955" s="1761">
        <v>209</v>
      </c>
      <c r="AN1955" s="1761"/>
      <c r="AO1955" s="1764"/>
      <c r="AP1955" s="1761" t="s">
        <v>5379</v>
      </c>
      <c r="AQ1955" s="1761" t="s">
        <v>5380</v>
      </c>
      <c r="AR1955" s="1761" t="s">
        <v>5381</v>
      </c>
      <c r="AS1955" s="1761" t="s">
        <v>347</v>
      </c>
      <c r="AT1955" s="1761" t="s">
        <v>328</v>
      </c>
      <c r="AU1955" s="1763"/>
      <c r="AV1955" s="1763"/>
    </row>
    <row r="1956" spans="1:48" ht="25">
      <c r="A1956" s="1785" t="str">
        <f t="shared" si="330"/>
        <v>פנסיה</v>
      </c>
      <c r="B1956" s="1786">
        <f t="shared" si="331"/>
        <v>9984</v>
      </c>
      <c r="C1956" s="1787">
        <v>28946</v>
      </c>
      <c r="D1956" s="1786" t="str">
        <f t="shared" si="332"/>
        <v xml:space="preserve">הפניקס פנסיה מקיפה - מסלול הלכה </v>
      </c>
      <c r="E1956" s="1786" t="s">
        <v>3929</v>
      </c>
      <c r="F1956" s="1786" t="s">
        <v>2958</v>
      </c>
      <c r="G1956" s="1786" t="s">
        <v>2959</v>
      </c>
      <c r="H1956" s="1786" t="str">
        <f t="shared" si="333"/>
        <v>פעיל</v>
      </c>
      <c r="I1956" s="1788">
        <f t="shared" si="334"/>
        <v>34700</v>
      </c>
      <c r="J1956" s="1788" t="str">
        <f t="shared" si="335"/>
        <v/>
      </c>
      <c r="K1956" s="1786">
        <v>0</v>
      </c>
      <c r="L1956" s="1786" t="s">
        <v>1594</v>
      </c>
      <c r="M1956" s="1786" t="s">
        <v>1653</v>
      </c>
      <c r="N1956" s="1786" t="s">
        <v>1653</v>
      </c>
      <c r="O1956" s="1786">
        <v>0</v>
      </c>
      <c r="P1956" s="1786"/>
      <c r="Q1956" s="1786">
        <v>0</v>
      </c>
      <c r="R1956" s="1788"/>
      <c r="S1956" s="1786">
        <f t="shared" si="336"/>
        <v>209</v>
      </c>
      <c r="T1956" s="1786">
        <f t="shared" si="337"/>
        <v>0</v>
      </c>
      <c r="U1956" s="1786" t="str">
        <f t="shared" si="338"/>
        <v>הפניקס פנסיה מקיפה</v>
      </c>
      <c r="V1956" s="1786" t="str">
        <f t="shared" si="339"/>
        <v>520017450</v>
      </c>
      <c r="W1956" s="1789" t="str">
        <f t="shared" si="340"/>
        <v xml:space="preserve">הפניקס אקסלנס פנסיה וגמל בע"מ </v>
      </c>
      <c r="AC1956" s="1759" t="s">
        <v>346</v>
      </c>
      <c r="AD1956" s="1759"/>
      <c r="AE1956" s="1760">
        <v>34700</v>
      </c>
      <c r="AF1956" s="1759" t="s">
        <v>4603</v>
      </c>
      <c r="AG1956" s="1759" t="s">
        <v>2029</v>
      </c>
      <c r="AH1956" s="1759" t="s">
        <v>2028</v>
      </c>
      <c r="AI1956" s="1759" t="s">
        <v>4510</v>
      </c>
      <c r="AJ1956" s="1759" t="s">
        <v>4510</v>
      </c>
      <c r="AK1956" s="1759">
        <v>9984</v>
      </c>
      <c r="AL1956" s="1759" t="s">
        <v>403</v>
      </c>
      <c r="AM1956" s="1759">
        <v>209</v>
      </c>
      <c r="AN1956" s="1759"/>
      <c r="AO1956" s="1764"/>
      <c r="AP1956" s="1759" t="s">
        <v>5379</v>
      </c>
      <c r="AQ1956" s="1759" t="s">
        <v>5380</v>
      </c>
      <c r="AR1956" s="1759" t="s">
        <v>5381</v>
      </c>
      <c r="AS1956" s="1759" t="s">
        <v>347</v>
      </c>
      <c r="AT1956" s="1759" t="s">
        <v>328</v>
      </c>
      <c r="AU1956" s="1763"/>
      <c r="AV1956" s="1763"/>
    </row>
    <row r="1957" spans="1:48" ht="25">
      <c r="A1957" s="1785" t="str">
        <f t="shared" si="330"/>
        <v>פנסיה</v>
      </c>
      <c r="B1957" s="1786">
        <f t="shared" si="331"/>
        <v>9987</v>
      </c>
      <c r="C1957" s="1787">
        <v>28946</v>
      </c>
      <c r="D1957" s="1786" t="str">
        <f t="shared" si="332"/>
        <v xml:space="preserve">מסלול קצבה לזכאים קיימים </v>
      </c>
      <c r="E1957" s="1786" t="s">
        <v>3929</v>
      </c>
      <c r="F1957" s="1786" t="s">
        <v>2958</v>
      </c>
      <c r="G1957" s="1786" t="s">
        <v>2959</v>
      </c>
      <c r="H1957" s="1786" t="str">
        <f t="shared" si="333"/>
        <v>פעיל</v>
      </c>
      <c r="I1957" s="1788">
        <f t="shared" si="334"/>
        <v>34700</v>
      </c>
      <c r="J1957" s="1788" t="str">
        <f t="shared" si="335"/>
        <v/>
      </c>
      <c r="K1957" s="1786">
        <v>0</v>
      </c>
      <c r="L1957" s="1786" t="s">
        <v>1594</v>
      </c>
      <c r="M1957" s="1786" t="s">
        <v>1653</v>
      </c>
      <c r="N1957" s="1786" t="s">
        <v>1653</v>
      </c>
      <c r="O1957" s="1786">
        <v>0</v>
      </c>
      <c r="P1957" s="1786"/>
      <c r="Q1957" s="1786">
        <v>0</v>
      </c>
      <c r="R1957" s="1788"/>
      <c r="S1957" s="1786">
        <f t="shared" si="336"/>
        <v>209</v>
      </c>
      <c r="T1957" s="1786">
        <f t="shared" si="337"/>
        <v>0</v>
      </c>
      <c r="U1957" s="1786" t="str">
        <f t="shared" si="338"/>
        <v>הפניקס פנסיה מקיפה</v>
      </c>
      <c r="V1957" s="1786" t="str">
        <f t="shared" si="339"/>
        <v>520017450</v>
      </c>
      <c r="W1957" s="1789" t="str">
        <f t="shared" si="340"/>
        <v xml:space="preserve">הפניקס אקסלנס פנסיה וגמל בע"מ </v>
      </c>
      <c r="AC1957" s="1761" t="s">
        <v>346</v>
      </c>
      <c r="AD1957" s="1761"/>
      <c r="AE1957" s="1762">
        <v>34700</v>
      </c>
      <c r="AF1957" s="1761" t="s">
        <v>4160</v>
      </c>
      <c r="AG1957" s="1761" t="s">
        <v>2614</v>
      </c>
      <c r="AH1957" s="1761" t="s">
        <v>3658</v>
      </c>
      <c r="AI1957" s="1761" t="s">
        <v>4511</v>
      </c>
      <c r="AJ1957" s="1761" t="s">
        <v>4511</v>
      </c>
      <c r="AK1957" s="1761">
        <v>9987</v>
      </c>
      <c r="AL1957" s="1761" t="s">
        <v>403</v>
      </c>
      <c r="AM1957" s="1761">
        <v>209</v>
      </c>
      <c r="AN1957" s="1761"/>
      <c r="AO1957" s="1764"/>
      <c r="AP1957" s="1761" t="s">
        <v>5379</v>
      </c>
      <c r="AQ1957" s="1761" t="s">
        <v>5380</v>
      </c>
      <c r="AR1957" s="1761" t="s">
        <v>5381</v>
      </c>
      <c r="AS1957" s="1761" t="s">
        <v>347</v>
      </c>
      <c r="AT1957" s="1761" t="s">
        <v>328</v>
      </c>
      <c r="AU1957" s="1763"/>
      <c r="AV1957" s="1763"/>
    </row>
    <row r="1958" spans="1:48" ht="25">
      <c r="A1958" s="1785" t="str">
        <f t="shared" si="330"/>
        <v>פנסיה</v>
      </c>
      <c r="B1958" s="1786">
        <f t="shared" si="331"/>
        <v>7738</v>
      </c>
      <c r="C1958" s="1787">
        <v>28946</v>
      </c>
      <c r="D1958" s="1786" t="str">
        <f t="shared" si="332"/>
        <v>הפניקס פנסיה מקיפה - מסלול שיטת הפניקס מאוחד</v>
      </c>
      <c r="E1958" s="1786" t="s">
        <v>3929</v>
      </c>
      <c r="F1958" s="1786" t="s">
        <v>2958</v>
      </c>
      <c r="G1958" s="1786" t="s">
        <v>2959</v>
      </c>
      <c r="H1958" s="1786" t="str">
        <f t="shared" si="333"/>
        <v>לא פעיל</v>
      </c>
      <c r="I1958" s="1788">
        <f t="shared" si="334"/>
        <v>34700</v>
      </c>
      <c r="J1958" s="1788">
        <f t="shared" si="335"/>
        <v>43278.726168981499</v>
      </c>
      <c r="K1958" s="1786">
        <v>0</v>
      </c>
      <c r="L1958" s="1786" t="s">
        <v>1594</v>
      </c>
      <c r="M1958" s="1786" t="s">
        <v>1653</v>
      </c>
      <c r="N1958" s="1786" t="s">
        <v>1653</v>
      </c>
      <c r="O1958" s="1786">
        <v>0</v>
      </c>
      <c r="P1958" s="1786"/>
      <c r="Q1958" s="1786">
        <v>0</v>
      </c>
      <c r="R1958" s="1788"/>
      <c r="S1958" s="1786">
        <f t="shared" si="336"/>
        <v>209</v>
      </c>
      <c r="T1958" s="1786">
        <f t="shared" si="337"/>
        <v>0</v>
      </c>
      <c r="U1958" s="1786" t="str">
        <f t="shared" si="338"/>
        <v>הפניקס פנסיה מקיפה</v>
      </c>
      <c r="V1958" s="1786" t="str">
        <f t="shared" si="339"/>
        <v>520017450</v>
      </c>
      <c r="W1958" s="1789" t="str">
        <f t="shared" si="340"/>
        <v xml:space="preserve">הפניקס אקסלנס פנסיה וגמל בע"מ </v>
      </c>
      <c r="AC1958" s="1759" t="s">
        <v>1586</v>
      </c>
      <c r="AD1958" s="1760">
        <v>43278.726168981499</v>
      </c>
      <c r="AE1958" s="1760">
        <v>34700</v>
      </c>
      <c r="AF1958" s="1759" t="s">
        <v>1583</v>
      </c>
      <c r="AG1958" s="1759" t="s">
        <v>1583</v>
      </c>
      <c r="AH1958" s="1759" t="s">
        <v>1583</v>
      </c>
      <c r="AI1958" s="1759" t="s">
        <v>4638</v>
      </c>
      <c r="AJ1958" s="1759" t="s">
        <v>4638</v>
      </c>
      <c r="AK1958" s="1759">
        <v>7738</v>
      </c>
      <c r="AL1958" s="1759" t="s">
        <v>403</v>
      </c>
      <c r="AM1958" s="1759">
        <v>209</v>
      </c>
      <c r="AN1958" s="1759"/>
      <c r="AO1958" s="1764"/>
      <c r="AP1958" s="1759" t="s">
        <v>5379</v>
      </c>
      <c r="AQ1958" s="1759" t="s">
        <v>5380</v>
      </c>
      <c r="AR1958" s="1759" t="s">
        <v>5381</v>
      </c>
      <c r="AS1958" s="1759" t="s">
        <v>347</v>
      </c>
      <c r="AT1958" s="1759" t="s">
        <v>328</v>
      </c>
      <c r="AU1958" s="1763"/>
      <c r="AV1958" s="1763"/>
    </row>
    <row r="1959" spans="1:48" ht="25">
      <c r="A1959" s="1785" t="str">
        <f t="shared" si="330"/>
        <v>פנסיה</v>
      </c>
      <c r="B1959" s="1786">
        <f t="shared" si="331"/>
        <v>12116</v>
      </c>
      <c r="C1959" s="1787">
        <v>28946</v>
      </c>
      <c r="D1959" s="1786" t="str">
        <f t="shared" si="332"/>
        <v>הפניקס פנסיה מקיפה מסלול פאסיבי לבני 50 ומטה</v>
      </c>
      <c r="E1959" s="1786" t="s">
        <v>3929</v>
      </c>
      <c r="F1959" s="1786" t="s">
        <v>2958</v>
      </c>
      <c r="G1959" s="1786" t="s">
        <v>2959</v>
      </c>
      <c r="H1959" s="1786" t="str">
        <f t="shared" si="333"/>
        <v>פעיל</v>
      </c>
      <c r="I1959" s="1788">
        <f t="shared" si="334"/>
        <v>34700</v>
      </c>
      <c r="J1959" s="1788" t="str">
        <f t="shared" si="335"/>
        <v/>
      </c>
      <c r="K1959" s="1786">
        <v>0</v>
      </c>
      <c r="L1959" s="1786" t="s">
        <v>1594</v>
      </c>
      <c r="M1959" s="1786" t="s">
        <v>1653</v>
      </c>
      <c r="N1959" s="1786" t="s">
        <v>1653</v>
      </c>
      <c r="O1959" s="1786">
        <v>0</v>
      </c>
      <c r="P1959" s="1786"/>
      <c r="Q1959" s="1786">
        <v>0</v>
      </c>
      <c r="R1959" s="1788"/>
      <c r="S1959" s="1786">
        <f t="shared" si="336"/>
        <v>209</v>
      </c>
      <c r="T1959" s="1786">
        <f t="shared" si="337"/>
        <v>0</v>
      </c>
      <c r="U1959" s="1786" t="str">
        <f t="shared" si="338"/>
        <v>הפניקס פנסיה מקיפה</v>
      </c>
      <c r="V1959" s="1786" t="str">
        <f t="shared" si="339"/>
        <v>520017450</v>
      </c>
      <c r="W1959" s="1789" t="str">
        <f t="shared" si="340"/>
        <v xml:space="preserve">הפניקס אקסלנס פנסיה וגמל בע"מ </v>
      </c>
      <c r="AC1959" s="1761" t="s">
        <v>346</v>
      </c>
      <c r="AD1959" s="1761"/>
      <c r="AE1959" s="1762">
        <v>34700</v>
      </c>
      <c r="AF1959" s="1761" t="s">
        <v>4151</v>
      </c>
      <c r="AG1959" s="1761" t="s">
        <v>3931</v>
      </c>
      <c r="AH1959" s="1761" t="s">
        <v>3658</v>
      </c>
      <c r="AI1959" s="1761" t="s">
        <v>5698</v>
      </c>
      <c r="AJ1959" s="1761" t="s">
        <v>5699</v>
      </c>
      <c r="AK1959" s="1761">
        <v>12116</v>
      </c>
      <c r="AL1959" s="1761" t="s">
        <v>403</v>
      </c>
      <c r="AM1959" s="1761">
        <v>209</v>
      </c>
      <c r="AN1959" s="1761"/>
      <c r="AO1959" s="1764"/>
      <c r="AP1959" s="1761" t="s">
        <v>5379</v>
      </c>
      <c r="AQ1959" s="1761" t="s">
        <v>5380</v>
      </c>
      <c r="AR1959" s="1761" t="s">
        <v>5381</v>
      </c>
      <c r="AS1959" s="1761" t="s">
        <v>347</v>
      </c>
      <c r="AT1959" s="1761" t="s">
        <v>328</v>
      </c>
      <c r="AU1959" s="1763"/>
      <c r="AV1959" s="1763"/>
    </row>
    <row r="1960" spans="1:48" ht="25">
      <c r="A1960" s="1785" t="str">
        <f t="shared" si="330"/>
        <v>פנסיה</v>
      </c>
      <c r="B1960" s="1786">
        <f t="shared" si="331"/>
        <v>12117</v>
      </c>
      <c r="C1960" s="1787">
        <v>28946</v>
      </c>
      <c r="D1960" s="1786" t="str">
        <f t="shared" si="332"/>
        <v>הפניקס פנסיה מקיפה מסלול פאסיבי לבני 50 עד 60</v>
      </c>
      <c r="E1960" s="1786" t="s">
        <v>3929</v>
      </c>
      <c r="F1960" s="1786" t="s">
        <v>2958</v>
      </c>
      <c r="G1960" s="1786" t="s">
        <v>2959</v>
      </c>
      <c r="H1960" s="1786" t="str">
        <f t="shared" si="333"/>
        <v>פעיל</v>
      </c>
      <c r="I1960" s="1788">
        <f t="shared" si="334"/>
        <v>34700</v>
      </c>
      <c r="J1960" s="1788" t="str">
        <f t="shared" si="335"/>
        <v/>
      </c>
      <c r="K1960" s="1786">
        <v>0</v>
      </c>
      <c r="L1960" s="1786" t="s">
        <v>1594</v>
      </c>
      <c r="M1960" s="1786" t="s">
        <v>1653</v>
      </c>
      <c r="N1960" s="1786" t="s">
        <v>1653</v>
      </c>
      <c r="O1960" s="1786">
        <v>0</v>
      </c>
      <c r="P1960" s="1786"/>
      <c r="Q1960" s="1786">
        <v>0</v>
      </c>
      <c r="R1960" s="1788"/>
      <c r="S1960" s="1786">
        <f t="shared" si="336"/>
        <v>209</v>
      </c>
      <c r="T1960" s="1786">
        <f t="shared" si="337"/>
        <v>0</v>
      </c>
      <c r="U1960" s="1786" t="str">
        <f t="shared" si="338"/>
        <v>הפניקס פנסיה מקיפה</v>
      </c>
      <c r="V1960" s="1786" t="str">
        <f t="shared" si="339"/>
        <v>520017450</v>
      </c>
      <c r="W1960" s="1789" t="str">
        <f t="shared" si="340"/>
        <v xml:space="preserve">הפניקס אקסלנס פנסיה וגמל בע"מ </v>
      </c>
      <c r="AC1960" s="1759" t="s">
        <v>346</v>
      </c>
      <c r="AD1960" s="1759"/>
      <c r="AE1960" s="1760">
        <v>34700</v>
      </c>
      <c r="AF1960" s="1759" t="s">
        <v>3932</v>
      </c>
      <c r="AG1960" s="1759" t="s">
        <v>3931</v>
      </c>
      <c r="AH1960" s="1759" t="s">
        <v>3658</v>
      </c>
      <c r="AI1960" s="1759" t="s">
        <v>5700</v>
      </c>
      <c r="AJ1960" s="1759" t="s">
        <v>5701</v>
      </c>
      <c r="AK1960" s="1759">
        <v>12117</v>
      </c>
      <c r="AL1960" s="1759" t="s">
        <v>403</v>
      </c>
      <c r="AM1960" s="1759">
        <v>209</v>
      </c>
      <c r="AN1960" s="1759"/>
      <c r="AO1960" s="1764"/>
      <c r="AP1960" s="1759" t="s">
        <v>5379</v>
      </c>
      <c r="AQ1960" s="1759" t="s">
        <v>5380</v>
      </c>
      <c r="AR1960" s="1759" t="s">
        <v>5381</v>
      </c>
      <c r="AS1960" s="1759" t="s">
        <v>347</v>
      </c>
      <c r="AT1960" s="1759" t="s">
        <v>328</v>
      </c>
      <c r="AU1960" s="1763"/>
      <c r="AV1960" s="1763"/>
    </row>
    <row r="1961" spans="1:48" ht="25">
      <c r="A1961" s="1785" t="str">
        <f t="shared" si="330"/>
        <v>פנסיה</v>
      </c>
      <c r="B1961" s="1786">
        <f t="shared" si="331"/>
        <v>12118</v>
      </c>
      <c r="C1961" s="1787">
        <v>28946</v>
      </c>
      <c r="D1961" s="1786" t="str">
        <f t="shared" si="332"/>
        <v>הפניקס פנסיה מקיפה מסלול פאסיבי לבני  60 ומעלה</v>
      </c>
      <c r="E1961" s="1786" t="s">
        <v>3929</v>
      </c>
      <c r="F1961" s="1786" t="s">
        <v>2958</v>
      </c>
      <c r="G1961" s="1786" t="s">
        <v>2959</v>
      </c>
      <c r="H1961" s="1786" t="str">
        <f t="shared" si="333"/>
        <v>פעיל</v>
      </c>
      <c r="I1961" s="1788">
        <f t="shared" si="334"/>
        <v>34700</v>
      </c>
      <c r="J1961" s="1788" t="str">
        <f t="shared" si="335"/>
        <v/>
      </c>
      <c r="K1961" s="1786">
        <v>0</v>
      </c>
      <c r="L1961" s="1786" t="s">
        <v>1594</v>
      </c>
      <c r="M1961" s="1786" t="s">
        <v>1653</v>
      </c>
      <c r="N1961" s="1786" t="s">
        <v>1653</v>
      </c>
      <c r="O1961" s="1786">
        <v>0</v>
      </c>
      <c r="P1961" s="1786"/>
      <c r="Q1961" s="1786">
        <v>0</v>
      </c>
      <c r="R1961" s="1788"/>
      <c r="S1961" s="1786">
        <f t="shared" si="336"/>
        <v>209</v>
      </c>
      <c r="T1961" s="1786">
        <f t="shared" si="337"/>
        <v>0</v>
      </c>
      <c r="U1961" s="1786" t="str">
        <f t="shared" si="338"/>
        <v>הפניקס פנסיה מקיפה</v>
      </c>
      <c r="V1961" s="1786" t="str">
        <f t="shared" si="339"/>
        <v>520017450</v>
      </c>
      <c r="W1961" s="1789" t="str">
        <f t="shared" si="340"/>
        <v xml:space="preserve">הפניקס אקסלנס פנסיה וגמל בע"מ </v>
      </c>
      <c r="AC1961" s="1761" t="s">
        <v>346</v>
      </c>
      <c r="AD1961" s="1761"/>
      <c r="AE1961" s="1762">
        <v>34700</v>
      </c>
      <c r="AF1961" s="1761" t="s">
        <v>3963</v>
      </c>
      <c r="AG1961" s="1761" t="s">
        <v>3931</v>
      </c>
      <c r="AH1961" s="1761" t="s">
        <v>3658</v>
      </c>
      <c r="AI1961" s="1761" t="s">
        <v>5702</v>
      </c>
      <c r="AJ1961" s="1761" t="s">
        <v>5703</v>
      </c>
      <c r="AK1961" s="1761">
        <v>12118</v>
      </c>
      <c r="AL1961" s="1761" t="s">
        <v>403</v>
      </c>
      <c r="AM1961" s="1761">
        <v>209</v>
      </c>
      <c r="AN1961" s="1761"/>
      <c r="AO1961" s="1764"/>
      <c r="AP1961" s="1761" t="s">
        <v>5379</v>
      </c>
      <c r="AQ1961" s="1761" t="s">
        <v>5380</v>
      </c>
      <c r="AR1961" s="1761" t="s">
        <v>5381</v>
      </c>
      <c r="AS1961" s="1761" t="s">
        <v>347</v>
      </c>
      <c r="AT1961" s="1761" t="s">
        <v>328</v>
      </c>
      <c r="AU1961" s="1763"/>
      <c r="AV1961" s="1763"/>
    </row>
    <row r="1962" spans="1:48" ht="25">
      <c r="A1962" s="1785" t="str">
        <f t="shared" si="330"/>
        <v>פנסיה</v>
      </c>
      <c r="B1962" s="1786">
        <f t="shared" si="331"/>
        <v>12119</v>
      </c>
      <c r="C1962" s="1787">
        <v>28946</v>
      </c>
      <c r="D1962" s="1786" t="str">
        <f t="shared" si="332"/>
        <v xml:space="preserve">הפניקס פנסיה מקיפה - מסלול בסיסי לפנסיונרים </v>
      </c>
      <c r="E1962" s="1786" t="s">
        <v>3929</v>
      </c>
      <c r="F1962" s="1786" t="s">
        <v>2958</v>
      </c>
      <c r="G1962" s="1786" t="s">
        <v>2959</v>
      </c>
      <c r="H1962" s="1786" t="str">
        <f t="shared" si="333"/>
        <v>פעיל</v>
      </c>
      <c r="I1962" s="1788">
        <f t="shared" si="334"/>
        <v>34700</v>
      </c>
      <c r="J1962" s="1788" t="str">
        <f t="shared" si="335"/>
        <v/>
      </c>
      <c r="K1962" s="1786">
        <v>0</v>
      </c>
      <c r="L1962" s="1786" t="s">
        <v>1594</v>
      </c>
      <c r="M1962" s="1786" t="s">
        <v>1653</v>
      </c>
      <c r="N1962" s="1786" t="s">
        <v>1653</v>
      </c>
      <c r="O1962" s="1786">
        <v>0</v>
      </c>
      <c r="P1962" s="1786"/>
      <c r="Q1962" s="1786">
        <v>0</v>
      </c>
      <c r="R1962" s="1788"/>
      <c r="S1962" s="1786">
        <f t="shared" si="336"/>
        <v>209</v>
      </c>
      <c r="T1962" s="1786">
        <f t="shared" si="337"/>
        <v>0</v>
      </c>
      <c r="U1962" s="1786" t="str">
        <f t="shared" si="338"/>
        <v>הפניקס פנסיה מקיפה</v>
      </c>
      <c r="V1962" s="1786" t="str">
        <f t="shared" si="339"/>
        <v>520017450</v>
      </c>
      <c r="W1962" s="1789" t="str">
        <f t="shared" si="340"/>
        <v xml:space="preserve">הפניקס אקסלנס פנסיה וגמל בע"מ </v>
      </c>
      <c r="AC1962" s="1759" t="s">
        <v>346</v>
      </c>
      <c r="AD1962" s="1759"/>
      <c r="AE1962" s="1760">
        <v>34700</v>
      </c>
      <c r="AF1962" s="1759" t="s">
        <v>4160</v>
      </c>
      <c r="AG1962" s="1759" t="s">
        <v>2614</v>
      </c>
      <c r="AH1962" s="1759" t="s">
        <v>3658</v>
      </c>
      <c r="AI1962" s="1759" t="s">
        <v>5704</v>
      </c>
      <c r="AJ1962" s="1759" t="s">
        <v>5704</v>
      </c>
      <c r="AK1962" s="1759">
        <v>12119</v>
      </c>
      <c r="AL1962" s="1759" t="s">
        <v>403</v>
      </c>
      <c r="AM1962" s="1759">
        <v>209</v>
      </c>
      <c r="AN1962" s="1759"/>
      <c r="AO1962" s="1764"/>
      <c r="AP1962" s="1759" t="s">
        <v>5379</v>
      </c>
      <c r="AQ1962" s="1759" t="s">
        <v>5380</v>
      </c>
      <c r="AR1962" s="1759" t="s">
        <v>5381</v>
      </c>
      <c r="AS1962" s="1759" t="s">
        <v>347</v>
      </c>
      <c r="AT1962" s="1759" t="s">
        <v>328</v>
      </c>
      <c r="AU1962" s="1763"/>
      <c r="AV1962" s="1763"/>
    </row>
    <row r="1963" spans="1:48" ht="25">
      <c r="A1963" s="1785" t="str">
        <f t="shared" si="330"/>
        <v>פנסיה</v>
      </c>
      <c r="B1963" s="1786">
        <f t="shared" si="331"/>
        <v>2216</v>
      </c>
      <c r="C1963" s="1787">
        <v>28946</v>
      </c>
      <c r="D1963" s="1786" t="str">
        <f t="shared" si="332"/>
        <v>הפניקס פנסיה מקיפה - סל עוקב מדד תל בונד 20</v>
      </c>
      <c r="E1963" s="1786" t="s">
        <v>3929</v>
      </c>
      <c r="F1963" s="1786" t="s">
        <v>2958</v>
      </c>
      <c r="G1963" s="1786" t="s">
        <v>2959</v>
      </c>
      <c r="H1963" s="1786" t="str">
        <f t="shared" si="333"/>
        <v>לא פעיל</v>
      </c>
      <c r="I1963" s="1788">
        <f t="shared" si="334"/>
        <v>34700</v>
      </c>
      <c r="J1963" s="1788">
        <f t="shared" si="335"/>
        <v>42564.558935185203</v>
      </c>
      <c r="K1963" s="1786">
        <v>0</v>
      </c>
      <c r="L1963" s="1786" t="s">
        <v>1594</v>
      </c>
      <c r="M1963" s="1786" t="s">
        <v>1653</v>
      </c>
      <c r="N1963" s="1786" t="s">
        <v>1653</v>
      </c>
      <c r="O1963" s="1786">
        <v>0</v>
      </c>
      <c r="P1963" s="1786"/>
      <c r="Q1963" s="1786">
        <v>0</v>
      </c>
      <c r="R1963" s="1788"/>
      <c r="S1963" s="1786">
        <f t="shared" si="336"/>
        <v>209</v>
      </c>
      <c r="T1963" s="1786">
        <f t="shared" si="337"/>
        <v>0</v>
      </c>
      <c r="U1963" s="1786" t="str">
        <f t="shared" si="338"/>
        <v>הפניקס פנסיה מקיפה</v>
      </c>
      <c r="V1963" s="1786" t="str">
        <f t="shared" si="339"/>
        <v>520017450</v>
      </c>
      <c r="W1963" s="1789" t="str">
        <f t="shared" si="340"/>
        <v xml:space="preserve">הפניקס אקסלנס פנסיה וגמל בע"מ </v>
      </c>
      <c r="AC1963" s="1761" t="s">
        <v>1586</v>
      </c>
      <c r="AD1963" s="1762">
        <v>42564.558935185203</v>
      </c>
      <c r="AE1963" s="1762">
        <v>34700</v>
      </c>
      <c r="AF1963" s="1761" t="s">
        <v>1653</v>
      </c>
      <c r="AG1963" s="1761" t="s">
        <v>1653</v>
      </c>
      <c r="AH1963" s="1761" t="s">
        <v>1594</v>
      </c>
      <c r="AI1963" s="1761" t="s">
        <v>2653</v>
      </c>
      <c r="AJ1963" s="1761" t="s">
        <v>2653</v>
      </c>
      <c r="AK1963" s="1761">
        <v>2216</v>
      </c>
      <c r="AL1963" s="1761" t="s">
        <v>403</v>
      </c>
      <c r="AM1963" s="1761">
        <v>209</v>
      </c>
      <c r="AN1963" s="1761"/>
      <c r="AO1963" s="1764"/>
      <c r="AP1963" s="1761" t="s">
        <v>5379</v>
      </c>
      <c r="AQ1963" s="1761" t="s">
        <v>5380</v>
      </c>
      <c r="AR1963" s="1761" t="s">
        <v>5381</v>
      </c>
      <c r="AS1963" s="1761" t="s">
        <v>347</v>
      </c>
      <c r="AT1963" s="1761" t="s">
        <v>328</v>
      </c>
      <c r="AU1963" s="1763"/>
      <c r="AV1963" s="1763"/>
    </row>
    <row r="1964" spans="1:48" ht="25">
      <c r="A1964" s="1785" t="str">
        <f t="shared" si="330"/>
        <v>פנסיה</v>
      </c>
      <c r="B1964" s="1786">
        <f t="shared" si="331"/>
        <v>2217</v>
      </c>
      <c r="C1964" s="1787">
        <v>28946</v>
      </c>
      <c r="D1964" s="1786" t="str">
        <f t="shared" si="332"/>
        <v>הפניקס פנסיה מקיפה - סל עוקב ממשלתי צמוד 5-10</v>
      </c>
      <c r="E1964" s="1786" t="s">
        <v>3929</v>
      </c>
      <c r="F1964" s="1786" t="s">
        <v>2958</v>
      </c>
      <c r="G1964" s="1786" t="s">
        <v>2959</v>
      </c>
      <c r="H1964" s="1786" t="str">
        <f t="shared" si="333"/>
        <v>לא פעיל</v>
      </c>
      <c r="I1964" s="1788">
        <f t="shared" si="334"/>
        <v>34700</v>
      </c>
      <c r="J1964" s="1788">
        <f t="shared" si="335"/>
        <v>42564.415567129603</v>
      </c>
      <c r="K1964" s="1786">
        <v>0</v>
      </c>
      <c r="L1964" s="1786" t="s">
        <v>1594</v>
      </c>
      <c r="M1964" s="1786" t="s">
        <v>1653</v>
      </c>
      <c r="N1964" s="1786" t="s">
        <v>1653</v>
      </c>
      <c r="O1964" s="1786">
        <v>0</v>
      </c>
      <c r="P1964" s="1786"/>
      <c r="Q1964" s="1786">
        <v>0</v>
      </c>
      <c r="R1964" s="1788"/>
      <c r="S1964" s="1786">
        <f t="shared" si="336"/>
        <v>209</v>
      </c>
      <c r="T1964" s="1786">
        <f t="shared" si="337"/>
        <v>0</v>
      </c>
      <c r="U1964" s="1786" t="str">
        <f t="shared" si="338"/>
        <v>הפניקס פנסיה מקיפה</v>
      </c>
      <c r="V1964" s="1786" t="str">
        <f t="shared" si="339"/>
        <v>520017450</v>
      </c>
      <c r="W1964" s="1789" t="str">
        <f t="shared" si="340"/>
        <v xml:space="preserve">הפניקס אקסלנס פנסיה וגמל בע"מ </v>
      </c>
      <c r="AC1964" s="1759" t="s">
        <v>1586</v>
      </c>
      <c r="AD1964" s="1760">
        <v>42564.415567129603</v>
      </c>
      <c r="AE1964" s="1760">
        <v>34700</v>
      </c>
      <c r="AF1964" s="1759" t="s">
        <v>2009</v>
      </c>
      <c r="AG1964" s="1759" t="s">
        <v>1653</v>
      </c>
      <c r="AH1964" s="1759" t="s">
        <v>1594</v>
      </c>
      <c r="AI1964" s="1759" t="s">
        <v>2654</v>
      </c>
      <c r="AJ1964" s="1759" t="s">
        <v>2654</v>
      </c>
      <c r="AK1964" s="1759">
        <v>2217</v>
      </c>
      <c r="AL1964" s="1759" t="s">
        <v>403</v>
      </c>
      <c r="AM1964" s="1759">
        <v>209</v>
      </c>
      <c r="AN1964" s="1759"/>
      <c r="AO1964" s="1764"/>
      <c r="AP1964" s="1759" t="s">
        <v>5379</v>
      </c>
      <c r="AQ1964" s="1759" t="s">
        <v>5380</v>
      </c>
      <c r="AR1964" s="1759" t="s">
        <v>5381</v>
      </c>
      <c r="AS1964" s="1759" t="s">
        <v>347</v>
      </c>
      <c r="AT1964" s="1759" t="s">
        <v>328</v>
      </c>
      <c r="AU1964" s="1763"/>
      <c r="AV1964" s="1763"/>
    </row>
    <row r="1965" spans="1:48" ht="25">
      <c r="A1965" s="1785" t="str">
        <f t="shared" si="330"/>
        <v>פנסיה</v>
      </c>
      <c r="B1965" s="1786">
        <f t="shared" si="331"/>
        <v>2218</v>
      </c>
      <c r="C1965" s="1787">
        <v>28946</v>
      </c>
      <c r="D1965" s="1786" t="str">
        <f t="shared" si="332"/>
        <v>הפניקס פנסיה מקיפה -סל אג"ח ממשלתי + ריבית קבועה 5</v>
      </c>
      <c r="E1965" s="1786" t="s">
        <v>3929</v>
      </c>
      <c r="F1965" s="1786" t="s">
        <v>2958</v>
      </c>
      <c r="G1965" s="1786" t="s">
        <v>2959</v>
      </c>
      <c r="H1965" s="1786" t="str">
        <f t="shared" si="333"/>
        <v>לא פעיל</v>
      </c>
      <c r="I1965" s="1788">
        <f t="shared" si="334"/>
        <v>34700</v>
      </c>
      <c r="J1965" s="1788">
        <f t="shared" si="335"/>
        <v>42564.4292824074</v>
      </c>
      <c r="K1965" s="1786">
        <v>0</v>
      </c>
      <c r="L1965" s="1786" t="s">
        <v>1594</v>
      </c>
      <c r="M1965" s="1786" t="s">
        <v>1653</v>
      </c>
      <c r="N1965" s="1786" t="s">
        <v>1653</v>
      </c>
      <c r="O1965" s="1786">
        <v>0</v>
      </c>
      <c r="P1965" s="1786"/>
      <c r="Q1965" s="1786">
        <v>0</v>
      </c>
      <c r="R1965" s="1788"/>
      <c r="S1965" s="1786">
        <f t="shared" si="336"/>
        <v>209</v>
      </c>
      <c r="T1965" s="1786">
        <f t="shared" si="337"/>
        <v>0</v>
      </c>
      <c r="U1965" s="1786" t="str">
        <f t="shared" si="338"/>
        <v>הפניקס פנסיה מקיפה</v>
      </c>
      <c r="V1965" s="1786" t="str">
        <f t="shared" si="339"/>
        <v>520017450</v>
      </c>
      <c r="W1965" s="1789" t="str">
        <f t="shared" si="340"/>
        <v xml:space="preserve">הפניקס אקסלנס פנסיה וגמל בע"מ </v>
      </c>
      <c r="AC1965" s="1761" t="s">
        <v>1586</v>
      </c>
      <c r="AD1965" s="1762">
        <v>42564.4292824074</v>
      </c>
      <c r="AE1965" s="1762">
        <v>34700</v>
      </c>
      <c r="AF1965" s="1761" t="s">
        <v>2009</v>
      </c>
      <c r="AG1965" s="1761" t="s">
        <v>1653</v>
      </c>
      <c r="AH1965" s="1761" t="s">
        <v>1594</v>
      </c>
      <c r="AI1965" s="1761" t="s">
        <v>2655</v>
      </c>
      <c r="AJ1965" s="1761" t="s">
        <v>2655</v>
      </c>
      <c r="AK1965" s="1761">
        <v>2218</v>
      </c>
      <c r="AL1965" s="1761" t="s">
        <v>403</v>
      </c>
      <c r="AM1965" s="1761">
        <v>209</v>
      </c>
      <c r="AN1965" s="1761"/>
      <c r="AO1965" s="1764"/>
      <c r="AP1965" s="1761" t="s">
        <v>5379</v>
      </c>
      <c r="AQ1965" s="1761" t="s">
        <v>5380</v>
      </c>
      <c r="AR1965" s="1761" t="s">
        <v>5381</v>
      </c>
      <c r="AS1965" s="1761" t="s">
        <v>347</v>
      </c>
      <c r="AT1965" s="1761" t="s">
        <v>328</v>
      </c>
      <c r="AU1965" s="1763"/>
      <c r="AV1965" s="1763"/>
    </row>
    <row r="1966" spans="1:48" ht="25">
      <c r="A1966" s="1785" t="str">
        <f t="shared" si="330"/>
        <v>פנסיה</v>
      </c>
      <c r="B1966" s="1786">
        <f t="shared" si="331"/>
        <v>2219</v>
      </c>
      <c r="C1966" s="1787">
        <v>28946</v>
      </c>
      <c r="D1966" s="1786" t="str">
        <f t="shared" si="332"/>
        <v>הפניקס פנסיה מקיפה - סל עוקב מדד s&amp;p500</v>
      </c>
      <c r="E1966" s="1786" t="s">
        <v>3929</v>
      </c>
      <c r="F1966" s="1786" t="s">
        <v>2958</v>
      </c>
      <c r="G1966" s="1786" t="s">
        <v>2959</v>
      </c>
      <c r="H1966" s="1786" t="str">
        <f t="shared" si="333"/>
        <v>לא פעיל</v>
      </c>
      <c r="I1966" s="1788">
        <f t="shared" si="334"/>
        <v>34700</v>
      </c>
      <c r="J1966" s="1788">
        <f t="shared" si="335"/>
        <v>42564.432291666701</v>
      </c>
      <c r="K1966" s="1786">
        <v>0</v>
      </c>
      <c r="L1966" s="1786" t="s">
        <v>1594</v>
      </c>
      <c r="M1966" s="1786" t="s">
        <v>1653</v>
      </c>
      <c r="N1966" s="1786" t="s">
        <v>1653</v>
      </c>
      <c r="O1966" s="1786">
        <v>0</v>
      </c>
      <c r="P1966" s="1786"/>
      <c r="Q1966" s="1786">
        <v>0</v>
      </c>
      <c r="R1966" s="1788"/>
      <c r="S1966" s="1786">
        <f t="shared" si="336"/>
        <v>209</v>
      </c>
      <c r="T1966" s="1786">
        <f t="shared" si="337"/>
        <v>0</v>
      </c>
      <c r="U1966" s="1786" t="str">
        <f t="shared" si="338"/>
        <v>הפניקס פנסיה מקיפה</v>
      </c>
      <c r="V1966" s="1786" t="str">
        <f t="shared" si="339"/>
        <v>520017450</v>
      </c>
      <c r="W1966" s="1789" t="str">
        <f t="shared" si="340"/>
        <v xml:space="preserve">הפניקס אקסלנס פנסיה וגמל בע"מ </v>
      </c>
      <c r="AC1966" s="1759" t="s">
        <v>1586</v>
      </c>
      <c r="AD1966" s="1760">
        <v>42564.432291666701</v>
      </c>
      <c r="AE1966" s="1760">
        <v>34700</v>
      </c>
      <c r="AF1966" s="1759" t="s">
        <v>1948</v>
      </c>
      <c r="AG1966" s="1759" t="s">
        <v>75</v>
      </c>
      <c r="AH1966" s="1759" t="s">
        <v>1594</v>
      </c>
      <c r="AI1966" s="1759" t="s">
        <v>2656</v>
      </c>
      <c r="AJ1966" s="1759" t="s">
        <v>2656</v>
      </c>
      <c r="AK1966" s="1759">
        <v>2219</v>
      </c>
      <c r="AL1966" s="1759" t="s">
        <v>403</v>
      </c>
      <c r="AM1966" s="1759">
        <v>209</v>
      </c>
      <c r="AN1966" s="1759"/>
      <c r="AO1966" s="1764"/>
      <c r="AP1966" s="1759" t="s">
        <v>5379</v>
      </c>
      <c r="AQ1966" s="1759" t="s">
        <v>5380</v>
      </c>
      <c r="AR1966" s="1759" t="s">
        <v>5381</v>
      </c>
      <c r="AS1966" s="1759" t="s">
        <v>347</v>
      </c>
      <c r="AT1966" s="1759" t="s">
        <v>328</v>
      </c>
      <c r="AU1966" s="1763"/>
      <c r="AV1966" s="1763"/>
    </row>
    <row r="1967" spans="1:48" ht="25">
      <c r="A1967" s="1785" t="str">
        <f t="shared" si="330"/>
        <v>פנסיה</v>
      </c>
      <c r="B1967" s="1786">
        <f t="shared" si="331"/>
        <v>2220</v>
      </c>
      <c r="C1967" s="1787">
        <v>28946</v>
      </c>
      <c r="D1967" s="1786" t="str">
        <f t="shared" si="332"/>
        <v>סל עוקב מדד Barclays Capital U.S. 3-7 Year Treasur</v>
      </c>
      <c r="E1967" s="1786" t="s">
        <v>3929</v>
      </c>
      <c r="F1967" s="1786" t="s">
        <v>2958</v>
      </c>
      <c r="G1967" s="1786" t="s">
        <v>2959</v>
      </c>
      <c r="H1967" s="1786" t="str">
        <f t="shared" si="333"/>
        <v>לא פעיל</v>
      </c>
      <c r="I1967" s="1788">
        <f t="shared" si="334"/>
        <v>34700</v>
      </c>
      <c r="J1967" s="1788">
        <f t="shared" si="335"/>
        <v>41171.585543981499</v>
      </c>
      <c r="K1967" s="1786">
        <v>0</v>
      </c>
      <c r="L1967" s="1786" t="s">
        <v>1594</v>
      </c>
      <c r="M1967" s="1786" t="s">
        <v>1653</v>
      </c>
      <c r="N1967" s="1786" t="s">
        <v>1653</v>
      </c>
      <c r="O1967" s="1786">
        <v>0</v>
      </c>
      <c r="P1967" s="1786"/>
      <c r="Q1967" s="1786">
        <v>0</v>
      </c>
      <c r="R1967" s="1788"/>
      <c r="S1967" s="1786">
        <f t="shared" si="336"/>
        <v>209</v>
      </c>
      <c r="T1967" s="1786">
        <f t="shared" si="337"/>
        <v>0</v>
      </c>
      <c r="U1967" s="1786" t="str">
        <f t="shared" si="338"/>
        <v>הפניקס פנסיה מקיפה</v>
      </c>
      <c r="V1967" s="1786">
        <f t="shared" si="339"/>
        <v>0</v>
      </c>
      <c r="W1967" s="1789" t="str">
        <f t="shared" si="340"/>
        <v>הפניקס פנסיה בע"מ</v>
      </c>
      <c r="AC1967" s="1761" t="s">
        <v>1586</v>
      </c>
      <c r="AD1967" s="1762">
        <v>41171.585543981499</v>
      </c>
      <c r="AE1967" s="1762">
        <v>34700</v>
      </c>
      <c r="AF1967" s="1761" t="s">
        <v>3342</v>
      </c>
      <c r="AG1967" s="1761" t="s">
        <v>1653</v>
      </c>
      <c r="AH1967" s="1761" t="s">
        <v>1594</v>
      </c>
      <c r="AI1967" s="1761" t="s">
        <v>2529</v>
      </c>
      <c r="AJ1967" s="1761" t="s">
        <v>2529</v>
      </c>
      <c r="AK1967" s="1761">
        <v>2220</v>
      </c>
      <c r="AL1967" s="1761" t="s">
        <v>403</v>
      </c>
      <c r="AM1967" s="1761">
        <v>209</v>
      </c>
      <c r="AN1967" s="1761"/>
      <c r="AO1967" s="1764"/>
      <c r="AP1967" s="1761"/>
      <c r="AQ1967" s="1761"/>
      <c r="AR1967" s="1761" t="s">
        <v>5508</v>
      </c>
      <c r="AS1967" s="1761" t="s">
        <v>402</v>
      </c>
      <c r="AT1967" s="1761" t="s">
        <v>328</v>
      </c>
      <c r="AU1967" s="1763"/>
      <c r="AV1967" s="1763"/>
    </row>
    <row r="1968" spans="1:48" ht="25">
      <c r="A1968" s="1785" t="str">
        <f t="shared" si="330"/>
        <v>פנסיה</v>
      </c>
      <c r="B1968" s="1786">
        <f t="shared" si="331"/>
        <v>2221</v>
      </c>
      <c r="C1968" s="1787">
        <v>28946</v>
      </c>
      <c r="D1968" s="1786" t="str">
        <f t="shared" si="332"/>
        <v>סל עוקב מדד msci שווקים מתעוררים</v>
      </c>
      <c r="E1968" s="1786" t="s">
        <v>3929</v>
      </c>
      <c r="F1968" s="1786" t="s">
        <v>2958</v>
      </c>
      <c r="G1968" s="1786" t="s">
        <v>2959</v>
      </c>
      <c r="H1968" s="1786" t="str">
        <f t="shared" si="333"/>
        <v>לא פעיל</v>
      </c>
      <c r="I1968" s="1788">
        <f t="shared" si="334"/>
        <v>34700</v>
      </c>
      <c r="J1968" s="1788">
        <f t="shared" si="335"/>
        <v>42564.442743055602</v>
      </c>
      <c r="K1968" s="1786">
        <v>0</v>
      </c>
      <c r="L1968" s="1786" t="s">
        <v>1594</v>
      </c>
      <c r="M1968" s="1786" t="s">
        <v>1653</v>
      </c>
      <c r="N1968" s="1786" t="s">
        <v>1653</v>
      </c>
      <c r="O1968" s="1786">
        <v>0</v>
      </c>
      <c r="P1968" s="1786"/>
      <c r="Q1968" s="1786">
        <v>0</v>
      </c>
      <c r="R1968" s="1788"/>
      <c r="S1968" s="1786">
        <f t="shared" si="336"/>
        <v>209</v>
      </c>
      <c r="T1968" s="1786">
        <f t="shared" si="337"/>
        <v>0</v>
      </c>
      <c r="U1968" s="1786" t="str">
        <f t="shared" si="338"/>
        <v>הפניקס פנסיה מקיפה</v>
      </c>
      <c r="V1968" s="1786" t="str">
        <f t="shared" si="339"/>
        <v>520017450</v>
      </c>
      <c r="W1968" s="1789" t="str">
        <f t="shared" si="340"/>
        <v xml:space="preserve">הפניקס אקסלנס פנסיה וגמל בע"מ </v>
      </c>
      <c r="AC1968" s="1759" t="s">
        <v>1586</v>
      </c>
      <c r="AD1968" s="1760">
        <v>42564.442743055602</v>
      </c>
      <c r="AE1968" s="1760">
        <v>34700</v>
      </c>
      <c r="AF1968" s="1759" t="s">
        <v>1583</v>
      </c>
      <c r="AG1968" s="1759" t="s">
        <v>1583</v>
      </c>
      <c r="AH1968" s="1759" t="s">
        <v>1583</v>
      </c>
      <c r="AI1968" s="1759" t="s">
        <v>2657</v>
      </c>
      <c r="AJ1968" s="1759" t="s">
        <v>2657</v>
      </c>
      <c r="AK1968" s="1759">
        <v>2221</v>
      </c>
      <c r="AL1968" s="1759" t="s">
        <v>403</v>
      </c>
      <c r="AM1968" s="1759">
        <v>209</v>
      </c>
      <c r="AN1968" s="1759"/>
      <c r="AO1968" s="1764"/>
      <c r="AP1968" s="1759" t="s">
        <v>5379</v>
      </c>
      <c r="AQ1968" s="1759" t="s">
        <v>5380</v>
      </c>
      <c r="AR1968" s="1759" t="s">
        <v>5381</v>
      </c>
      <c r="AS1968" s="1759" t="s">
        <v>347</v>
      </c>
      <c r="AT1968" s="1759" t="s">
        <v>328</v>
      </c>
      <c r="AU1968" s="1763"/>
      <c r="AV1968" s="1763"/>
    </row>
    <row r="1969" spans="1:48" ht="25">
      <c r="A1969" s="1785" t="str">
        <f t="shared" si="330"/>
        <v>פנסיה</v>
      </c>
      <c r="B1969" s="1786">
        <f t="shared" si="331"/>
        <v>2222</v>
      </c>
      <c r="C1969" s="1787">
        <v>28946</v>
      </c>
      <c r="D1969" s="1786" t="str">
        <f t="shared" si="332"/>
        <v>הפניקס פנסיה מקיפה- סל עוקב ליבור דולר ארה"ב לחודש</v>
      </c>
      <c r="E1969" s="1786" t="s">
        <v>3929</v>
      </c>
      <c r="F1969" s="1786" t="s">
        <v>2958</v>
      </c>
      <c r="G1969" s="1786" t="s">
        <v>2959</v>
      </c>
      <c r="H1969" s="1786" t="str">
        <f t="shared" si="333"/>
        <v>לא פעיל</v>
      </c>
      <c r="I1969" s="1788">
        <f t="shared" si="334"/>
        <v>34700</v>
      </c>
      <c r="J1969" s="1788">
        <f t="shared" si="335"/>
        <v>42564.455046296302</v>
      </c>
      <c r="K1969" s="1786">
        <v>0</v>
      </c>
      <c r="L1969" s="1786" t="s">
        <v>1594</v>
      </c>
      <c r="M1969" s="1786" t="s">
        <v>1653</v>
      </c>
      <c r="N1969" s="1786" t="s">
        <v>1653</v>
      </c>
      <c r="O1969" s="1786">
        <v>0</v>
      </c>
      <c r="P1969" s="1786"/>
      <c r="Q1969" s="1786">
        <v>0</v>
      </c>
      <c r="R1969" s="1788"/>
      <c r="S1969" s="1786">
        <f t="shared" si="336"/>
        <v>209</v>
      </c>
      <c r="T1969" s="1786">
        <f t="shared" si="337"/>
        <v>0</v>
      </c>
      <c r="U1969" s="1786" t="str">
        <f t="shared" si="338"/>
        <v>הפניקס פנסיה מקיפה</v>
      </c>
      <c r="V1969" s="1786" t="str">
        <f t="shared" si="339"/>
        <v>520017450</v>
      </c>
      <c r="W1969" s="1789" t="str">
        <f t="shared" si="340"/>
        <v xml:space="preserve">הפניקס אקסלנס פנסיה וגמל בע"מ </v>
      </c>
      <c r="AC1969" s="1761" t="s">
        <v>1586</v>
      </c>
      <c r="AD1969" s="1762">
        <v>42564.455046296302</v>
      </c>
      <c r="AE1969" s="1762">
        <v>34700</v>
      </c>
      <c r="AF1969" s="1761" t="s">
        <v>1583</v>
      </c>
      <c r="AG1969" s="1761" t="s">
        <v>1583</v>
      </c>
      <c r="AH1969" s="1761" t="s">
        <v>1583</v>
      </c>
      <c r="AI1969" s="1761" t="s">
        <v>2658</v>
      </c>
      <c r="AJ1969" s="1761" t="s">
        <v>2658</v>
      </c>
      <c r="AK1969" s="1761">
        <v>2222</v>
      </c>
      <c r="AL1969" s="1761" t="s">
        <v>403</v>
      </c>
      <c r="AM1969" s="1761">
        <v>209</v>
      </c>
      <c r="AN1969" s="1761"/>
      <c r="AO1969" s="1764"/>
      <c r="AP1969" s="1761" t="s">
        <v>5379</v>
      </c>
      <c r="AQ1969" s="1761" t="s">
        <v>5380</v>
      </c>
      <c r="AR1969" s="1761" t="s">
        <v>5381</v>
      </c>
      <c r="AS1969" s="1761" t="s">
        <v>347</v>
      </c>
      <c r="AT1969" s="1761" t="s">
        <v>328</v>
      </c>
      <c r="AU1969" s="1763"/>
      <c r="AV1969" s="1763"/>
    </row>
    <row r="1970" spans="1:48" ht="25">
      <c r="A1970" s="1785" t="str">
        <f t="shared" si="330"/>
        <v>פנסיה</v>
      </c>
      <c r="B1970" s="1786">
        <f t="shared" si="331"/>
        <v>2223</v>
      </c>
      <c r="C1970" s="1787">
        <v>28946</v>
      </c>
      <c r="D1970" s="1786" t="str">
        <f t="shared" si="332"/>
        <v>הפניקס פנסיה מקיפה - סל עוקב מדד ממשלתי צמוד 0-2</v>
      </c>
      <c r="E1970" s="1786" t="s">
        <v>3929</v>
      </c>
      <c r="F1970" s="1786" t="s">
        <v>2958</v>
      </c>
      <c r="G1970" s="1786" t="s">
        <v>2959</v>
      </c>
      <c r="H1970" s="1786" t="str">
        <f t="shared" si="333"/>
        <v>לא פעיל</v>
      </c>
      <c r="I1970" s="1788">
        <f t="shared" si="334"/>
        <v>34700</v>
      </c>
      <c r="J1970" s="1788">
        <f t="shared" si="335"/>
        <v>42564.561273148101</v>
      </c>
      <c r="K1970" s="1786">
        <v>0</v>
      </c>
      <c r="L1970" s="1786" t="s">
        <v>1594</v>
      </c>
      <c r="M1970" s="1786" t="s">
        <v>1653</v>
      </c>
      <c r="N1970" s="1786" t="s">
        <v>1653</v>
      </c>
      <c r="O1970" s="1786">
        <v>0</v>
      </c>
      <c r="P1970" s="1786"/>
      <c r="Q1970" s="1786">
        <v>0</v>
      </c>
      <c r="R1970" s="1788"/>
      <c r="S1970" s="1786">
        <f t="shared" si="336"/>
        <v>209</v>
      </c>
      <c r="T1970" s="1786">
        <f t="shared" si="337"/>
        <v>0</v>
      </c>
      <c r="U1970" s="1786" t="str">
        <f t="shared" si="338"/>
        <v>הפניקס פנסיה מקיפה</v>
      </c>
      <c r="V1970" s="1786" t="str">
        <f t="shared" si="339"/>
        <v>520017450</v>
      </c>
      <c r="W1970" s="1789" t="str">
        <f t="shared" si="340"/>
        <v xml:space="preserve">הפניקס אקסלנס פנסיה וגמל בע"מ </v>
      </c>
      <c r="AC1970" s="1759" t="s">
        <v>1586</v>
      </c>
      <c r="AD1970" s="1760">
        <v>42564.561273148101</v>
      </c>
      <c r="AE1970" s="1760">
        <v>34700</v>
      </c>
      <c r="AF1970" s="1759" t="s">
        <v>1583</v>
      </c>
      <c r="AG1970" s="1759" t="s">
        <v>1583</v>
      </c>
      <c r="AH1970" s="1759" t="s">
        <v>1583</v>
      </c>
      <c r="AI1970" s="1759" t="s">
        <v>2659</v>
      </c>
      <c r="AJ1970" s="1759" t="s">
        <v>2659</v>
      </c>
      <c r="AK1970" s="1759">
        <v>2223</v>
      </c>
      <c r="AL1970" s="1759" t="s">
        <v>403</v>
      </c>
      <c r="AM1970" s="1759">
        <v>209</v>
      </c>
      <c r="AN1970" s="1759"/>
      <c r="AO1970" s="1764"/>
      <c r="AP1970" s="1759" t="s">
        <v>5379</v>
      </c>
      <c r="AQ1970" s="1759" t="s">
        <v>5380</v>
      </c>
      <c r="AR1970" s="1759" t="s">
        <v>5381</v>
      </c>
      <c r="AS1970" s="1759" t="s">
        <v>347</v>
      </c>
      <c r="AT1970" s="1759" t="s">
        <v>328</v>
      </c>
      <c r="AU1970" s="1763"/>
      <c r="AV1970" s="1763"/>
    </row>
    <row r="1971" spans="1:48" ht="25">
      <c r="A1971" s="1785" t="str">
        <f t="shared" si="330"/>
        <v>פנסיה</v>
      </c>
      <c r="B1971" s="1786">
        <f t="shared" si="331"/>
        <v>2224</v>
      </c>
      <c r="C1971" s="1787">
        <v>28946</v>
      </c>
      <c r="D1971" s="1786" t="str">
        <f t="shared" si="332"/>
        <v xml:space="preserve">מסלול עוקב מדדJ.P Morgan .Emerging Markets Bonds </v>
      </c>
      <c r="E1971" s="1786" t="s">
        <v>3929</v>
      </c>
      <c r="F1971" s="1786" t="s">
        <v>2958</v>
      </c>
      <c r="G1971" s="1786" t="s">
        <v>2959</v>
      </c>
      <c r="H1971" s="1786" t="str">
        <f t="shared" si="333"/>
        <v>לא פעיל</v>
      </c>
      <c r="I1971" s="1788">
        <f t="shared" si="334"/>
        <v>34700</v>
      </c>
      <c r="J1971" s="1788">
        <f t="shared" si="335"/>
        <v>42564.445057870398</v>
      </c>
      <c r="K1971" s="1786">
        <v>0</v>
      </c>
      <c r="L1971" s="1786" t="s">
        <v>1594</v>
      </c>
      <c r="M1971" s="1786" t="s">
        <v>1653</v>
      </c>
      <c r="N1971" s="1786" t="s">
        <v>1653</v>
      </c>
      <c r="O1971" s="1786">
        <v>0</v>
      </c>
      <c r="P1971" s="1786"/>
      <c r="Q1971" s="1786">
        <v>0</v>
      </c>
      <c r="R1971" s="1788"/>
      <c r="S1971" s="1786">
        <f t="shared" si="336"/>
        <v>209</v>
      </c>
      <c r="T1971" s="1786">
        <f t="shared" si="337"/>
        <v>0</v>
      </c>
      <c r="U1971" s="1786" t="str">
        <f t="shared" si="338"/>
        <v>הפניקס פנסיה מקיפה</v>
      </c>
      <c r="V1971" s="1786" t="str">
        <f t="shared" si="339"/>
        <v>520017450</v>
      </c>
      <c r="W1971" s="1789" t="str">
        <f t="shared" si="340"/>
        <v xml:space="preserve">הפניקס אקסלנס פנסיה וגמל בע"מ </v>
      </c>
      <c r="AC1971" s="1761" t="s">
        <v>1586</v>
      </c>
      <c r="AD1971" s="1762">
        <v>42564.445057870398</v>
      </c>
      <c r="AE1971" s="1762">
        <v>34700</v>
      </c>
      <c r="AF1971" s="1761" t="s">
        <v>1583</v>
      </c>
      <c r="AG1971" s="1761" t="s">
        <v>1583</v>
      </c>
      <c r="AH1971" s="1761" t="s">
        <v>1583</v>
      </c>
      <c r="AI1971" s="1761" t="s">
        <v>2660</v>
      </c>
      <c r="AJ1971" s="1761" t="s">
        <v>2660</v>
      </c>
      <c r="AK1971" s="1761">
        <v>2224</v>
      </c>
      <c r="AL1971" s="1761" t="s">
        <v>403</v>
      </c>
      <c r="AM1971" s="1761">
        <v>209</v>
      </c>
      <c r="AN1971" s="1761"/>
      <c r="AO1971" s="1764"/>
      <c r="AP1971" s="1761" t="s">
        <v>5379</v>
      </c>
      <c r="AQ1971" s="1761" t="s">
        <v>5380</v>
      </c>
      <c r="AR1971" s="1761" t="s">
        <v>5381</v>
      </c>
      <c r="AS1971" s="1761" t="s">
        <v>347</v>
      </c>
      <c r="AT1971" s="1761" t="s">
        <v>328</v>
      </c>
      <c r="AU1971" s="1763"/>
      <c r="AV1971" s="1763"/>
    </row>
    <row r="1972" spans="1:48" ht="25">
      <c r="A1972" s="1785" t="str">
        <f t="shared" si="330"/>
        <v>פנסיה</v>
      </c>
      <c r="B1972" s="1786">
        <f t="shared" si="331"/>
        <v>2225</v>
      </c>
      <c r="C1972" s="1787">
        <v>28946</v>
      </c>
      <c r="D1972" s="1786" t="str">
        <f t="shared" si="332"/>
        <v>הפניקס פנסיה מקיפה - סל עוקב מדד ממשלתי צמוד 2-5</v>
      </c>
      <c r="E1972" s="1786" t="s">
        <v>3929</v>
      </c>
      <c r="F1972" s="1786" t="s">
        <v>2958</v>
      </c>
      <c r="G1972" s="1786" t="s">
        <v>2959</v>
      </c>
      <c r="H1972" s="1786" t="str">
        <f t="shared" si="333"/>
        <v>לא פעיל</v>
      </c>
      <c r="I1972" s="1788">
        <f t="shared" si="334"/>
        <v>34700</v>
      </c>
      <c r="J1972" s="1788">
        <f t="shared" si="335"/>
        <v>42564.567696759303</v>
      </c>
      <c r="K1972" s="1786">
        <v>0</v>
      </c>
      <c r="L1972" s="1786" t="s">
        <v>1594</v>
      </c>
      <c r="M1972" s="1786" t="s">
        <v>1653</v>
      </c>
      <c r="N1972" s="1786" t="s">
        <v>1653</v>
      </c>
      <c r="O1972" s="1786">
        <v>0</v>
      </c>
      <c r="P1972" s="1786"/>
      <c r="Q1972" s="1786">
        <v>0</v>
      </c>
      <c r="R1972" s="1788"/>
      <c r="S1972" s="1786">
        <f t="shared" si="336"/>
        <v>209</v>
      </c>
      <c r="T1972" s="1786">
        <f t="shared" si="337"/>
        <v>0</v>
      </c>
      <c r="U1972" s="1786" t="str">
        <f t="shared" si="338"/>
        <v>הפניקס פנסיה מקיפה</v>
      </c>
      <c r="V1972" s="1786" t="str">
        <f t="shared" si="339"/>
        <v>520017450</v>
      </c>
      <c r="W1972" s="1789" t="str">
        <f t="shared" si="340"/>
        <v xml:space="preserve">הפניקס אקסלנס פנסיה וגמל בע"מ </v>
      </c>
      <c r="AC1972" s="1759" t="s">
        <v>1586</v>
      </c>
      <c r="AD1972" s="1760">
        <v>42564.567696759303</v>
      </c>
      <c r="AE1972" s="1760">
        <v>34700</v>
      </c>
      <c r="AF1972" s="1759" t="s">
        <v>1583</v>
      </c>
      <c r="AG1972" s="1759" t="s">
        <v>1583</v>
      </c>
      <c r="AH1972" s="1759" t="s">
        <v>1583</v>
      </c>
      <c r="AI1972" s="1759" t="s">
        <v>2661</v>
      </c>
      <c r="AJ1972" s="1759" t="s">
        <v>2661</v>
      </c>
      <c r="AK1972" s="1759">
        <v>2225</v>
      </c>
      <c r="AL1972" s="1759" t="s">
        <v>403</v>
      </c>
      <c r="AM1972" s="1759">
        <v>209</v>
      </c>
      <c r="AN1972" s="1759"/>
      <c r="AO1972" s="1764"/>
      <c r="AP1972" s="1759" t="s">
        <v>5379</v>
      </c>
      <c r="AQ1972" s="1759" t="s">
        <v>5380</v>
      </c>
      <c r="AR1972" s="1759" t="s">
        <v>5381</v>
      </c>
      <c r="AS1972" s="1759" t="s">
        <v>347</v>
      </c>
      <c r="AT1972" s="1759" t="s">
        <v>328</v>
      </c>
      <c r="AU1972" s="1763"/>
      <c r="AV1972" s="1763"/>
    </row>
    <row r="1973" spans="1:48" ht="25">
      <c r="A1973" s="1785" t="str">
        <f t="shared" si="330"/>
        <v>פנסיה</v>
      </c>
      <c r="B1973" s="1786">
        <f t="shared" si="331"/>
        <v>2226</v>
      </c>
      <c r="C1973" s="1787">
        <v>28946</v>
      </c>
      <c r="D1973" s="1786" t="str">
        <f t="shared" si="332"/>
        <v>סל עוקב מדד אג"ח ל"צ ריבית קבועה</v>
      </c>
      <c r="E1973" s="1786" t="s">
        <v>3929</v>
      </c>
      <c r="F1973" s="1786" t="s">
        <v>2958</v>
      </c>
      <c r="G1973" s="1786" t="s">
        <v>2959</v>
      </c>
      <c r="H1973" s="1786" t="str">
        <f t="shared" si="333"/>
        <v>לא פעיל</v>
      </c>
      <c r="I1973" s="1788">
        <f t="shared" si="334"/>
        <v>34700</v>
      </c>
      <c r="J1973" s="1788">
        <f t="shared" si="335"/>
        <v>42564.577175925901</v>
      </c>
      <c r="K1973" s="1786">
        <v>0</v>
      </c>
      <c r="L1973" s="1786" t="s">
        <v>1594</v>
      </c>
      <c r="M1973" s="1786" t="s">
        <v>1653</v>
      </c>
      <c r="N1973" s="1786" t="s">
        <v>1653</v>
      </c>
      <c r="O1973" s="1786">
        <v>0</v>
      </c>
      <c r="P1973" s="1786"/>
      <c r="Q1973" s="1786">
        <v>0</v>
      </c>
      <c r="R1973" s="1788"/>
      <c r="S1973" s="1786">
        <f t="shared" si="336"/>
        <v>209</v>
      </c>
      <c r="T1973" s="1786">
        <f t="shared" si="337"/>
        <v>0</v>
      </c>
      <c r="U1973" s="1786" t="str">
        <f t="shared" si="338"/>
        <v>הפניקס פנסיה מקיפה</v>
      </c>
      <c r="V1973" s="1786" t="str">
        <f t="shared" si="339"/>
        <v>520017450</v>
      </c>
      <c r="W1973" s="1789" t="str">
        <f t="shared" si="340"/>
        <v xml:space="preserve">הפניקס אקסלנס פנסיה וגמל בע"מ </v>
      </c>
      <c r="AC1973" s="1761" t="s">
        <v>1586</v>
      </c>
      <c r="AD1973" s="1762">
        <v>42564.577175925901</v>
      </c>
      <c r="AE1973" s="1762">
        <v>34700</v>
      </c>
      <c r="AF1973" s="1761" t="s">
        <v>1583</v>
      </c>
      <c r="AG1973" s="1761" t="s">
        <v>1583</v>
      </c>
      <c r="AH1973" s="1761" t="s">
        <v>1583</v>
      </c>
      <c r="AI1973" s="1761" t="s">
        <v>2662</v>
      </c>
      <c r="AJ1973" s="1761" t="s">
        <v>2662</v>
      </c>
      <c r="AK1973" s="1761">
        <v>2226</v>
      </c>
      <c r="AL1973" s="1761" t="s">
        <v>403</v>
      </c>
      <c r="AM1973" s="1761">
        <v>209</v>
      </c>
      <c r="AN1973" s="1761"/>
      <c r="AO1973" s="1764"/>
      <c r="AP1973" s="1761" t="s">
        <v>5379</v>
      </c>
      <c r="AQ1973" s="1761" t="s">
        <v>5380</v>
      </c>
      <c r="AR1973" s="1761" t="s">
        <v>5381</v>
      </c>
      <c r="AS1973" s="1761" t="s">
        <v>347</v>
      </c>
      <c r="AT1973" s="1761" t="s">
        <v>328</v>
      </c>
      <c r="AU1973" s="1763"/>
      <c r="AV1973" s="1763"/>
    </row>
    <row r="1974" spans="1:48" ht="25">
      <c r="A1974" s="1785" t="str">
        <f t="shared" si="330"/>
        <v>פנסיה</v>
      </c>
      <c r="B1974" s="1786">
        <f t="shared" si="331"/>
        <v>2227</v>
      </c>
      <c r="C1974" s="1787">
        <v>28946</v>
      </c>
      <c r="D1974" s="1786" t="str">
        <f t="shared" si="332"/>
        <v>הפניקס פנסיה מקיפה - סל עוקב מדד יורוסטוקס 50</v>
      </c>
      <c r="E1974" s="1786" t="s">
        <v>3929</v>
      </c>
      <c r="F1974" s="1786" t="s">
        <v>2958</v>
      </c>
      <c r="G1974" s="1786" t="s">
        <v>2959</v>
      </c>
      <c r="H1974" s="1786" t="str">
        <f t="shared" si="333"/>
        <v>לא פעיל</v>
      </c>
      <c r="I1974" s="1788">
        <f t="shared" si="334"/>
        <v>34700</v>
      </c>
      <c r="J1974" s="1788">
        <f t="shared" si="335"/>
        <v>42564.439560185201</v>
      </c>
      <c r="K1974" s="1786">
        <v>0</v>
      </c>
      <c r="L1974" s="1786" t="s">
        <v>1594</v>
      </c>
      <c r="M1974" s="1786" t="s">
        <v>1653</v>
      </c>
      <c r="N1974" s="1786" t="s">
        <v>1653</v>
      </c>
      <c r="O1974" s="1786">
        <v>0</v>
      </c>
      <c r="P1974" s="1786"/>
      <c r="Q1974" s="1786">
        <v>0</v>
      </c>
      <c r="R1974" s="1788"/>
      <c r="S1974" s="1786">
        <f t="shared" si="336"/>
        <v>209</v>
      </c>
      <c r="T1974" s="1786">
        <f t="shared" si="337"/>
        <v>0</v>
      </c>
      <c r="U1974" s="1786" t="str">
        <f t="shared" si="338"/>
        <v>הפניקס פנסיה מקיפה</v>
      </c>
      <c r="V1974" s="1786" t="str">
        <f t="shared" si="339"/>
        <v>520017450</v>
      </c>
      <c r="W1974" s="1789" t="str">
        <f t="shared" si="340"/>
        <v xml:space="preserve">הפניקס אקסלנס פנסיה וגמל בע"מ </v>
      </c>
      <c r="AC1974" s="1759" t="s">
        <v>1586</v>
      </c>
      <c r="AD1974" s="1760">
        <v>42564.439560185201</v>
      </c>
      <c r="AE1974" s="1760">
        <v>34700</v>
      </c>
      <c r="AF1974" s="1759" t="s">
        <v>1583</v>
      </c>
      <c r="AG1974" s="1759" t="s">
        <v>1583</v>
      </c>
      <c r="AH1974" s="1759" t="s">
        <v>1583</v>
      </c>
      <c r="AI1974" s="1759" t="s">
        <v>2663</v>
      </c>
      <c r="AJ1974" s="1759" t="s">
        <v>2663</v>
      </c>
      <c r="AK1974" s="1759">
        <v>2227</v>
      </c>
      <c r="AL1974" s="1759" t="s">
        <v>403</v>
      </c>
      <c r="AM1974" s="1759">
        <v>209</v>
      </c>
      <c r="AN1974" s="1759"/>
      <c r="AO1974" s="1764"/>
      <c r="AP1974" s="1759" t="s">
        <v>5379</v>
      </c>
      <c r="AQ1974" s="1759" t="s">
        <v>5380</v>
      </c>
      <c r="AR1974" s="1759" t="s">
        <v>5381</v>
      </c>
      <c r="AS1974" s="1759" t="s">
        <v>347</v>
      </c>
      <c r="AT1974" s="1759" t="s">
        <v>328</v>
      </c>
      <c r="AU1974" s="1763"/>
      <c r="AV1974" s="1763"/>
    </row>
    <row r="1975" spans="1:48" ht="25">
      <c r="A1975" s="1785" t="str">
        <f t="shared" si="330"/>
        <v>פנסיה</v>
      </c>
      <c r="B1975" s="1786">
        <f t="shared" si="331"/>
        <v>2228</v>
      </c>
      <c r="C1975" s="1787">
        <v>28946</v>
      </c>
      <c r="D1975" s="1786" t="str">
        <f t="shared" si="332"/>
        <v>הפניקס פנסיה מקיפה- סל עוקב מדד ת"א 25</v>
      </c>
      <c r="E1975" s="1786" t="s">
        <v>3929</v>
      </c>
      <c r="F1975" s="1786" t="s">
        <v>2958</v>
      </c>
      <c r="G1975" s="1786" t="s">
        <v>2959</v>
      </c>
      <c r="H1975" s="1786" t="str">
        <f t="shared" si="333"/>
        <v>לא פעיל</v>
      </c>
      <c r="I1975" s="1788">
        <f t="shared" si="334"/>
        <v>34700</v>
      </c>
      <c r="J1975" s="1788">
        <f t="shared" si="335"/>
        <v>42564.427499999998</v>
      </c>
      <c r="K1975" s="1786">
        <v>0</v>
      </c>
      <c r="L1975" s="1786" t="s">
        <v>1594</v>
      </c>
      <c r="M1975" s="1786" t="s">
        <v>1653</v>
      </c>
      <c r="N1975" s="1786" t="s">
        <v>1653</v>
      </c>
      <c r="O1975" s="1786">
        <v>0</v>
      </c>
      <c r="P1975" s="1786"/>
      <c r="Q1975" s="1786">
        <v>0</v>
      </c>
      <c r="R1975" s="1788"/>
      <c r="S1975" s="1786">
        <f t="shared" si="336"/>
        <v>209</v>
      </c>
      <c r="T1975" s="1786">
        <f t="shared" si="337"/>
        <v>0</v>
      </c>
      <c r="U1975" s="1786" t="str">
        <f t="shared" si="338"/>
        <v>הפניקס פנסיה מקיפה</v>
      </c>
      <c r="V1975" s="1786" t="str">
        <f t="shared" si="339"/>
        <v>520017450</v>
      </c>
      <c r="W1975" s="1789" t="str">
        <f t="shared" si="340"/>
        <v xml:space="preserve">הפניקס אקסלנס פנסיה וגמל בע"מ </v>
      </c>
      <c r="AC1975" s="1761" t="s">
        <v>1586</v>
      </c>
      <c r="AD1975" s="1762">
        <v>42564.427499999998</v>
      </c>
      <c r="AE1975" s="1762">
        <v>34700</v>
      </c>
      <c r="AF1975" s="1761" t="s">
        <v>1583</v>
      </c>
      <c r="AG1975" s="1761" t="s">
        <v>1583</v>
      </c>
      <c r="AH1975" s="1761" t="s">
        <v>1583</v>
      </c>
      <c r="AI1975" s="1761" t="s">
        <v>2664</v>
      </c>
      <c r="AJ1975" s="1761" t="s">
        <v>2664</v>
      </c>
      <c r="AK1975" s="1761">
        <v>2228</v>
      </c>
      <c r="AL1975" s="1761" t="s">
        <v>403</v>
      </c>
      <c r="AM1975" s="1761">
        <v>209</v>
      </c>
      <c r="AN1975" s="1761"/>
      <c r="AO1975" s="1764"/>
      <c r="AP1975" s="1761" t="s">
        <v>5379</v>
      </c>
      <c r="AQ1975" s="1761" t="s">
        <v>5380</v>
      </c>
      <c r="AR1975" s="1761" t="s">
        <v>5381</v>
      </c>
      <c r="AS1975" s="1761" t="s">
        <v>347</v>
      </c>
      <c r="AT1975" s="1761" t="s">
        <v>328</v>
      </c>
      <c r="AU1975" s="1763"/>
      <c r="AV1975" s="1763"/>
    </row>
    <row r="1976" spans="1:48" ht="25">
      <c r="A1976" s="1785" t="str">
        <f t="shared" si="330"/>
        <v>פנסיה</v>
      </c>
      <c r="B1976" s="1786">
        <f t="shared" si="331"/>
        <v>2229</v>
      </c>
      <c r="C1976" s="1787">
        <v>28946</v>
      </c>
      <c r="D1976" s="1786" t="str">
        <f t="shared" si="332"/>
        <v>הפניקס פנסיה מקיפה - סל עוקב מדד מק"מ</v>
      </c>
      <c r="E1976" s="1786" t="s">
        <v>3929</v>
      </c>
      <c r="F1976" s="1786" t="s">
        <v>2958</v>
      </c>
      <c r="G1976" s="1786" t="s">
        <v>2959</v>
      </c>
      <c r="H1976" s="1786" t="str">
        <f t="shared" si="333"/>
        <v>לא פעיל</v>
      </c>
      <c r="I1976" s="1788">
        <f t="shared" si="334"/>
        <v>34700</v>
      </c>
      <c r="J1976" s="1788">
        <f t="shared" si="335"/>
        <v>42564.750578703701</v>
      </c>
      <c r="K1976" s="1786">
        <v>0</v>
      </c>
      <c r="L1976" s="1786" t="s">
        <v>1594</v>
      </c>
      <c r="M1976" s="1786" t="s">
        <v>1653</v>
      </c>
      <c r="N1976" s="1786" t="s">
        <v>1653</v>
      </c>
      <c r="O1976" s="1786">
        <v>0</v>
      </c>
      <c r="P1976" s="1786"/>
      <c r="Q1976" s="1786">
        <v>0</v>
      </c>
      <c r="R1976" s="1788"/>
      <c r="S1976" s="1786">
        <f t="shared" si="336"/>
        <v>209</v>
      </c>
      <c r="T1976" s="1786">
        <f t="shared" si="337"/>
        <v>0</v>
      </c>
      <c r="U1976" s="1786" t="str">
        <f t="shared" si="338"/>
        <v>הפניקס פנסיה מקיפה</v>
      </c>
      <c r="V1976" s="1786" t="str">
        <f t="shared" si="339"/>
        <v>520017450</v>
      </c>
      <c r="W1976" s="1789" t="str">
        <f t="shared" si="340"/>
        <v xml:space="preserve">הפניקס אקסלנס פנסיה וגמל בע"מ </v>
      </c>
      <c r="AC1976" s="1759" t="s">
        <v>1586</v>
      </c>
      <c r="AD1976" s="1760">
        <v>42564.750578703701</v>
      </c>
      <c r="AE1976" s="1760">
        <v>34700</v>
      </c>
      <c r="AF1976" s="1759" t="s">
        <v>1583</v>
      </c>
      <c r="AG1976" s="1759" t="s">
        <v>1583</v>
      </c>
      <c r="AH1976" s="1759" t="s">
        <v>1583</v>
      </c>
      <c r="AI1976" s="1759" t="s">
        <v>2665</v>
      </c>
      <c r="AJ1976" s="1759" t="s">
        <v>2665</v>
      </c>
      <c r="AK1976" s="1759">
        <v>2229</v>
      </c>
      <c r="AL1976" s="1759" t="s">
        <v>403</v>
      </c>
      <c r="AM1976" s="1759">
        <v>209</v>
      </c>
      <c r="AN1976" s="1759"/>
      <c r="AO1976" s="1764"/>
      <c r="AP1976" s="1759" t="s">
        <v>5379</v>
      </c>
      <c r="AQ1976" s="1759" t="s">
        <v>5380</v>
      </c>
      <c r="AR1976" s="1759" t="s">
        <v>5381</v>
      </c>
      <c r="AS1976" s="1759" t="s">
        <v>347</v>
      </c>
      <c r="AT1976" s="1759" t="s">
        <v>328</v>
      </c>
      <c r="AU1976" s="1763"/>
      <c r="AV1976" s="1763"/>
    </row>
    <row r="1977" spans="1:48" ht="25">
      <c r="A1977" s="1785" t="str">
        <f t="shared" si="330"/>
        <v>פנסיה</v>
      </c>
      <c r="B1977" s="1786">
        <f t="shared" si="331"/>
        <v>2230</v>
      </c>
      <c r="C1977" s="1787">
        <v>28946</v>
      </c>
      <c r="D1977" s="1786" t="str">
        <f t="shared" si="332"/>
        <v>הפניקס פנסיה מקיפה - סל עוקב ת"א 100</v>
      </c>
      <c r="E1977" s="1786" t="s">
        <v>3929</v>
      </c>
      <c r="F1977" s="1786" t="s">
        <v>2958</v>
      </c>
      <c r="G1977" s="1786" t="s">
        <v>2959</v>
      </c>
      <c r="H1977" s="1786" t="str">
        <f t="shared" si="333"/>
        <v>לא פעיל</v>
      </c>
      <c r="I1977" s="1788">
        <f t="shared" si="334"/>
        <v>34700</v>
      </c>
      <c r="J1977" s="1788">
        <f t="shared" si="335"/>
        <v>42564.502361111103</v>
      </c>
      <c r="K1977" s="1786">
        <v>0</v>
      </c>
      <c r="L1977" s="1786" t="s">
        <v>1594</v>
      </c>
      <c r="M1977" s="1786" t="s">
        <v>1653</v>
      </c>
      <c r="N1977" s="1786" t="s">
        <v>1653</v>
      </c>
      <c r="O1977" s="1786">
        <v>0</v>
      </c>
      <c r="P1977" s="1786"/>
      <c r="Q1977" s="1786">
        <v>0</v>
      </c>
      <c r="R1977" s="1788"/>
      <c r="S1977" s="1786">
        <f t="shared" si="336"/>
        <v>209</v>
      </c>
      <c r="T1977" s="1786">
        <f t="shared" si="337"/>
        <v>0</v>
      </c>
      <c r="U1977" s="1786" t="str">
        <f t="shared" si="338"/>
        <v>הפניקס פנסיה מקיפה</v>
      </c>
      <c r="V1977" s="1786" t="str">
        <f t="shared" si="339"/>
        <v>520017450</v>
      </c>
      <c r="W1977" s="1789" t="str">
        <f t="shared" si="340"/>
        <v xml:space="preserve">הפניקס אקסלנס פנסיה וגמל בע"מ </v>
      </c>
      <c r="AC1977" s="1761" t="s">
        <v>1586</v>
      </c>
      <c r="AD1977" s="1762">
        <v>42564.502361111103</v>
      </c>
      <c r="AE1977" s="1762">
        <v>34700</v>
      </c>
      <c r="AF1977" s="1761" t="s">
        <v>3672</v>
      </c>
      <c r="AG1977" s="1761" t="s">
        <v>75</v>
      </c>
      <c r="AH1977" s="1761" t="s">
        <v>1594</v>
      </c>
      <c r="AI1977" s="1761" t="s">
        <v>2666</v>
      </c>
      <c r="AJ1977" s="1761" t="s">
        <v>2666</v>
      </c>
      <c r="AK1977" s="1761">
        <v>2230</v>
      </c>
      <c r="AL1977" s="1761" t="s">
        <v>403</v>
      </c>
      <c r="AM1977" s="1761">
        <v>209</v>
      </c>
      <c r="AN1977" s="1761"/>
      <c r="AO1977" s="1764"/>
      <c r="AP1977" s="1761" t="s">
        <v>5379</v>
      </c>
      <c r="AQ1977" s="1761" t="s">
        <v>5380</v>
      </c>
      <c r="AR1977" s="1761" t="s">
        <v>5381</v>
      </c>
      <c r="AS1977" s="1761" t="s">
        <v>347</v>
      </c>
      <c r="AT1977" s="1761" t="s">
        <v>328</v>
      </c>
      <c r="AU1977" s="1763"/>
      <c r="AV1977" s="1763"/>
    </row>
    <row r="1978" spans="1:48" ht="25">
      <c r="A1978" s="1785" t="str">
        <f t="shared" si="330"/>
        <v>פנסיה</v>
      </c>
      <c r="B1978" s="1786">
        <f t="shared" si="331"/>
        <v>2231</v>
      </c>
      <c r="C1978" s="1787">
        <v>28946</v>
      </c>
      <c r="D1978" s="1786" t="str">
        <f t="shared" si="332"/>
        <v>הפניקס פנסיה מקיפה - אג"ח מיועדות עד 30% מהנכסים</v>
      </c>
      <c r="E1978" s="1786" t="s">
        <v>3929</v>
      </c>
      <c r="F1978" s="1786" t="s">
        <v>2958</v>
      </c>
      <c r="G1978" s="1786" t="s">
        <v>2959</v>
      </c>
      <c r="H1978" s="1786" t="str">
        <f t="shared" si="333"/>
        <v>לא פעיל</v>
      </c>
      <c r="I1978" s="1788">
        <f t="shared" si="334"/>
        <v>34700</v>
      </c>
      <c r="J1978" s="1788">
        <f t="shared" si="335"/>
        <v>42564.425011574102</v>
      </c>
      <c r="K1978" s="1786">
        <v>0</v>
      </c>
      <c r="L1978" s="1786" t="s">
        <v>1594</v>
      </c>
      <c r="M1978" s="1786" t="s">
        <v>1653</v>
      </c>
      <c r="N1978" s="1786" t="s">
        <v>1653</v>
      </c>
      <c r="O1978" s="1786">
        <v>0</v>
      </c>
      <c r="P1978" s="1786"/>
      <c r="Q1978" s="1786">
        <v>0</v>
      </c>
      <c r="R1978" s="1788"/>
      <c r="S1978" s="1786">
        <f t="shared" si="336"/>
        <v>209</v>
      </c>
      <c r="T1978" s="1786">
        <f t="shared" si="337"/>
        <v>0</v>
      </c>
      <c r="U1978" s="1786" t="str">
        <f t="shared" si="338"/>
        <v>הפניקס פנסיה מקיפה</v>
      </c>
      <c r="V1978" s="1786" t="str">
        <f t="shared" si="339"/>
        <v>520017450</v>
      </c>
      <c r="W1978" s="1789" t="str">
        <f t="shared" si="340"/>
        <v xml:space="preserve">הפניקס אקסלנס פנסיה וגמל בע"מ </v>
      </c>
      <c r="AC1978" s="1759" t="s">
        <v>1586</v>
      </c>
      <c r="AD1978" s="1760">
        <v>42564.425011574102</v>
      </c>
      <c r="AE1978" s="1760">
        <v>34700</v>
      </c>
      <c r="AF1978" s="1759" t="s">
        <v>1583</v>
      </c>
      <c r="AG1978" s="1759" t="s">
        <v>1583</v>
      </c>
      <c r="AH1978" s="1759" t="s">
        <v>1583</v>
      </c>
      <c r="AI1978" s="1759" t="s">
        <v>2667</v>
      </c>
      <c r="AJ1978" s="1759" t="s">
        <v>2667</v>
      </c>
      <c r="AK1978" s="1759">
        <v>2231</v>
      </c>
      <c r="AL1978" s="1759" t="s">
        <v>403</v>
      </c>
      <c r="AM1978" s="1759">
        <v>209</v>
      </c>
      <c r="AN1978" s="1759"/>
      <c r="AO1978" s="1764"/>
      <c r="AP1978" s="1759" t="s">
        <v>5379</v>
      </c>
      <c r="AQ1978" s="1759" t="s">
        <v>5380</v>
      </c>
      <c r="AR1978" s="1759" t="s">
        <v>5381</v>
      </c>
      <c r="AS1978" s="1759" t="s">
        <v>347</v>
      </c>
      <c r="AT1978" s="1759" t="s">
        <v>328</v>
      </c>
      <c r="AU1978" s="1763"/>
      <c r="AV1978" s="1763"/>
    </row>
    <row r="1979" spans="1:48" ht="37.5">
      <c r="A1979" s="1785" t="str">
        <f t="shared" si="330"/>
        <v>פנסיה</v>
      </c>
      <c r="B1979" s="1786">
        <f t="shared" si="331"/>
        <v>2249</v>
      </c>
      <c r="C1979" s="1787">
        <v>28946</v>
      </c>
      <c r="D1979" s="1786" t="str">
        <f t="shared" si="332"/>
        <v xml:space="preserve">סל עוקב מדד אג"ח ממשלתי בריבית קבועה 2-5 שנים
</v>
      </c>
      <c r="E1979" s="1786" t="s">
        <v>3929</v>
      </c>
      <c r="F1979" s="1786" t="s">
        <v>2958</v>
      </c>
      <c r="G1979" s="1786" t="s">
        <v>2959</v>
      </c>
      <c r="H1979" s="1786" t="str">
        <f t="shared" si="333"/>
        <v>לא פעיל</v>
      </c>
      <c r="I1979" s="1788">
        <f t="shared" si="334"/>
        <v>34700</v>
      </c>
      <c r="J1979" s="1788">
        <f t="shared" si="335"/>
        <v>42564.459212962996</v>
      </c>
      <c r="K1979" s="1786">
        <v>0</v>
      </c>
      <c r="L1979" s="1786" t="s">
        <v>1594</v>
      </c>
      <c r="M1979" s="1786" t="s">
        <v>1653</v>
      </c>
      <c r="N1979" s="1786" t="s">
        <v>1653</v>
      </c>
      <c r="O1979" s="1786">
        <v>0</v>
      </c>
      <c r="P1979" s="1786"/>
      <c r="Q1979" s="1786">
        <v>0</v>
      </c>
      <c r="R1979" s="1788"/>
      <c r="S1979" s="1786">
        <f t="shared" si="336"/>
        <v>209</v>
      </c>
      <c r="T1979" s="1786">
        <f t="shared" si="337"/>
        <v>0</v>
      </c>
      <c r="U1979" s="1786" t="str">
        <f t="shared" si="338"/>
        <v>הפניקס פנסיה מקיפה</v>
      </c>
      <c r="V1979" s="1786" t="str">
        <f t="shared" si="339"/>
        <v>520017450</v>
      </c>
      <c r="W1979" s="1789" t="str">
        <f t="shared" si="340"/>
        <v xml:space="preserve">הפניקס אקסלנס פנסיה וגמל בע"מ </v>
      </c>
      <c r="AC1979" s="1761" t="s">
        <v>1586</v>
      </c>
      <c r="AD1979" s="1762">
        <v>42564.459212962996</v>
      </c>
      <c r="AE1979" s="1762">
        <v>34700</v>
      </c>
      <c r="AF1979" s="1761" t="s">
        <v>2009</v>
      </c>
      <c r="AG1979" s="1761" t="s">
        <v>1653</v>
      </c>
      <c r="AH1979" s="1761" t="s">
        <v>1594</v>
      </c>
      <c r="AI1979" s="1761" t="s">
        <v>2910</v>
      </c>
      <c r="AJ1979" s="1761" t="s">
        <v>2910</v>
      </c>
      <c r="AK1979" s="1761">
        <v>2249</v>
      </c>
      <c r="AL1979" s="1761" t="s">
        <v>403</v>
      </c>
      <c r="AM1979" s="1761">
        <v>209</v>
      </c>
      <c r="AN1979" s="1761"/>
      <c r="AO1979" s="1764"/>
      <c r="AP1979" s="1761" t="s">
        <v>5379</v>
      </c>
      <c r="AQ1979" s="1761" t="s">
        <v>5380</v>
      </c>
      <c r="AR1979" s="1761" t="s">
        <v>5381</v>
      </c>
      <c r="AS1979" s="1761" t="s">
        <v>347</v>
      </c>
      <c r="AT1979" s="1761" t="s">
        <v>328</v>
      </c>
      <c r="AU1979" s="1763"/>
      <c r="AV1979" s="1763"/>
    </row>
    <row r="1980" spans="1:48" ht="25">
      <c r="A1980" s="1785" t="str">
        <f t="shared" si="330"/>
        <v>פנסיה</v>
      </c>
      <c r="B1980" s="1786">
        <f t="shared" si="331"/>
        <v>8317</v>
      </c>
      <c r="C1980" s="1787">
        <v>28946</v>
      </c>
      <c r="D1980" s="1786" t="str">
        <f t="shared" si="332"/>
        <v>מסלול כללי ב'</v>
      </c>
      <c r="E1980" s="1786" t="s">
        <v>3929</v>
      </c>
      <c r="F1980" s="1786" t="s">
        <v>2958</v>
      </c>
      <c r="G1980" s="1786" t="s">
        <v>2959</v>
      </c>
      <c r="H1980" s="1786" t="str">
        <f t="shared" si="333"/>
        <v>לא פעיל</v>
      </c>
      <c r="I1980" s="1788">
        <f t="shared" si="334"/>
        <v>34700</v>
      </c>
      <c r="J1980" s="1788">
        <f t="shared" si="335"/>
        <v>42022.388460648202</v>
      </c>
      <c r="K1980" s="1786">
        <v>0</v>
      </c>
      <c r="L1980" s="1786" t="s">
        <v>1594</v>
      </c>
      <c r="M1980" s="1786" t="s">
        <v>1653</v>
      </c>
      <c r="N1980" s="1786" t="s">
        <v>1653</v>
      </c>
      <c r="O1980" s="1786">
        <v>0</v>
      </c>
      <c r="P1980" s="1786"/>
      <c r="Q1980" s="1786">
        <v>0</v>
      </c>
      <c r="R1980" s="1788"/>
      <c r="S1980" s="1786">
        <f t="shared" si="336"/>
        <v>209</v>
      </c>
      <c r="T1980" s="1786">
        <f t="shared" si="337"/>
        <v>0</v>
      </c>
      <c r="U1980" s="1786" t="str">
        <f t="shared" si="338"/>
        <v>הפניקס פנסיה מקיפה</v>
      </c>
      <c r="V1980" s="1786" t="str">
        <f t="shared" si="339"/>
        <v>520017450</v>
      </c>
      <c r="W1980" s="1789" t="str">
        <f t="shared" si="340"/>
        <v xml:space="preserve">הפניקס אקסלנס פנסיה וגמל בע"מ </v>
      </c>
      <c r="AC1980" s="1759" t="s">
        <v>1586</v>
      </c>
      <c r="AD1980" s="1760">
        <v>42022.388460648202</v>
      </c>
      <c r="AE1980" s="1760">
        <v>34700</v>
      </c>
      <c r="AF1980" s="1759" t="s">
        <v>1583</v>
      </c>
      <c r="AG1980" s="1759" t="s">
        <v>1583</v>
      </c>
      <c r="AH1980" s="1759" t="s">
        <v>1583</v>
      </c>
      <c r="AI1980" s="1759" t="s">
        <v>2809</v>
      </c>
      <c r="AJ1980" s="1759" t="s">
        <v>2809</v>
      </c>
      <c r="AK1980" s="1759">
        <v>8317</v>
      </c>
      <c r="AL1980" s="1759" t="s">
        <v>403</v>
      </c>
      <c r="AM1980" s="1759">
        <v>209</v>
      </c>
      <c r="AN1980" s="1759"/>
      <c r="AO1980" s="1764"/>
      <c r="AP1980" s="1759" t="s">
        <v>5379</v>
      </c>
      <c r="AQ1980" s="1759" t="s">
        <v>5380</v>
      </c>
      <c r="AR1980" s="1759" t="s">
        <v>5381</v>
      </c>
      <c r="AS1980" s="1759" t="s">
        <v>347</v>
      </c>
      <c r="AT1980" s="1759" t="s">
        <v>328</v>
      </c>
      <c r="AU1980" s="1763"/>
      <c r="AV1980" s="1763"/>
    </row>
    <row r="1981" spans="1:48" ht="25">
      <c r="A1981" s="1785" t="str">
        <f t="shared" si="330"/>
        <v>פנסיה</v>
      </c>
      <c r="B1981" s="1786">
        <f t="shared" si="331"/>
        <v>8576</v>
      </c>
      <c r="C1981" s="1787">
        <v>28946</v>
      </c>
      <c r="D1981" s="1786" t="str">
        <f t="shared" si="332"/>
        <v>הפניקס פנסיה מקיפה כללי כללי</v>
      </c>
      <c r="E1981" s="1786" t="s">
        <v>3929</v>
      </c>
      <c r="F1981" s="1786" t="s">
        <v>2958</v>
      </c>
      <c r="G1981" s="1786" t="s">
        <v>2959</v>
      </c>
      <c r="H1981" s="1786" t="str">
        <f t="shared" si="333"/>
        <v>לא פעיל</v>
      </c>
      <c r="I1981" s="1788">
        <f t="shared" si="334"/>
        <v>34700</v>
      </c>
      <c r="J1981" s="1788">
        <f t="shared" si="335"/>
        <v>42676.607337963003</v>
      </c>
      <c r="K1981" s="1786">
        <v>0</v>
      </c>
      <c r="L1981" s="1786" t="s">
        <v>1594</v>
      </c>
      <c r="M1981" s="1786" t="s">
        <v>1653</v>
      </c>
      <c r="N1981" s="1786" t="s">
        <v>1653</v>
      </c>
      <c r="O1981" s="1786">
        <v>0</v>
      </c>
      <c r="P1981" s="1786"/>
      <c r="Q1981" s="1786">
        <v>0</v>
      </c>
      <c r="R1981" s="1788"/>
      <c r="S1981" s="1786">
        <f t="shared" si="336"/>
        <v>209</v>
      </c>
      <c r="T1981" s="1786">
        <f t="shared" si="337"/>
        <v>0</v>
      </c>
      <c r="U1981" s="1786" t="str">
        <f t="shared" si="338"/>
        <v>הפניקס פנסיה מקיפה</v>
      </c>
      <c r="V1981" s="1786" t="str">
        <f t="shared" si="339"/>
        <v>520017450</v>
      </c>
      <c r="W1981" s="1789" t="str">
        <f t="shared" si="340"/>
        <v xml:space="preserve">הפניקס אקסלנס פנסיה וגמל בע"מ </v>
      </c>
      <c r="AC1981" s="1761" t="s">
        <v>1586</v>
      </c>
      <c r="AD1981" s="1762">
        <v>42676.607337963003</v>
      </c>
      <c r="AE1981" s="1762">
        <v>34700</v>
      </c>
      <c r="AF1981" s="1761" t="s">
        <v>1583</v>
      </c>
      <c r="AG1981" s="1761" t="s">
        <v>1583</v>
      </c>
      <c r="AH1981" s="1761" t="s">
        <v>1583</v>
      </c>
      <c r="AI1981" s="1761" t="s">
        <v>3735</v>
      </c>
      <c r="AJ1981" s="1761" t="s">
        <v>3735</v>
      </c>
      <c r="AK1981" s="1761">
        <v>8576</v>
      </c>
      <c r="AL1981" s="1761" t="s">
        <v>403</v>
      </c>
      <c r="AM1981" s="1761">
        <v>209</v>
      </c>
      <c r="AN1981" s="1761"/>
      <c r="AO1981" s="1764"/>
      <c r="AP1981" s="1761" t="s">
        <v>5379</v>
      </c>
      <c r="AQ1981" s="1761" t="s">
        <v>5380</v>
      </c>
      <c r="AR1981" s="1761" t="s">
        <v>5381</v>
      </c>
      <c r="AS1981" s="1761" t="s">
        <v>347</v>
      </c>
      <c r="AT1981" s="1761" t="s">
        <v>328</v>
      </c>
      <c r="AU1981" s="1763"/>
      <c r="AV1981" s="1763"/>
    </row>
    <row r="1982" spans="1:48" ht="25">
      <c r="A1982" s="1785" t="str">
        <f t="shared" si="330"/>
        <v>פנסיה</v>
      </c>
      <c r="B1982" s="1786">
        <f t="shared" si="331"/>
        <v>9426</v>
      </c>
      <c r="C1982" s="1787">
        <v>28946</v>
      </c>
      <c r="D1982" s="1786" t="str">
        <f t="shared" si="332"/>
        <v>הפניקס פנסיה מקיפה - עוקב מדד  IBOXX HY TR</v>
      </c>
      <c r="E1982" s="1786" t="s">
        <v>3929</v>
      </c>
      <c r="F1982" s="1786" t="s">
        <v>2958</v>
      </c>
      <c r="G1982" s="1786" t="s">
        <v>2959</v>
      </c>
      <c r="H1982" s="1786" t="str">
        <f t="shared" si="333"/>
        <v>לא פעיל</v>
      </c>
      <c r="I1982" s="1788">
        <f t="shared" si="334"/>
        <v>34700</v>
      </c>
      <c r="J1982" s="1788">
        <f t="shared" si="335"/>
        <v>42564.481006944399</v>
      </c>
      <c r="K1982" s="1786">
        <v>0</v>
      </c>
      <c r="L1982" s="1786" t="s">
        <v>1594</v>
      </c>
      <c r="M1982" s="1786" t="s">
        <v>1653</v>
      </c>
      <c r="N1982" s="1786" t="s">
        <v>1653</v>
      </c>
      <c r="O1982" s="1786">
        <v>0</v>
      </c>
      <c r="P1982" s="1786"/>
      <c r="Q1982" s="1786">
        <v>0</v>
      </c>
      <c r="R1982" s="1788"/>
      <c r="S1982" s="1786">
        <f t="shared" si="336"/>
        <v>209</v>
      </c>
      <c r="T1982" s="1786">
        <f t="shared" si="337"/>
        <v>0</v>
      </c>
      <c r="U1982" s="1786" t="str">
        <f t="shared" si="338"/>
        <v>הפניקס פנסיה מקיפה</v>
      </c>
      <c r="V1982" s="1786" t="str">
        <f t="shared" si="339"/>
        <v>520017450</v>
      </c>
      <c r="W1982" s="1789" t="str">
        <f t="shared" si="340"/>
        <v xml:space="preserve">הפניקס אקסלנס פנסיה וגמל בע"מ </v>
      </c>
      <c r="AC1982" s="1759" t="s">
        <v>1586</v>
      </c>
      <c r="AD1982" s="1760">
        <v>42564.481006944399</v>
      </c>
      <c r="AE1982" s="1760">
        <v>34700</v>
      </c>
      <c r="AF1982" s="1759" t="s">
        <v>1094</v>
      </c>
      <c r="AG1982" s="1759" t="s">
        <v>1094</v>
      </c>
      <c r="AH1982" s="1759" t="s">
        <v>1594</v>
      </c>
      <c r="AI1982" s="1759" t="s">
        <v>4262</v>
      </c>
      <c r="AJ1982" s="1759" t="s">
        <v>4262</v>
      </c>
      <c r="AK1982" s="1759">
        <v>9426</v>
      </c>
      <c r="AL1982" s="1759" t="s">
        <v>403</v>
      </c>
      <c r="AM1982" s="1759">
        <v>209</v>
      </c>
      <c r="AN1982" s="1759"/>
      <c r="AO1982" s="1764"/>
      <c r="AP1982" s="1759" t="s">
        <v>5379</v>
      </c>
      <c r="AQ1982" s="1759" t="s">
        <v>5380</v>
      </c>
      <c r="AR1982" s="1759" t="s">
        <v>5381</v>
      </c>
      <c r="AS1982" s="1759" t="s">
        <v>347</v>
      </c>
      <c r="AT1982" s="1759" t="s">
        <v>328</v>
      </c>
      <c r="AU1982" s="1763"/>
      <c r="AV1982" s="1763"/>
    </row>
    <row r="1983" spans="1:48" ht="25">
      <c r="A1983" s="1785" t="str">
        <f t="shared" si="330"/>
        <v>פנסיה</v>
      </c>
      <c r="B1983" s="1786">
        <f t="shared" si="331"/>
        <v>9427</v>
      </c>
      <c r="C1983" s="1787">
        <v>28946</v>
      </c>
      <c r="D1983" s="1786" t="str">
        <f t="shared" si="332"/>
        <v xml:space="preserve">הפניקס פנסיה מקיפה - מדד תל בונד תשואות </v>
      </c>
      <c r="E1983" s="1786" t="s">
        <v>3929</v>
      </c>
      <c r="F1983" s="1786" t="s">
        <v>2958</v>
      </c>
      <c r="G1983" s="1786" t="s">
        <v>2959</v>
      </c>
      <c r="H1983" s="1786" t="str">
        <f t="shared" si="333"/>
        <v>לא פעיל</v>
      </c>
      <c r="I1983" s="1788">
        <f t="shared" si="334"/>
        <v>34700</v>
      </c>
      <c r="J1983" s="1788">
        <f t="shared" si="335"/>
        <v>42564.466030092597</v>
      </c>
      <c r="K1983" s="1786">
        <v>0</v>
      </c>
      <c r="L1983" s="1786" t="s">
        <v>1594</v>
      </c>
      <c r="M1983" s="1786" t="s">
        <v>1653</v>
      </c>
      <c r="N1983" s="1786" t="s">
        <v>1653</v>
      </c>
      <c r="O1983" s="1786">
        <v>0</v>
      </c>
      <c r="P1983" s="1786"/>
      <c r="Q1983" s="1786">
        <v>0</v>
      </c>
      <c r="R1983" s="1788"/>
      <c r="S1983" s="1786">
        <f t="shared" si="336"/>
        <v>209</v>
      </c>
      <c r="T1983" s="1786">
        <f t="shared" si="337"/>
        <v>0</v>
      </c>
      <c r="U1983" s="1786" t="str">
        <f t="shared" si="338"/>
        <v>הפניקס פנסיה מקיפה</v>
      </c>
      <c r="V1983" s="1786" t="str">
        <f t="shared" si="339"/>
        <v>520017450</v>
      </c>
      <c r="W1983" s="1789" t="str">
        <f t="shared" si="340"/>
        <v xml:space="preserve">הפניקס אקסלנס פנסיה וגמל בע"מ </v>
      </c>
      <c r="AC1983" s="1761" t="s">
        <v>1586</v>
      </c>
      <c r="AD1983" s="1762">
        <v>42564.466030092597</v>
      </c>
      <c r="AE1983" s="1762">
        <v>34700</v>
      </c>
      <c r="AF1983" s="1761" t="s">
        <v>1094</v>
      </c>
      <c r="AG1983" s="1761" t="s">
        <v>1094</v>
      </c>
      <c r="AH1983" s="1761" t="s">
        <v>1594</v>
      </c>
      <c r="AI1983" s="1761" t="s">
        <v>4263</v>
      </c>
      <c r="AJ1983" s="1761" t="s">
        <v>4263</v>
      </c>
      <c r="AK1983" s="1761">
        <v>9427</v>
      </c>
      <c r="AL1983" s="1761" t="s">
        <v>403</v>
      </c>
      <c r="AM1983" s="1761">
        <v>209</v>
      </c>
      <c r="AN1983" s="1761"/>
      <c r="AO1983" s="1764"/>
      <c r="AP1983" s="1761" t="s">
        <v>5379</v>
      </c>
      <c r="AQ1983" s="1761" t="s">
        <v>5380</v>
      </c>
      <c r="AR1983" s="1761" t="s">
        <v>5381</v>
      </c>
      <c r="AS1983" s="1761" t="s">
        <v>347</v>
      </c>
      <c r="AT1983" s="1761" t="s">
        <v>328</v>
      </c>
      <c r="AU1983" s="1763"/>
      <c r="AV1983" s="1763"/>
    </row>
    <row r="1984" spans="1:48" ht="25">
      <c r="A1984" s="1785" t="str">
        <f t="shared" si="330"/>
        <v>פנסיה</v>
      </c>
      <c r="B1984" s="1786">
        <f t="shared" si="331"/>
        <v>9428</v>
      </c>
      <c r="C1984" s="1787">
        <v>28946</v>
      </c>
      <c r="D1984" s="1786" t="str">
        <f t="shared" si="332"/>
        <v xml:space="preserve">הפניקס פנסיה מקיפה מדד תל בונד 40 </v>
      </c>
      <c r="E1984" s="1786" t="s">
        <v>3929</v>
      </c>
      <c r="F1984" s="1786" t="s">
        <v>2958</v>
      </c>
      <c r="G1984" s="1786" t="s">
        <v>2959</v>
      </c>
      <c r="H1984" s="1786" t="str">
        <f t="shared" si="333"/>
        <v>לא פעיל</v>
      </c>
      <c r="I1984" s="1788">
        <f t="shared" si="334"/>
        <v>34700</v>
      </c>
      <c r="J1984" s="1788">
        <f t="shared" si="335"/>
        <v>42564.462372685201</v>
      </c>
      <c r="K1984" s="1786">
        <v>0</v>
      </c>
      <c r="L1984" s="1786" t="s">
        <v>1594</v>
      </c>
      <c r="M1984" s="1786" t="s">
        <v>1653</v>
      </c>
      <c r="N1984" s="1786" t="s">
        <v>1653</v>
      </c>
      <c r="O1984" s="1786">
        <v>0</v>
      </c>
      <c r="P1984" s="1786"/>
      <c r="Q1984" s="1786">
        <v>0</v>
      </c>
      <c r="R1984" s="1788"/>
      <c r="S1984" s="1786">
        <f t="shared" si="336"/>
        <v>209</v>
      </c>
      <c r="T1984" s="1786">
        <f t="shared" si="337"/>
        <v>0</v>
      </c>
      <c r="U1984" s="1786" t="str">
        <f t="shared" si="338"/>
        <v>הפניקס פנסיה מקיפה</v>
      </c>
      <c r="V1984" s="1786" t="str">
        <f t="shared" si="339"/>
        <v>520017450</v>
      </c>
      <c r="W1984" s="1789" t="str">
        <f t="shared" si="340"/>
        <v xml:space="preserve">הפניקס אקסלנס פנסיה וגמל בע"מ </v>
      </c>
      <c r="AC1984" s="1759" t="s">
        <v>1586</v>
      </c>
      <c r="AD1984" s="1760">
        <v>42564.462372685201</v>
      </c>
      <c r="AE1984" s="1760">
        <v>34700</v>
      </c>
      <c r="AF1984" s="1759" t="s">
        <v>1094</v>
      </c>
      <c r="AG1984" s="1759" t="s">
        <v>1094</v>
      </c>
      <c r="AH1984" s="1759" t="s">
        <v>1594</v>
      </c>
      <c r="AI1984" s="1759" t="s">
        <v>4264</v>
      </c>
      <c r="AJ1984" s="1759" t="s">
        <v>4264</v>
      </c>
      <c r="AK1984" s="1759">
        <v>9428</v>
      </c>
      <c r="AL1984" s="1759" t="s">
        <v>403</v>
      </c>
      <c r="AM1984" s="1759">
        <v>209</v>
      </c>
      <c r="AN1984" s="1759"/>
      <c r="AO1984" s="1764"/>
      <c r="AP1984" s="1759" t="s">
        <v>5379</v>
      </c>
      <c r="AQ1984" s="1759" t="s">
        <v>5380</v>
      </c>
      <c r="AR1984" s="1759" t="s">
        <v>5381</v>
      </c>
      <c r="AS1984" s="1759" t="s">
        <v>347</v>
      </c>
      <c r="AT1984" s="1759" t="s">
        <v>328</v>
      </c>
      <c r="AU1984" s="1763"/>
      <c r="AV1984" s="1763"/>
    </row>
    <row r="1985" spans="1:48" ht="25">
      <c r="A1985" s="1785" t="str">
        <f t="shared" si="330"/>
        <v>פנסיה</v>
      </c>
      <c r="B1985" s="1786">
        <f t="shared" si="331"/>
        <v>9429</v>
      </c>
      <c r="C1985" s="1787">
        <v>28946</v>
      </c>
      <c r="D1985" s="1786" t="str">
        <f t="shared" si="332"/>
        <v>הפניקס פנסיה מקיפה עוקב מדד  Nikkei 225 TR</v>
      </c>
      <c r="E1985" s="1786" t="s">
        <v>3929</v>
      </c>
      <c r="F1985" s="1786" t="s">
        <v>2958</v>
      </c>
      <c r="G1985" s="1786" t="s">
        <v>2959</v>
      </c>
      <c r="H1985" s="1786" t="str">
        <f t="shared" si="333"/>
        <v>לא פעיל</v>
      </c>
      <c r="I1985" s="1788">
        <f t="shared" si="334"/>
        <v>34700</v>
      </c>
      <c r="J1985" s="1788">
        <f t="shared" si="335"/>
        <v>42564.4769212963</v>
      </c>
      <c r="K1985" s="1786">
        <v>0</v>
      </c>
      <c r="L1985" s="1786" t="s">
        <v>1594</v>
      </c>
      <c r="M1985" s="1786" t="s">
        <v>1653</v>
      </c>
      <c r="N1985" s="1786" t="s">
        <v>1653</v>
      </c>
      <c r="O1985" s="1786">
        <v>0</v>
      </c>
      <c r="P1985" s="1786"/>
      <c r="Q1985" s="1786">
        <v>0</v>
      </c>
      <c r="R1985" s="1788"/>
      <c r="S1985" s="1786">
        <f t="shared" si="336"/>
        <v>209</v>
      </c>
      <c r="T1985" s="1786">
        <f t="shared" si="337"/>
        <v>0</v>
      </c>
      <c r="U1985" s="1786" t="str">
        <f t="shared" si="338"/>
        <v>הפניקס פנסיה מקיפה</v>
      </c>
      <c r="V1985" s="1786" t="str">
        <f t="shared" si="339"/>
        <v>520017450</v>
      </c>
      <c r="W1985" s="1789" t="str">
        <f t="shared" si="340"/>
        <v xml:space="preserve">הפניקס אקסלנס פנסיה וגמל בע"מ </v>
      </c>
      <c r="AC1985" s="1761" t="s">
        <v>1586</v>
      </c>
      <c r="AD1985" s="1762">
        <v>42564.4769212963</v>
      </c>
      <c r="AE1985" s="1762">
        <v>34700</v>
      </c>
      <c r="AF1985" s="1761" t="s">
        <v>1094</v>
      </c>
      <c r="AG1985" s="1761" t="s">
        <v>1094</v>
      </c>
      <c r="AH1985" s="1761" t="s">
        <v>1594</v>
      </c>
      <c r="AI1985" s="1761" t="s">
        <v>4265</v>
      </c>
      <c r="AJ1985" s="1761" t="s">
        <v>4265</v>
      </c>
      <c r="AK1985" s="1761">
        <v>9429</v>
      </c>
      <c r="AL1985" s="1761" t="s">
        <v>403</v>
      </c>
      <c r="AM1985" s="1761">
        <v>209</v>
      </c>
      <c r="AN1985" s="1761"/>
      <c r="AO1985" s="1764"/>
      <c r="AP1985" s="1761" t="s">
        <v>5379</v>
      </c>
      <c r="AQ1985" s="1761" t="s">
        <v>5380</v>
      </c>
      <c r="AR1985" s="1761" t="s">
        <v>5381</v>
      </c>
      <c r="AS1985" s="1761" t="s">
        <v>347</v>
      </c>
      <c r="AT1985" s="1761" t="s">
        <v>328</v>
      </c>
      <c r="AU1985" s="1763"/>
      <c r="AV1985" s="1763"/>
    </row>
    <row r="1986" spans="1:48" ht="25">
      <c r="A1986" s="1785" t="str">
        <f t="shared" si="330"/>
        <v>פנסיה</v>
      </c>
      <c r="B1986" s="1786">
        <f t="shared" si="331"/>
        <v>2045</v>
      </c>
      <c r="C1986" s="1787">
        <v>28946</v>
      </c>
      <c r="D1986" s="1786" t="str">
        <f t="shared" si="332"/>
        <v>סל עוקב מדד תל בונד שקלי</v>
      </c>
      <c r="E1986" s="1786" t="s">
        <v>3929</v>
      </c>
      <c r="F1986" s="1786" t="s">
        <v>2958</v>
      </c>
      <c r="G1986" s="1786" t="s">
        <v>2959</v>
      </c>
      <c r="H1986" s="1786" t="str">
        <f t="shared" si="333"/>
        <v>לא פעיל</v>
      </c>
      <c r="I1986" s="1788">
        <f t="shared" si="334"/>
        <v>34700</v>
      </c>
      <c r="J1986" s="1788">
        <f t="shared" si="335"/>
        <v>42564.497314814798</v>
      </c>
      <c r="K1986" s="1786">
        <v>0</v>
      </c>
      <c r="L1986" s="1786" t="s">
        <v>1594</v>
      </c>
      <c r="M1986" s="1786" t="s">
        <v>1653</v>
      </c>
      <c r="N1986" s="1786" t="s">
        <v>1653</v>
      </c>
      <c r="O1986" s="1786">
        <v>0</v>
      </c>
      <c r="P1986" s="1786"/>
      <c r="Q1986" s="1786">
        <v>0</v>
      </c>
      <c r="R1986" s="1788"/>
      <c r="S1986" s="1786">
        <f t="shared" si="336"/>
        <v>209</v>
      </c>
      <c r="T1986" s="1786">
        <f t="shared" si="337"/>
        <v>0</v>
      </c>
      <c r="U1986" s="1786" t="str">
        <f t="shared" si="338"/>
        <v>הפניקס פנסיה מקיפה</v>
      </c>
      <c r="V1986" s="1786" t="str">
        <f t="shared" si="339"/>
        <v>520017450</v>
      </c>
      <c r="W1986" s="1789" t="str">
        <f t="shared" si="340"/>
        <v xml:space="preserve">הפניקס אקסלנס פנסיה וגמל בע"מ </v>
      </c>
      <c r="AC1986" s="1759" t="s">
        <v>1586</v>
      </c>
      <c r="AD1986" s="1760">
        <v>42564.497314814798</v>
      </c>
      <c r="AE1986" s="1760">
        <v>34700</v>
      </c>
      <c r="AF1986" s="1759" t="s">
        <v>3010</v>
      </c>
      <c r="AG1986" s="1759" t="s">
        <v>1653</v>
      </c>
      <c r="AH1986" s="1759" t="s">
        <v>1594</v>
      </c>
      <c r="AI1986" s="1759" t="s">
        <v>2528</v>
      </c>
      <c r="AJ1986" s="1759" t="s">
        <v>2528</v>
      </c>
      <c r="AK1986" s="1759">
        <v>2045</v>
      </c>
      <c r="AL1986" s="1759" t="s">
        <v>403</v>
      </c>
      <c r="AM1986" s="1759">
        <v>209</v>
      </c>
      <c r="AN1986" s="1759"/>
      <c r="AO1986" s="1764"/>
      <c r="AP1986" s="1759" t="s">
        <v>5379</v>
      </c>
      <c r="AQ1986" s="1759" t="s">
        <v>5380</v>
      </c>
      <c r="AR1986" s="1759" t="s">
        <v>5381</v>
      </c>
      <c r="AS1986" s="1759" t="s">
        <v>347</v>
      </c>
      <c r="AT1986" s="1759" t="s">
        <v>328</v>
      </c>
      <c r="AU1986" s="1763"/>
      <c r="AV1986" s="1763"/>
    </row>
    <row r="1987" spans="1:48" ht="25">
      <c r="A1987" s="1785" t="str">
        <f t="shared" si="330"/>
        <v>פנסיה</v>
      </c>
      <c r="B1987" s="1786">
        <f t="shared" si="331"/>
        <v>2046</v>
      </c>
      <c r="C1987" s="1787">
        <v>28946</v>
      </c>
      <c r="D1987" s="1786" t="str">
        <f t="shared" si="332"/>
        <v>סל עוקב מדד Barclays Capital U.S. 3-7 Year Treasur</v>
      </c>
      <c r="E1987" s="1786" t="s">
        <v>3929</v>
      </c>
      <c r="F1987" s="1786" t="s">
        <v>2958</v>
      </c>
      <c r="G1987" s="1786" t="s">
        <v>2959</v>
      </c>
      <c r="H1987" s="1786" t="str">
        <f t="shared" si="333"/>
        <v>לא פעיל</v>
      </c>
      <c r="I1987" s="1788">
        <f t="shared" si="334"/>
        <v>34700</v>
      </c>
      <c r="J1987" s="1788">
        <f t="shared" si="335"/>
        <v>42564.447870370401</v>
      </c>
      <c r="K1987" s="1786">
        <v>0</v>
      </c>
      <c r="L1987" s="1786" t="s">
        <v>1594</v>
      </c>
      <c r="M1987" s="1786" t="s">
        <v>1653</v>
      </c>
      <c r="N1987" s="1786" t="s">
        <v>1653</v>
      </c>
      <c r="O1987" s="1786">
        <v>0</v>
      </c>
      <c r="P1987" s="1786"/>
      <c r="Q1987" s="1786">
        <v>0</v>
      </c>
      <c r="R1987" s="1788"/>
      <c r="S1987" s="1786">
        <f t="shared" si="336"/>
        <v>209</v>
      </c>
      <c r="T1987" s="1786">
        <f t="shared" si="337"/>
        <v>0</v>
      </c>
      <c r="U1987" s="1786" t="str">
        <f t="shared" si="338"/>
        <v>הפניקס פנסיה מקיפה</v>
      </c>
      <c r="V1987" s="1786" t="str">
        <f t="shared" si="339"/>
        <v>520017450</v>
      </c>
      <c r="W1987" s="1789" t="str">
        <f t="shared" si="340"/>
        <v xml:space="preserve">הפניקס אקסלנס פנסיה וגמל בע"מ </v>
      </c>
      <c r="AC1987" s="1761" t="s">
        <v>1586</v>
      </c>
      <c r="AD1987" s="1762">
        <v>42564.447870370401</v>
      </c>
      <c r="AE1987" s="1762">
        <v>34700</v>
      </c>
      <c r="AF1987" s="1761" t="s">
        <v>2009</v>
      </c>
      <c r="AG1987" s="1761" t="s">
        <v>1653</v>
      </c>
      <c r="AH1987" s="1761" t="s">
        <v>1594</v>
      </c>
      <c r="AI1987" s="1761" t="s">
        <v>2529</v>
      </c>
      <c r="AJ1987" s="1761" t="s">
        <v>2529</v>
      </c>
      <c r="AK1987" s="1761">
        <v>2046</v>
      </c>
      <c r="AL1987" s="1761" t="s">
        <v>403</v>
      </c>
      <c r="AM1987" s="1761">
        <v>209</v>
      </c>
      <c r="AN1987" s="1761"/>
      <c r="AO1987" s="1764"/>
      <c r="AP1987" s="1761" t="s">
        <v>5379</v>
      </c>
      <c r="AQ1987" s="1761" t="s">
        <v>5380</v>
      </c>
      <c r="AR1987" s="1761" t="s">
        <v>5381</v>
      </c>
      <c r="AS1987" s="1761" t="s">
        <v>347</v>
      </c>
      <c r="AT1987" s="1761" t="s">
        <v>328</v>
      </c>
      <c r="AU1987" s="1763"/>
      <c r="AV1987" s="1763"/>
    </row>
    <row r="1988" spans="1:48" ht="37.5">
      <c r="A1988" s="1785" t="str">
        <f t="shared" si="330"/>
        <v>פנסיה</v>
      </c>
      <c r="B1988" s="1786">
        <f t="shared" si="331"/>
        <v>2047</v>
      </c>
      <c r="C1988" s="1787">
        <v>28946</v>
      </c>
      <c r="D1988" s="1786" t="str">
        <f t="shared" si="332"/>
        <v xml:space="preserve">סל עוקב מדד iBoxx $ Liquid Investment Grade Index
</v>
      </c>
      <c r="E1988" s="1786" t="s">
        <v>3929</v>
      </c>
      <c r="F1988" s="1786" t="s">
        <v>2958</v>
      </c>
      <c r="G1988" s="1786" t="s">
        <v>2959</v>
      </c>
      <c r="H1988" s="1786" t="str">
        <f t="shared" si="333"/>
        <v>לא פעיל</v>
      </c>
      <c r="I1988" s="1788">
        <f t="shared" si="334"/>
        <v>34700</v>
      </c>
      <c r="J1988" s="1788">
        <f t="shared" si="335"/>
        <v>42564.452083333301</v>
      </c>
      <c r="K1988" s="1786">
        <v>0</v>
      </c>
      <c r="L1988" s="1786" t="s">
        <v>1594</v>
      </c>
      <c r="M1988" s="1786" t="s">
        <v>1653</v>
      </c>
      <c r="N1988" s="1786" t="s">
        <v>1653</v>
      </c>
      <c r="O1988" s="1786">
        <v>0</v>
      </c>
      <c r="P1988" s="1786"/>
      <c r="Q1988" s="1786">
        <v>0</v>
      </c>
      <c r="R1988" s="1788"/>
      <c r="S1988" s="1786">
        <f t="shared" si="336"/>
        <v>209</v>
      </c>
      <c r="T1988" s="1786">
        <f t="shared" si="337"/>
        <v>0</v>
      </c>
      <c r="U1988" s="1786" t="str">
        <f t="shared" si="338"/>
        <v>הפניקס פנסיה מקיפה</v>
      </c>
      <c r="V1988" s="1786" t="str">
        <f t="shared" si="339"/>
        <v>520017450</v>
      </c>
      <c r="W1988" s="1789" t="str">
        <f t="shared" si="340"/>
        <v xml:space="preserve">הפניקס אקסלנס פנסיה וגמל בע"מ </v>
      </c>
      <c r="AC1988" s="1759" t="s">
        <v>1586</v>
      </c>
      <c r="AD1988" s="1760">
        <v>42564.452083333301</v>
      </c>
      <c r="AE1988" s="1760">
        <v>34700</v>
      </c>
      <c r="AF1988" s="1759" t="s">
        <v>3010</v>
      </c>
      <c r="AG1988" s="1759" t="s">
        <v>1653</v>
      </c>
      <c r="AH1988" s="1759" t="s">
        <v>1594</v>
      </c>
      <c r="AI1988" s="1759" t="s">
        <v>2530</v>
      </c>
      <c r="AJ1988" s="1759" t="s">
        <v>2530</v>
      </c>
      <c r="AK1988" s="1759">
        <v>2047</v>
      </c>
      <c r="AL1988" s="1759" t="s">
        <v>403</v>
      </c>
      <c r="AM1988" s="1759">
        <v>209</v>
      </c>
      <c r="AN1988" s="1759"/>
      <c r="AO1988" s="1764"/>
      <c r="AP1988" s="1759" t="s">
        <v>5379</v>
      </c>
      <c r="AQ1988" s="1759" t="s">
        <v>5380</v>
      </c>
      <c r="AR1988" s="1759" t="s">
        <v>5381</v>
      </c>
      <c r="AS1988" s="1759" t="s">
        <v>347</v>
      </c>
      <c r="AT1988" s="1759" t="s">
        <v>328</v>
      </c>
      <c r="AU1988" s="1763"/>
      <c r="AV1988" s="1763"/>
    </row>
    <row r="1989" spans="1:48" ht="25">
      <c r="A1989" s="1785" t="str">
        <f t="shared" si="330"/>
        <v>פנסיה</v>
      </c>
      <c r="B1989" s="1786">
        <f t="shared" si="331"/>
        <v>2186</v>
      </c>
      <c r="C1989" s="1787">
        <v>28946</v>
      </c>
      <c r="D1989" s="1786" t="str">
        <f t="shared" si="332"/>
        <v>הפניקס פנסיה מקיפה - כללי</v>
      </c>
      <c r="E1989" s="1786" t="s">
        <v>3929</v>
      </c>
      <c r="F1989" s="1786" t="s">
        <v>2958</v>
      </c>
      <c r="G1989" s="1786" t="s">
        <v>2959</v>
      </c>
      <c r="H1989" s="1786" t="str">
        <f t="shared" si="333"/>
        <v>לא פעיל</v>
      </c>
      <c r="I1989" s="1788">
        <f t="shared" si="334"/>
        <v>34700</v>
      </c>
      <c r="J1989" s="1788">
        <f t="shared" si="335"/>
        <v>42493.573784722197</v>
      </c>
      <c r="K1989" s="1786">
        <v>0</v>
      </c>
      <c r="L1989" s="1786" t="s">
        <v>1594</v>
      </c>
      <c r="M1989" s="1786" t="s">
        <v>1653</v>
      </c>
      <c r="N1989" s="1786" t="s">
        <v>1653</v>
      </c>
      <c r="O1989" s="1786">
        <v>0</v>
      </c>
      <c r="P1989" s="1786"/>
      <c r="Q1989" s="1786">
        <v>0</v>
      </c>
      <c r="R1989" s="1788"/>
      <c r="S1989" s="1786">
        <f t="shared" si="336"/>
        <v>209</v>
      </c>
      <c r="T1989" s="1786">
        <f t="shared" si="337"/>
        <v>0</v>
      </c>
      <c r="U1989" s="1786" t="str">
        <f t="shared" si="338"/>
        <v>הפניקס פנסיה מקיפה</v>
      </c>
      <c r="V1989" s="1786" t="str">
        <f t="shared" si="339"/>
        <v>520017450</v>
      </c>
      <c r="W1989" s="1789" t="str">
        <f t="shared" si="340"/>
        <v xml:space="preserve">הפניקס אקסלנס פנסיה וגמל בע"מ </v>
      </c>
      <c r="AC1989" s="1761" t="s">
        <v>1586</v>
      </c>
      <c r="AD1989" s="1762">
        <v>42493.573784722197</v>
      </c>
      <c r="AE1989" s="1762">
        <v>34700</v>
      </c>
      <c r="AF1989" s="1761" t="s">
        <v>1583</v>
      </c>
      <c r="AG1989" s="1761" t="s">
        <v>1583</v>
      </c>
      <c r="AH1989" s="1761" t="s">
        <v>1583</v>
      </c>
      <c r="AI1989" s="1761" t="s">
        <v>2635</v>
      </c>
      <c r="AJ1989" s="1761" t="s">
        <v>2635</v>
      </c>
      <c r="AK1989" s="1761">
        <v>2186</v>
      </c>
      <c r="AL1989" s="1761" t="s">
        <v>403</v>
      </c>
      <c r="AM1989" s="1761">
        <v>209</v>
      </c>
      <c r="AN1989" s="1761"/>
      <c r="AO1989" s="1764"/>
      <c r="AP1989" s="1761" t="s">
        <v>5379</v>
      </c>
      <c r="AQ1989" s="1761" t="s">
        <v>5380</v>
      </c>
      <c r="AR1989" s="1761" t="s">
        <v>5381</v>
      </c>
      <c r="AS1989" s="1761" t="s">
        <v>347</v>
      </c>
      <c r="AT1989" s="1761" t="s">
        <v>328</v>
      </c>
      <c r="AU1989" s="1763"/>
      <c r="AV1989" s="1763"/>
    </row>
    <row r="1990" spans="1:48" ht="25">
      <c r="A1990" s="1785" t="str">
        <f t="shared" si="330"/>
        <v>פנסיה</v>
      </c>
      <c r="B1990" s="1786">
        <f t="shared" si="331"/>
        <v>2187</v>
      </c>
      <c r="C1990" s="1787">
        <v>28946</v>
      </c>
      <c r="D1990" s="1786" t="str">
        <f t="shared" si="332"/>
        <v>הפניקס פנסיה מקיפה - הפניקס מסלול מניות</v>
      </c>
      <c r="E1990" s="1786" t="s">
        <v>3929</v>
      </c>
      <c r="F1990" s="1786" t="s">
        <v>2958</v>
      </c>
      <c r="G1990" s="1786" t="s">
        <v>2959</v>
      </c>
      <c r="H1990" s="1786" t="str">
        <f t="shared" si="333"/>
        <v>פעיל</v>
      </c>
      <c r="I1990" s="1788">
        <f t="shared" si="334"/>
        <v>34700</v>
      </c>
      <c r="J1990" s="1788" t="str">
        <f t="shared" si="335"/>
        <v/>
      </c>
      <c r="K1990" s="1786">
        <v>0</v>
      </c>
      <c r="L1990" s="1786" t="s">
        <v>1594</v>
      </c>
      <c r="M1990" s="1786" t="s">
        <v>1653</v>
      </c>
      <c r="N1990" s="1786" t="s">
        <v>1653</v>
      </c>
      <c r="O1990" s="1786">
        <v>0</v>
      </c>
      <c r="P1990" s="1786"/>
      <c r="Q1990" s="1786">
        <v>0</v>
      </c>
      <c r="R1990" s="1788"/>
      <c r="S1990" s="1786">
        <f t="shared" si="336"/>
        <v>209</v>
      </c>
      <c r="T1990" s="1786">
        <f t="shared" si="337"/>
        <v>0</v>
      </c>
      <c r="U1990" s="1786" t="str">
        <f t="shared" si="338"/>
        <v>הפניקס פנסיה מקיפה</v>
      </c>
      <c r="V1990" s="1786" t="str">
        <f t="shared" si="339"/>
        <v>520017450</v>
      </c>
      <c r="W1990" s="1789" t="str">
        <f t="shared" si="340"/>
        <v xml:space="preserve">הפניקס אקסלנס פנסיה וגמל בע"מ </v>
      </c>
      <c r="AC1990" s="1759" t="s">
        <v>346</v>
      </c>
      <c r="AD1990" s="1759"/>
      <c r="AE1990" s="1760">
        <v>34700</v>
      </c>
      <c r="AF1990" s="1759" t="s">
        <v>1595</v>
      </c>
      <c r="AG1990" s="1759" t="s">
        <v>75</v>
      </c>
      <c r="AH1990" s="1759" t="s">
        <v>1594</v>
      </c>
      <c r="AI1990" s="1759" t="s">
        <v>4169</v>
      </c>
      <c r="AJ1990" s="1759" t="s">
        <v>4169</v>
      </c>
      <c r="AK1990" s="1759">
        <v>2187</v>
      </c>
      <c r="AL1990" s="1759" t="s">
        <v>403</v>
      </c>
      <c r="AM1990" s="1759">
        <v>209</v>
      </c>
      <c r="AN1990" s="1759"/>
      <c r="AO1990" s="1764"/>
      <c r="AP1990" s="1759" t="s">
        <v>5379</v>
      </c>
      <c r="AQ1990" s="1759" t="s">
        <v>5380</v>
      </c>
      <c r="AR1990" s="1759" t="s">
        <v>5381</v>
      </c>
      <c r="AS1990" s="1759" t="s">
        <v>347</v>
      </c>
      <c r="AT1990" s="1759" t="s">
        <v>328</v>
      </c>
      <c r="AU1990" s="1763"/>
      <c r="AV1990" s="1763"/>
    </row>
    <row r="1991" spans="1:48" ht="25">
      <c r="A1991" s="1785" t="str">
        <f t="shared" si="330"/>
        <v>פנסיה</v>
      </c>
      <c r="B1991" s="1786">
        <f t="shared" si="331"/>
        <v>2188</v>
      </c>
      <c r="C1991" s="1787">
        <v>28946</v>
      </c>
      <c r="D1991" s="1786" t="str">
        <f t="shared" si="332"/>
        <v xml:space="preserve">הפניקס פנסיה מקיפה - הפניקס מסלול אג"ח </v>
      </c>
      <c r="E1991" s="1786" t="s">
        <v>3929</v>
      </c>
      <c r="F1991" s="1786" t="s">
        <v>2958</v>
      </c>
      <c r="G1991" s="1786" t="s">
        <v>2959</v>
      </c>
      <c r="H1991" s="1786" t="str">
        <f t="shared" si="333"/>
        <v>פעיל</v>
      </c>
      <c r="I1991" s="1788">
        <f t="shared" si="334"/>
        <v>34700</v>
      </c>
      <c r="J1991" s="1788" t="str">
        <f t="shared" si="335"/>
        <v/>
      </c>
      <c r="K1991" s="1786">
        <v>0</v>
      </c>
      <c r="L1991" s="1786" t="s">
        <v>1594</v>
      </c>
      <c r="M1991" s="1786" t="s">
        <v>1653</v>
      </c>
      <c r="N1991" s="1786" t="s">
        <v>1653</v>
      </c>
      <c r="O1991" s="1786">
        <v>0</v>
      </c>
      <c r="P1991" s="1786"/>
      <c r="Q1991" s="1786">
        <v>0</v>
      </c>
      <c r="R1991" s="1788"/>
      <c r="S1991" s="1786">
        <f t="shared" si="336"/>
        <v>209</v>
      </c>
      <c r="T1991" s="1786">
        <f t="shared" si="337"/>
        <v>0</v>
      </c>
      <c r="U1991" s="1786" t="str">
        <f t="shared" si="338"/>
        <v>הפניקס פנסיה מקיפה</v>
      </c>
      <c r="V1991" s="1786" t="str">
        <f t="shared" si="339"/>
        <v>520017450</v>
      </c>
      <c r="W1991" s="1789" t="str">
        <f t="shared" si="340"/>
        <v xml:space="preserve">הפניקס אקסלנס פנסיה וגמל בע"מ </v>
      </c>
      <c r="AC1991" s="1761" t="s">
        <v>346</v>
      </c>
      <c r="AD1991" s="1759"/>
      <c r="AE1991" s="1762">
        <v>34700</v>
      </c>
      <c r="AF1991" s="1761" t="s">
        <v>1653</v>
      </c>
      <c r="AG1991" s="1761" t="s">
        <v>1653</v>
      </c>
      <c r="AH1991" s="1761" t="s">
        <v>1594</v>
      </c>
      <c r="AI1991" s="1761" t="s">
        <v>4170</v>
      </c>
      <c r="AJ1991" s="1761" t="s">
        <v>4170</v>
      </c>
      <c r="AK1991" s="1761">
        <v>2188</v>
      </c>
      <c r="AL1991" s="1761" t="s">
        <v>403</v>
      </c>
      <c r="AM1991" s="1761">
        <v>209</v>
      </c>
      <c r="AN1991" s="1761"/>
      <c r="AO1991" s="1764"/>
      <c r="AP1991" s="1761" t="s">
        <v>5379</v>
      </c>
      <c r="AQ1991" s="1761" t="s">
        <v>5380</v>
      </c>
      <c r="AR1991" s="1761" t="s">
        <v>5381</v>
      </c>
      <c r="AS1991" s="1761" t="s">
        <v>347</v>
      </c>
      <c r="AT1991" s="1761" t="s">
        <v>328</v>
      </c>
      <c r="AU1991" s="1763"/>
      <c r="AV1991" s="1763"/>
    </row>
    <row r="1992" spans="1:48" ht="25">
      <c r="A1992" s="1785" t="str">
        <f t="shared" si="330"/>
        <v>פנסיה</v>
      </c>
      <c r="B1992" s="1786">
        <f t="shared" si="331"/>
        <v>2189</v>
      </c>
      <c r="C1992" s="1787">
        <v>28946</v>
      </c>
      <c r="D1992" s="1786" t="str">
        <f t="shared" si="332"/>
        <v>הפניקס פנסיה מקיפה - הפניקס מסלול שקלי טווח קצר</v>
      </c>
      <c r="E1992" s="1786" t="s">
        <v>3929</v>
      </c>
      <c r="F1992" s="1786" t="s">
        <v>2958</v>
      </c>
      <c r="G1992" s="1786" t="s">
        <v>2959</v>
      </c>
      <c r="H1992" s="1786" t="str">
        <f t="shared" si="333"/>
        <v>פעיל</v>
      </c>
      <c r="I1992" s="1788">
        <f t="shared" si="334"/>
        <v>34700</v>
      </c>
      <c r="J1992" s="1788" t="str">
        <f t="shared" si="335"/>
        <v/>
      </c>
      <c r="K1992" s="1786">
        <v>0</v>
      </c>
      <c r="L1992" s="1786" t="s">
        <v>1594</v>
      </c>
      <c r="M1992" s="1786" t="s">
        <v>1653</v>
      </c>
      <c r="N1992" s="1786" t="s">
        <v>1653</v>
      </c>
      <c r="O1992" s="1786">
        <v>0</v>
      </c>
      <c r="P1992" s="1786"/>
      <c r="Q1992" s="1786">
        <v>0</v>
      </c>
      <c r="R1992" s="1788"/>
      <c r="S1992" s="1786">
        <f t="shared" si="336"/>
        <v>209</v>
      </c>
      <c r="T1992" s="1786">
        <f t="shared" si="337"/>
        <v>0</v>
      </c>
      <c r="U1992" s="1786" t="str">
        <f t="shared" si="338"/>
        <v>הפניקס פנסיה מקיפה</v>
      </c>
      <c r="V1992" s="1786" t="str">
        <f t="shared" si="339"/>
        <v>520017450</v>
      </c>
      <c r="W1992" s="1789" t="str">
        <f t="shared" si="340"/>
        <v xml:space="preserve">הפניקס אקסלנס פנסיה וגמל בע"מ </v>
      </c>
      <c r="AC1992" s="1759" t="s">
        <v>346</v>
      </c>
      <c r="AD1992" s="1759"/>
      <c r="AE1992" s="1760">
        <v>34700</v>
      </c>
      <c r="AF1992" s="1759" t="s">
        <v>1583</v>
      </c>
      <c r="AG1992" s="1759" t="s">
        <v>1583</v>
      </c>
      <c r="AH1992" s="1759" t="s">
        <v>1583</v>
      </c>
      <c r="AI1992" s="1759" t="s">
        <v>4171</v>
      </c>
      <c r="AJ1992" s="1759" t="s">
        <v>4171</v>
      </c>
      <c r="AK1992" s="1759">
        <v>2189</v>
      </c>
      <c r="AL1992" s="1759" t="s">
        <v>403</v>
      </c>
      <c r="AM1992" s="1759">
        <v>209</v>
      </c>
      <c r="AN1992" s="1759"/>
      <c r="AO1992" s="1764"/>
      <c r="AP1992" s="1759" t="s">
        <v>5379</v>
      </c>
      <c r="AQ1992" s="1759" t="s">
        <v>5380</v>
      </c>
      <c r="AR1992" s="1759" t="s">
        <v>5381</v>
      </c>
      <c r="AS1992" s="1759" t="s">
        <v>347</v>
      </c>
      <c r="AT1992" s="1759" t="s">
        <v>328</v>
      </c>
      <c r="AU1992" s="1763"/>
      <c r="AV1992" s="1763"/>
    </row>
    <row r="1993" spans="1:48" ht="25">
      <c r="A1993" s="1785" t="str">
        <f t="shared" si="330"/>
        <v>פנסיה</v>
      </c>
      <c r="B1993" s="1786">
        <f t="shared" si="331"/>
        <v>9975</v>
      </c>
      <c r="C1993" s="1787">
        <v>28946</v>
      </c>
      <c r="D1993" s="1786" t="str">
        <f t="shared" si="332"/>
        <v xml:space="preserve">הפניקס פנסיה מקיפה - מסלול לבני 50 עד 60 </v>
      </c>
      <c r="E1993" s="1786" t="s">
        <v>3929</v>
      </c>
      <c r="F1993" s="1786" t="s">
        <v>2958</v>
      </c>
      <c r="G1993" s="1786" t="s">
        <v>2959</v>
      </c>
      <c r="H1993" s="1786" t="str">
        <f t="shared" si="333"/>
        <v>פעיל</v>
      </c>
      <c r="I1993" s="1788">
        <f t="shared" si="334"/>
        <v>34700</v>
      </c>
      <c r="J1993" s="1788" t="str">
        <f t="shared" si="335"/>
        <v/>
      </c>
      <c r="K1993" s="1786">
        <v>0</v>
      </c>
      <c r="L1993" s="1786" t="s">
        <v>1594</v>
      </c>
      <c r="M1993" s="1786" t="s">
        <v>1653</v>
      </c>
      <c r="N1993" s="1786" t="s">
        <v>1653</v>
      </c>
      <c r="O1993" s="1786">
        <v>0</v>
      </c>
      <c r="P1993" s="1786"/>
      <c r="Q1993" s="1786">
        <v>0</v>
      </c>
      <c r="R1993" s="1788"/>
      <c r="S1993" s="1786">
        <f t="shared" si="336"/>
        <v>209</v>
      </c>
      <c r="T1993" s="1786">
        <f t="shared" si="337"/>
        <v>0</v>
      </c>
      <c r="U1993" s="1786" t="str">
        <f t="shared" si="338"/>
        <v>הפניקס פנסיה מקיפה</v>
      </c>
      <c r="V1993" s="1786" t="str">
        <f t="shared" si="339"/>
        <v>520017450</v>
      </c>
      <c r="W1993" s="1789" t="str">
        <f t="shared" si="340"/>
        <v xml:space="preserve">הפניקס אקסלנס פנסיה וגמל בע"מ </v>
      </c>
      <c r="AC1993" s="1761" t="s">
        <v>346</v>
      </c>
      <c r="AD1993" s="1761"/>
      <c r="AE1993" s="1762">
        <v>34700</v>
      </c>
      <c r="AF1993" s="1761" t="s">
        <v>3932</v>
      </c>
      <c r="AG1993" s="1761" t="s">
        <v>3931</v>
      </c>
      <c r="AH1993" s="1761" t="s">
        <v>3658</v>
      </c>
      <c r="AI1993" s="1761" t="s">
        <v>4503</v>
      </c>
      <c r="AJ1993" s="1761" t="s">
        <v>4503</v>
      </c>
      <c r="AK1993" s="1761">
        <v>9975</v>
      </c>
      <c r="AL1993" s="1761" t="s">
        <v>403</v>
      </c>
      <c r="AM1993" s="1761">
        <v>209</v>
      </c>
      <c r="AN1993" s="1761"/>
      <c r="AO1993" s="1764"/>
      <c r="AP1993" s="1761" t="s">
        <v>5379</v>
      </c>
      <c r="AQ1993" s="1761" t="s">
        <v>5380</v>
      </c>
      <c r="AR1993" s="1761" t="s">
        <v>5381</v>
      </c>
      <c r="AS1993" s="1761" t="s">
        <v>347</v>
      </c>
      <c r="AT1993" s="1761" t="s">
        <v>328</v>
      </c>
      <c r="AU1993" s="1763"/>
      <c r="AV1993" s="1763"/>
    </row>
    <row r="1994" spans="1:48" ht="25" hidden="1">
      <c r="A1994" s="1785" t="str">
        <f t="shared" si="330"/>
        <v>גמל</v>
      </c>
      <c r="B1994" s="1786">
        <f t="shared" si="331"/>
        <v>207</v>
      </c>
      <c r="C1994" s="1787">
        <v>28946</v>
      </c>
      <c r="D1994" s="1786" t="str">
        <f t="shared" si="332"/>
        <v>פסגות דינמית - מסלול מניות</v>
      </c>
      <c r="E1994" s="1786" t="s">
        <v>3929</v>
      </c>
      <c r="F1994" s="1786" t="s">
        <v>2958</v>
      </c>
      <c r="G1994" s="1786" t="s">
        <v>2959</v>
      </c>
      <c r="H1994" s="1786" t="str">
        <f t="shared" si="333"/>
        <v>לא פעיל</v>
      </c>
      <c r="I1994" s="1788">
        <f t="shared" si="334"/>
        <v>33970</v>
      </c>
      <c r="J1994" s="1788">
        <f t="shared" si="335"/>
        <v>40133.754201388903</v>
      </c>
      <c r="K1994" s="1786">
        <v>0</v>
      </c>
      <c r="L1994" s="1786" t="s">
        <v>1594</v>
      </c>
      <c r="M1994" s="1786" t="s">
        <v>1653</v>
      </c>
      <c r="N1994" s="1786" t="s">
        <v>1653</v>
      </c>
      <c r="O1994" s="1786">
        <v>0</v>
      </c>
      <c r="P1994" s="1786"/>
      <c r="Q1994" s="1786">
        <v>0</v>
      </c>
      <c r="R1994" s="1788"/>
      <c r="S1994" s="1786">
        <f t="shared" si="336"/>
        <v>207</v>
      </c>
      <c r="T1994" s="1786" t="str">
        <f t="shared" si="337"/>
        <v>בנק הפועלים בע"מ</v>
      </c>
      <c r="U1994" s="1786" t="str">
        <f t="shared" si="338"/>
        <v>פסגות דינמית - מסלול מניות</v>
      </c>
      <c r="V1994" s="1786" t="str">
        <f t="shared" si="339"/>
        <v>513767079</v>
      </c>
      <c r="W1994" s="1789" t="str">
        <f t="shared" si="340"/>
        <v>פסגות קופות גמל ופנסיה בע"מ</v>
      </c>
      <c r="AC1994" s="1759" t="s">
        <v>1586</v>
      </c>
      <c r="AD1994" s="1760">
        <v>40133.754201388903</v>
      </c>
      <c r="AE1994" s="1760">
        <v>33970</v>
      </c>
      <c r="AF1994" s="1759" t="s">
        <v>1595</v>
      </c>
      <c r="AG1994" s="1759" t="s">
        <v>75</v>
      </c>
      <c r="AH1994" s="1759" t="s">
        <v>1594</v>
      </c>
      <c r="AI1994" s="1759" t="s">
        <v>3009</v>
      </c>
      <c r="AJ1994" s="1759" t="s">
        <v>1664</v>
      </c>
      <c r="AK1994" s="1759">
        <v>207</v>
      </c>
      <c r="AL1994" s="1759" t="s">
        <v>1664</v>
      </c>
      <c r="AM1994" s="1759">
        <v>207</v>
      </c>
      <c r="AN1994" s="1759" t="s">
        <v>1695</v>
      </c>
      <c r="AO1994" s="1764"/>
      <c r="AP1994" s="1759" t="s">
        <v>5365</v>
      </c>
      <c r="AQ1994" s="1759" t="s">
        <v>5366</v>
      </c>
      <c r="AR1994" s="1759" t="s">
        <v>351</v>
      </c>
      <c r="AS1994" s="1759" t="s">
        <v>352</v>
      </c>
      <c r="AT1994" s="1759" t="s">
        <v>327</v>
      </c>
      <c r="AU1994" s="1763"/>
      <c r="AV1994" s="1763"/>
    </row>
    <row r="1995" spans="1:48" ht="50" hidden="1">
      <c r="A1995" s="1785" t="str">
        <f t="shared" si="330"/>
        <v>גמל</v>
      </c>
      <c r="B1995" s="1786">
        <f t="shared" si="331"/>
        <v>9930</v>
      </c>
      <c r="C1995" s="1787">
        <v>28946</v>
      </c>
      <c r="D1995" s="1786" t="str">
        <f t="shared" si="332"/>
        <v>גמל-על, קופת תגמולים לעובדי אל על, אגודה שיתופית בע"מ 50-60</v>
      </c>
      <c r="E1995" s="1786" t="s">
        <v>3929</v>
      </c>
      <c r="F1995" s="1786" t="s">
        <v>2958</v>
      </c>
      <c r="G1995" s="1786" t="s">
        <v>2959</v>
      </c>
      <c r="H1995" s="1786" t="str">
        <f t="shared" si="333"/>
        <v>פעיל</v>
      </c>
      <c r="I1995" s="1788">
        <f t="shared" si="334"/>
        <v>24198</v>
      </c>
      <c r="J1995" s="1788" t="str">
        <f t="shared" si="335"/>
        <v/>
      </c>
      <c r="K1995" s="1786">
        <v>0</v>
      </c>
      <c r="L1995" s="1786" t="s">
        <v>1594</v>
      </c>
      <c r="M1995" s="1786" t="s">
        <v>1653</v>
      </c>
      <c r="N1995" s="1786" t="s">
        <v>1653</v>
      </c>
      <c r="O1995" s="1786">
        <v>0</v>
      </c>
      <c r="P1995" s="1786"/>
      <c r="Q1995" s="1786">
        <v>0</v>
      </c>
      <c r="R1995" s="1788"/>
      <c r="S1995" s="1786">
        <f t="shared" si="336"/>
        <v>206</v>
      </c>
      <c r="T1995" s="1786" t="str">
        <f t="shared" si="337"/>
        <v>עובדי אל על</v>
      </c>
      <c r="U1995" s="1786" t="str">
        <f t="shared" si="338"/>
        <v>גמל-על, קופת תגמולים לעובדי אל על, אגודה שיתופית בע"מ</v>
      </c>
      <c r="V1995" s="1786">
        <f t="shared" si="339"/>
        <v>0</v>
      </c>
      <c r="W1995" s="1789" t="str">
        <f t="shared" si="340"/>
        <v>קופת תגמולים של עובדי אל על נתיבי אוויר לישראל בע"מ אגודה שיתופית</v>
      </c>
      <c r="AC1995" s="1761" t="s">
        <v>346</v>
      </c>
      <c r="AD1995" s="1761"/>
      <c r="AE1995" s="1762">
        <v>24198</v>
      </c>
      <c r="AF1995" s="1761" t="s">
        <v>3932</v>
      </c>
      <c r="AG1995" s="1761" t="s">
        <v>3931</v>
      </c>
      <c r="AH1995" s="1761" t="s">
        <v>3658</v>
      </c>
      <c r="AI1995" s="1761" t="s">
        <v>4459</v>
      </c>
      <c r="AJ1995" s="1761" t="s">
        <v>4458</v>
      </c>
      <c r="AK1995" s="1761">
        <v>9930</v>
      </c>
      <c r="AL1995" s="1761" t="s">
        <v>4112</v>
      </c>
      <c r="AM1995" s="1761">
        <v>206</v>
      </c>
      <c r="AN1995" s="1761" t="s">
        <v>5705</v>
      </c>
      <c r="AO1995" s="1764"/>
      <c r="AP1995" s="1761"/>
      <c r="AQ1995" s="1761"/>
      <c r="AR1995" s="1761" t="s">
        <v>399</v>
      </c>
      <c r="AS1995" s="1761" t="s">
        <v>400</v>
      </c>
      <c r="AT1995" s="1761" t="s">
        <v>327</v>
      </c>
      <c r="AU1995" s="1763"/>
      <c r="AV1995" s="1763"/>
    </row>
    <row r="1996" spans="1:48" ht="50" hidden="1">
      <c r="A1996" s="1785" t="str">
        <f t="shared" si="330"/>
        <v>גמל</v>
      </c>
      <c r="B1996" s="1786">
        <f t="shared" si="331"/>
        <v>9755</v>
      </c>
      <c r="C1996" s="1787">
        <v>28946</v>
      </c>
      <c r="D1996" s="1786" t="str">
        <f t="shared" si="332"/>
        <v>גמל-על, קופת תגמולים לעובדי אל על, אגודה שיתופית בע"מ עד 50</v>
      </c>
      <c r="E1996" s="1786" t="s">
        <v>3929</v>
      </c>
      <c r="F1996" s="1786" t="s">
        <v>2958</v>
      </c>
      <c r="G1996" s="1786" t="s">
        <v>2959</v>
      </c>
      <c r="H1996" s="1786" t="str">
        <f t="shared" si="333"/>
        <v>פעיל</v>
      </c>
      <c r="I1996" s="1788">
        <f t="shared" si="334"/>
        <v>24198</v>
      </c>
      <c r="J1996" s="1788" t="str">
        <f t="shared" si="335"/>
        <v/>
      </c>
      <c r="K1996" s="1786">
        <v>0</v>
      </c>
      <c r="L1996" s="1786" t="s">
        <v>1594</v>
      </c>
      <c r="M1996" s="1786" t="s">
        <v>1653</v>
      </c>
      <c r="N1996" s="1786" t="s">
        <v>1653</v>
      </c>
      <c r="O1996" s="1786">
        <v>0</v>
      </c>
      <c r="P1996" s="1786"/>
      <c r="Q1996" s="1786">
        <v>0</v>
      </c>
      <c r="R1996" s="1788"/>
      <c r="S1996" s="1786">
        <f t="shared" si="336"/>
        <v>206</v>
      </c>
      <c r="T1996" s="1786" t="str">
        <f t="shared" si="337"/>
        <v>עובדי אל על</v>
      </c>
      <c r="U1996" s="1786" t="str">
        <f t="shared" si="338"/>
        <v>גמל-על, קופת תגמולים לעובדי אל על, אגודה שיתופית בע"מ</v>
      </c>
      <c r="V1996" s="1786">
        <f t="shared" si="339"/>
        <v>0</v>
      </c>
      <c r="W1996" s="1789" t="str">
        <f t="shared" si="340"/>
        <v>קופת תגמולים של עובדי אל על נתיבי אוויר לישראל בע"מ אגודה שיתופית</v>
      </c>
      <c r="AC1996" s="1759" t="s">
        <v>346</v>
      </c>
      <c r="AD1996" s="1759"/>
      <c r="AE1996" s="1760">
        <v>24198</v>
      </c>
      <c r="AF1996" s="1759" t="s">
        <v>4151</v>
      </c>
      <c r="AG1996" s="1759" t="s">
        <v>3931</v>
      </c>
      <c r="AH1996" s="1759" t="s">
        <v>3658</v>
      </c>
      <c r="AI1996" s="1759" t="s">
        <v>4331</v>
      </c>
      <c r="AJ1996" s="1759" t="s">
        <v>4330</v>
      </c>
      <c r="AK1996" s="1759">
        <v>9755</v>
      </c>
      <c r="AL1996" s="1759" t="s">
        <v>4112</v>
      </c>
      <c r="AM1996" s="1759">
        <v>206</v>
      </c>
      <c r="AN1996" s="1759" t="s">
        <v>5705</v>
      </c>
      <c r="AO1996" s="1764"/>
      <c r="AP1996" s="1759"/>
      <c r="AQ1996" s="1759"/>
      <c r="AR1996" s="1759" t="s">
        <v>399</v>
      </c>
      <c r="AS1996" s="1759" t="s">
        <v>400</v>
      </c>
      <c r="AT1996" s="1759" t="s">
        <v>327</v>
      </c>
      <c r="AU1996" s="1763"/>
      <c r="AV1996" s="1763"/>
    </row>
    <row r="1997" spans="1:48" ht="50" hidden="1">
      <c r="A1997" s="1785" t="str">
        <f t="shared" si="330"/>
        <v>גמל</v>
      </c>
      <c r="B1997" s="1786">
        <f t="shared" si="331"/>
        <v>206</v>
      </c>
      <c r="C1997" s="1787">
        <v>28946</v>
      </c>
      <c r="D1997" s="1786" t="str">
        <f t="shared" si="332"/>
        <v>גמל-על, קופת תגמולים לעובדי אל על, אגודה שיתופית בע"מ כללי</v>
      </c>
      <c r="E1997" s="1786" t="s">
        <v>3929</v>
      </c>
      <c r="F1997" s="1786" t="s">
        <v>2958</v>
      </c>
      <c r="G1997" s="1786" t="s">
        <v>2959</v>
      </c>
      <c r="H1997" s="1786" t="str">
        <f t="shared" si="333"/>
        <v>לא פעיל</v>
      </c>
      <c r="I1997" s="1788">
        <f t="shared" si="334"/>
        <v>24198</v>
      </c>
      <c r="J1997" s="1788">
        <f t="shared" si="335"/>
        <v>42373.421990740702</v>
      </c>
      <c r="K1997" s="1786">
        <v>0</v>
      </c>
      <c r="L1997" s="1786" t="s">
        <v>1594</v>
      </c>
      <c r="M1997" s="1786" t="s">
        <v>1653</v>
      </c>
      <c r="N1997" s="1786" t="s">
        <v>1653</v>
      </c>
      <c r="O1997" s="1786">
        <v>0</v>
      </c>
      <c r="P1997" s="1786"/>
      <c r="Q1997" s="1786">
        <v>0</v>
      </c>
      <c r="R1997" s="1788"/>
      <c r="S1997" s="1786">
        <f t="shared" si="336"/>
        <v>206</v>
      </c>
      <c r="T1997" s="1786" t="str">
        <f t="shared" si="337"/>
        <v>עובדי אל על</v>
      </c>
      <c r="U1997" s="1786" t="str">
        <f t="shared" si="338"/>
        <v>גמל-על, קופת תגמולים לעובדי אל על, אגודה שיתופית בע"מ</v>
      </c>
      <c r="V1997" s="1786">
        <f t="shared" si="339"/>
        <v>0</v>
      </c>
      <c r="W1997" s="1789" t="str">
        <f t="shared" si="340"/>
        <v>קופת תגמולים של עובדי אל על נתיבי אוויר לישראל בע"מ אגודה שיתופית</v>
      </c>
      <c r="AC1997" s="1761" t="s">
        <v>1586</v>
      </c>
      <c r="AD1997" s="1762">
        <v>42373.421990740702</v>
      </c>
      <c r="AE1997" s="1762">
        <v>24198</v>
      </c>
      <c r="AF1997" s="1761" t="s">
        <v>1583</v>
      </c>
      <c r="AG1997" s="1761" t="s">
        <v>1583</v>
      </c>
      <c r="AH1997" s="1761" t="s">
        <v>1583</v>
      </c>
      <c r="AI1997" s="1761" t="s">
        <v>4514</v>
      </c>
      <c r="AJ1997" s="1761" t="s">
        <v>4513</v>
      </c>
      <c r="AK1997" s="1761">
        <v>206</v>
      </c>
      <c r="AL1997" s="1761" t="s">
        <v>4112</v>
      </c>
      <c r="AM1997" s="1761">
        <v>206</v>
      </c>
      <c r="AN1997" s="1761" t="s">
        <v>5705</v>
      </c>
      <c r="AO1997" s="1764"/>
      <c r="AP1997" s="1761"/>
      <c r="AQ1997" s="1761"/>
      <c r="AR1997" s="1761" t="s">
        <v>399</v>
      </c>
      <c r="AS1997" s="1761" t="s">
        <v>400</v>
      </c>
      <c r="AT1997" s="1761" t="s">
        <v>327</v>
      </c>
      <c r="AU1997" s="1763"/>
      <c r="AV1997" s="1763"/>
    </row>
    <row r="1998" spans="1:48" ht="50" hidden="1">
      <c r="A1998" s="1785" t="str">
        <f t="shared" si="330"/>
        <v>גמל</v>
      </c>
      <c r="B1998" s="1786">
        <f t="shared" si="331"/>
        <v>1476</v>
      </c>
      <c r="C1998" s="1787">
        <v>28946</v>
      </c>
      <c r="D1998" s="1786" t="str">
        <f t="shared" si="332"/>
        <v>גמל-על, קופת תגמולים לעובדי אל על, אגודה שיתופית בע"מ אג"ח</v>
      </c>
      <c r="E1998" s="1786" t="s">
        <v>3929</v>
      </c>
      <c r="F1998" s="1786" t="s">
        <v>2958</v>
      </c>
      <c r="G1998" s="1786" t="s">
        <v>2959</v>
      </c>
      <c r="H1998" s="1786" t="str">
        <f t="shared" si="333"/>
        <v>פעיל</v>
      </c>
      <c r="I1998" s="1788">
        <f t="shared" si="334"/>
        <v>24198</v>
      </c>
      <c r="J1998" s="1788" t="str">
        <f t="shared" si="335"/>
        <v/>
      </c>
      <c r="K1998" s="1786">
        <v>0</v>
      </c>
      <c r="L1998" s="1786" t="s">
        <v>1594</v>
      </c>
      <c r="M1998" s="1786" t="s">
        <v>1653</v>
      </c>
      <c r="N1998" s="1786" t="s">
        <v>1653</v>
      </c>
      <c r="O1998" s="1786">
        <v>0</v>
      </c>
      <c r="P1998" s="1786"/>
      <c r="Q1998" s="1786">
        <v>0</v>
      </c>
      <c r="R1998" s="1788"/>
      <c r="S1998" s="1786">
        <f t="shared" si="336"/>
        <v>206</v>
      </c>
      <c r="T1998" s="1786" t="str">
        <f t="shared" si="337"/>
        <v>עובדי אל על</v>
      </c>
      <c r="U1998" s="1786" t="str">
        <f t="shared" si="338"/>
        <v>גמל-על, קופת תגמולים לעובדי אל על, אגודה שיתופית בע"מ</v>
      </c>
      <c r="V1998" s="1786">
        <f t="shared" si="339"/>
        <v>0</v>
      </c>
      <c r="W1998" s="1789" t="str">
        <f t="shared" si="340"/>
        <v>קופת תגמולים של עובדי אל על נתיבי אוויר לישראל בע"מ אגודה שיתופית</v>
      </c>
      <c r="AC1998" s="1759" t="s">
        <v>346</v>
      </c>
      <c r="AD1998" s="1759"/>
      <c r="AE1998" s="1760">
        <v>24198</v>
      </c>
      <c r="AF1998" s="1759" t="s">
        <v>1653</v>
      </c>
      <c r="AG1998" s="1759" t="s">
        <v>1653</v>
      </c>
      <c r="AH1998" s="1759" t="s">
        <v>1594</v>
      </c>
      <c r="AI1998" s="1759" t="s">
        <v>3653</v>
      </c>
      <c r="AJ1998" s="1759" t="s">
        <v>4111</v>
      </c>
      <c r="AK1998" s="1759">
        <v>1476</v>
      </c>
      <c r="AL1998" s="1759" t="s">
        <v>4112</v>
      </c>
      <c r="AM1998" s="1759">
        <v>206</v>
      </c>
      <c r="AN1998" s="1759" t="s">
        <v>5705</v>
      </c>
      <c r="AO1998" s="1764"/>
      <c r="AP1998" s="1759"/>
      <c r="AQ1998" s="1759"/>
      <c r="AR1998" s="1759" t="s">
        <v>399</v>
      </c>
      <c r="AS1998" s="1759" t="s">
        <v>400</v>
      </c>
      <c r="AT1998" s="1759" t="s">
        <v>327</v>
      </c>
      <c r="AU1998" s="1763"/>
      <c r="AV1998" s="1763"/>
    </row>
    <row r="1999" spans="1:48" ht="50" hidden="1">
      <c r="A1999" s="1785" t="str">
        <f t="shared" si="330"/>
        <v>גמל</v>
      </c>
      <c r="B1999" s="1786">
        <f t="shared" si="331"/>
        <v>1526</v>
      </c>
      <c r="C1999" s="1787">
        <v>28946</v>
      </c>
      <c r="D1999" s="1786" t="str">
        <f t="shared" si="332"/>
        <v>גמל-על, קופת תגמולים לעובדי אל על, אגודה שיתופית בע"מ מניות</v>
      </c>
      <c r="E1999" s="1786" t="s">
        <v>3929</v>
      </c>
      <c r="F1999" s="1786" t="s">
        <v>2958</v>
      </c>
      <c r="G1999" s="1786" t="s">
        <v>2959</v>
      </c>
      <c r="H1999" s="1786" t="str">
        <f t="shared" si="333"/>
        <v>פעיל</v>
      </c>
      <c r="I1999" s="1788">
        <f t="shared" si="334"/>
        <v>24198</v>
      </c>
      <c r="J1999" s="1788" t="str">
        <f t="shared" si="335"/>
        <v/>
      </c>
      <c r="K1999" s="1786">
        <v>0</v>
      </c>
      <c r="L1999" s="1786" t="s">
        <v>1594</v>
      </c>
      <c r="M1999" s="1786" t="s">
        <v>1653</v>
      </c>
      <c r="N1999" s="1786" t="s">
        <v>1653</v>
      </c>
      <c r="O1999" s="1786">
        <v>0</v>
      </c>
      <c r="P1999" s="1786"/>
      <c r="Q1999" s="1786">
        <v>0</v>
      </c>
      <c r="R1999" s="1788"/>
      <c r="S1999" s="1786">
        <f t="shared" si="336"/>
        <v>206</v>
      </c>
      <c r="T1999" s="1786" t="str">
        <f t="shared" si="337"/>
        <v>עובדי אל על</v>
      </c>
      <c r="U1999" s="1786" t="str">
        <f t="shared" si="338"/>
        <v>גמל-על, קופת תגמולים לעובדי אל על, אגודה שיתופית בע"מ</v>
      </c>
      <c r="V1999" s="1786">
        <f t="shared" si="339"/>
        <v>0</v>
      </c>
      <c r="W1999" s="1789" t="str">
        <f t="shared" si="340"/>
        <v>קופת תגמולים של עובדי אל על נתיבי אוויר לישראל בע"מ אגודה שיתופית</v>
      </c>
      <c r="AC1999" s="1761" t="s">
        <v>346</v>
      </c>
      <c r="AD1999" s="1759"/>
      <c r="AE1999" s="1762">
        <v>24198</v>
      </c>
      <c r="AF1999" s="1761" t="s">
        <v>1595</v>
      </c>
      <c r="AG1999" s="1761" t="s">
        <v>75</v>
      </c>
      <c r="AH1999" s="1761" t="s">
        <v>1594</v>
      </c>
      <c r="AI1999" s="1761" t="s">
        <v>3673</v>
      </c>
      <c r="AJ1999" s="1761" t="s">
        <v>4122</v>
      </c>
      <c r="AK1999" s="1761">
        <v>1526</v>
      </c>
      <c r="AL1999" s="1761" t="s">
        <v>4112</v>
      </c>
      <c r="AM1999" s="1761">
        <v>206</v>
      </c>
      <c r="AN1999" s="1761" t="s">
        <v>5705</v>
      </c>
      <c r="AO1999" s="1764"/>
      <c r="AP1999" s="1761"/>
      <c r="AQ1999" s="1761"/>
      <c r="AR1999" s="1761" t="s">
        <v>399</v>
      </c>
      <c r="AS1999" s="1761" t="s">
        <v>400</v>
      </c>
      <c r="AT1999" s="1761" t="s">
        <v>327</v>
      </c>
      <c r="AU1999" s="1763"/>
      <c r="AV1999" s="1763"/>
    </row>
    <row r="2000" spans="1:48" ht="50" hidden="1">
      <c r="A2000" s="1785" t="str">
        <f t="shared" si="330"/>
        <v>גמל</v>
      </c>
      <c r="B2000" s="1786">
        <f t="shared" si="331"/>
        <v>9756</v>
      </c>
      <c r="C2000" s="1787">
        <v>28946</v>
      </c>
      <c r="D2000" s="1786" t="str">
        <f t="shared" si="332"/>
        <v>גמל-על, קופת תגמולים לעובדי אל על, אגודה שיתופית בע"מ 60 ומעלה</v>
      </c>
      <c r="E2000" s="1786" t="s">
        <v>3929</v>
      </c>
      <c r="F2000" s="1786" t="s">
        <v>2958</v>
      </c>
      <c r="G2000" s="1786" t="s">
        <v>2959</v>
      </c>
      <c r="H2000" s="1786" t="str">
        <f t="shared" si="333"/>
        <v>פעיל</v>
      </c>
      <c r="I2000" s="1788">
        <f t="shared" si="334"/>
        <v>24198</v>
      </c>
      <c r="J2000" s="1788" t="str">
        <f t="shared" si="335"/>
        <v/>
      </c>
      <c r="K2000" s="1786">
        <v>0</v>
      </c>
      <c r="L2000" s="1786" t="s">
        <v>1594</v>
      </c>
      <c r="M2000" s="1786" t="s">
        <v>1653</v>
      </c>
      <c r="N2000" s="1786" t="s">
        <v>1653</v>
      </c>
      <c r="O2000" s="1786">
        <v>0</v>
      </c>
      <c r="P2000" s="1786"/>
      <c r="Q2000" s="1786">
        <v>0</v>
      </c>
      <c r="R2000" s="1788"/>
      <c r="S2000" s="1786">
        <f t="shared" si="336"/>
        <v>206</v>
      </c>
      <c r="T2000" s="1786" t="str">
        <f t="shared" si="337"/>
        <v>עובדי אל על</v>
      </c>
      <c r="U2000" s="1786" t="str">
        <f t="shared" si="338"/>
        <v>גמל-על, קופת תגמולים לעובדי אל על, אגודה שיתופית בע"מ</v>
      </c>
      <c r="V2000" s="1786">
        <f t="shared" si="339"/>
        <v>0</v>
      </c>
      <c r="W2000" s="1789" t="str">
        <f t="shared" si="340"/>
        <v>קופת תגמולים של עובדי אל על נתיבי אוויר לישראל בע"מ אגודה שיתופית</v>
      </c>
      <c r="AC2000" s="1759" t="s">
        <v>346</v>
      </c>
      <c r="AD2000" s="1759"/>
      <c r="AE2000" s="1760">
        <v>24198</v>
      </c>
      <c r="AF2000" s="1759" t="s">
        <v>3963</v>
      </c>
      <c r="AG2000" s="1759" t="s">
        <v>3931</v>
      </c>
      <c r="AH2000" s="1759" t="s">
        <v>3658</v>
      </c>
      <c r="AI2000" s="1759" t="s">
        <v>4333</v>
      </c>
      <c r="AJ2000" s="1759" t="s">
        <v>4332</v>
      </c>
      <c r="AK2000" s="1759">
        <v>9756</v>
      </c>
      <c r="AL2000" s="1759" t="s">
        <v>4112</v>
      </c>
      <c r="AM2000" s="1759">
        <v>206</v>
      </c>
      <c r="AN2000" s="1759" t="s">
        <v>5705</v>
      </c>
      <c r="AO2000" s="1764"/>
      <c r="AP2000" s="1759"/>
      <c r="AQ2000" s="1759"/>
      <c r="AR2000" s="1759" t="s">
        <v>399</v>
      </c>
      <c r="AS2000" s="1759" t="s">
        <v>400</v>
      </c>
      <c r="AT2000" s="1759" t="s">
        <v>327</v>
      </c>
      <c r="AU2000" s="1763"/>
      <c r="AV2000" s="1763"/>
    </row>
    <row r="2001" spans="1:48" ht="25" hidden="1">
      <c r="A2001" s="1785" t="str">
        <f t="shared" si="330"/>
        <v>גמל</v>
      </c>
      <c r="B2001" s="1786">
        <f t="shared" si="331"/>
        <v>204</v>
      </c>
      <c r="C2001" s="1787">
        <v>28946</v>
      </c>
      <c r="D2001" s="1786" t="str">
        <f t="shared" si="332"/>
        <v>פסגות דינמית מסלול אג"ח צמוד מדד לטווח בינוני</v>
      </c>
      <c r="E2001" s="1786" t="s">
        <v>3929</v>
      </c>
      <c r="F2001" s="1786" t="s">
        <v>2958</v>
      </c>
      <c r="G2001" s="1786" t="s">
        <v>2959</v>
      </c>
      <c r="H2001" s="1786" t="str">
        <f t="shared" si="333"/>
        <v>לא פעיל</v>
      </c>
      <c r="I2001" s="1788">
        <f t="shared" si="334"/>
        <v>33970</v>
      </c>
      <c r="J2001" s="1788">
        <f t="shared" si="335"/>
        <v>40133.747766203698</v>
      </c>
      <c r="K2001" s="1786">
        <v>0</v>
      </c>
      <c r="L2001" s="1786" t="s">
        <v>1594</v>
      </c>
      <c r="M2001" s="1786" t="s">
        <v>1653</v>
      </c>
      <c r="N2001" s="1786" t="s">
        <v>1653</v>
      </c>
      <c r="O2001" s="1786">
        <v>0</v>
      </c>
      <c r="P2001" s="1786"/>
      <c r="Q2001" s="1786">
        <v>0</v>
      </c>
      <c r="R2001" s="1788"/>
      <c r="S2001" s="1786">
        <f t="shared" si="336"/>
        <v>204</v>
      </c>
      <c r="T2001" s="1786" t="str">
        <f t="shared" si="337"/>
        <v>בנק הפועלים בע"מ</v>
      </c>
      <c r="U2001" s="1786" t="str">
        <f t="shared" si="338"/>
        <v>פסגות דינמית מסלול אג"ח צמוד מדד לטווח בינוני</v>
      </c>
      <c r="V2001" s="1786" t="str">
        <f t="shared" si="339"/>
        <v>513767079</v>
      </c>
      <c r="W2001" s="1789" t="str">
        <f t="shared" si="340"/>
        <v>פסגות קופות גמל ופנסיה בע"מ</v>
      </c>
      <c r="AC2001" s="1761" t="s">
        <v>1586</v>
      </c>
      <c r="AD2001" s="1762">
        <v>40133.747766203698</v>
      </c>
      <c r="AE2001" s="1762">
        <v>33970</v>
      </c>
      <c r="AF2001" s="1761" t="s">
        <v>3008</v>
      </c>
      <c r="AG2001" s="1761" t="s">
        <v>1653</v>
      </c>
      <c r="AH2001" s="1761" t="s">
        <v>1594</v>
      </c>
      <c r="AI2001" s="1761" t="s">
        <v>3007</v>
      </c>
      <c r="AJ2001" s="1761" t="s">
        <v>1662</v>
      </c>
      <c r="AK2001" s="1761">
        <v>204</v>
      </c>
      <c r="AL2001" s="1761" t="s">
        <v>1662</v>
      </c>
      <c r="AM2001" s="1761">
        <v>204</v>
      </c>
      <c r="AN2001" s="1761" t="s">
        <v>1695</v>
      </c>
      <c r="AO2001" s="1764"/>
      <c r="AP2001" s="1761" t="s">
        <v>5365</v>
      </c>
      <c r="AQ2001" s="1761" t="s">
        <v>5366</v>
      </c>
      <c r="AR2001" s="1761" t="s">
        <v>351</v>
      </c>
      <c r="AS2001" s="1761" t="s">
        <v>352</v>
      </c>
      <c r="AT2001" s="1761" t="s">
        <v>327</v>
      </c>
      <c r="AU2001" s="1763"/>
      <c r="AV2001" s="1763"/>
    </row>
    <row r="2002" spans="1:48" ht="37.5" hidden="1">
      <c r="A2002" s="1785" t="str">
        <f t="shared" si="330"/>
        <v>גמל</v>
      </c>
      <c r="B2002" s="1786">
        <f t="shared" si="331"/>
        <v>203</v>
      </c>
      <c r="C2002" s="1787">
        <v>28946</v>
      </c>
      <c r="D2002" s="1786" t="str">
        <f t="shared" si="332"/>
        <v>אחוד המודדים</v>
      </c>
      <c r="E2002" s="1786" t="s">
        <v>3929</v>
      </c>
      <c r="F2002" s="1786" t="s">
        <v>2958</v>
      </c>
      <c r="G2002" s="1786" t="s">
        <v>2959</v>
      </c>
      <c r="H2002" s="1786" t="str">
        <f t="shared" si="333"/>
        <v>לא פעיל</v>
      </c>
      <c r="I2002" s="1788">
        <f t="shared" si="334"/>
        <v>25569</v>
      </c>
      <c r="J2002" s="1788">
        <f t="shared" si="335"/>
        <v>25569</v>
      </c>
      <c r="K2002" s="1786">
        <v>0</v>
      </c>
      <c r="L2002" s="1786" t="s">
        <v>1594</v>
      </c>
      <c r="M2002" s="1786" t="s">
        <v>1653</v>
      </c>
      <c r="N2002" s="1786" t="s">
        <v>1653</v>
      </c>
      <c r="O2002" s="1786">
        <v>0</v>
      </c>
      <c r="P2002" s="1786"/>
      <c r="Q2002" s="1786">
        <v>0</v>
      </c>
      <c r="R2002" s="1788"/>
      <c r="S2002" s="1786">
        <f t="shared" si="336"/>
        <v>203</v>
      </c>
      <c r="T2002" s="1786" t="str">
        <f t="shared" si="337"/>
        <v>בנק לאומי בע"מ</v>
      </c>
      <c r="U2002" s="1786" t="str">
        <f t="shared" si="338"/>
        <v>אחוד המודדים</v>
      </c>
      <c r="V2002" s="1786">
        <f t="shared" si="339"/>
        <v>0</v>
      </c>
      <c r="W2002" s="1789" t="str">
        <f t="shared" si="340"/>
        <v>קופת התגמולים לעצמאים "עצמה" ליד בל"ל בע"מ</v>
      </c>
      <c r="AC2002" s="1759" t="s">
        <v>1586</v>
      </c>
      <c r="AD2002" s="1760">
        <v>25569</v>
      </c>
      <c r="AE2002" s="1760">
        <v>25569</v>
      </c>
      <c r="AF2002" s="1759" t="s">
        <v>1583</v>
      </c>
      <c r="AG2002" s="1759" t="s">
        <v>1583</v>
      </c>
      <c r="AH2002" s="1759" t="s">
        <v>1583</v>
      </c>
      <c r="AI2002" s="1759" t="s">
        <v>1659</v>
      </c>
      <c r="AJ2002" s="1759" t="s">
        <v>1659</v>
      </c>
      <c r="AK2002" s="1759">
        <v>203</v>
      </c>
      <c r="AL2002" s="1759" t="s">
        <v>1659</v>
      </c>
      <c r="AM2002" s="1759">
        <v>203</v>
      </c>
      <c r="AN2002" s="1759" t="s">
        <v>5470</v>
      </c>
      <c r="AO2002" s="1764"/>
      <c r="AP2002" s="1759"/>
      <c r="AQ2002" s="1759"/>
      <c r="AR2002" s="1759" t="s">
        <v>1661</v>
      </c>
      <c r="AS2002" s="1759" t="s">
        <v>1660</v>
      </c>
      <c r="AT2002" s="1759" t="s">
        <v>327</v>
      </c>
      <c r="AU2002" s="1763"/>
      <c r="AV2002" s="1763"/>
    </row>
    <row r="2003" spans="1:48" ht="25" hidden="1">
      <c r="A2003" s="1785" t="str">
        <f t="shared" si="330"/>
        <v>גמל</v>
      </c>
      <c r="B2003" s="1786">
        <f t="shared" si="331"/>
        <v>202</v>
      </c>
      <c r="C2003" s="1787">
        <v>28946</v>
      </c>
      <c r="D2003" s="1786" t="str">
        <f t="shared" si="332"/>
        <v>פסגות דינמית - מסלול אג"ח צמוד מדד לטווח ארוך</v>
      </c>
      <c r="E2003" s="1786" t="s">
        <v>3929</v>
      </c>
      <c r="F2003" s="1786" t="s">
        <v>2958</v>
      </c>
      <c r="G2003" s="1786" t="s">
        <v>2959</v>
      </c>
      <c r="H2003" s="1786" t="str">
        <f t="shared" si="333"/>
        <v>לא פעיל</v>
      </c>
      <c r="I2003" s="1788">
        <f t="shared" si="334"/>
        <v>33970</v>
      </c>
      <c r="J2003" s="1788">
        <f t="shared" si="335"/>
        <v>40133.748078703698</v>
      </c>
      <c r="K2003" s="1786">
        <v>0</v>
      </c>
      <c r="L2003" s="1786" t="s">
        <v>1594</v>
      </c>
      <c r="M2003" s="1786" t="s">
        <v>1653</v>
      </c>
      <c r="N2003" s="1786" t="s">
        <v>1653</v>
      </c>
      <c r="O2003" s="1786">
        <v>0</v>
      </c>
      <c r="P2003" s="1786"/>
      <c r="Q2003" s="1786">
        <v>0</v>
      </c>
      <c r="R2003" s="1788"/>
      <c r="S2003" s="1786">
        <f t="shared" si="336"/>
        <v>202</v>
      </c>
      <c r="T2003" s="1786" t="str">
        <f t="shared" si="337"/>
        <v>בנק הפועלים בע"מ</v>
      </c>
      <c r="U2003" s="1786" t="str">
        <f t="shared" si="338"/>
        <v>פסגות דינמית - מסלול אג"ח צמוד מדד לטווח ארוך</v>
      </c>
      <c r="V2003" s="1786" t="str">
        <f t="shared" si="339"/>
        <v>513767079</v>
      </c>
      <c r="W2003" s="1789" t="str">
        <f t="shared" si="340"/>
        <v>פסגות קופות גמל ופנסיה בע"מ</v>
      </c>
      <c r="AC2003" s="1761" t="s">
        <v>1586</v>
      </c>
      <c r="AD2003" s="1762">
        <v>40133.748078703698</v>
      </c>
      <c r="AE2003" s="1762">
        <v>33970</v>
      </c>
      <c r="AF2003" s="1761" t="s">
        <v>3006</v>
      </c>
      <c r="AG2003" s="1761" t="s">
        <v>1653</v>
      </c>
      <c r="AH2003" s="1761" t="s">
        <v>1594</v>
      </c>
      <c r="AI2003" s="1761" t="s">
        <v>3005</v>
      </c>
      <c r="AJ2003" s="1761" t="s">
        <v>1658</v>
      </c>
      <c r="AK2003" s="1761">
        <v>202</v>
      </c>
      <c r="AL2003" s="1761" t="s">
        <v>1658</v>
      </c>
      <c r="AM2003" s="1761">
        <v>202</v>
      </c>
      <c r="AN2003" s="1761" t="s">
        <v>1695</v>
      </c>
      <c r="AO2003" s="1764"/>
      <c r="AP2003" s="1761" t="s">
        <v>5365</v>
      </c>
      <c r="AQ2003" s="1761" t="s">
        <v>5366</v>
      </c>
      <c r="AR2003" s="1761" t="s">
        <v>351</v>
      </c>
      <c r="AS2003" s="1761" t="s">
        <v>352</v>
      </c>
      <c r="AT2003" s="1761" t="s">
        <v>327</v>
      </c>
      <c r="AU2003" s="1763"/>
      <c r="AV2003" s="1763"/>
    </row>
    <row r="2004" spans="1:48" ht="25" hidden="1">
      <c r="A2004" s="1785" t="str">
        <f t="shared" si="330"/>
        <v>גמל</v>
      </c>
      <c r="B2004" s="1786">
        <f t="shared" si="331"/>
        <v>201</v>
      </c>
      <c r="C2004" s="1787">
        <v>28946</v>
      </c>
      <c r="D2004" s="1786" t="str">
        <f t="shared" si="332"/>
        <v>קה"ל - מסלול מנייתי</v>
      </c>
      <c r="E2004" s="1786" t="s">
        <v>3929</v>
      </c>
      <c r="F2004" s="1786" t="s">
        <v>2958</v>
      </c>
      <c r="G2004" s="1786" t="s">
        <v>2959</v>
      </c>
      <c r="H2004" s="1786" t="str">
        <f t="shared" si="333"/>
        <v>לא פעיל</v>
      </c>
      <c r="I2004" s="1788">
        <f t="shared" si="334"/>
        <v>35309</v>
      </c>
      <c r="J2004" s="1788">
        <f t="shared" si="335"/>
        <v>39820.4316666667</v>
      </c>
      <c r="K2004" s="1786">
        <v>0</v>
      </c>
      <c r="L2004" s="1786" t="s">
        <v>1594</v>
      </c>
      <c r="M2004" s="1786" t="s">
        <v>1653</v>
      </c>
      <c r="N2004" s="1786" t="s">
        <v>1653</v>
      </c>
      <c r="O2004" s="1786">
        <v>0</v>
      </c>
      <c r="P2004" s="1786"/>
      <c r="Q2004" s="1786">
        <v>0</v>
      </c>
      <c r="R2004" s="1788"/>
      <c r="S2004" s="1786">
        <f t="shared" si="336"/>
        <v>201</v>
      </c>
      <c r="T2004" s="1786" t="str">
        <f t="shared" si="337"/>
        <v>בנק לאומי בע"מ</v>
      </c>
      <c r="U2004" s="1786" t="str">
        <f t="shared" si="338"/>
        <v>קה"ל - מסלול מנייתי</v>
      </c>
      <c r="V2004" s="1786">
        <f t="shared" si="339"/>
        <v>0</v>
      </c>
      <c r="W2004" s="1789" t="str">
        <f t="shared" si="340"/>
        <v>מגדל גמל פלטינום בע"מ</v>
      </c>
      <c r="AC2004" s="1759" t="s">
        <v>1586</v>
      </c>
      <c r="AD2004" s="1760">
        <v>39820.4316666667</v>
      </c>
      <c r="AE2004" s="1760">
        <v>35309</v>
      </c>
      <c r="AF2004" s="1759" t="s">
        <v>1595</v>
      </c>
      <c r="AG2004" s="1759" t="s">
        <v>75</v>
      </c>
      <c r="AH2004" s="1759" t="s">
        <v>1594</v>
      </c>
      <c r="AI2004" s="1759" t="s">
        <v>3004</v>
      </c>
      <c r="AJ2004" s="1759" t="s">
        <v>1657</v>
      </c>
      <c r="AK2004" s="1759">
        <v>201</v>
      </c>
      <c r="AL2004" s="1759" t="s">
        <v>1657</v>
      </c>
      <c r="AM2004" s="1759">
        <v>201</v>
      </c>
      <c r="AN2004" s="1759" t="s">
        <v>5470</v>
      </c>
      <c r="AO2004" s="1764"/>
      <c r="AP2004" s="1759"/>
      <c r="AQ2004" s="1759"/>
      <c r="AR2004" s="1759" t="s">
        <v>1656</v>
      </c>
      <c r="AS2004" s="1759" t="s">
        <v>1655</v>
      </c>
      <c r="AT2004" s="1759" t="s">
        <v>327</v>
      </c>
      <c r="AU2004" s="1763"/>
      <c r="AV2004" s="1763"/>
    </row>
    <row r="2005" spans="1:48" ht="25" hidden="1">
      <c r="A2005" s="1785" t="str">
        <f t="shared" si="330"/>
        <v>גמל</v>
      </c>
      <c r="B2005" s="1786">
        <f t="shared" si="331"/>
        <v>200</v>
      </c>
      <c r="C2005" s="1787">
        <v>28946</v>
      </c>
      <c r="D2005" s="1786" t="str">
        <f t="shared" si="332"/>
        <v>קה"ל - מסלול כללי</v>
      </c>
      <c r="E2005" s="1786" t="s">
        <v>3929</v>
      </c>
      <c r="F2005" s="1786" t="s">
        <v>2958</v>
      </c>
      <c r="G2005" s="1786" t="s">
        <v>2959</v>
      </c>
      <c r="H2005" s="1786" t="str">
        <f t="shared" si="333"/>
        <v>לא פעיל</v>
      </c>
      <c r="I2005" s="1788">
        <f t="shared" si="334"/>
        <v>34991</v>
      </c>
      <c r="J2005" s="1788">
        <f t="shared" si="335"/>
        <v>39820.439537036997</v>
      </c>
      <c r="K2005" s="1786">
        <v>0</v>
      </c>
      <c r="L2005" s="1786" t="s">
        <v>1594</v>
      </c>
      <c r="M2005" s="1786" t="s">
        <v>1653</v>
      </c>
      <c r="N2005" s="1786" t="s">
        <v>1653</v>
      </c>
      <c r="O2005" s="1786">
        <v>0</v>
      </c>
      <c r="P2005" s="1786"/>
      <c r="Q2005" s="1786">
        <v>0</v>
      </c>
      <c r="R2005" s="1788"/>
      <c r="S2005" s="1786">
        <f t="shared" si="336"/>
        <v>200</v>
      </c>
      <c r="T2005" s="1786" t="str">
        <f t="shared" si="337"/>
        <v>בנק לאומי בע"מ</v>
      </c>
      <c r="U2005" s="1786" t="str">
        <f t="shared" si="338"/>
        <v>קה"ל - מסלול כללי</v>
      </c>
      <c r="V2005" s="1786">
        <f t="shared" si="339"/>
        <v>0</v>
      </c>
      <c r="W2005" s="1789" t="str">
        <f t="shared" si="340"/>
        <v>מגדל גמל פלטינום בע"מ</v>
      </c>
      <c r="AC2005" s="1761" t="s">
        <v>1586</v>
      </c>
      <c r="AD2005" s="1762">
        <v>39820.439537036997</v>
      </c>
      <c r="AE2005" s="1762">
        <v>34991</v>
      </c>
      <c r="AF2005" s="1761" t="s">
        <v>1583</v>
      </c>
      <c r="AG2005" s="1761" t="s">
        <v>1583</v>
      </c>
      <c r="AH2005" s="1761" t="s">
        <v>1583</v>
      </c>
      <c r="AI2005" s="1761" t="s">
        <v>3003</v>
      </c>
      <c r="AJ2005" s="1761" t="s">
        <v>1654</v>
      </c>
      <c r="AK2005" s="1761">
        <v>200</v>
      </c>
      <c r="AL2005" s="1761" t="s">
        <v>1654</v>
      </c>
      <c r="AM2005" s="1761">
        <v>200</v>
      </c>
      <c r="AN2005" s="1761" t="s">
        <v>5470</v>
      </c>
      <c r="AO2005" s="1764"/>
      <c r="AP2005" s="1761"/>
      <c r="AQ2005" s="1761"/>
      <c r="AR2005" s="1761" t="s">
        <v>1656</v>
      </c>
      <c r="AS2005" s="1761" t="s">
        <v>1655</v>
      </c>
      <c r="AT2005" s="1761" t="s">
        <v>327</v>
      </c>
      <c r="AU2005" s="1763"/>
      <c r="AV2005" s="1763"/>
    </row>
    <row r="2006" spans="1:48" ht="25" hidden="1">
      <c r="A2006" s="1785" t="str">
        <f t="shared" si="330"/>
        <v>גמל</v>
      </c>
      <c r="B2006" s="1786">
        <f t="shared" si="331"/>
        <v>184</v>
      </c>
      <c r="C2006" s="1787">
        <v>28946</v>
      </c>
      <c r="D2006" s="1786" t="str">
        <f t="shared" si="332"/>
        <v>טפחות גמל נדל"ן</v>
      </c>
      <c r="E2006" s="1786" t="s">
        <v>3929</v>
      </c>
      <c r="F2006" s="1786" t="s">
        <v>2958</v>
      </c>
      <c r="G2006" s="1786" t="s">
        <v>2959</v>
      </c>
      <c r="H2006" s="1786" t="str">
        <f t="shared" si="333"/>
        <v>לא פעיל</v>
      </c>
      <c r="I2006" s="1788">
        <f t="shared" si="334"/>
        <v>35431</v>
      </c>
      <c r="J2006" s="1788">
        <f t="shared" si="335"/>
        <v>36947.458275463003</v>
      </c>
      <c r="K2006" s="1786">
        <v>0</v>
      </c>
      <c r="L2006" s="1786" t="s">
        <v>1594</v>
      </c>
      <c r="M2006" s="1786" t="s">
        <v>1653</v>
      </c>
      <c r="N2006" s="1786" t="s">
        <v>1653</v>
      </c>
      <c r="O2006" s="1786">
        <v>0</v>
      </c>
      <c r="P2006" s="1786"/>
      <c r="Q2006" s="1786">
        <v>0</v>
      </c>
      <c r="R2006" s="1788"/>
      <c r="S2006" s="1786">
        <f t="shared" si="336"/>
        <v>184</v>
      </c>
      <c r="T2006" s="1786" t="str">
        <f t="shared" si="337"/>
        <v>בנק הפועלים בע"מ</v>
      </c>
      <c r="U2006" s="1786" t="str">
        <f t="shared" si="338"/>
        <v>טפחות גמל נדל"ן</v>
      </c>
      <c r="V2006" s="1786">
        <f t="shared" si="339"/>
        <v>0</v>
      </c>
      <c r="W2006" s="1789" t="str">
        <f t="shared" si="340"/>
        <v>אסיף חברה לניהול קופ"ג בע"מ</v>
      </c>
      <c r="AC2006" s="1759" t="s">
        <v>1586</v>
      </c>
      <c r="AD2006" s="1760">
        <v>36947.458275463003</v>
      </c>
      <c r="AE2006" s="1760">
        <v>35431</v>
      </c>
      <c r="AF2006" s="1759" t="s">
        <v>1583</v>
      </c>
      <c r="AG2006" s="1759" t="s">
        <v>1583</v>
      </c>
      <c r="AH2006" s="1759" t="s">
        <v>1583</v>
      </c>
      <c r="AI2006" s="1759" t="s">
        <v>1650</v>
      </c>
      <c r="AJ2006" s="1759" t="s">
        <v>1650</v>
      </c>
      <c r="AK2006" s="1759">
        <v>184</v>
      </c>
      <c r="AL2006" s="1759" t="s">
        <v>1650</v>
      </c>
      <c r="AM2006" s="1759">
        <v>184</v>
      </c>
      <c r="AN2006" s="1759" t="s">
        <v>1695</v>
      </c>
      <c r="AO2006" s="1764"/>
      <c r="AP2006" s="1759"/>
      <c r="AQ2006" s="1759"/>
      <c r="AR2006" s="1759" t="s">
        <v>1652</v>
      </c>
      <c r="AS2006" s="1759" t="s">
        <v>1651</v>
      </c>
      <c r="AT2006" s="1759" t="s">
        <v>327</v>
      </c>
      <c r="AU2006" s="1763"/>
      <c r="AV2006" s="1763"/>
    </row>
    <row r="2007" spans="1:48" ht="25" hidden="1">
      <c r="A2007" s="1785" t="str">
        <f t="shared" ref="A2007:A2070" si="341">AT2007</f>
        <v>גמל</v>
      </c>
      <c r="B2007" s="1786">
        <f t="shared" ref="B2007:B2070" si="342">AK2007</f>
        <v>183</v>
      </c>
      <c r="C2007" s="1787">
        <v>28946</v>
      </c>
      <c r="D2007" s="1786" t="str">
        <f t="shared" ref="D2007:D2070" si="343">AJ2007</f>
        <v>מניב השתלמות יציב</v>
      </c>
      <c r="E2007" s="1786" t="s">
        <v>3929</v>
      </c>
      <c r="F2007" s="1786" t="s">
        <v>2958</v>
      </c>
      <c r="G2007" s="1786" t="s">
        <v>2959</v>
      </c>
      <c r="H2007" s="1786" t="str">
        <f t="shared" ref="H2007:H2070" si="344">AC2007</f>
        <v>לא פעיל</v>
      </c>
      <c r="I2007" s="1788">
        <f t="shared" ref="I2007:I2070" si="345">IF(AE2007="","",AE2007)</f>
        <v>35065</v>
      </c>
      <c r="J2007" s="1788">
        <f t="shared" ref="J2007:J2070" si="346">IF(AD2007="","",AD2007)</f>
        <v>38320.702696759297</v>
      </c>
      <c r="K2007" s="1786">
        <v>0</v>
      </c>
      <c r="L2007" s="1786" t="s">
        <v>1594</v>
      </c>
      <c r="M2007" s="1786" t="s">
        <v>1653</v>
      </c>
      <c r="N2007" s="1786" t="s">
        <v>1653</v>
      </c>
      <c r="O2007" s="1786">
        <v>0</v>
      </c>
      <c r="P2007" s="1786"/>
      <c r="Q2007" s="1786">
        <v>0</v>
      </c>
      <c r="R2007" s="1788"/>
      <c r="S2007" s="1786">
        <f t="shared" ref="S2007:S2070" si="347">AM2007</f>
        <v>183</v>
      </c>
      <c r="T2007" s="1786" t="str">
        <f t="shared" ref="T2007:T2070" si="348">AN2007</f>
        <v>בנק מזרחי טפחות בע"מ</v>
      </c>
      <c r="U2007" s="1786" t="str">
        <f t="shared" ref="U2007:U2070" si="349">AL2007</f>
        <v>מניב השתלמות יציב</v>
      </c>
      <c r="V2007" s="1786">
        <f t="shared" ref="V2007:V2070" si="350">AQ2007</f>
        <v>0</v>
      </c>
      <c r="W2007" s="1789" t="str">
        <f t="shared" ref="W2007:W2070" si="351">AR2007</f>
        <v>סיני גמל השתלמות וחסכון בע"מ</v>
      </c>
      <c r="AC2007" s="1761" t="s">
        <v>1586</v>
      </c>
      <c r="AD2007" s="1762">
        <v>38320.702696759297</v>
      </c>
      <c r="AE2007" s="1762">
        <v>35065</v>
      </c>
      <c r="AF2007" s="1761" t="s">
        <v>1583</v>
      </c>
      <c r="AG2007" s="1761" t="s">
        <v>1583</v>
      </c>
      <c r="AH2007" s="1761" t="s">
        <v>1583</v>
      </c>
      <c r="AI2007" s="1761" t="s">
        <v>2999</v>
      </c>
      <c r="AJ2007" s="1761" t="s">
        <v>1649</v>
      </c>
      <c r="AK2007" s="1761">
        <v>183</v>
      </c>
      <c r="AL2007" s="1761" t="s">
        <v>1649</v>
      </c>
      <c r="AM2007" s="1761">
        <v>183</v>
      </c>
      <c r="AN2007" s="1761" t="s">
        <v>5370</v>
      </c>
      <c r="AO2007" s="1764"/>
      <c r="AP2007" s="1761"/>
      <c r="AQ2007" s="1761"/>
      <c r="AR2007" s="1761" t="s">
        <v>1636</v>
      </c>
      <c r="AS2007" s="1761" t="s">
        <v>1635</v>
      </c>
      <c r="AT2007" s="1761" t="s">
        <v>327</v>
      </c>
      <c r="AU2007" s="1763"/>
      <c r="AV2007" s="1763"/>
    </row>
    <row r="2008" spans="1:48" ht="25" hidden="1">
      <c r="A2008" s="1785" t="str">
        <f t="shared" si="341"/>
        <v>גמל</v>
      </c>
      <c r="B2008" s="1786">
        <f t="shared" si="342"/>
        <v>182</v>
      </c>
      <c r="C2008" s="1787">
        <v>28946</v>
      </c>
      <c r="D2008" s="1786" t="str">
        <f t="shared" si="343"/>
        <v>מיטב גאון השתלמות מסלולית-מסלול כללי</v>
      </c>
      <c r="E2008" s="1786" t="s">
        <v>3929</v>
      </c>
      <c r="F2008" s="1786" t="s">
        <v>2958</v>
      </c>
      <c r="G2008" s="1786" t="s">
        <v>2959</v>
      </c>
      <c r="H2008" s="1786" t="str">
        <f t="shared" si="344"/>
        <v>לא פעיל</v>
      </c>
      <c r="I2008" s="1788">
        <f t="shared" si="345"/>
        <v>35065</v>
      </c>
      <c r="J2008" s="1788">
        <f t="shared" si="346"/>
        <v>40360</v>
      </c>
      <c r="K2008" s="1786">
        <v>0</v>
      </c>
      <c r="L2008" s="1786" t="s">
        <v>1594</v>
      </c>
      <c r="M2008" s="1786" t="s">
        <v>1653</v>
      </c>
      <c r="N2008" s="1786" t="s">
        <v>1653</v>
      </c>
      <c r="O2008" s="1786">
        <v>0</v>
      </c>
      <c r="P2008" s="1786"/>
      <c r="Q2008" s="1786">
        <v>0</v>
      </c>
      <c r="R2008" s="1788"/>
      <c r="S2008" s="1786">
        <f t="shared" si="347"/>
        <v>182</v>
      </c>
      <c r="T2008" s="1786" t="str">
        <f t="shared" si="348"/>
        <v>בנק הפועלים בע"מ</v>
      </c>
      <c r="U2008" s="1786" t="str">
        <f t="shared" si="349"/>
        <v>מיטב גאון השתלמות מסלולית-מסלול כללי</v>
      </c>
      <c r="V2008" s="1786">
        <f t="shared" si="350"/>
        <v>0</v>
      </c>
      <c r="W2008" s="1789" t="str">
        <f t="shared" si="351"/>
        <v>מיטב גמל ופנסיה בע"מ</v>
      </c>
      <c r="AC2008" s="1759" t="s">
        <v>1586</v>
      </c>
      <c r="AD2008" s="1760">
        <v>40360</v>
      </c>
      <c r="AE2008" s="1760">
        <v>35065</v>
      </c>
      <c r="AF2008" s="1759" t="s">
        <v>1583</v>
      </c>
      <c r="AG2008" s="1759" t="s">
        <v>1583</v>
      </c>
      <c r="AH2008" s="1759" t="s">
        <v>1583</v>
      </c>
      <c r="AI2008" s="1759" t="s">
        <v>2998</v>
      </c>
      <c r="AJ2008" s="1759" t="s">
        <v>1648</v>
      </c>
      <c r="AK2008" s="1759">
        <v>182</v>
      </c>
      <c r="AL2008" s="1759" t="s">
        <v>1648</v>
      </c>
      <c r="AM2008" s="1759">
        <v>182</v>
      </c>
      <c r="AN2008" s="1759" t="s">
        <v>1695</v>
      </c>
      <c r="AO2008" s="1764"/>
      <c r="AP2008" s="1759"/>
      <c r="AQ2008" s="1759"/>
      <c r="AR2008" s="1759" t="s">
        <v>365</v>
      </c>
      <c r="AS2008" s="1759" t="s">
        <v>366</v>
      </c>
      <c r="AT2008" s="1759" t="s">
        <v>327</v>
      </c>
      <c r="AU2008" s="1763"/>
      <c r="AV2008" s="1763"/>
    </row>
    <row r="2009" spans="1:48" ht="37.5" hidden="1">
      <c r="A2009" s="1785" t="str">
        <f t="shared" si="341"/>
        <v>גמל</v>
      </c>
      <c r="B2009" s="1786">
        <f t="shared" si="342"/>
        <v>181</v>
      </c>
      <c r="C2009" s="1787">
        <v>28946</v>
      </c>
      <c r="D2009" s="1786" t="str">
        <f t="shared" si="343"/>
        <v>מנורה - ק"ג לתגמולים לשכירים ולעצמאים</v>
      </c>
      <c r="E2009" s="1786" t="s">
        <v>3929</v>
      </c>
      <c r="F2009" s="1786" t="s">
        <v>2958</v>
      </c>
      <c r="G2009" s="1786" t="s">
        <v>2959</v>
      </c>
      <c r="H2009" s="1786" t="str">
        <f t="shared" si="344"/>
        <v>לא פעיל</v>
      </c>
      <c r="I2009" s="1788">
        <f t="shared" si="345"/>
        <v>35431</v>
      </c>
      <c r="J2009" s="1788">
        <f t="shared" si="346"/>
        <v>35995.660798611098</v>
      </c>
      <c r="K2009" s="1786">
        <v>0</v>
      </c>
      <c r="L2009" s="1786" t="s">
        <v>1594</v>
      </c>
      <c r="M2009" s="1786" t="s">
        <v>1653</v>
      </c>
      <c r="N2009" s="1786" t="s">
        <v>1653</v>
      </c>
      <c r="O2009" s="1786">
        <v>0</v>
      </c>
      <c r="P2009" s="1786"/>
      <c r="Q2009" s="1786">
        <v>0</v>
      </c>
      <c r="R2009" s="1788"/>
      <c r="S2009" s="1786">
        <f t="shared" si="347"/>
        <v>181</v>
      </c>
      <c r="T2009" s="1786">
        <f t="shared" si="348"/>
        <v>0</v>
      </c>
      <c r="U2009" s="1786" t="str">
        <f t="shared" si="349"/>
        <v>מנורה - ק"ג לתגמולים לשכירים ולעצמאים</v>
      </c>
      <c r="V2009" s="1786">
        <f t="shared" si="350"/>
        <v>0</v>
      </c>
      <c r="W2009" s="1789" t="str">
        <f t="shared" si="351"/>
        <v>קופת הפיצויים ליד מנורה חב' לביטוח בע"מ</v>
      </c>
      <c r="AC2009" s="1761" t="s">
        <v>1586</v>
      </c>
      <c r="AD2009" s="1762">
        <v>35995.660798611098</v>
      </c>
      <c r="AE2009" s="1762">
        <v>35431</v>
      </c>
      <c r="AF2009" s="1761" t="s">
        <v>1583</v>
      </c>
      <c r="AG2009" s="1761" t="s">
        <v>1583</v>
      </c>
      <c r="AH2009" s="1761" t="s">
        <v>1583</v>
      </c>
      <c r="AI2009" s="1761" t="s">
        <v>2997</v>
      </c>
      <c r="AJ2009" s="1761" t="s">
        <v>1645</v>
      </c>
      <c r="AK2009" s="1761">
        <v>181</v>
      </c>
      <c r="AL2009" s="1761" t="s">
        <v>1645</v>
      </c>
      <c r="AM2009" s="1761">
        <v>181</v>
      </c>
      <c r="AN2009" s="1761"/>
      <c r="AO2009" s="1764"/>
      <c r="AP2009" s="1761"/>
      <c r="AQ2009" s="1761"/>
      <c r="AR2009" s="1761" t="s">
        <v>1647</v>
      </c>
      <c r="AS2009" s="1761" t="s">
        <v>1646</v>
      </c>
      <c r="AT2009" s="1761" t="s">
        <v>327</v>
      </c>
      <c r="AU2009" s="1763"/>
      <c r="AV2009" s="1763"/>
    </row>
    <row r="2010" spans="1:48" ht="25">
      <c r="A2010" s="1785" t="str">
        <f t="shared" si="341"/>
        <v>פנסיה</v>
      </c>
      <c r="B2010" s="1786">
        <f t="shared" si="342"/>
        <v>2197</v>
      </c>
      <c r="C2010" s="1787">
        <v>28946</v>
      </c>
      <c r="D2010" s="1786" t="str">
        <f t="shared" si="343"/>
        <v>אקסלנס נשואה פנסיה - פנסיונרים</v>
      </c>
      <c r="E2010" s="1786" t="s">
        <v>3929</v>
      </c>
      <c r="F2010" s="1786" t="s">
        <v>2958</v>
      </c>
      <c r="G2010" s="1786" t="s">
        <v>2959</v>
      </c>
      <c r="H2010" s="1786" t="str">
        <f t="shared" si="344"/>
        <v>לא פעיל</v>
      </c>
      <c r="I2010" s="1788">
        <f t="shared" si="345"/>
        <v>35426</v>
      </c>
      <c r="J2010" s="1788">
        <f t="shared" si="346"/>
        <v>41689.560462963003</v>
      </c>
      <c r="K2010" s="1786">
        <v>0</v>
      </c>
      <c r="L2010" s="1786" t="s">
        <v>1594</v>
      </c>
      <c r="M2010" s="1786" t="s">
        <v>1653</v>
      </c>
      <c r="N2010" s="1786" t="s">
        <v>1653</v>
      </c>
      <c r="O2010" s="1786">
        <v>0</v>
      </c>
      <c r="P2010" s="1786"/>
      <c r="Q2010" s="1786">
        <v>0</v>
      </c>
      <c r="R2010" s="1788"/>
      <c r="S2010" s="1786">
        <f t="shared" si="347"/>
        <v>180</v>
      </c>
      <c r="T2010" s="1786">
        <f t="shared" si="348"/>
        <v>0</v>
      </c>
      <c r="U2010" s="1786" t="str">
        <f t="shared" si="349"/>
        <v>אקסלנס נשואה פנסיה</v>
      </c>
      <c r="V2010" s="1786" t="str">
        <f t="shared" si="350"/>
        <v>520017450</v>
      </c>
      <c r="W2010" s="1789" t="str">
        <f t="shared" si="351"/>
        <v xml:space="preserve">הפניקס אקסלנס פנסיה וגמל בע"מ </v>
      </c>
      <c r="AC2010" s="1759" t="s">
        <v>1586</v>
      </c>
      <c r="AD2010" s="1760">
        <v>41689.560462963003</v>
      </c>
      <c r="AE2010" s="1760">
        <v>35426</v>
      </c>
      <c r="AF2010" s="1759" t="s">
        <v>4160</v>
      </c>
      <c r="AG2010" s="1759" t="s">
        <v>2614</v>
      </c>
      <c r="AH2010" s="1759" t="s">
        <v>3658</v>
      </c>
      <c r="AI2010" s="1759" t="s">
        <v>2645</v>
      </c>
      <c r="AJ2010" s="1759" t="s">
        <v>2645</v>
      </c>
      <c r="AK2010" s="1759">
        <v>2197</v>
      </c>
      <c r="AL2010" s="1759" t="s">
        <v>2641</v>
      </c>
      <c r="AM2010" s="1759">
        <v>180</v>
      </c>
      <c r="AN2010" s="1759"/>
      <c r="AO2010" s="1764"/>
      <c r="AP2010" s="1759" t="s">
        <v>5379</v>
      </c>
      <c r="AQ2010" s="1759" t="s">
        <v>5380</v>
      </c>
      <c r="AR2010" s="1759" t="s">
        <v>5381</v>
      </c>
      <c r="AS2010" s="1759" t="s">
        <v>347</v>
      </c>
      <c r="AT2010" s="1759" t="s">
        <v>328</v>
      </c>
      <c r="AU2010" s="1763"/>
      <c r="AV2010" s="1763"/>
    </row>
    <row r="2011" spans="1:48" ht="25">
      <c r="A2011" s="1785" t="str">
        <f t="shared" si="341"/>
        <v>פנסיה</v>
      </c>
      <c r="B2011" s="1786">
        <f t="shared" si="342"/>
        <v>2192</v>
      </c>
      <c r="C2011" s="1787">
        <v>28946</v>
      </c>
      <c r="D2011" s="1786" t="str">
        <f t="shared" si="343"/>
        <v>אקסלנס נשואה פנסיה - כללי</v>
      </c>
      <c r="E2011" s="1786" t="s">
        <v>3929</v>
      </c>
      <c r="F2011" s="1786" t="s">
        <v>2958</v>
      </c>
      <c r="G2011" s="1786" t="s">
        <v>2959</v>
      </c>
      <c r="H2011" s="1786" t="str">
        <f t="shared" si="344"/>
        <v>לא פעיל</v>
      </c>
      <c r="I2011" s="1788">
        <f t="shared" si="345"/>
        <v>35426</v>
      </c>
      <c r="J2011" s="1788">
        <f t="shared" si="346"/>
        <v>41689.560462963003</v>
      </c>
      <c r="K2011" s="1786">
        <v>0</v>
      </c>
      <c r="L2011" s="1786" t="s">
        <v>1594</v>
      </c>
      <c r="M2011" s="1786" t="s">
        <v>1653</v>
      </c>
      <c r="N2011" s="1786" t="s">
        <v>1653</v>
      </c>
      <c r="O2011" s="1786">
        <v>0</v>
      </c>
      <c r="P2011" s="1786"/>
      <c r="Q2011" s="1786">
        <v>0</v>
      </c>
      <c r="R2011" s="1788"/>
      <c r="S2011" s="1786">
        <f t="shared" si="347"/>
        <v>180</v>
      </c>
      <c r="T2011" s="1786">
        <f t="shared" si="348"/>
        <v>0</v>
      </c>
      <c r="U2011" s="1786" t="str">
        <f t="shared" si="349"/>
        <v>אקסלנס נשואה פנסיה</v>
      </c>
      <c r="V2011" s="1786" t="str">
        <f t="shared" si="350"/>
        <v>520017450</v>
      </c>
      <c r="W2011" s="1789" t="str">
        <f t="shared" si="351"/>
        <v xml:space="preserve">הפניקס אקסלנס פנסיה וגמל בע"מ </v>
      </c>
      <c r="AC2011" s="1761" t="s">
        <v>1586</v>
      </c>
      <c r="AD2011" s="1762">
        <v>41689.560462963003</v>
      </c>
      <c r="AE2011" s="1762">
        <v>35426</v>
      </c>
      <c r="AF2011" s="1761" t="s">
        <v>1583</v>
      </c>
      <c r="AG2011" s="1761" t="s">
        <v>1583</v>
      </c>
      <c r="AH2011" s="1761" t="s">
        <v>1583</v>
      </c>
      <c r="AI2011" s="1761" t="s">
        <v>2640</v>
      </c>
      <c r="AJ2011" s="1761" t="s">
        <v>2640</v>
      </c>
      <c r="AK2011" s="1761">
        <v>2192</v>
      </c>
      <c r="AL2011" s="1761" t="s">
        <v>2641</v>
      </c>
      <c r="AM2011" s="1761">
        <v>180</v>
      </c>
      <c r="AN2011" s="1761"/>
      <c r="AO2011" s="1764"/>
      <c r="AP2011" s="1761" t="s">
        <v>5379</v>
      </c>
      <c r="AQ2011" s="1761" t="s">
        <v>5380</v>
      </c>
      <c r="AR2011" s="1761" t="s">
        <v>5381</v>
      </c>
      <c r="AS2011" s="1761" t="s">
        <v>347</v>
      </c>
      <c r="AT2011" s="1761" t="s">
        <v>328</v>
      </c>
      <c r="AU2011" s="1763"/>
      <c r="AV2011" s="1763"/>
    </row>
    <row r="2012" spans="1:48" ht="25" hidden="1">
      <c r="A2012" s="1785" t="str">
        <f t="shared" si="341"/>
        <v>גמל</v>
      </c>
      <c r="B2012" s="1786">
        <f t="shared" si="342"/>
        <v>179</v>
      </c>
      <c r="C2012" s="1787">
        <v>28946</v>
      </c>
      <c r="D2012" s="1786" t="str">
        <f t="shared" si="343"/>
        <v>אמנת</v>
      </c>
      <c r="E2012" s="1786" t="s">
        <v>3929</v>
      </c>
      <c r="F2012" s="1786" t="s">
        <v>2958</v>
      </c>
      <c r="G2012" s="1786" t="s">
        <v>2959</v>
      </c>
      <c r="H2012" s="1786" t="str">
        <f t="shared" si="344"/>
        <v>לא פעיל</v>
      </c>
      <c r="I2012" s="1788">
        <f t="shared" si="345"/>
        <v>35431</v>
      </c>
      <c r="J2012" s="1788">
        <f t="shared" si="346"/>
        <v>35904.683854166702</v>
      </c>
      <c r="K2012" s="1786">
        <v>0</v>
      </c>
      <c r="L2012" s="1786" t="s">
        <v>1594</v>
      </c>
      <c r="M2012" s="1786" t="s">
        <v>1653</v>
      </c>
      <c r="N2012" s="1786" t="s">
        <v>1653</v>
      </c>
      <c r="O2012" s="1786">
        <v>0</v>
      </c>
      <c r="P2012" s="1786"/>
      <c r="Q2012" s="1786">
        <v>0</v>
      </c>
      <c r="R2012" s="1788"/>
      <c r="S2012" s="1786">
        <f t="shared" si="347"/>
        <v>179</v>
      </c>
      <c r="T2012" s="1786">
        <f t="shared" si="348"/>
        <v>0</v>
      </c>
      <c r="U2012" s="1786" t="str">
        <f t="shared" si="349"/>
        <v>אמנת</v>
      </c>
      <c r="V2012" s="1786">
        <f t="shared" si="350"/>
        <v>0</v>
      </c>
      <c r="W2012" s="1789" t="str">
        <f t="shared" si="351"/>
        <v>קרן הפנסיה "אמנת" בע"מ</v>
      </c>
      <c r="AC2012" s="1759" t="s">
        <v>1586</v>
      </c>
      <c r="AD2012" s="1760">
        <v>35904.683854166702</v>
      </c>
      <c r="AE2012" s="1760">
        <v>35431</v>
      </c>
      <c r="AF2012" s="1759" t="s">
        <v>1583</v>
      </c>
      <c r="AG2012" s="1759" t="s">
        <v>1583</v>
      </c>
      <c r="AH2012" s="1759" t="s">
        <v>1583</v>
      </c>
      <c r="AI2012" s="1759" t="s">
        <v>1643</v>
      </c>
      <c r="AJ2012" s="1759" t="s">
        <v>1643</v>
      </c>
      <c r="AK2012" s="1759">
        <v>179</v>
      </c>
      <c r="AL2012" s="1759" t="s">
        <v>1643</v>
      </c>
      <c r="AM2012" s="1759">
        <v>179</v>
      </c>
      <c r="AN2012" s="1759"/>
      <c r="AO2012" s="1764"/>
      <c r="AP2012" s="1759"/>
      <c r="AQ2012" s="1759"/>
      <c r="AR2012" s="1759" t="s">
        <v>1644</v>
      </c>
      <c r="AS2012" s="1759"/>
      <c r="AT2012" s="1759" t="s">
        <v>327</v>
      </c>
      <c r="AU2012" s="1763"/>
      <c r="AV2012" s="1763"/>
    </row>
    <row r="2013" spans="1:48" ht="25" hidden="1">
      <c r="A2013" s="1785" t="str">
        <f t="shared" si="341"/>
        <v>גמל</v>
      </c>
      <c r="B2013" s="1786">
        <f t="shared" si="342"/>
        <v>178</v>
      </c>
      <c r="C2013" s="1787">
        <v>28946</v>
      </c>
      <c r="D2013" s="1786" t="str">
        <f t="shared" si="343"/>
        <v>תכלית</v>
      </c>
      <c r="E2013" s="1786" t="s">
        <v>3929</v>
      </c>
      <c r="F2013" s="1786" t="s">
        <v>2958</v>
      </c>
      <c r="G2013" s="1786" t="s">
        <v>2959</v>
      </c>
      <c r="H2013" s="1786" t="str">
        <f t="shared" si="344"/>
        <v>לא פעיל</v>
      </c>
      <c r="I2013" s="1788">
        <f t="shared" si="345"/>
        <v>35431</v>
      </c>
      <c r="J2013" s="1788">
        <f t="shared" si="346"/>
        <v>35904.684074074103</v>
      </c>
      <c r="K2013" s="1786">
        <v>0</v>
      </c>
      <c r="L2013" s="1786" t="s">
        <v>1594</v>
      </c>
      <c r="M2013" s="1786" t="s">
        <v>1653</v>
      </c>
      <c r="N2013" s="1786" t="s">
        <v>1653</v>
      </c>
      <c r="O2013" s="1786">
        <v>0</v>
      </c>
      <c r="P2013" s="1786"/>
      <c r="Q2013" s="1786">
        <v>0</v>
      </c>
      <c r="R2013" s="1788"/>
      <c r="S2013" s="1786">
        <f t="shared" si="347"/>
        <v>178</v>
      </c>
      <c r="T2013" s="1786">
        <f t="shared" si="348"/>
        <v>0</v>
      </c>
      <c r="U2013" s="1786" t="str">
        <f t="shared" si="349"/>
        <v>תכלית</v>
      </c>
      <c r="V2013" s="1786">
        <f t="shared" si="350"/>
        <v>0</v>
      </c>
      <c r="W2013" s="1789" t="str">
        <f t="shared" si="351"/>
        <v>תכליתי - חברה לניהול בע"מ</v>
      </c>
      <c r="AC2013" s="1761" t="s">
        <v>1586</v>
      </c>
      <c r="AD2013" s="1762">
        <v>35904.684074074103</v>
      </c>
      <c r="AE2013" s="1762">
        <v>35431</v>
      </c>
      <c r="AF2013" s="1761" t="s">
        <v>1583</v>
      </c>
      <c r="AG2013" s="1761" t="s">
        <v>1583</v>
      </c>
      <c r="AH2013" s="1761" t="s">
        <v>1583</v>
      </c>
      <c r="AI2013" s="1761" t="s">
        <v>1640</v>
      </c>
      <c r="AJ2013" s="1761" t="s">
        <v>1640</v>
      </c>
      <c r="AK2013" s="1761">
        <v>178</v>
      </c>
      <c r="AL2013" s="1761" t="s">
        <v>1640</v>
      </c>
      <c r="AM2013" s="1761">
        <v>178</v>
      </c>
      <c r="AN2013" s="1761"/>
      <c r="AO2013" s="1764"/>
      <c r="AP2013" s="1761"/>
      <c r="AQ2013" s="1761"/>
      <c r="AR2013" s="1761" t="s">
        <v>1642</v>
      </c>
      <c r="AS2013" s="1761" t="s">
        <v>1641</v>
      </c>
      <c r="AT2013" s="1761" t="s">
        <v>327</v>
      </c>
      <c r="AU2013" s="1763"/>
      <c r="AV2013" s="1763"/>
    </row>
    <row r="2014" spans="1:48" ht="25" hidden="1">
      <c r="A2014" s="1785" t="str">
        <f t="shared" si="341"/>
        <v>גמל</v>
      </c>
      <c r="B2014" s="1786">
        <f t="shared" si="342"/>
        <v>177</v>
      </c>
      <c r="C2014" s="1787">
        <v>28946</v>
      </c>
      <c r="D2014" s="1786" t="str">
        <f t="shared" si="343"/>
        <v>מניב השתלמות - קרן השתלמות</v>
      </c>
      <c r="E2014" s="1786" t="s">
        <v>3929</v>
      </c>
      <c r="F2014" s="1786" t="s">
        <v>2958</v>
      </c>
      <c r="G2014" s="1786" t="s">
        <v>2959</v>
      </c>
      <c r="H2014" s="1786" t="str">
        <f t="shared" si="344"/>
        <v>לא פעיל</v>
      </c>
      <c r="I2014" s="1788">
        <f t="shared" si="345"/>
        <v>35065</v>
      </c>
      <c r="J2014" s="1788">
        <f t="shared" si="346"/>
        <v>38320.702013888898</v>
      </c>
      <c r="K2014" s="1786">
        <v>0</v>
      </c>
      <c r="L2014" s="1786" t="s">
        <v>1594</v>
      </c>
      <c r="M2014" s="1786" t="s">
        <v>1653</v>
      </c>
      <c r="N2014" s="1786" t="s">
        <v>1653</v>
      </c>
      <c r="O2014" s="1786">
        <v>0</v>
      </c>
      <c r="P2014" s="1786"/>
      <c r="Q2014" s="1786">
        <v>0</v>
      </c>
      <c r="R2014" s="1788"/>
      <c r="S2014" s="1786">
        <f t="shared" si="347"/>
        <v>177</v>
      </c>
      <c r="T2014" s="1786" t="str">
        <f t="shared" si="348"/>
        <v>בנק מזרחי טפחות בע"מ</v>
      </c>
      <c r="U2014" s="1786" t="str">
        <f t="shared" si="349"/>
        <v>מניב השתלמות - קרן השתלמות</v>
      </c>
      <c r="V2014" s="1786">
        <f t="shared" si="350"/>
        <v>0</v>
      </c>
      <c r="W2014" s="1789" t="str">
        <f t="shared" si="351"/>
        <v>סיני גמל השתלמות וחסכון בע"מ</v>
      </c>
      <c r="AC2014" s="1759" t="s">
        <v>1586</v>
      </c>
      <c r="AD2014" s="1760">
        <v>38320.702013888898</v>
      </c>
      <c r="AE2014" s="1760">
        <v>35065</v>
      </c>
      <c r="AF2014" s="1759" t="s">
        <v>1583</v>
      </c>
      <c r="AG2014" s="1759" t="s">
        <v>1583</v>
      </c>
      <c r="AH2014" s="1759" t="s">
        <v>1583</v>
      </c>
      <c r="AI2014" s="1759" t="s">
        <v>2996</v>
      </c>
      <c r="AJ2014" s="1759" t="s">
        <v>1639</v>
      </c>
      <c r="AK2014" s="1759">
        <v>177</v>
      </c>
      <c r="AL2014" s="1759" t="s">
        <v>1639</v>
      </c>
      <c r="AM2014" s="1759">
        <v>177</v>
      </c>
      <c r="AN2014" s="1759" t="s">
        <v>5370</v>
      </c>
      <c r="AO2014" s="1764"/>
      <c r="AP2014" s="1759"/>
      <c r="AQ2014" s="1759"/>
      <c r="AR2014" s="1759" t="s">
        <v>1636</v>
      </c>
      <c r="AS2014" s="1759" t="s">
        <v>1635</v>
      </c>
      <c r="AT2014" s="1759" t="s">
        <v>327</v>
      </c>
      <c r="AU2014" s="1763"/>
      <c r="AV2014" s="1763"/>
    </row>
    <row r="2015" spans="1:48" ht="25" hidden="1">
      <c r="A2015" s="1785" t="str">
        <f t="shared" si="341"/>
        <v>גמל</v>
      </c>
      <c r="B2015" s="1786">
        <f t="shared" si="342"/>
        <v>176</v>
      </c>
      <c r="C2015" s="1787">
        <v>28946</v>
      </c>
      <c r="D2015" s="1786" t="str">
        <f t="shared" si="343"/>
        <v>מניב פיצויים - קופת גמל מרכזית לפיצויים</v>
      </c>
      <c r="E2015" s="1786" t="s">
        <v>3929</v>
      </c>
      <c r="F2015" s="1786" t="s">
        <v>2958</v>
      </c>
      <c r="G2015" s="1786" t="s">
        <v>2959</v>
      </c>
      <c r="H2015" s="1786" t="str">
        <f t="shared" si="344"/>
        <v>לא פעיל</v>
      </c>
      <c r="I2015" s="1788">
        <f t="shared" si="345"/>
        <v>35065</v>
      </c>
      <c r="J2015" s="1788">
        <f t="shared" si="346"/>
        <v>38320.702523148102</v>
      </c>
      <c r="K2015" s="1786">
        <v>0</v>
      </c>
      <c r="L2015" s="1786" t="s">
        <v>1594</v>
      </c>
      <c r="M2015" s="1786" t="s">
        <v>1653</v>
      </c>
      <c r="N2015" s="1786" t="s">
        <v>1653</v>
      </c>
      <c r="O2015" s="1786">
        <v>0</v>
      </c>
      <c r="P2015" s="1786"/>
      <c r="Q2015" s="1786">
        <v>0</v>
      </c>
      <c r="R2015" s="1788"/>
      <c r="S2015" s="1786">
        <f t="shared" si="347"/>
        <v>176</v>
      </c>
      <c r="T2015" s="1786" t="str">
        <f t="shared" si="348"/>
        <v>בנק מזרחי טפחות בע"מ</v>
      </c>
      <c r="U2015" s="1786" t="str">
        <f t="shared" si="349"/>
        <v>מניב פיצויים - קופת גמל מרכזית לפיצויים</v>
      </c>
      <c r="V2015" s="1786">
        <f t="shared" si="350"/>
        <v>0</v>
      </c>
      <c r="W2015" s="1789" t="str">
        <f t="shared" si="351"/>
        <v>סיני גמל השתלמות וחסכון בע"מ</v>
      </c>
      <c r="AC2015" s="1761" t="s">
        <v>1586</v>
      </c>
      <c r="AD2015" s="1762">
        <v>38320.702523148102</v>
      </c>
      <c r="AE2015" s="1762">
        <v>35065</v>
      </c>
      <c r="AF2015" s="1761" t="s">
        <v>1583</v>
      </c>
      <c r="AG2015" s="1761" t="s">
        <v>1583</v>
      </c>
      <c r="AH2015" s="1761" t="s">
        <v>1583</v>
      </c>
      <c r="AI2015" s="1761" t="s">
        <v>2995</v>
      </c>
      <c r="AJ2015" s="1761" t="s">
        <v>1638</v>
      </c>
      <c r="AK2015" s="1761">
        <v>176</v>
      </c>
      <c r="AL2015" s="1761" t="s">
        <v>1638</v>
      </c>
      <c r="AM2015" s="1761">
        <v>176</v>
      </c>
      <c r="AN2015" s="1761" t="s">
        <v>5370</v>
      </c>
      <c r="AO2015" s="1764"/>
      <c r="AP2015" s="1761"/>
      <c r="AQ2015" s="1761"/>
      <c r="AR2015" s="1761" t="s">
        <v>1636</v>
      </c>
      <c r="AS2015" s="1761" t="s">
        <v>1635</v>
      </c>
      <c r="AT2015" s="1761" t="s">
        <v>327</v>
      </c>
      <c r="AU2015" s="1763"/>
      <c r="AV2015" s="1763"/>
    </row>
    <row r="2016" spans="1:48" ht="25" hidden="1">
      <c r="A2016" s="1785" t="str">
        <f t="shared" si="341"/>
        <v>גמל</v>
      </c>
      <c r="B2016" s="1786">
        <f t="shared" si="342"/>
        <v>175</v>
      </c>
      <c r="C2016" s="1787">
        <v>28946</v>
      </c>
      <c r="D2016" s="1786" t="str">
        <f t="shared" si="343"/>
        <v>מניב גמל יציב - קופת גמל לתגמולים ולפיצויים</v>
      </c>
      <c r="E2016" s="1786" t="s">
        <v>3929</v>
      </c>
      <c r="F2016" s="1786" t="s">
        <v>2958</v>
      </c>
      <c r="G2016" s="1786" t="s">
        <v>2959</v>
      </c>
      <c r="H2016" s="1786" t="str">
        <f t="shared" si="344"/>
        <v>לא פעיל</v>
      </c>
      <c r="I2016" s="1788">
        <f t="shared" si="345"/>
        <v>35078</v>
      </c>
      <c r="J2016" s="1788">
        <f t="shared" si="346"/>
        <v>38320.701851851903</v>
      </c>
      <c r="K2016" s="1786">
        <v>0</v>
      </c>
      <c r="L2016" s="1786" t="s">
        <v>1594</v>
      </c>
      <c r="M2016" s="1786" t="s">
        <v>1653</v>
      </c>
      <c r="N2016" s="1786" t="s">
        <v>1653</v>
      </c>
      <c r="O2016" s="1786">
        <v>0</v>
      </c>
      <c r="P2016" s="1786"/>
      <c r="Q2016" s="1786">
        <v>0</v>
      </c>
      <c r="R2016" s="1788"/>
      <c r="S2016" s="1786">
        <f t="shared" si="347"/>
        <v>175</v>
      </c>
      <c r="T2016" s="1786" t="str">
        <f t="shared" si="348"/>
        <v>בנק מזרחי טפחות בע"מ</v>
      </c>
      <c r="U2016" s="1786" t="str">
        <f t="shared" si="349"/>
        <v>מניב גמל יציב - קופת גמל לתגמולים ולפיצויים</v>
      </c>
      <c r="V2016" s="1786">
        <f t="shared" si="350"/>
        <v>0</v>
      </c>
      <c r="W2016" s="1789" t="str">
        <f t="shared" si="351"/>
        <v>סיני גמל השתלמות וחסכון בע"מ</v>
      </c>
      <c r="AC2016" s="1759" t="s">
        <v>1586</v>
      </c>
      <c r="AD2016" s="1760">
        <v>38320.701851851903</v>
      </c>
      <c r="AE2016" s="1760">
        <v>35078</v>
      </c>
      <c r="AF2016" s="1759" t="s">
        <v>1583</v>
      </c>
      <c r="AG2016" s="1759" t="s">
        <v>1583</v>
      </c>
      <c r="AH2016" s="1759" t="s">
        <v>1583</v>
      </c>
      <c r="AI2016" s="1759" t="s">
        <v>2994</v>
      </c>
      <c r="AJ2016" s="1759" t="s">
        <v>1637</v>
      </c>
      <c r="AK2016" s="1759">
        <v>175</v>
      </c>
      <c r="AL2016" s="1759" t="s">
        <v>1637</v>
      </c>
      <c r="AM2016" s="1759">
        <v>175</v>
      </c>
      <c r="AN2016" s="1759" t="s">
        <v>5370</v>
      </c>
      <c r="AO2016" s="1764"/>
      <c r="AP2016" s="1759"/>
      <c r="AQ2016" s="1759"/>
      <c r="AR2016" s="1759" t="s">
        <v>1636</v>
      </c>
      <c r="AS2016" s="1759" t="s">
        <v>1635</v>
      </c>
      <c r="AT2016" s="1759" t="s">
        <v>327</v>
      </c>
      <c r="AU2016" s="1763"/>
      <c r="AV2016" s="1763"/>
    </row>
    <row r="2017" spans="1:48" ht="25" hidden="1">
      <c r="A2017" s="1785" t="str">
        <f t="shared" si="341"/>
        <v>גמל</v>
      </c>
      <c r="B2017" s="1786">
        <f t="shared" si="342"/>
        <v>174</v>
      </c>
      <c r="C2017" s="1787">
        <v>28946</v>
      </c>
      <c r="D2017" s="1786" t="str">
        <f t="shared" si="343"/>
        <v>מניב גמל שיאים- קופת גמל לתגמולים ולפיצויים</v>
      </c>
      <c r="E2017" s="1786" t="s">
        <v>3929</v>
      </c>
      <c r="F2017" s="1786" t="s">
        <v>2958</v>
      </c>
      <c r="G2017" s="1786" t="s">
        <v>2959</v>
      </c>
      <c r="H2017" s="1786" t="str">
        <f t="shared" si="344"/>
        <v>לא פעיל</v>
      </c>
      <c r="I2017" s="1788">
        <f t="shared" si="345"/>
        <v>35065</v>
      </c>
      <c r="J2017" s="1788">
        <f t="shared" si="346"/>
        <v>38320.702303240701</v>
      </c>
      <c r="K2017" s="1786">
        <v>0</v>
      </c>
      <c r="L2017" s="1786" t="s">
        <v>1594</v>
      </c>
      <c r="M2017" s="1786" t="s">
        <v>1653</v>
      </c>
      <c r="N2017" s="1786" t="s">
        <v>1653</v>
      </c>
      <c r="O2017" s="1786">
        <v>0</v>
      </c>
      <c r="P2017" s="1786"/>
      <c r="Q2017" s="1786">
        <v>0</v>
      </c>
      <c r="R2017" s="1788"/>
      <c r="S2017" s="1786">
        <f t="shared" si="347"/>
        <v>174</v>
      </c>
      <c r="T2017" s="1786" t="str">
        <f t="shared" si="348"/>
        <v>בנק מזרחי טפחות בע"מ</v>
      </c>
      <c r="U2017" s="1786" t="str">
        <f t="shared" si="349"/>
        <v>מניב גמל שיאים- קופת גמל לתגמולים ולפיצויים</v>
      </c>
      <c r="V2017" s="1786">
        <f t="shared" si="350"/>
        <v>0</v>
      </c>
      <c r="W2017" s="1789" t="str">
        <f t="shared" si="351"/>
        <v>סיני גמל השתלמות וחסכון בע"מ</v>
      </c>
      <c r="AC2017" s="1761" t="s">
        <v>1586</v>
      </c>
      <c r="AD2017" s="1762">
        <v>38320.702303240701</v>
      </c>
      <c r="AE2017" s="1762">
        <v>35065</v>
      </c>
      <c r="AF2017" s="1761" t="s">
        <v>1583</v>
      </c>
      <c r="AG2017" s="1761" t="s">
        <v>1583</v>
      </c>
      <c r="AH2017" s="1761" t="s">
        <v>1583</v>
      </c>
      <c r="AI2017" s="1761" t="s">
        <v>2993</v>
      </c>
      <c r="AJ2017" s="1761" t="s">
        <v>1634</v>
      </c>
      <c r="AK2017" s="1761">
        <v>174</v>
      </c>
      <c r="AL2017" s="1761" t="s">
        <v>1634</v>
      </c>
      <c r="AM2017" s="1761">
        <v>174</v>
      </c>
      <c r="AN2017" s="1761" t="s">
        <v>5370</v>
      </c>
      <c r="AO2017" s="1764"/>
      <c r="AP2017" s="1761"/>
      <c r="AQ2017" s="1761"/>
      <c r="AR2017" s="1761" t="s">
        <v>1636</v>
      </c>
      <c r="AS2017" s="1761" t="s">
        <v>1635</v>
      </c>
      <c r="AT2017" s="1761" t="s">
        <v>327</v>
      </c>
      <c r="AU2017" s="1763"/>
      <c r="AV2017" s="1763"/>
    </row>
    <row r="2018" spans="1:48" ht="25" hidden="1">
      <c r="A2018" s="1785" t="str">
        <f t="shared" si="341"/>
        <v>גמל</v>
      </c>
      <c r="B2018" s="1786">
        <f t="shared" si="342"/>
        <v>173</v>
      </c>
      <c r="C2018" s="1787">
        <v>28946</v>
      </c>
      <c r="D2018" s="1786" t="str">
        <f t="shared" si="343"/>
        <v>אקסלנס טפחות מרכזית</v>
      </c>
      <c r="E2018" s="1786" t="s">
        <v>3929</v>
      </c>
      <c r="F2018" s="1786" t="s">
        <v>2958</v>
      </c>
      <c r="G2018" s="1786" t="s">
        <v>2959</v>
      </c>
      <c r="H2018" s="1786" t="str">
        <f t="shared" si="344"/>
        <v>לא פעיל</v>
      </c>
      <c r="I2018" s="1788">
        <f t="shared" si="345"/>
        <v>35065</v>
      </c>
      <c r="J2018" s="1788">
        <f t="shared" si="346"/>
        <v>41654.717928240701</v>
      </c>
      <c r="K2018" s="1786">
        <v>0</v>
      </c>
      <c r="L2018" s="1786" t="s">
        <v>1594</v>
      </c>
      <c r="M2018" s="1786" t="s">
        <v>1653</v>
      </c>
      <c r="N2018" s="1786" t="s">
        <v>1653</v>
      </c>
      <c r="O2018" s="1786">
        <v>0</v>
      </c>
      <c r="P2018" s="1786"/>
      <c r="Q2018" s="1786">
        <v>0</v>
      </c>
      <c r="R2018" s="1788"/>
      <c r="S2018" s="1786">
        <f t="shared" si="347"/>
        <v>173</v>
      </c>
      <c r="T2018" s="1786" t="str">
        <f t="shared" si="348"/>
        <v>בנק מזרחי טפחות בע"מ</v>
      </c>
      <c r="U2018" s="1786" t="str">
        <f t="shared" si="349"/>
        <v>אקסלנס טפחות מרכזית</v>
      </c>
      <c r="V2018" s="1786" t="str">
        <f t="shared" si="350"/>
        <v>520017450</v>
      </c>
      <c r="W2018" s="1789" t="str">
        <f t="shared" si="351"/>
        <v xml:space="preserve">הפניקס אקסלנס פנסיה וגמל בע"מ </v>
      </c>
      <c r="AC2018" s="1759" t="s">
        <v>1586</v>
      </c>
      <c r="AD2018" s="1760">
        <v>41654.717928240701</v>
      </c>
      <c r="AE2018" s="1760">
        <v>35065</v>
      </c>
      <c r="AF2018" s="1759" t="s">
        <v>1583</v>
      </c>
      <c r="AG2018" s="1759" t="s">
        <v>1583</v>
      </c>
      <c r="AH2018" s="1759" t="s">
        <v>1583</v>
      </c>
      <c r="AI2018" s="1759" t="s">
        <v>398</v>
      </c>
      <c r="AJ2018" s="1759" t="s">
        <v>398</v>
      </c>
      <c r="AK2018" s="1759">
        <v>173</v>
      </c>
      <c r="AL2018" s="1759" t="s">
        <v>398</v>
      </c>
      <c r="AM2018" s="1759">
        <v>173</v>
      </c>
      <c r="AN2018" s="1759" t="s">
        <v>5370</v>
      </c>
      <c r="AO2018" s="1764"/>
      <c r="AP2018" s="1759" t="s">
        <v>5379</v>
      </c>
      <c r="AQ2018" s="1759" t="s">
        <v>5380</v>
      </c>
      <c r="AR2018" s="1759" t="s">
        <v>5381</v>
      </c>
      <c r="AS2018" s="1759" t="s">
        <v>347</v>
      </c>
      <c r="AT2018" s="1759" t="s">
        <v>327</v>
      </c>
      <c r="AU2018" s="1763"/>
      <c r="AV2018" s="1763"/>
    </row>
    <row r="2019" spans="1:48" ht="37.5">
      <c r="A2019" s="1785" t="str">
        <f t="shared" si="341"/>
        <v>פנסיה</v>
      </c>
      <c r="B2019" s="1786">
        <f t="shared" si="342"/>
        <v>2241</v>
      </c>
      <c r="C2019" s="1787">
        <v>28946</v>
      </c>
      <c r="D2019" s="1786" t="str">
        <f t="shared" si="343"/>
        <v>הראל  פנסיה - בסיסי למקבלי קצבה</v>
      </c>
      <c r="E2019" s="1786" t="s">
        <v>3929</v>
      </c>
      <c r="F2019" s="1786" t="s">
        <v>2958</v>
      </c>
      <c r="G2019" s="1786" t="s">
        <v>2959</v>
      </c>
      <c r="H2019" s="1786" t="str">
        <f t="shared" si="344"/>
        <v>לא פעיל</v>
      </c>
      <c r="I2019" s="1788">
        <f t="shared" si="345"/>
        <v>35065</v>
      </c>
      <c r="J2019" s="1788">
        <f t="shared" si="346"/>
        <v>42424.684456018498</v>
      </c>
      <c r="K2019" s="1786">
        <v>0</v>
      </c>
      <c r="L2019" s="1786" t="s">
        <v>1594</v>
      </c>
      <c r="M2019" s="1786" t="s">
        <v>1653</v>
      </c>
      <c r="N2019" s="1786" t="s">
        <v>1653</v>
      </c>
      <c r="O2019" s="1786">
        <v>0</v>
      </c>
      <c r="P2019" s="1786"/>
      <c r="Q2019" s="1786">
        <v>0</v>
      </c>
      <c r="R2019" s="1788"/>
      <c r="S2019" s="1786">
        <f t="shared" si="347"/>
        <v>171</v>
      </c>
      <c r="T2019" s="1786">
        <f t="shared" si="348"/>
        <v>0</v>
      </c>
      <c r="U2019" s="1786" t="str">
        <f t="shared" si="349"/>
        <v>הראל פנסיה</v>
      </c>
      <c r="V2019" s="1786" t="str">
        <f t="shared" si="350"/>
        <v>520033986</v>
      </c>
      <c r="W2019" s="1789" t="str">
        <f t="shared" si="351"/>
        <v>הראל פנסיה וגמל בע"מ</v>
      </c>
      <c r="AC2019" s="1761" t="s">
        <v>1586</v>
      </c>
      <c r="AD2019" s="1762">
        <v>42424.684456018498</v>
      </c>
      <c r="AE2019" s="1762">
        <v>35065</v>
      </c>
      <c r="AF2019" s="1761" t="s">
        <v>1583</v>
      </c>
      <c r="AG2019" s="1761" t="s">
        <v>1583</v>
      </c>
      <c r="AH2019" s="1761" t="s">
        <v>1583</v>
      </c>
      <c r="AI2019" s="1761" t="s">
        <v>4173</v>
      </c>
      <c r="AJ2019" s="1761" t="s">
        <v>4173</v>
      </c>
      <c r="AK2019" s="1761">
        <v>2241</v>
      </c>
      <c r="AL2019" s="1761" t="s">
        <v>4168</v>
      </c>
      <c r="AM2019" s="1761">
        <v>171</v>
      </c>
      <c r="AN2019" s="1761"/>
      <c r="AO2019" s="1764"/>
      <c r="AP2019" s="1761" t="s">
        <v>5396</v>
      </c>
      <c r="AQ2019" s="1761" t="s">
        <v>5397</v>
      </c>
      <c r="AR2019" s="1761" t="s">
        <v>4588</v>
      </c>
      <c r="AS2019" s="1761" t="s">
        <v>405</v>
      </c>
      <c r="AT2019" s="1761" t="s">
        <v>328</v>
      </c>
      <c r="AU2019" s="1763"/>
      <c r="AV2019" s="1763"/>
    </row>
    <row r="2020" spans="1:48" ht="37.5">
      <c r="A2020" s="1785" t="str">
        <f t="shared" si="341"/>
        <v>פנסיה</v>
      </c>
      <c r="B2020" s="1786">
        <f t="shared" si="342"/>
        <v>8593</v>
      </c>
      <c r="C2020" s="1787">
        <v>28946</v>
      </c>
      <c r="D2020" s="1786" t="str">
        <f t="shared" si="343"/>
        <v>הראל פנסיה - קצבה לזכאים קיימים</v>
      </c>
      <c r="E2020" s="1786" t="s">
        <v>3929</v>
      </c>
      <c r="F2020" s="1786" t="s">
        <v>2958</v>
      </c>
      <c r="G2020" s="1786" t="s">
        <v>2959</v>
      </c>
      <c r="H2020" s="1786" t="str">
        <f t="shared" si="344"/>
        <v>לא פעיל</v>
      </c>
      <c r="I2020" s="1788">
        <f t="shared" si="345"/>
        <v>35065</v>
      </c>
      <c r="J2020" s="1788">
        <f t="shared" si="346"/>
        <v>42424.687372685199</v>
      </c>
      <c r="K2020" s="1786">
        <v>0</v>
      </c>
      <c r="L2020" s="1786" t="s">
        <v>1594</v>
      </c>
      <c r="M2020" s="1786" t="s">
        <v>1653</v>
      </c>
      <c r="N2020" s="1786" t="s">
        <v>1653</v>
      </c>
      <c r="O2020" s="1786">
        <v>0</v>
      </c>
      <c r="P2020" s="1786"/>
      <c r="Q2020" s="1786">
        <v>0</v>
      </c>
      <c r="R2020" s="1788"/>
      <c r="S2020" s="1786">
        <f t="shared" si="347"/>
        <v>171</v>
      </c>
      <c r="T2020" s="1786">
        <f t="shared" si="348"/>
        <v>0</v>
      </c>
      <c r="U2020" s="1786" t="str">
        <f t="shared" si="349"/>
        <v>הראל פנסיה</v>
      </c>
      <c r="V2020" s="1786" t="str">
        <f t="shared" si="350"/>
        <v>520033986</v>
      </c>
      <c r="W2020" s="1789" t="str">
        <f t="shared" si="351"/>
        <v>הראל פנסיה וגמל בע"מ</v>
      </c>
      <c r="AC2020" s="1759" t="s">
        <v>1586</v>
      </c>
      <c r="AD2020" s="1760">
        <v>42424.687372685199</v>
      </c>
      <c r="AE2020" s="1760">
        <v>35065</v>
      </c>
      <c r="AF2020" s="1759" t="s">
        <v>1583</v>
      </c>
      <c r="AG2020" s="1759" t="s">
        <v>1583</v>
      </c>
      <c r="AH2020" s="1759" t="s">
        <v>1583</v>
      </c>
      <c r="AI2020" s="1759" t="s">
        <v>4249</v>
      </c>
      <c r="AJ2020" s="1759" t="s">
        <v>4249</v>
      </c>
      <c r="AK2020" s="1759">
        <v>8593</v>
      </c>
      <c r="AL2020" s="1759" t="s">
        <v>4168</v>
      </c>
      <c r="AM2020" s="1759">
        <v>171</v>
      </c>
      <c r="AN2020" s="1759"/>
      <c r="AO2020" s="1764"/>
      <c r="AP2020" s="1759" t="s">
        <v>5396</v>
      </c>
      <c r="AQ2020" s="1759" t="s">
        <v>5397</v>
      </c>
      <c r="AR2020" s="1759" t="s">
        <v>4588</v>
      </c>
      <c r="AS2020" s="1759" t="s">
        <v>405</v>
      </c>
      <c r="AT2020" s="1759" t="s">
        <v>328</v>
      </c>
      <c r="AU2020" s="1763"/>
      <c r="AV2020" s="1763"/>
    </row>
    <row r="2021" spans="1:48" ht="37.5">
      <c r="A2021" s="1785" t="str">
        <f t="shared" si="341"/>
        <v>פנסיה</v>
      </c>
      <c r="B2021" s="1786">
        <f t="shared" si="342"/>
        <v>2180</v>
      </c>
      <c r="C2021" s="1787">
        <v>28946</v>
      </c>
      <c r="D2021" s="1786" t="str">
        <f t="shared" si="343"/>
        <v>הראל מנוף פנסיה - 50% מניות</v>
      </c>
      <c r="E2021" s="1786" t="s">
        <v>3929</v>
      </c>
      <c r="F2021" s="1786" t="s">
        <v>2958</v>
      </c>
      <c r="G2021" s="1786" t="s">
        <v>2959</v>
      </c>
      <c r="H2021" s="1786" t="str">
        <f t="shared" si="344"/>
        <v>לא פעיל</v>
      </c>
      <c r="I2021" s="1788">
        <f t="shared" si="345"/>
        <v>35065</v>
      </c>
      <c r="J2021" s="1788">
        <f t="shared" si="346"/>
        <v>41932.384270833303</v>
      </c>
      <c r="K2021" s="1786">
        <v>0</v>
      </c>
      <c r="L2021" s="1786" t="s">
        <v>1594</v>
      </c>
      <c r="M2021" s="1786" t="s">
        <v>1653</v>
      </c>
      <c r="N2021" s="1786" t="s">
        <v>1653</v>
      </c>
      <c r="O2021" s="1786">
        <v>0</v>
      </c>
      <c r="P2021" s="1786"/>
      <c r="Q2021" s="1786">
        <v>0</v>
      </c>
      <c r="R2021" s="1788"/>
      <c r="S2021" s="1786">
        <f t="shared" si="347"/>
        <v>171</v>
      </c>
      <c r="T2021" s="1786">
        <f t="shared" si="348"/>
        <v>0</v>
      </c>
      <c r="U2021" s="1786" t="str">
        <f t="shared" si="349"/>
        <v>הראל פנסיה</v>
      </c>
      <c r="V2021" s="1786" t="str">
        <f t="shared" si="350"/>
        <v>520033986</v>
      </c>
      <c r="W2021" s="1789" t="str">
        <f t="shared" si="351"/>
        <v>הראל פנסיה וגמל בע"מ</v>
      </c>
      <c r="AC2021" s="1761" t="s">
        <v>1586</v>
      </c>
      <c r="AD2021" s="1762">
        <v>41932.384270833303</v>
      </c>
      <c r="AE2021" s="1762">
        <v>35065</v>
      </c>
      <c r="AF2021" s="1761" t="s">
        <v>1595</v>
      </c>
      <c r="AG2021" s="1761" t="s">
        <v>75</v>
      </c>
      <c r="AH2021" s="1761" t="s">
        <v>1594</v>
      </c>
      <c r="AI2021" s="1761" t="s">
        <v>2632</v>
      </c>
      <c r="AJ2021" s="1761" t="s">
        <v>2632</v>
      </c>
      <c r="AK2021" s="1761">
        <v>2180</v>
      </c>
      <c r="AL2021" s="1761" t="s">
        <v>4168</v>
      </c>
      <c r="AM2021" s="1761">
        <v>171</v>
      </c>
      <c r="AN2021" s="1761"/>
      <c r="AO2021" s="1764"/>
      <c r="AP2021" s="1761" t="s">
        <v>5396</v>
      </c>
      <c r="AQ2021" s="1761" t="s">
        <v>5397</v>
      </c>
      <c r="AR2021" s="1761" t="s">
        <v>4588</v>
      </c>
      <c r="AS2021" s="1761" t="s">
        <v>405</v>
      </c>
      <c r="AT2021" s="1761" t="s">
        <v>328</v>
      </c>
      <c r="AU2021" s="1763"/>
      <c r="AV2021" s="1763"/>
    </row>
    <row r="2022" spans="1:48" ht="37.5">
      <c r="A2022" s="1785" t="str">
        <f t="shared" si="341"/>
        <v>פנסיה</v>
      </c>
      <c r="B2022" s="1786">
        <f t="shared" si="342"/>
        <v>2179</v>
      </c>
      <c r="C2022" s="1787">
        <v>28946</v>
      </c>
      <c r="D2022" s="1786" t="str">
        <f t="shared" si="343"/>
        <v>הראל מנוף פנסיה - ללא מניות</v>
      </c>
      <c r="E2022" s="1786" t="s">
        <v>3929</v>
      </c>
      <c r="F2022" s="1786" t="s">
        <v>2958</v>
      </c>
      <c r="G2022" s="1786" t="s">
        <v>2959</v>
      </c>
      <c r="H2022" s="1786" t="str">
        <f t="shared" si="344"/>
        <v>לא פעיל</v>
      </c>
      <c r="I2022" s="1788">
        <f t="shared" si="345"/>
        <v>35065</v>
      </c>
      <c r="J2022" s="1788">
        <f t="shared" si="346"/>
        <v>41932.384270833303</v>
      </c>
      <c r="K2022" s="1786">
        <v>0</v>
      </c>
      <c r="L2022" s="1786" t="s">
        <v>1594</v>
      </c>
      <c r="M2022" s="1786" t="s">
        <v>1653</v>
      </c>
      <c r="N2022" s="1786" t="s">
        <v>1653</v>
      </c>
      <c r="O2022" s="1786">
        <v>0</v>
      </c>
      <c r="P2022" s="1786"/>
      <c r="Q2022" s="1786">
        <v>0</v>
      </c>
      <c r="R2022" s="1788"/>
      <c r="S2022" s="1786">
        <f t="shared" si="347"/>
        <v>171</v>
      </c>
      <c r="T2022" s="1786">
        <f t="shared" si="348"/>
        <v>0</v>
      </c>
      <c r="U2022" s="1786" t="str">
        <f t="shared" si="349"/>
        <v>הראל פנסיה</v>
      </c>
      <c r="V2022" s="1786" t="str">
        <f t="shared" si="350"/>
        <v>520033986</v>
      </c>
      <c r="W2022" s="1789" t="str">
        <f t="shared" si="351"/>
        <v>הראל פנסיה וגמל בע"מ</v>
      </c>
      <c r="AC2022" s="1759" t="s">
        <v>1586</v>
      </c>
      <c r="AD2022" s="1760">
        <v>41932.384270833303</v>
      </c>
      <c r="AE2022" s="1760">
        <v>35065</v>
      </c>
      <c r="AF2022" s="1759" t="s">
        <v>1681</v>
      </c>
      <c r="AG2022" s="1759" t="s">
        <v>1583</v>
      </c>
      <c r="AH2022" s="1759" t="s">
        <v>1583</v>
      </c>
      <c r="AI2022" s="1759" t="s">
        <v>2631</v>
      </c>
      <c r="AJ2022" s="1759" t="s">
        <v>2631</v>
      </c>
      <c r="AK2022" s="1759">
        <v>2179</v>
      </c>
      <c r="AL2022" s="1759" t="s">
        <v>4168</v>
      </c>
      <c r="AM2022" s="1759">
        <v>171</v>
      </c>
      <c r="AN2022" s="1759"/>
      <c r="AO2022" s="1764"/>
      <c r="AP2022" s="1759" t="s">
        <v>5396</v>
      </c>
      <c r="AQ2022" s="1759" t="s">
        <v>5397</v>
      </c>
      <c r="AR2022" s="1759" t="s">
        <v>4588</v>
      </c>
      <c r="AS2022" s="1759" t="s">
        <v>405</v>
      </c>
      <c r="AT2022" s="1759" t="s">
        <v>328</v>
      </c>
      <c r="AU2022" s="1763"/>
      <c r="AV2022" s="1763"/>
    </row>
    <row r="2023" spans="1:48" ht="37.5">
      <c r="A2023" s="1785" t="str">
        <f t="shared" si="341"/>
        <v>פנסיה</v>
      </c>
      <c r="B2023" s="1786">
        <f t="shared" si="342"/>
        <v>2178</v>
      </c>
      <c r="C2023" s="1787">
        <v>28946</v>
      </c>
      <c r="D2023" s="1786" t="str">
        <f t="shared" si="343"/>
        <v>הראל מנוף פנסיה - מפוקח הלכתית</v>
      </c>
      <c r="E2023" s="1786" t="s">
        <v>3929</v>
      </c>
      <c r="F2023" s="1786" t="s">
        <v>2958</v>
      </c>
      <c r="G2023" s="1786" t="s">
        <v>2959</v>
      </c>
      <c r="H2023" s="1786" t="str">
        <f t="shared" si="344"/>
        <v>לא פעיל</v>
      </c>
      <c r="I2023" s="1788">
        <f t="shared" si="345"/>
        <v>35065</v>
      </c>
      <c r="J2023" s="1788">
        <f t="shared" si="346"/>
        <v>41932.384270833303</v>
      </c>
      <c r="K2023" s="1786">
        <v>0</v>
      </c>
      <c r="L2023" s="1786" t="s">
        <v>1594</v>
      </c>
      <c r="M2023" s="1786" t="s">
        <v>1653</v>
      </c>
      <c r="N2023" s="1786" t="s">
        <v>1653</v>
      </c>
      <c r="O2023" s="1786">
        <v>0</v>
      </c>
      <c r="P2023" s="1786"/>
      <c r="Q2023" s="1786">
        <v>0</v>
      </c>
      <c r="R2023" s="1788"/>
      <c r="S2023" s="1786">
        <f t="shared" si="347"/>
        <v>171</v>
      </c>
      <c r="T2023" s="1786">
        <f t="shared" si="348"/>
        <v>0</v>
      </c>
      <c r="U2023" s="1786" t="str">
        <f t="shared" si="349"/>
        <v>הראל פנסיה</v>
      </c>
      <c r="V2023" s="1786" t="str">
        <f t="shared" si="350"/>
        <v>520033986</v>
      </c>
      <c r="W2023" s="1789" t="str">
        <f t="shared" si="351"/>
        <v>הראל פנסיה וגמל בע"מ</v>
      </c>
      <c r="AC2023" s="1761" t="s">
        <v>1586</v>
      </c>
      <c r="AD2023" s="1762">
        <v>41932.384270833303</v>
      </c>
      <c r="AE2023" s="1762">
        <v>35065</v>
      </c>
      <c r="AF2023" s="1761" t="s">
        <v>4603</v>
      </c>
      <c r="AG2023" s="1761" t="s">
        <v>2029</v>
      </c>
      <c r="AH2023" s="1761" t="s">
        <v>2028</v>
      </c>
      <c r="AI2023" s="1761" t="s">
        <v>2630</v>
      </c>
      <c r="AJ2023" s="1761" t="s">
        <v>2630</v>
      </c>
      <c r="AK2023" s="1761">
        <v>2178</v>
      </c>
      <c r="AL2023" s="1761" t="s">
        <v>4168</v>
      </c>
      <c r="AM2023" s="1761">
        <v>171</v>
      </c>
      <c r="AN2023" s="1761"/>
      <c r="AO2023" s="1764"/>
      <c r="AP2023" s="1761" t="s">
        <v>5396</v>
      </c>
      <c r="AQ2023" s="1761" t="s">
        <v>5397</v>
      </c>
      <c r="AR2023" s="1761" t="s">
        <v>4588</v>
      </c>
      <c r="AS2023" s="1761" t="s">
        <v>405</v>
      </c>
      <c r="AT2023" s="1761" t="s">
        <v>328</v>
      </c>
      <c r="AU2023" s="1763"/>
      <c r="AV2023" s="1763"/>
    </row>
    <row r="2024" spans="1:48" ht="14">
      <c r="A2024" s="1785" t="str">
        <f t="shared" si="341"/>
        <v>פנסיה</v>
      </c>
      <c r="B2024" s="1786">
        <f t="shared" si="342"/>
        <v>12176</v>
      </c>
      <c r="C2024" s="1787">
        <v>28946</v>
      </c>
      <c r="D2024" s="1786" t="str">
        <f t="shared" si="343"/>
        <v xml:space="preserve">מסלול הלכה למקבלי קצבה  </v>
      </c>
      <c r="E2024" s="1786" t="s">
        <v>3929</v>
      </c>
      <c r="F2024" s="1786" t="s">
        <v>2958</v>
      </c>
      <c r="G2024" s="1786" t="s">
        <v>2959</v>
      </c>
      <c r="H2024" s="1786" t="str">
        <f t="shared" si="344"/>
        <v>פעיל</v>
      </c>
      <c r="I2024" s="1788">
        <f t="shared" si="345"/>
        <v>34700</v>
      </c>
      <c r="J2024" s="1788" t="str">
        <f t="shared" si="346"/>
        <v/>
      </c>
      <c r="K2024" s="1786">
        <v>0</v>
      </c>
      <c r="L2024" s="1786" t="s">
        <v>1594</v>
      </c>
      <c r="M2024" s="1786" t="s">
        <v>1653</v>
      </c>
      <c r="N2024" s="1786" t="s">
        <v>1653</v>
      </c>
      <c r="O2024" s="1786">
        <v>0</v>
      </c>
      <c r="P2024" s="1786"/>
      <c r="Q2024" s="1786">
        <v>0</v>
      </c>
      <c r="R2024" s="1788"/>
      <c r="S2024" s="1786">
        <f t="shared" si="347"/>
        <v>170</v>
      </c>
      <c r="T2024" s="1786">
        <f t="shared" si="348"/>
        <v>0</v>
      </c>
      <c r="U2024" s="1786" t="str">
        <f t="shared" si="349"/>
        <v>כלל פנסיה</v>
      </c>
      <c r="V2024" s="1786">
        <f t="shared" si="350"/>
        <v>0</v>
      </c>
      <c r="W2024" s="1789" t="str">
        <f t="shared" si="351"/>
        <v>כלל פנסיה וגמל בע"מ</v>
      </c>
      <c r="AC2024" s="1759" t="s">
        <v>346</v>
      </c>
      <c r="AD2024" s="1759"/>
      <c r="AE2024" s="1760">
        <v>34700</v>
      </c>
      <c r="AF2024" s="1759" t="s">
        <v>2029</v>
      </c>
      <c r="AG2024" s="1759" t="s">
        <v>2614</v>
      </c>
      <c r="AH2024" s="1759" t="s">
        <v>3658</v>
      </c>
      <c r="AI2024" s="1759" t="s">
        <v>5706</v>
      </c>
      <c r="AJ2024" s="1759" t="s">
        <v>5707</v>
      </c>
      <c r="AK2024" s="1759">
        <v>12176</v>
      </c>
      <c r="AL2024" s="1759" t="s">
        <v>3683</v>
      </c>
      <c r="AM2024" s="1759">
        <v>170</v>
      </c>
      <c r="AN2024" s="1759"/>
      <c r="AO2024" s="1764"/>
      <c r="AP2024" s="1759"/>
      <c r="AQ2024" s="1759"/>
      <c r="AR2024" s="1759" t="s">
        <v>378</v>
      </c>
      <c r="AS2024" s="1759" t="s">
        <v>379</v>
      </c>
      <c r="AT2024" s="1759" t="s">
        <v>328</v>
      </c>
      <c r="AU2024" s="1763"/>
      <c r="AV2024" s="1763"/>
    </row>
    <row r="2025" spans="1:48" ht="14">
      <c r="A2025" s="1785" t="str">
        <f t="shared" si="341"/>
        <v>פנסיה</v>
      </c>
      <c r="B2025" s="1786">
        <f t="shared" si="342"/>
        <v>2205</v>
      </c>
      <c r="C2025" s="1787">
        <v>28946</v>
      </c>
      <c r="D2025" s="1786" t="str">
        <f t="shared" si="343"/>
        <v xml:space="preserve">מסלול בסיסי למקבלי קצבה קיימים </v>
      </c>
      <c r="E2025" s="1786" t="s">
        <v>3929</v>
      </c>
      <c r="F2025" s="1786" t="s">
        <v>2958</v>
      </c>
      <c r="G2025" s="1786" t="s">
        <v>2959</v>
      </c>
      <c r="H2025" s="1786" t="str">
        <f t="shared" si="344"/>
        <v>פעיל</v>
      </c>
      <c r="I2025" s="1788">
        <f t="shared" si="345"/>
        <v>34700</v>
      </c>
      <c r="J2025" s="1788" t="str">
        <f t="shared" si="346"/>
        <v/>
      </c>
      <c r="K2025" s="1786">
        <v>0</v>
      </c>
      <c r="L2025" s="1786" t="s">
        <v>1594</v>
      </c>
      <c r="M2025" s="1786" t="s">
        <v>1653</v>
      </c>
      <c r="N2025" s="1786" t="s">
        <v>1653</v>
      </c>
      <c r="O2025" s="1786">
        <v>0</v>
      </c>
      <c r="P2025" s="1786"/>
      <c r="Q2025" s="1786">
        <v>0</v>
      </c>
      <c r="R2025" s="1788"/>
      <c r="S2025" s="1786">
        <f t="shared" si="347"/>
        <v>170</v>
      </c>
      <c r="T2025" s="1786">
        <f t="shared" si="348"/>
        <v>0</v>
      </c>
      <c r="U2025" s="1786" t="str">
        <f t="shared" si="349"/>
        <v>כלל פנסיה</v>
      </c>
      <c r="V2025" s="1786">
        <f t="shared" si="350"/>
        <v>0</v>
      </c>
      <c r="W2025" s="1789" t="str">
        <f t="shared" si="351"/>
        <v>כלל פנסיה וגמל בע"מ</v>
      </c>
      <c r="AC2025" s="1761" t="s">
        <v>346</v>
      </c>
      <c r="AD2025" s="1759"/>
      <c r="AE2025" s="1762">
        <v>34700</v>
      </c>
      <c r="AF2025" s="1761" t="s">
        <v>4160</v>
      </c>
      <c r="AG2025" s="1761" t="s">
        <v>2614</v>
      </c>
      <c r="AH2025" s="1761" t="s">
        <v>3658</v>
      </c>
      <c r="AI2025" s="1761" t="s">
        <v>5708</v>
      </c>
      <c r="AJ2025" s="1761" t="s">
        <v>5709</v>
      </c>
      <c r="AK2025" s="1761">
        <v>2205</v>
      </c>
      <c r="AL2025" s="1761" t="s">
        <v>3683</v>
      </c>
      <c r="AM2025" s="1761">
        <v>170</v>
      </c>
      <c r="AN2025" s="1761"/>
      <c r="AO2025" s="1764"/>
      <c r="AP2025" s="1761"/>
      <c r="AQ2025" s="1761"/>
      <c r="AR2025" s="1761" t="s">
        <v>378</v>
      </c>
      <c r="AS2025" s="1761" t="s">
        <v>379</v>
      </c>
      <c r="AT2025" s="1761" t="s">
        <v>328</v>
      </c>
      <c r="AU2025" s="1763"/>
      <c r="AV2025" s="1763"/>
    </row>
    <row r="2026" spans="1:48" ht="14">
      <c r="A2026" s="1785" t="str">
        <f t="shared" si="341"/>
        <v>פנסיה</v>
      </c>
      <c r="B2026" s="1786">
        <f t="shared" si="342"/>
        <v>13213</v>
      </c>
      <c r="C2026" s="1787">
        <v>28946</v>
      </c>
      <c r="D2026" s="1786" t="str">
        <f t="shared" si="343"/>
        <v>כלל פנסיה שיקלי טווח קצר</v>
      </c>
      <c r="E2026" s="1786" t="s">
        <v>3929</v>
      </c>
      <c r="F2026" s="1786" t="s">
        <v>2958</v>
      </c>
      <c r="G2026" s="1786" t="s">
        <v>2959</v>
      </c>
      <c r="H2026" s="1786" t="str">
        <f t="shared" si="344"/>
        <v>פעיל</v>
      </c>
      <c r="I2026" s="1788">
        <f t="shared" si="345"/>
        <v>34700</v>
      </c>
      <c r="J2026" s="1788" t="str">
        <f t="shared" si="346"/>
        <v/>
      </c>
      <c r="K2026" s="1786">
        <v>0</v>
      </c>
      <c r="L2026" s="1786" t="s">
        <v>1594</v>
      </c>
      <c r="M2026" s="1786" t="s">
        <v>1653</v>
      </c>
      <c r="N2026" s="1786" t="s">
        <v>1653</v>
      </c>
      <c r="O2026" s="1786">
        <v>0</v>
      </c>
      <c r="P2026" s="1786"/>
      <c r="Q2026" s="1786">
        <v>0</v>
      </c>
      <c r="R2026" s="1788"/>
      <c r="S2026" s="1786">
        <f t="shared" si="347"/>
        <v>170</v>
      </c>
      <c r="T2026" s="1786">
        <f t="shared" si="348"/>
        <v>0</v>
      </c>
      <c r="U2026" s="1786" t="str">
        <f t="shared" si="349"/>
        <v>כלל פנסיה</v>
      </c>
      <c r="V2026" s="1786">
        <f t="shared" si="350"/>
        <v>0</v>
      </c>
      <c r="W2026" s="1789" t="str">
        <f t="shared" si="351"/>
        <v>כלל פנסיה וגמל בע"מ</v>
      </c>
      <c r="AC2026" s="1759" t="s">
        <v>346</v>
      </c>
      <c r="AD2026" s="1759"/>
      <c r="AE2026" s="1760">
        <v>34700</v>
      </c>
      <c r="AF2026" s="1759" t="s">
        <v>1673</v>
      </c>
      <c r="AG2026" s="1759" t="s">
        <v>1614</v>
      </c>
      <c r="AH2026" s="1759" t="s">
        <v>1594</v>
      </c>
      <c r="AI2026" s="1759" t="s">
        <v>5710</v>
      </c>
      <c r="AJ2026" s="1759" t="s">
        <v>5710</v>
      </c>
      <c r="AK2026" s="1759">
        <v>13213</v>
      </c>
      <c r="AL2026" s="1759" t="s">
        <v>3683</v>
      </c>
      <c r="AM2026" s="1759">
        <v>170</v>
      </c>
      <c r="AN2026" s="1759"/>
      <c r="AO2026" s="1764"/>
      <c r="AP2026" s="1759"/>
      <c r="AQ2026" s="1759"/>
      <c r="AR2026" s="1759" t="s">
        <v>378</v>
      </c>
      <c r="AS2026" s="1759" t="s">
        <v>379</v>
      </c>
      <c r="AT2026" s="1759" t="s">
        <v>328</v>
      </c>
      <c r="AU2026" s="1763"/>
      <c r="AV2026" s="1763"/>
    </row>
    <row r="2027" spans="1:48" ht="14">
      <c r="A2027" s="1785" t="str">
        <f t="shared" si="341"/>
        <v>פנסיה</v>
      </c>
      <c r="B2027" s="1786">
        <f t="shared" si="342"/>
        <v>8484</v>
      </c>
      <c r="C2027" s="1787">
        <v>28946</v>
      </c>
      <c r="D2027" s="1786" t="str">
        <f t="shared" si="343"/>
        <v xml:space="preserve">מסלול אג"ח עד 15% מניות </v>
      </c>
      <c r="E2027" s="1786" t="s">
        <v>3929</v>
      </c>
      <c r="F2027" s="1786" t="s">
        <v>2958</v>
      </c>
      <c r="G2027" s="1786" t="s">
        <v>2959</v>
      </c>
      <c r="H2027" s="1786" t="str">
        <f t="shared" si="344"/>
        <v>פעיל</v>
      </c>
      <c r="I2027" s="1788">
        <f t="shared" si="345"/>
        <v>34700</v>
      </c>
      <c r="J2027" s="1788" t="str">
        <f t="shared" si="346"/>
        <v/>
      </c>
      <c r="K2027" s="1786">
        <v>0</v>
      </c>
      <c r="L2027" s="1786" t="s">
        <v>1594</v>
      </c>
      <c r="M2027" s="1786" t="s">
        <v>1653</v>
      </c>
      <c r="N2027" s="1786" t="s">
        <v>1653</v>
      </c>
      <c r="O2027" s="1786">
        <v>0</v>
      </c>
      <c r="P2027" s="1786"/>
      <c r="Q2027" s="1786">
        <v>0</v>
      </c>
      <c r="R2027" s="1788"/>
      <c r="S2027" s="1786">
        <f t="shared" si="347"/>
        <v>170</v>
      </c>
      <c r="T2027" s="1786">
        <f t="shared" si="348"/>
        <v>0</v>
      </c>
      <c r="U2027" s="1786" t="str">
        <f t="shared" si="349"/>
        <v>כלל פנסיה</v>
      </c>
      <c r="V2027" s="1786">
        <f t="shared" si="350"/>
        <v>0</v>
      </c>
      <c r="W2027" s="1789" t="str">
        <f t="shared" si="351"/>
        <v>כלל פנסיה וגמל בע"מ</v>
      </c>
      <c r="AC2027" s="1761" t="s">
        <v>346</v>
      </c>
      <c r="AD2027" s="1761"/>
      <c r="AE2027" s="1762">
        <v>34700</v>
      </c>
      <c r="AF2027" s="1761" t="s">
        <v>1583</v>
      </c>
      <c r="AG2027" s="1761" t="s">
        <v>1583</v>
      </c>
      <c r="AH2027" s="1761" t="s">
        <v>1583</v>
      </c>
      <c r="AI2027" s="1761" t="s">
        <v>4246</v>
      </c>
      <c r="AJ2027" s="1761" t="s">
        <v>4246</v>
      </c>
      <c r="AK2027" s="1761">
        <v>8484</v>
      </c>
      <c r="AL2027" s="1761" t="s">
        <v>3683</v>
      </c>
      <c r="AM2027" s="1761">
        <v>170</v>
      </c>
      <c r="AN2027" s="1761"/>
      <c r="AO2027" s="1764"/>
      <c r="AP2027" s="1761"/>
      <c r="AQ2027" s="1761"/>
      <c r="AR2027" s="1761" t="s">
        <v>378</v>
      </c>
      <c r="AS2027" s="1761" t="s">
        <v>379</v>
      </c>
      <c r="AT2027" s="1761" t="s">
        <v>328</v>
      </c>
      <c r="AU2027" s="1763"/>
      <c r="AV2027" s="1763"/>
    </row>
    <row r="2028" spans="1:48" ht="14">
      <c r="A2028" s="1785" t="str">
        <f t="shared" si="341"/>
        <v>פנסיה</v>
      </c>
      <c r="B2028" s="1786">
        <f t="shared" si="342"/>
        <v>9647</v>
      </c>
      <c r="C2028" s="1787">
        <v>28946</v>
      </c>
      <c r="D2028" s="1786" t="str">
        <f t="shared" si="343"/>
        <v xml:space="preserve">כלל פנסיה מניות </v>
      </c>
      <c r="E2028" s="1786" t="s">
        <v>3929</v>
      </c>
      <c r="F2028" s="1786" t="s">
        <v>2958</v>
      </c>
      <c r="G2028" s="1786" t="s">
        <v>2959</v>
      </c>
      <c r="H2028" s="1786" t="str">
        <f t="shared" si="344"/>
        <v>פעיל</v>
      </c>
      <c r="I2028" s="1788">
        <f t="shared" si="345"/>
        <v>34700</v>
      </c>
      <c r="J2028" s="1788" t="str">
        <f t="shared" si="346"/>
        <v/>
      </c>
      <c r="K2028" s="1786">
        <v>0</v>
      </c>
      <c r="L2028" s="1786" t="s">
        <v>1594</v>
      </c>
      <c r="M2028" s="1786" t="s">
        <v>1653</v>
      </c>
      <c r="N2028" s="1786" t="s">
        <v>1653</v>
      </c>
      <c r="O2028" s="1786">
        <v>0</v>
      </c>
      <c r="P2028" s="1786"/>
      <c r="Q2028" s="1786">
        <v>0</v>
      </c>
      <c r="R2028" s="1788"/>
      <c r="S2028" s="1786">
        <f t="shared" si="347"/>
        <v>170</v>
      </c>
      <c r="T2028" s="1786">
        <f t="shared" si="348"/>
        <v>0</v>
      </c>
      <c r="U2028" s="1786" t="str">
        <f t="shared" si="349"/>
        <v>כלל פנסיה</v>
      </c>
      <c r="V2028" s="1786">
        <f t="shared" si="350"/>
        <v>0</v>
      </c>
      <c r="W2028" s="1789" t="str">
        <f t="shared" si="351"/>
        <v>כלל פנסיה וגמל בע"מ</v>
      </c>
      <c r="AC2028" s="1759" t="s">
        <v>346</v>
      </c>
      <c r="AD2028" s="1759"/>
      <c r="AE2028" s="1760">
        <v>34700</v>
      </c>
      <c r="AF2028" s="1759" t="s">
        <v>1595</v>
      </c>
      <c r="AG2028" s="1759" t="s">
        <v>75</v>
      </c>
      <c r="AH2028" s="1759" t="s">
        <v>1594</v>
      </c>
      <c r="AI2028" s="1759" t="s">
        <v>4304</v>
      </c>
      <c r="AJ2028" s="1759" t="s">
        <v>4304</v>
      </c>
      <c r="AK2028" s="1759">
        <v>9647</v>
      </c>
      <c r="AL2028" s="1759" t="s">
        <v>3683</v>
      </c>
      <c r="AM2028" s="1759">
        <v>170</v>
      </c>
      <c r="AN2028" s="1759"/>
      <c r="AO2028" s="1764"/>
      <c r="AP2028" s="1759"/>
      <c r="AQ2028" s="1759"/>
      <c r="AR2028" s="1759" t="s">
        <v>378</v>
      </c>
      <c r="AS2028" s="1759" t="s">
        <v>379</v>
      </c>
      <c r="AT2028" s="1759" t="s">
        <v>328</v>
      </c>
      <c r="AU2028" s="1763"/>
      <c r="AV2028" s="1763"/>
    </row>
    <row r="2029" spans="1:48" ht="14">
      <c r="A2029" s="1785" t="str">
        <f t="shared" si="341"/>
        <v>פנסיה</v>
      </c>
      <c r="B2029" s="1786">
        <f t="shared" si="342"/>
        <v>9648</v>
      </c>
      <c r="C2029" s="1787">
        <v>28946</v>
      </c>
      <c r="D2029" s="1786" t="str">
        <f t="shared" si="343"/>
        <v>כלל פנסיה אג"ח</v>
      </c>
      <c r="E2029" s="1786" t="s">
        <v>3929</v>
      </c>
      <c r="F2029" s="1786" t="s">
        <v>2958</v>
      </c>
      <c r="G2029" s="1786" t="s">
        <v>2959</v>
      </c>
      <c r="H2029" s="1786" t="str">
        <f t="shared" si="344"/>
        <v>פעיל</v>
      </c>
      <c r="I2029" s="1788">
        <f t="shared" si="345"/>
        <v>34700</v>
      </c>
      <c r="J2029" s="1788" t="str">
        <f t="shared" si="346"/>
        <v/>
      </c>
      <c r="K2029" s="1786">
        <v>0</v>
      </c>
      <c r="L2029" s="1786" t="s">
        <v>1594</v>
      </c>
      <c r="M2029" s="1786" t="s">
        <v>1653</v>
      </c>
      <c r="N2029" s="1786" t="s">
        <v>1653</v>
      </c>
      <c r="O2029" s="1786">
        <v>0</v>
      </c>
      <c r="P2029" s="1786"/>
      <c r="Q2029" s="1786">
        <v>0</v>
      </c>
      <c r="R2029" s="1788"/>
      <c r="S2029" s="1786">
        <f t="shared" si="347"/>
        <v>170</v>
      </c>
      <c r="T2029" s="1786">
        <f t="shared" si="348"/>
        <v>0</v>
      </c>
      <c r="U2029" s="1786" t="str">
        <f t="shared" si="349"/>
        <v>כלל פנסיה</v>
      </c>
      <c r="V2029" s="1786">
        <f t="shared" si="350"/>
        <v>0</v>
      </c>
      <c r="W2029" s="1789" t="str">
        <f t="shared" si="351"/>
        <v>כלל פנסיה וגמל בע"מ</v>
      </c>
      <c r="AC2029" s="1761" t="s">
        <v>346</v>
      </c>
      <c r="AD2029" s="1761"/>
      <c r="AE2029" s="1762">
        <v>34700</v>
      </c>
      <c r="AF2029" s="1761" t="s">
        <v>1653</v>
      </c>
      <c r="AG2029" s="1761" t="s">
        <v>1653</v>
      </c>
      <c r="AH2029" s="1761" t="s">
        <v>1594</v>
      </c>
      <c r="AI2029" s="1761" t="s">
        <v>4305</v>
      </c>
      <c r="AJ2029" s="1761" t="s">
        <v>4305</v>
      </c>
      <c r="AK2029" s="1761">
        <v>9648</v>
      </c>
      <c r="AL2029" s="1761" t="s">
        <v>3683</v>
      </c>
      <c r="AM2029" s="1761">
        <v>170</v>
      </c>
      <c r="AN2029" s="1761"/>
      <c r="AO2029" s="1764"/>
      <c r="AP2029" s="1761"/>
      <c r="AQ2029" s="1761"/>
      <c r="AR2029" s="1761" t="s">
        <v>378</v>
      </c>
      <c r="AS2029" s="1761" t="s">
        <v>379</v>
      </c>
      <c r="AT2029" s="1761" t="s">
        <v>328</v>
      </c>
      <c r="AU2029" s="1763"/>
      <c r="AV2029" s="1763"/>
    </row>
    <row r="2030" spans="1:48" ht="14">
      <c r="A2030" s="1785" t="str">
        <f t="shared" si="341"/>
        <v>פנסיה</v>
      </c>
      <c r="B2030" s="1786">
        <f t="shared" si="342"/>
        <v>9649</v>
      </c>
      <c r="C2030" s="1787">
        <v>28946</v>
      </c>
      <c r="D2030" s="1786" t="str">
        <f t="shared" si="343"/>
        <v xml:space="preserve">מסלול פנסיה לזכאים קיימים </v>
      </c>
      <c r="E2030" s="1786" t="s">
        <v>3929</v>
      </c>
      <c r="F2030" s="1786" t="s">
        <v>2958</v>
      </c>
      <c r="G2030" s="1786" t="s">
        <v>2959</v>
      </c>
      <c r="H2030" s="1786" t="str">
        <f t="shared" si="344"/>
        <v>פעיל</v>
      </c>
      <c r="I2030" s="1788">
        <f t="shared" si="345"/>
        <v>34700</v>
      </c>
      <c r="J2030" s="1788" t="str">
        <f t="shared" si="346"/>
        <v/>
      </c>
      <c r="K2030" s="1786">
        <v>0</v>
      </c>
      <c r="L2030" s="1786" t="s">
        <v>1594</v>
      </c>
      <c r="M2030" s="1786" t="s">
        <v>1653</v>
      </c>
      <c r="N2030" s="1786" t="s">
        <v>1653</v>
      </c>
      <c r="O2030" s="1786">
        <v>0</v>
      </c>
      <c r="P2030" s="1786"/>
      <c r="Q2030" s="1786">
        <v>0</v>
      </c>
      <c r="R2030" s="1788"/>
      <c r="S2030" s="1786">
        <f t="shared" si="347"/>
        <v>170</v>
      </c>
      <c r="T2030" s="1786">
        <f t="shared" si="348"/>
        <v>0</v>
      </c>
      <c r="U2030" s="1786" t="str">
        <f t="shared" si="349"/>
        <v>כלל פנסיה</v>
      </c>
      <c r="V2030" s="1786">
        <f t="shared" si="350"/>
        <v>0</v>
      </c>
      <c r="W2030" s="1789" t="str">
        <f t="shared" si="351"/>
        <v>כלל פנסיה וגמל בע"מ</v>
      </c>
      <c r="AC2030" s="1759" t="s">
        <v>346</v>
      </c>
      <c r="AD2030" s="1759"/>
      <c r="AE2030" s="1760">
        <v>34700</v>
      </c>
      <c r="AF2030" s="1759" t="s">
        <v>4160</v>
      </c>
      <c r="AG2030" s="1759" t="s">
        <v>2614</v>
      </c>
      <c r="AH2030" s="1759" t="s">
        <v>3658</v>
      </c>
      <c r="AI2030" s="1759" t="s">
        <v>4306</v>
      </c>
      <c r="AJ2030" s="1759" t="s">
        <v>4306</v>
      </c>
      <c r="AK2030" s="1759">
        <v>9649</v>
      </c>
      <c r="AL2030" s="1759" t="s">
        <v>3683</v>
      </c>
      <c r="AM2030" s="1759">
        <v>170</v>
      </c>
      <c r="AN2030" s="1759"/>
      <c r="AO2030" s="1764"/>
      <c r="AP2030" s="1759"/>
      <c r="AQ2030" s="1759"/>
      <c r="AR2030" s="1759" t="s">
        <v>378</v>
      </c>
      <c r="AS2030" s="1759" t="s">
        <v>379</v>
      </c>
      <c r="AT2030" s="1759" t="s">
        <v>328</v>
      </c>
      <c r="AU2030" s="1763"/>
      <c r="AV2030" s="1763"/>
    </row>
    <row r="2031" spans="1:48" ht="14">
      <c r="A2031" s="1785" t="str">
        <f t="shared" si="341"/>
        <v>פנסיה</v>
      </c>
      <c r="B2031" s="1786">
        <f t="shared" si="342"/>
        <v>9650</v>
      </c>
      <c r="C2031" s="1787">
        <v>28946</v>
      </c>
      <c r="D2031" s="1786" t="str">
        <f t="shared" si="343"/>
        <v>מסלול הלכה למקבלי קצבה קיימים</v>
      </c>
      <c r="E2031" s="1786" t="s">
        <v>3929</v>
      </c>
      <c r="F2031" s="1786" t="s">
        <v>2958</v>
      </c>
      <c r="G2031" s="1786" t="s">
        <v>2959</v>
      </c>
      <c r="H2031" s="1786" t="str">
        <f t="shared" si="344"/>
        <v>פעיל</v>
      </c>
      <c r="I2031" s="1788">
        <f t="shared" si="345"/>
        <v>34700</v>
      </c>
      <c r="J2031" s="1788" t="str">
        <f t="shared" si="346"/>
        <v/>
      </c>
      <c r="K2031" s="1786">
        <v>0</v>
      </c>
      <c r="L2031" s="1786" t="s">
        <v>1594</v>
      </c>
      <c r="M2031" s="1786" t="s">
        <v>1653</v>
      </c>
      <c r="N2031" s="1786" t="s">
        <v>1653</v>
      </c>
      <c r="O2031" s="1786">
        <v>0</v>
      </c>
      <c r="P2031" s="1786"/>
      <c r="Q2031" s="1786">
        <v>0</v>
      </c>
      <c r="R2031" s="1788"/>
      <c r="S2031" s="1786">
        <f t="shared" si="347"/>
        <v>170</v>
      </c>
      <c r="T2031" s="1786">
        <f t="shared" si="348"/>
        <v>0</v>
      </c>
      <c r="U2031" s="1786" t="str">
        <f t="shared" si="349"/>
        <v>כלל פנסיה</v>
      </c>
      <c r="V2031" s="1786">
        <f t="shared" si="350"/>
        <v>0</v>
      </c>
      <c r="W2031" s="1789" t="str">
        <f t="shared" si="351"/>
        <v>כלל פנסיה וגמל בע"מ</v>
      </c>
      <c r="AC2031" s="1761" t="s">
        <v>346</v>
      </c>
      <c r="AD2031" s="1761"/>
      <c r="AE2031" s="1762">
        <v>34700</v>
      </c>
      <c r="AF2031" s="1761" t="s">
        <v>2029</v>
      </c>
      <c r="AG2031" s="1761" t="s">
        <v>2614</v>
      </c>
      <c r="AH2031" s="1761" t="s">
        <v>3658</v>
      </c>
      <c r="AI2031" s="1761" t="s">
        <v>5711</v>
      </c>
      <c r="AJ2031" s="1761" t="s">
        <v>5712</v>
      </c>
      <c r="AK2031" s="1761">
        <v>9650</v>
      </c>
      <c r="AL2031" s="1761" t="s">
        <v>3683</v>
      </c>
      <c r="AM2031" s="1761">
        <v>170</v>
      </c>
      <c r="AN2031" s="1761"/>
      <c r="AO2031" s="1764"/>
      <c r="AP2031" s="1761"/>
      <c r="AQ2031" s="1761"/>
      <c r="AR2031" s="1761" t="s">
        <v>378</v>
      </c>
      <c r="AS2031" s="1761" t="s">
        <v>379</v>
      </c>
      <c r="AT2031" s="1761" t="s">
        <v>328</v>
      </c>
      <c r="AU2031" s="1763"/>
      <c r="AV2031" s="1763"/>
    </row>
    <row r="2032" spans="1:48" ht="14">
      <c r="A2032" s="1785" t="str">
        <f t="shared" si="341"/>
        <v>פנסיה</v>
      </c>
      <c r="B2032" s="1786">
        <f t="shared" si="342"/>
        <v>9654</v>
      </c>
      <c r="C2032" s="1787">
        <v>28946</v>
      </c>
      <c r="D2032" s="1786" t="str">
        <f t="shared" si="343"/>
        <v>כלל פנסיה עד 50</v>
      </c>
      <c r="E2032" s="1786" t="s">
        <v>3929</v>
      </c>
      <c r="F2032" s="1786" t="s">
        <v>2958</v>
      </c>
      <c r="G2032" s="1786" t="s">
        <v>2959</v>
      </c>
      <c r="H2032" s="1786" t="str">
        <f t="shared" si="344"/>
        <v>פעיל</v>
      </c>
      <c r="I2032" s="1788">
        <f t="shared" si="345"/>
        <v>34700</v>
      </c>
      <c r="J2032" s="1788" t="str">
        <f t="shared" si="346"/>
        <v/>
      </c>
      <c r="K2032" s="1786">
        <v>0</v>
      </c>
      <c r="L2032" s="1786" t="s">
        <v>1594</v>
      </c>
      <c r="M2032" s="1786" t="s">
        <v>1653</v>
      </c>
      <c r="N2032" s="1786" t="s">
        <v>1653</v>
      </c>
      <c r="O2032" s="1786">
        <v>0</v>
      </c>
      <c r="P2032" s="1786"/>
      <c r="Q2032" s="1786">
        <v>0</v>
      </c>
      <c r="R2032" s="1788"/>
      <c r="S2032" s="1786">
        <f t="shared" si="347"/>
        <v>170</v>
      </c>
      <c r="T2032" s="1786">
        <f t="shared" si="348"/>
        <v>0</v>
      </c>
      <c r="U2032" s="1786" t="str">
        <f t="shared" si="349"/>
        <v>כלל פנסיה</v>
      </c>
      <c r="V2032" s="1786">
        <f t="shared" si="350"/>
        <v>0</v>
      </c>
      <c r="W2032" s="1789" t="str">
        <f t="shared" si="351"/>
        <v>כלל פנסיה וגמל בע"מ</v>
      </c>
      <c r="AC2032" s="1759" t="s">
        <v>346</v>
      </c>
      <c r="AD2032" s="1759"/>
      <c r="AE2032" s="1760">
        <v>34700</v>
      </c>
      <c r="AF2032" s="1759" t="s">
        <v>4151</v>
      </c>
      <c r="AG2032" s="1759" t="s">
        <v>3931</v>
      </c>
      <c r="AH2032" s="1759" t="s">
        <v>3658</v>
      </c>
      <c r="AI2032" s="1759" t="s">
        <v>4310</v>
      </c>
      <c r="AJ2032" s="1759" t="s">
        <v>4310</v>
      </c>
      <c r="AK2032" s="1759">
        <v>9654</v>
      </c>
      <c r="AL2032" s="1759" t="s">
        <v>3683</v>
      </c>
      <c r="AM2032" s="1759">
        <v>170</v>
      </c>
      <c r="AN2032" s="1759"/>
      <c r="AO2032" s="1764"/>
      <c r="AP2032" s="1759"/>
      <c r="AQ2032" s="1759"/>
      <c r="AR2032" s="1759" t="s">
        <v>378</v>
      </c>
      <c r="AS2032" s="1759" t="s">
        <v>379</v>
      </c>
      <c r="AT2032" s="1759" t="s">
        <v>328</v>
      </c>
      <c r="AU2032" s="1763"/>
      <c r="AV2032" s="1763"/>
    </row>
    <row r="2033" spans="1:48" ht="14">
      <c r="A2033" s="1785" t="str">
        <f t="shared" si="341"/>
        <v>פנסיה</v>
      </c>
      <c r="B2033" s="1786">
        <f t="shared" si="342"/>
        <v>9655</v>
      </c>
      <c r="C2033" s="1787">
        <v>28946</v>
      </c>
      <c r="D2033" s="1786" t="str">
        <f t="shared" si="343"/>
        <v>כלל פנסיה 50-60</v>
      </c>
      <c r="E2033" s="1786" t="s">
        <v>3929</v>
      </c>
      <c r="F2033" s="1786" t="s">
        <v>2958</v>
      </c>
      <c r="G2033" s="1786" t="s">
        <v>2959</v>
      </c>
      <c r="H2033" s="1786" t="str">
        <f t="shared" si="344"/>
        <v>פעיל</v>
      </c>
      <c r="I2033" s="1788">
        <f t="shared" si="345"/>
        <v>34700</v>
      </c>
      <c r="J2033" s="1788" t="str">
        <f t="shared" si="346"/>
        <v/>
      </c>
      <c r="K2033" s="1786">
        <v>0</v>
      </c>
      <c r="L2033" s="1786" t="s">
        <v>1594</v>
      </c>
      <c r="M2033" s="1786" t="s">
        <v>1653</v>
      </c>
      <c r="N2033" s="1786" t="s">
        <v>1653</v>
      </c>
      <c r="O2033" s="1786">
        <v>0</v>
      </c>
      <c r="P2033" s="1786"/>
      <c r="Q2033" s="1786">
        <v>0</v>
      </c>
      <c r="R2033" s="1788"/>
      <c r="S2033" s="1786">
        <f t="shared" si="347"/>
        <v>170</v>
      </c>
      <c r="T2033" s="1786">
        <f t="shared" si="348"/>
        <v>0</v>
      </c>
      <c r="U2033" s="1786" t="str">
        <f t="shared" si="349"/>
        <v>כלל פנסיה</v>
      </c>
      <c r="V2033" s="1786">
        <f t="shared" si="350"/>
        <v>0</v>
      </c>
      <c r="W2033" s="1789" t="str">
        <f t="shared" si="351"/>
        <v>כלל פנסיה וגמל בע"מ</v>
      </c>
      <c r="AC2033" s="1761" t="s">
        <v>346</v>
      </c>
      <c r="AD2033" s="1761"/>
      <c r="AE2033" s="1762">
        <v>34700</v>
      </c>
      <c r="AF2033" s="1761" t="s">
        <v>3932</v>
      </c>
      <c r="AG2033" s="1761" t="s">
        <v>3931</v>
      </c>
      <c r="AH2033" s="1761" t="s">
        <v>3658</v>
      </c>
      <c r="AI2033" s="1761" t="s">
        <v>4311</v>
      </c>
      <c r="AJ2033" s="1761" t="s">
        <v>4311</v>
      </c>
      <c r="AK2033" s="1761">
        <v>9655</v>
      </c>
      <c r="AL2033" s="1761" t="s">
        <v>3683</v>
      </c>
      <c r="AM2033" s="1761">
        <v>170</v>
      </c>
      <c r="AN2033" s="1761"/>
      <c r="AO2033" s="1764"/>
      <c r="AP2033" s="1761"/>
      <c r="AQ2033" s="1761"/>
      <c r="AR2033" s="1761" t="s">
        <v>378</v>
      </c>
      <c r="AS2033" s="1761" t="s">
        <v>379</v>
      </c>
      <c r="AT2033" s="1761" t="s">
        <v>328</v>
      </c>
      <c r="AU2033" s="1763"/>
      <c r="AV2033" s="1763"/>
    </row>
    <row r="2034" spans="1:48" ht="14">
      <c r="A2034" s="1785" t="str">
        <f t="shared" si="341"/>
        <v>פנסיה</v>
      </c>
      <c r="B2034" s="1786">
        <f t="shared" si="342"/>
        <v>9656</v>
      </c>
      <c r="C2034" s="1787">
        <v>28946</v>
      </c>
      <c r="D2034" s="1786" t="str">
        <f t="shared" si="343"/>
        <v>כלל פנסיה 60 ומעלה</v>
      </c>
      <c r="E2034" s="1786" t="s">
        <v>3929</v>
      </c>
      <c r="F2034" s="1786" t="s">
        <v>2958</v>
      </c>
      <c r="G2034" s="1786" t="s">
        <v>2959</v>
      </c>
      <c r="H2034" s="1786" t="str">
        <f t="shared" si="344"/>
        <v>פעיל</v>
      </c>
      <c r="I2034" s="1788">
        <f t="shared" si="345"/>
        <v>34700</v>
      </c>
      <c r="J2034" s="1788" t="str">
        <f t="shared" si="346"/>
        <v/>
      </c>
      <c r="K2034" s="1786">
        <v>0</v>
      </c>
      <c r="L2034" s="1786" t="s">
        <v>1594</v>
      </c>
      <c r="M2034" s="1786" t="s">
        <v>1653</v>
      </c>
      <c r="N2034" s="1786" t="s">
        <v>1653</v>
      </c>
      <c r="O2034" s="1786">
        <v>0</v>
      </c>
      <c r="P2034" s="1786"/>
      <c r="Q2034" s="1786">
        <v>0</v>
      </c>
      <c r="R2034" s="1788"/>
      <c r="S2034" s="1786">
        <f t="shared" si="347"/>
        <v>170</v>
      </c>
      <c r="T2034" s="1786">
        <f t="shared" si="348"/>
        <v>0</v>
      </c>
      <c r="U2034" s="1786" t="str">
        <f t="shared" si="349"/>
        <v>כלל פנסיה</v>
      </c>
      <c r="V2034" s="1786">
        <f t="shared" si="350"/>
        <v>0</v>
      </c>
      <c r="W2034" s="1789" t="str">
        <f t="shared" si="351"/>
        <v>כלל פנסיה וגמל בע"מ</v>
      </c>
      <c r="AC2034" s="1759" t="s">
        <v>346</v>
      </c>
      <c r="AD2034" s="1759"/>
      <c r="AE2034" s="1760">
        <v>34700</v>
      </c>
      <c r="AF2034" s="1759" t="s">
        <v>3963</v>
      </c>
      <c r="AG2034" s="1759" t="s">
        <v>3931</v>
      </c>
      <c r="AH2034" s="1759" t="s">
        <v>3658</v>
      </c>
      <c r="AI2034" s="1759" t="s">
        <v>4312</v>
      </c>
      <c r="AJ2034" s="1759" t="s">
        <v>4312</v>
      </c>
      <c r="AK2034" s="1759">
        <v>9656</v>
      </c>
      <c r="AL2034" s="1759" t="s">
        <v>3683</v>
      </c>
      <c r="AM2034" s="1759">
        <v>170</v>
      </c>
      <c r="AN2034" s="1759"/>
      <c r="AO2034" s="1764"/>
      <c r="AP2034" s="1759"/>
      <c r="AQ2034" s="1759"/>
      <c r="AR2034" s="1759" t="s">
        <v>378</v>
      </c>
      <c r="AS2034" s="1759" t="s">
        <v>379</v>
      </c>
      <c r="AT2034" s="1759" t="s">
        <v>328</v>
      </c>
      <c r="AU2034" s="1763"/>
      <c r="AV2034" s="1763"/>
    </row>
    <row r="2035" spans="1:48" ht="53.15" customHeight="1">
      <c r="A2035" s="1785" t="str">
        <f t="shared" si="341"/>
        <v>פנסיה</v>
      </c>
      <c r="B2035" s="1786">
        <f t="shared" si="342"/>
        <v>2002</v>
      </c>
      <c r="C2035" s="1787">
        <v>28946</v>
      </c>
      <c r="D2035" s="1786" t="str">
        <f t="shared" si="343"/>
        <v>ספיר</v>
      </c>
      <c r="E2035" s="1786" t="s">
        <v>3929</v>
      </c>
      <c r="F2035" s="1786" t="s">
        <v>2958</v>
      </c>
      <c r="G2035" s="1786" t="s">
        <v>2959</v>
      </c>
      <c r="H2035" s="1786" t="str">
        <f t="shared" si="344"/>
        <v>פעיל</v>
      </c>
      <c r="I2035" s="1788">
        <f t="shared" si="345"/>
        <v>34700</v>
      </c>
      <c r="J2035" s="1788" t="str">
        <f t="shared" si="346"/>
        <v/>
      </c>
      <c r="K2035" s="1786">
        <v>0</v>
      </c>
      <c r="L2035" s="1786" t="s">
        <v>1594</v>
      </c>
      <c r="M2035" s="1786" t="s">
        <v>1653</v>
      </c>
      <c r="N2035" s="1786" t="s">
        <v>1653</v>
      </c>
      <c r="O2035" s="1786">
        <v>0</v>
      </c>
      <c r="P2035" s="1786"/>
      <c r="Q2035" s="1786">
        <v>0</v>
      </c>
      <c r="R2035" s="1788"/>
      <c r="S2035" s="1786">
        <f t="shared" si="347"/>
        <v>170</v>
      </c>
      <c r="T2035" s="1786">
        <f t="shared" si="348"/>
        <v>0</v>
      </c>
      <c r="U2035" s="1786" t="str">
        <f t="shared" si="349"/>
        <v>כלל פנסיה</v>
      </c>
      <c r="V2035" s="1786">
        <f t="shared" si="350"/>
        <v>0</v>
      </c>
      <c r="W2035" s="1789" t="str">
        <f t="shared" si="351"/>
        <v>כלל פנסיה וגמל בע"מ</v>
      </c>
      <c r="AC2035" s="1761" t="s">
        <v>346</v>
      </c>
      <c r="AD2035" s="1761"/>
      <c r="AE2035" s="1762">
        <v>34700</v>
      </c>
      <c r="AF2035" s="1761" t="s">
        <v>1583</v>
      </c>
      <c r="AG2035" s="1761" t="s">
        <v>1583</v>
      </c>
      <c r="AH2035" s="1761" t="s">
        <v>1583</v>
      </c>
      <c r="AI2035" s="1761" t="s">
        <v>2504</v>
      </c>
      <c r="AJ2035" s="1761" t="s">
        <v>3682</v>
      </c>
      <c r="AK2035" s="1761">
        <v>2002</v>
      </c>
      <c r="AL2035" s="1761" t="s">
        <v>3683</v>
      </c>
      <c r="AM2035" s="1761">
        <v>170</v>
      </c>
      <c r="AN2035" s="1761"/>
      <c r="AO2035" s="1764"/>
      <c r="AP2035" s="1761"/>
      <c r="AQ2035" s="1761"/>
      <c r="AR2035" s="1761" t="s">
        <v>378</v>
      </c>
      <c r="AS2035" s="1761" t="s">
        <v>379</v>
      </c>
      <c r="AT2035" s="1761" t="s">
        <v>328</v>
      </c>
      <c r="AU2035" s="1763"/>
      <c r="AV2035" s="1763"/>
    </row>
    <row r="2036" spans="1:48" ht="25">
      <c r="A2036" s="1785" t="str">
        <f t="shared" si="341"/>
        <v>פנסיה</v>
      </c>
      <c r="B2036" s="1786">
        <f t="shared" si="342"/>
        <v>2003</v>
      </c>
      <c r="C2036" s="1787">
        <v>28946</v>
      </c>
      <c r="D2036" s="1786" t="str">
        <f t="shared" si="343"/>
        <v>מיטבית עתודות - יהלום</v>
      </c>
      <c r="E2036" s="1786" t="s">
        <v>3929</v>
      </c>
      <c r="F2036" s="1786" t="s">
        <v>2958</v>
      </c>
      <c r="G2036" s="1786" t="s">
        <v>2959</v>
      </c>
      <c r="H2036" s="1786" t="str">
        <f t="shared" si="344"/>
        <v>לא פעיל</v>
      </c>
      <c r="I2036" s="1788">
        <f t="shared" si="345"/>
        <v>34700</v>
      </c>
      <c r="J2036" s="1788">
        <f t="shared" si="346"/>
        <v>41603.664641203701</v>
      </c>
      <c r="K2036" s="1786">
        <v>0</v>
      </c>
      <c r="L2036" s="1786" t="s">
        <v>1594</v>
      </c>
      <c r="M2036" s="1786" t="s">
        <v>1653</v>
      </c>
      <c r="N2036" s="1786" t="s">
        <v>1653</v>
      </c>
      <c r="O2036" s="1786">
        <v>0</v>
      </c>
      <c r="P2036" s="1786"/>
      <c r="Q2036" s="1786">
        <v>0</v>
      </c>
      <c r="R2036" s="1788"/>
      <c r="S2036" s="1786">
        <f t="shared" si="347"/>
        <v>170</v>
      </c>
      <c r="T2036" s="1786">
        <f t="shared" si="348"/>
        <v>0</v>
      </c>
      <c r="U2036" s="1786" t="str">
        <f t="shared" si="349"/>
        <v>מיטבית - עתודות קרן פנסיה בהתאמה אישית</v>
      </c>
      <c r="V2036" s="1786">
        <f t="shared" si="350"/>
        <v>0</v>
      </c>
      <c r="W2036" s="1789" t="str">
        <f t="shared" si="351"/>
        <v>כלל פנסיה וגמל בע"מ</v>
      </c>
      <c r="AC2036" s="1759" t="s">
        <v>1586</v>
      </c>
      <c r="AD2036" s="1760">
        <v>41603.664641203701</v>
      </c>
      <c r="AE2036" s="1760">
        <v>34700</v>
      </c>
      <c r="AF2036" s="1759" t="s">
        <v>1583</v>
      </c>
      <c r="AG2036" s="1759" t="s">
        <v>1583</v>
      </c>
      <c r="AH2036" s="1759" t="s">
        <v>1583</v>
      </c>
      <c r="AI2036" s="1759" t="s">
        <v>2505</v>
      </c>
      <c r="AJ2036" s="1759" t="s">
        <v>2505</v>
      </c>
      <c r="AK2036" s="1759">
        <v>2003</v>
      </c>
      <c r="AL2036" s="1759" t="s">
        <v>397</v>
      </c>
      <c r="AM2036" s="1759">
        <v>170</v>
      </c>
      <c r="AN2036" s="1759"/>
      <c r="AO2036" s="1764"/>
      <c r="AP2036" s="1759"/>
      <c r="AQ2036" s="1759"/>
      <c r="AR2036" s="1759" t="s">
        <v>378</v>
      </c>
      <c r="AS2036" s="1759" t="s">
        <v>379</v>
      </c>
      <c r="AT2036" s="1759" t="s">
        <v>328</v>
      </c>
      <c r="AU2036" s="1763"/>
      <c r="AV2036" s="1763"/>
    </row>
    <row r="2037" spans="1:48" ht="14">
      <c r="A2037" s="1785" t="str">
        <f t="shared" si="341"/>
        <v>פנסיה</v>
      </c>
      <c r="B2037" s="1786">
        <f t="shared" si="342"/>
        <v>2004</v>
      </c>
      <c r="C2037" s="1787">
        <v>28946</v>
      </c>
      <c r="D2037" s="1786" t="str">
        <f t="shared" si="343"/>
        <v>חושן (כהלכה)</v>
      </c>
      <c r="E2037" s="1786" t="s">
        <v>3929</v>
      </c>
      <c r="F2037" s="1786" t="s">
        <v>2958</v>
      </c>
      <c r="G2037" s="1786" t="s">
        <v>2959</v>
      </c>
      <c r="H2037" s="1786" t="str">
        <f t="shared" si="344"/>
        <v>פעיל</v>
      </c>
      <c r="I2037" s="1788">
        <f t="shared" si="345"/>
        <v>34700</v>
      </c>
      <c r="J2037" s="1788" t="str">
        <f t="shared" si="346"/>
        <v/>
      </c>
      <c r="K2037" s="1786">
        <v>0</v>
      </c>
      <c r="L2037" s="1786" t="s">
        <v>1594</v>
      </c>
      <c r="M2037" s="1786" t="s">
        <v>1653</v>
      </c>
      <c r="N2037" s="1786" t="s">
        <v>1653</v>
      </c>
      <c r="O2037" s="1786">
        <v>0</v>
      </c>
      <c r="P2037" s="1786"/>
      <c r="Q2037" s="1786">
        <v>0</v>
      </c>
      <c r="R2037" s="1788"/>
      <c r="S2037" s="1786">
        <f t="shared" si="347"/>
        <v>170</v>
      </c>
      <c r="T2037" s="1786">
        <f t="shared" si="348"/>
        <v>0</v>
      </c>
      <c r="U2037" s="1786" t="str">
        <f t="shared" si="349"/>
        <v>כלל פנסיה</v>
      </c>
      <c r="V2037" s="1786">
        <f t="shared" si="350"/>
        <v>0</v>
      </c>
      <c r="W2037" s="1789" t="str">
        <f t="shared" si="351"/>
        <v>כלל פנסיה וגמל בע"מ</v>
      </c>
      <c r="AC2037" s="1761" t="s">
        <v>346</v>
      </c>
      <c r="AD2037" s="1761"/>
      <c r="AE2037" s="1762">
        <v>34700</v>
      </c>
      <c r="AF2037" s="1761" t="s">
        <v>4603</v>
      </c>
      <c r="AG2037" s="1761" t="s">
        <v>2029</v>
      </c>
      <c r="AH2037" s="1761" t="s">
        <v>2028</v>
      </c>
      <c r="AI2037" s="1761" t="s">
        <v>2506</v>
      </c>
      <c r="AJ2037" s="1761" t="s">
        <v>3684</v>
      </c>
      <c r="AK2037" s="1761">
        <v>2004</v>
      </c>
      <c r="AL2037" s="1761" t="s">
        <v>3683</v>
      </c>
      <c r="AM2037" s="1761">
        <v>170</v>
      </c>
      <c r="AN2037" s="1761"/>
      <c r="AO2037" s="1764"/>
      <c r="AP2037" s="1761"/>
      <c r="AQ2037" s="1761"/>
      <c r="AR2037" s="1761" t="s">
        <v>378</v>
      </c>
      <c r="AS2037" s="1761" t="s">
        <v>379</v>
      </c>
      <c r="AT2037" s="1761" t="s">
        <v>328</v>
      </c>
      <c r="AU2037" s="1763"/>
      <c r="AV2037" s="1763"/>
    </row>
    <row r="2038" spans="1:48" ht="14">
      <c r="A2038" s="1785" t="str">
        <f t="shared" si="341"/>
        <v>פנסיה</v>
      </c>
      <c r="B2038" s="1786">
        <f t="shared" si="342"/>
        <v>12177</v>
      </c>
      <c r="C2038" s="1787">
        <v>28946</v>
      </c>
      <c r="D2038" s="1786" t="str">
        <f t="shared" si="343"/>
        <v>מסלול בסיסי למקבלי קצבה</v>
      </c>
      <c r="E2038" s="1786" t="s">
        <v>3929</v>
      </c>
      <c r="F2038" s="1786" t="s">
        <v>2958</v>
      </c>
      <c r="G2038" s="1786" t="s">
        <v>2959</v>
      </c>
      <c r="H2038" s="1786" t="str">
        <f t="shared" si="344"/>
        <v>פעיל</v>
      </c>
      <c r="I2038" s="1788">
        <f t="shared" si="345"/>
        <v>34700</v>
      </c>
      <c r="J2038" s="1788" t="str">
        <f t="shared" si="346"/>
        <v/>
      </c>
      <c r="K2038" s="1786">
        <v>0</v>
      </c>
      <c r="L2038" s="1786" t="s">
        <v>1594</v>
      </c>
      <c r="M2038" s="1786" t="s">
        <v>1653</v>
      </c>
      <c r="N2038" s="1786" t="s">
        <v>1653</v>
      </c>
      <c r="O2038" s="1786">
        <v>0</v>
      </c>
      <c r="P2038" s="1786"/>
      <c r="Q2038" s="1786">
        <v>0</v>
      </c>
      <c r="R2038" s="1788"/>
      <c r="S2038" s="1786">
        <f t="shared" si="347"/>
        <v>170</v>
      </c>
      <c r="T2038" s="1786">
        <f t="shared" si="348"/>
        <v>0</v>
      </c>
      <c r="U2038" s="1786" t="str">
        <f t="shared" si="349"/>
        <v>כלל פנסיה</v>
      </c>
      <c r="V2038" s="1786">
        <f t="shared" si="350"/>
        <v>0</v>
      </c>
      <c r="W2038" s="1789" t="str">
        <f t="shared" si="351"/>
        <v>כלל פנסיה וגמל בע"מ</v>
      </c>
      <c r="AC2038" s="1759" t="s">
        <v>346</v>
      </c>
      <c r="AD2038" s="1759"/>
      <c r="AE2038" s="1760">
        <v>34700</v>
      </c>
      <c r="AF2038" s="1759" t="s">
        <v>1583</v>
      </c>
      <c r="AG2038" s="1759" t="s">
        <v>1583</v>
      </c>
      <c r="AH2038" s="1759" t="s">
        <v>1583</v>
      </c>
      <c r="AI2038" s="1759" t="s">
        <v>5713</v>
      </c>
      <c r="AJ2038" s="1759" t="s">
        <v>4175</v>
      </c>
      <c r="AK2038" s="1759">
        <v>12177</v>
      </c>
      <c r="AL2038" s="1759" t="s">
        <v>3683</v>
      </c>
      <c r="AM2038" s="1759">
        <v>170</v>
      </c>
      <c r="AN2038" s="1759"/>
      <c r="AO2038" s="1764"/>
      <c r="AP2038" s="1759"/>
      <c r="AQ2038" s="1759"/>
      <c r="AR2038" s="1759" t="s">
        <v>378</v>
      </c>
      <c r="AS2038" s="1759" t="s">
        <v>379</v>
      </c>
      <c r="AT2038" s="1759" t="s">
        <v>328</v>
      </c>
      <c r="AU2038" s="1763"/>
      <c r="AV2038" s="1763"/>
    </row>
    <row r="2039" spans="1:48" ht="25">
      <c r="A2039" s="1785" t="str">
        <f t="shared" si="341"/>
        <v>פנסיה</v>
      </c>
      <c r="B2039" s="1786">
        <f t="shared" si="342"/>
        <v>12155</v>
      </c>
      <c r="C2039" s="1787">
        <v>28946</v>
      </c>
      <c r="D2039" s="1786" t="str">
        <f t="shared" si="343"/>
        <v>מנורה מבטחים פנסיה - תיק מקבלי פנסיה חדשים</v>
      </c>
      <c r="E2039" s="1786" t="s">
        <v>3929</v>
      </c>
      <c r="F2039" s="1786" t="s">
        <v>2958</v>
      </c>
      <c r="G2039" s="1786" t="s">
        <v>2959</v>
      </c>
      <c r="H2039" s="1786" t="str">
        <f t="shared" si="344"/>
        <v>פעיל</v>
      </c>
      <c r="I2039" s="1788">
        <f t="shared" si="345"/>
        <v>34700</v>
      </c>
      <c r="J2039" s="1788" t="str">
        <f t="shared" si="346"/>
        <v/>
      </c>
      <c r="K2039" s="1786">
        <v>0</v>
      </c>
      <c r="L2039" s="1786" t="s">
        <v>1594</v>
      </c>
      <c r="M2039" s="1786" t="s">
        <v>1653</v>
      </c>
      <c r="N2039" s="1786" t="s">
        <v>1653</v>
      </c>
      <c r="O2039" s="1786">
        <v>0</v>
      </c>
      <c r="P2039" s="1786"/>
      <c r="Q2039" s="1786">
        <v>0</v>
      </c>
      <c r="R2039" s="1788"/>
      <c r="S2039" s="1786">
        <f t="shared" si="347"/>
        <v>168</v>
      </c>
      <c r="T2039" s="1786">
        <f t="shared" si="348"/>
        <v>0</v>
      </c>
      <c r="U2039" s="1786" t="str">
        <f t="shared" si="349"/>
        <v>מנורה מבטחים פנסיה</v>
      </c>
      <c r="V2039" s="1786" t="str">
        <f t="shared" si="350"/>
        <v>520007469</v>
      </c>
      <c r="W2039" s="1789" t="str">
        <f t="shared" si="351"/>
        <v>מנורה מבטחים פנסיה וגמל בע"מ</v>
      </c>
      <c r="AC2039" s="1761" t="s">
        <v>346</v>
      </c>
      <c r="AD2039" s="1761"/>
      <c r="AE2039" s="1762">
        <v>34700</v>
      </c>
      <c r="AF2039" s="1761" t="s">
        <v>4160</v>
      </c>
      <c r="AG2039" s="1761" t="s">
        <v>2614</v>
      </c>
      <c r="AH2039" s="1761" t="s">
        <v>3658</v>
      </c>
      <c r="AI2039" s="1761" t="s">
        <v>5714</v>
      </c>
      <c r="AJ2039" s="1761" t="s">
        <v>5715</v>
      </c>
      <c r="AK2039" s="1761">
        <v>12155</v>
      </c>
      <c r="AL2039" s="1761" t="s">
        <v>5716</v>
      </c>
      <c r="AM2039" s="1761">
        <v>168</v>
      </c>
      <c r="AN2039" s="1761"/>
      <c r="AO2039" s="1764"/>
      <c r="AP2039" s="1761" t="s">
        <v>5377</v>
      </c>
      <c r="AQ2039" s="1761" t="s">
        <v>5378</v>
      </c>
      <c r="AR2039" s="1761" t="s">
        <v>2971</v>
      </c>
      <c r="AS2039" s="1761" t="s">
        <v>396</v>
      </c>
      <c r="AT2039" s="1761" t="s">
        <v>328</v>
      </c>
      <c r="AU2039" s="1763"/>
      <c r="AV2039" s="1763"/>
    </row>
    <row r="2040" spans="1:48" ht="25">
      <c r="A2040" s="1785" t="str">
        <f t="shared" si="341"/>
        <v>פנסיה</v>
      </c>
      <c r="B2040" s="1786">
        <f t="shared" si="342"/>
        <v>2184</v>
      </c>
      <c r="C2040" s="1787">
        <v>28946</v>
      </c>
      <c r="D2040" s="1786" t="str">
        <f t="shared" si="343"/>
        <v>מנורה מבטחים פנסיה - מסלול יעד לפרישה 2055</v>
      </c>
      <c r="E2040" s="1786" t="s">
        <v>3929</v>
      </c>
      <c r="F2040" s="1786" t="s">
        <v>2958</v>
      </c>
      <c r="G2040" s="1786" t="s">
        <v>2959</v>
      </c>
      <c r="H2040" s="1786" t="str">
        <f t="shared" si="344"/>
        <v>פעיל</v>
      </c>
      <c r="I2040" s="1788">
        <f t="shared" si="345"/>
        <v>34700</v>
      </c>
      <c r="J2040" s="1788" t="str">
        <f t="shared" si="346"/>
        <v/>
      </c>
      <c r="K2040" s="1786">
        <v>0</v>
      </c>
      <c r="L2040" s="1786" t="s">
        <v>1594</v>
      </c>
      <c r="M2040" s="1786" t="s">
        <v>1653</v>
      </c>
      <c r="N2040" s="1786" t="s">
        <v>1653</v>
      </c>
      <c r="O2040" s="1786">
        <v>0</v>
      </c>
      <c r="P2040" s="1786"/>
      <c r="Q2040" s="1786">
        <v>0</v>
      </c>
      <c r="R2040" s="1788"/>
      <c r="S2040" s="1786">
        <f t="shared" si="347"/>
        <v>168</v>
      </c>
      <c r="T2040" s="1786">
        <f t="shared" si="348"/>
        <v>0</v>
      </c>
      <c r="U2040" s="1786" t="str">
        <f t="shared" si="349"/>
        <v>מנורה מבטחים פנסיה</v>
      </c>
      <c r="V2040" s="1786" t="str">
        <f t="shared" si="350"/>
        <v>520007469</v>
      </c>
      <c r="W2040" s="1789" t="str">
        <f t="shared" si="351"/>
        <v>מנורה מבטחים פנסיה וגמל בע"מ</v>
      </c>
      <c r="AC2040" s="1759" t="s">
        <v>346</v>
      </c>
      <c r="AD2040" s="1759"/>
      <c r="AE2040" s="1760">
        <v>34700</v>
      </c>
      <c r="AF2040" s="1759" t="s">
        <v>4113</v>
      </c>
      <c r="AG2040" s="1759" t="s">
        <v>4113</v>
      </c>
      <c r="AH2040" s="1759" t="s">
        <v>3658</v>
      </c>
      <c r="AI2040" s="1759" t="s">
        <v>5717</v>
      </c>
      <c r="AJ2040" s="1759" t="s">
        <v>5717</v>
      </c>
      <c r="AK2040" s="1759">
        <v>2184</v>
      </c>
      <c r="AL2040" s="1759" t="s">
        <v>5716</v>
      </c>
      <c r="AM2040" s="1759">
        <v>168</v>
      </c>
      <c r="AN2040" s="1759"/>
      <c r="AO2040" s="1764"/>
      <c r="AP2040" s="1759" t="s">
        <v>5377</v>
      </c>
      <c r="AQ2040" s="1759" t="s">
        <v>5378</v>
      </c>
      <c r="AR2040" s="1759" t="s">
        <v>2971</v>
      </c>
      <c r="AS2040" s="1759" t="s">
        <v>396</v>
      </c>
      <c r="AT2040" s="1759" t="s">
        <v>328</v>
      </c>
      <c r="AU2040" s="1763"/>
      <c r="AV2040" s="1763"/>
    </row>
    <row r="2041" spans="1:48" ht="25">
      <c r="A2041" s="1785" t="str">
        <f t="shared" si="341"/>
        <v>פנסיה</v>
      </c>
      <c r="B2041" s="1786">
        <f t="shared" si="342"/>
        <v>8561</v>
      </c>
      <c r="C2041" s="1787">
        <v>28946</v>
      </c>
      <c r="D2041" s="1786" t="str">
        <f t="shared" si="343"/>
        <v>מנורה מבטחים פנסיה - תיק זכאים קיימים</v>
      </c>
      <c r="E2041" s="1786" t="s">
        <v>3929</v>
      </c>
      <c r="F2041" s="1786" t="s">
        <v>2958</v>
      </c>
      <c r="G2041" s="1786" t="s">
        <v>2959</v>
      </c>
      <c r="H2041" s="1786" t="str">
        <f t="shared" si="344"/>
        <v>פעיל</v>
      </c>
      <c r="I2041" s="1788">
        <f t="shared" si="345"/>
        <v>34700</v>
      </c>
      <c r="J2041" s="1788" t="str">
        <f t="shared" si="346"/>
        <v/>
      </c>
      <c r="K2041" s="1786">
        <v>0</v>
      </c>
      <c r="L2041" s="1786" t="s">
        <v>1594</v>
      </c>
      <c r="M2041" s="1786" t="s">
        <v>1653</v>
      </c>
      <c r="N2041" s="1786" t="s">
        <v>1653</v>
      </c>
      <c r="O2041" s="1786">
        <v>0</v>
      </c>
      <c r="P2041" s="1786"/>
      <c r="Q2041" s="1786">
        <v>0</v>
      </c>
      <c r="R2041" s="1788"/>
      <c r="S2041" s="1786">
        <f t="shared" si="347"/>
        <v>168</v>
      </c>
      <c r="T2041" s="1786">
        <f t="shared" si="348"/>
        <v>0</v>
      </c>
      <c r="U2041" s="1786" t="str">
        <f t="shared" si="349"/>
        <v>מנורה מבטחים פנסיה</v>
      </c>
      <c r="V2041" s="1786" t="str">
        <f t="shared" si="350"/>
        <v>520007469</v>
      </c>
      <c r="W2041" s="1789" t="str">
        <f t="shared" si="351"/>
        <v>מנורה מבטחים פנסיה וגמל בע"מ</v>
      </c>
      <c r="AC2041" s="1761" t="s">
        <v>346</v>
      </c>
      <c r="AD2041" s="1761"/>
      <c r="AE2041" s="1762">
        <v>34700</v>
      </c>
      <c r="AF2041" s="1761" t="s">
        <v>4160</v>
      </c>
      <c r="AG2041" s="1761" t="s">
        <v>2614</v>
      </c>
      <c r="AH2041" s="1761" t="s">
        <v>3658</v>
      </c>
      <c r="AI2041" s="1761" t="s">
        <v>5718</v>
      </c>
      <c r="AJ2041" s="1761" t="s">
        <v>5719</v>
      </c>
      <c r="AK2041" s="1761">
        <v>8561</v>
      </c>
      <c r="AL2041" s="1761" t="s">
        <v>5716</v>
      </c>
      <c r="AM2041" s="1761">
        <v>168</v>
      </c>
      <c r="AN2041" s="1761"/>
      <c r="AO2041" s="1764"/>
      <c r="AP2041" s="1761" t="s">
        <v>5377</v>
      </c>
      <c r="AQ2041" s="1761" t="s">
        <v>5378</v>
      </c>
      <c r="AR2041" s="1761" t="s">
        <v>2971</v>
      </c>
      <c r="AS2041" s="1761" t="s">
        <v>396</v>
      </c>
      <c r="AT2041" s="1761" t="s">
        <v>328</v>
      </c>
      <c r="AU2041" s="1763"/>
      <c r="AV2041" s="1763"/>
    </row>
    <row r="2042" spans="1:48" ht="25">
      <c r="A2042" s="1785" t="str">
        <f t="shared" si="341"/>
        <v>פנסיה</v>
      </c>
      <c r="B2042" s="1786">
        <f t="shared" si="342"/>
        <v>8812</v>
      </c>
      <c r="C2042" s="1787">
        <v>28946</v>
      </c>
      <c r="D2042" s="1786" t="str">
        <f t="shared" si="343"/>
        <v>מנורה מבטחים פנסיה - מסלול יעד לפרישה 2060</v>
      </c>
      <c r="E2042" s="1786" t="s">
        <v>3929</v>
      </c>
      <c r="F2042" s="1786" t="s">
        <v>2958</v>
      </c>
      <c r="G2042" s="1786" t="s">
        <v>2959</v>
      </c>
      <c r="H2042" s="1786" t="str">
        <f t="shared" si="344"/>
        <v>פעיל</v>
      </c>
      <c r="I2042" s="1788">
        <f t="shared" si="345"/>
        <v>34700</v>
      </c>
      <c r="J2042" s="1788" t="str">
        <f t="shared" si="346"/>
        <v/>
      </c>
      <c r="K2042" s="1786">
        <v>0</v>
      </c>
      <c r="L2042" s="1786" t="s">
        <v>1594</v>
      </c>
      <c r="M2042" s="1786" t="s">
        <v>1653</v>
      </c>
      <c r="N2042" s="1786" t="s">
        <v>1653</v>
      </c>
      <c r="O2042" s="1786">
        <v>0</v>
      </c>
      <c r="P2042" s="1786"/>
      <c r="Q2042" s="1786">
        <v>0</v>
      </c>
      <c r="R2042" s="1788"/>
      <c r="S2042" s="1786">
        <f t="shared" si="347"/>
        <v>168</v>
      </c>
      <c r="T2042" s="1786">
        <f t="shared" si="348"/>
        <v>0</v>
      </c>
      <c r="U2042" s="1786" t="str">
        <f t="shared" si="349"/>
        <v>מנורה מבטחים פנסיה</v>
      </c>
      <c r="V2042" s="1786" t="str">
        <f t="shared" si="350"/>
        <v>520007469</v>
      </c>
      <c r="W2042" s="1789" t="str">
        <f t="shared" si="351"/>
        <v>מנורה מבטחים פנסיה וגמל בע"מ</v>
      </c>
      <c r="AC2042" s="1759" t="s">
        <v>346</v>
      </c>
      <c r="AD2042" s="1759"/>
      <c r="AE2042" s="1760">
        <v>34700</v>
      </c>
      <c r="AF2042" s="1759" t="s">
        <v>4113</v>
      </c>
      <c r="AG2042" s="1759" t="s">
        <v>4113</v>
      </c>
      <c r="AH2042" s="1759" t="s">
        <v>3658</v>
      </c>
      <c r="AI2042" s="1759" t="s">
        <v>5720</v>
      </c>
      <c r="AJ2042" s="1759" t="s">
        <v>5720</v>
      </c>
      <c r="AK2042" s="1759">
        <v>8812</v>
      </c>
      <c r="AL2042" s="1759" t="s">
        <v>5716</v>
      </c>
      <c r="AM2042" s="1759">
        <v>168</v>
      </c>
      <c r="AN2042" s="1759"/>
      <c r="AO2042" s="1764"/>
      <c r="AP2042" s="1759" t="s">
        <v>5377</v>
      </c>
      <c r="AQ2042" s="1759" t="s">
        <v>5378</v>
      </c>
      <c r="AR2042" s="1759" t="s">
        <v>2971</v>
      </c>
      <c r="AS2042" s="1759" t="s">
        <v>396</v>
      </c>
      <c r="AT2042" s="1759" t="s">
        <v>328</v>
      </c>
      <c r="AU2042" s="1763"/>
      <c r="AV2042" s="1763"/>
    </row>
    <row r="2043" spans="1:48" ht="25">
      <c r="A2043" s="1785" t="str">
        <f t="shared" si="341"/>
        <v>פנסיה</v>
      </c>
      <c r="B2043" s="1786">
        <f t="shared" si="342"/>
        <v>2009</v>
      </c>
      <c r="C2043" s="1787">
        <v>28946</v>
      </c>
      <c r="D2043" s="1786" t="str">
        <f t="shared" si="343"/>
        <v xml:space="preserve">מנורה מבטחים פנסיה - כללי </v>
      </c>
      <c r="E2043" s="1786" t="s">
        <v>3929</v>
      </c>
      <c r="F2043" s="1786" t="s">
        <v>2958</v>
      </c>
      <c r="G2043" s="1786" t="s">
        <v>2959</v>
      </c>
      <c r="H2043" s="1786" t="str">
        <f t="shared" si="344"/>
        <v>פעיל</v>
      </c>
      <c r="I2043" s="1788">
        <f t="shared" si="345"/>
        <v>34700</v>
      </c>
      <c r="J2043" s="1788" t="str">
        <f t="shared" si="346"/>
        <v/>
      </c>
      <c r="K2043" s="1786">
        <v>0</v>
      </c>
      <c r="L2043" s="1786" t="s">
        <v>1594</v>
      </c>
      <c r="M2043" s="1786" t="s">
        <v>1653</v>
      </c>
      <c r="N2043" s="1786" t="s">
        <v>1653</v>
      </c>
      <c r="O2043" s="1786">
        <v>0</v>
      </c>
      <c r="P2043" s="1786"/>
      <c r="Q2043" s="1786">
        <v>0</v>
      </c>
      <c r="R2043" s="1788"/>
      <c r="S2043" s="1786">
        <f t="shared" si="347"/>
        <v>168</v>
      </c>
      <c r="T2043" s="1786">
        <f t="shared" si="348"/>
        <v>0</v>
      </c>
      <c r="U2043" s="1786" t="str">
        <f t="shared" si="349"/>
        <v>מנורה מבטחים פנסיה</v>
      </c>
      <c r="V2043" s="1786" t="str">
        <f t="shared" si="350"/>
        <v>520007469</v>
      </c>
      <c r="W2043" s="1789" t="str">
        <f t="shared" si="351"/>
        <v>מנורה מבטחים פנסיה וגמל בע"מ</v>
      </c>
      <c r="AC2043" s="1761" t="s">
        <v>346</v>
      </c>
      <c r="AD2043" s="1761"/>
      <c r="AE2043" s="1762">
        <v>34700</v>
      </c>
      <c r="AF2043" s="1761" t="s">
        <v>1583</v>
      </c>
      <c r="AG2043" s="1761" t="s">
        <v>1583</v>
      </c>
      <c r="AH2043" s="1761" t="s">
        <v>1583</v>
      </c>
      <c r="AI2043" s="1761" t="s">
        <v>5721</v>
      </c>
      <c r="AJ2043" s="1761" t="s">
        <v>5722</v>
      </c>
      <c r="AK2043" s="1761">
        <v>2009</v>
      </c>
      <c r="AL2043" s="1761" t="s">
        <v>5716</v>
      </c>
      <c r="AM2043" s="1761">
        <v>168</v>
      </c>
      <c r="AN2043" s="1761"/>
      <c r="AO2043" s="1764"/>
      <c r="AP2043" s="1761" t="s">
        <v>5377</v>
      </c>
      <c r="AQ2043" s="1761" t="s">
        <v>5378</v>
      </c>
      <c r="AR2043" s="1761" t="s">
        <v>2971</v>
      </c>
      <c r="AS2043" s="1761" t="s">
        <v>396</v>
      </c>
      <c r="AT2043" s="1761" t="s">
        <v>328</v>
      </c>
      <c r="AU2043" s="1763"/>
      <c r="AV2043" s="1763"/>
    </row>
    <row r="2044" spans="1:48" ht="25">
      <c r="A2044" s="1785" t="str">
        <f t="shared" si="341"/>
        <v>פנסיה</v>
      </c>
      <c r="B2044" s="1786">
        <f t="shared" si="342"/>
        <v>2010</v>
      </c>
      <c r="C2044" s="1787">
        <v>28946</v>
      </c>
      <c r="D2044" s="1786" t="str">
        <f t="shared" si="343"/>
        <v>מבטחים החדשה - מסלול יעד לפרישה 2015</v>
      </c>
      <c r="E2044" s="1786" t="s">
        <v>3929</v>
      </c>
      <c r="F2044" s="1786" t="s">
        <v>2958</v>
      </c>
      <c r="G2044" s="1786" t="s">
        <v>2959</v>
      </c>
      <c r="H2044" s="1786" t="str">
        <f t="shared" si="344"/>
        <v>לא פעיל</v>
      </c>
      <c r="I2044" s="1788">
        <f t="shared" si="345"/>
        <v>34700</v>
      </c>
      <c r="J2044" s="1788">
        <f t="shared" si="346"/>
        <v>42572.755717592598</v>
      </c>
      <c r="K2044" s="1786">
        <v>0</v>
      </c>
      <c r="L2044" s="1786" t="s">
        <v>1594</v>
      </c>
      <c r="M2044" s="1786" t="s">
        <v>1653</v>
      </c>
      <c r="N2044" s="1786" t="s">
        <v>1653</v>
      </c>
      <c r="O2044" s="1786">
        <v>0</v>
      </c>
      <c r="P2044" s="1786"/>
      <c r="Q2044" s="1786">
        <v>0</v>
      </c>
      <c r="R2044" s="1788"/>
      <c r="S2044" s="1786">
        <f t="shared" si="347"/>
        <v>168</v>
      </c>
      <c r="T2044" s="1786">
        <f t="shared" si="348"/>
        <v>0</v>
      </c>
      <c r="U2044" s="1786" t="str">
        <f t="shared" si="349"/>
        <v>מנורה מבטחים פנסיה</v>
      </c>
      <c r="V2044" s="1786" t="str">
        <f t="shared" si="350"/>
        <v>520007469</v>
      </c>
      <c r="W2044" s="1789" t="str">
        <f t="shared" si="351"/>
        <v>מנורה מבטחים פנסיה וגמל בע"מ</v>
      </c>
      <c r="AC2044" s="1759" t="s">
        <v>1586</v>
      </c>
      <c r="AD2044" s="1760">
        <v>42572.755717592598</v>
      </c>
      <c r="AE2044" s="1760">
        <v>34700</v>
      </c>
      <c r="AF2044" s="1759" t="s">
        <v>4113</v>
      </c>
      <c r="AG2044" s="1759" t="s">
        <v>4113</v>
      </c>
      <c r="AH2044" s="1759" t="s">
        <v>3658</v>
      </c>
      <c r="AI2044" s="1759" t="s">
        <v>2591</v>
      </c>
      <c r="AJ2044" s="1759" t="s">
        <v>2591</v>
      </c>
      <c r="AK2044" s="1759">
        <v>2010</v>
      </c>
      <c r="AL2044" s="1759" t="s">
        <v>5716</v>
      </c>
      <c r="AM2044" s="1759">
        <v>168</v>
      </c>
      <c r="AN2044" s="1759"/>
      <c r="AO2044" s="1764"/>
      <c r="AP2044" s="1759" t="s">
        <v>5377</v>
      </c>
      <c r="AQ2044" s="1759" t="s">
        <v>5378</v>
      </c>
      <c r="AR2044" s="1759" t="s">
        <v>2971</v>
      </c>
      <c r="AS2044" s="1759" t="s">
        <v>396</v>
      </c>
      <c r="AT2044" s="1759" t="s">
        <v>328</v>
      </c>
      <c r="AU2044" s="1763"/>
      <c r="AV2044" s="1763"/>
    </row>
    <row r="2045" spans="1:48" ht="25">
      <c r="A2045" s="1785" t="str">
        <f t="shared" si="341"/>
        <v>פנסיה</v>
      </c>
      <c r="B2045" s="1786">
        <f t="shared" si="342"/>
        <v>2011</v>
      </c>
      <c r="C2045" s="1787">
        <v>28946</v>
      </c>
      <c r="D2045" s="1786" t="str">
        <f t="shared" si="343"/>
        <v>מנורה מבטחים פנסיה - מסלול יעד לפרישה 2020</v>
      </c>
      <c r="E2045" s="1786" t="s">
        <v>3929</v>
      </c>
      <c r="F2045" s="1786" t="s">
        <v>2958</v>
      </c>
      <c r="G2045" s="1786" t="s">
        <v>2959</v>
      </c>
      <c r="H2045" s="1786" t="str">
        <f t="shared" si="344"/>
        <v>פעיל</v>
      </c>
      <c r="I2045" s="1788">
        <f t="shared" si="345"/>
        <v>34700</v>
      </c>
      <c r="J2045" s="1788" t="str">
        <f t="shared" si="346"/>
        <v/>
      </c>
      <c r="K2045" s="1786">
        <v>0</v>
      </c>
      <c r="L2045" s="1786" t="s">
        <v>1594</v>
      </c>
      <c r="M2045" s="1786" t="s">
        <v>1653</v>
      </c>
      <c r="N2045" s="1786" t="s">
        <v>1653</v>
      </c>
      <c r="O2045" s="1786">
        <v>0</v>
      </c>
      <c r="P2045" s="1786"/>
      <c r="Q2045" s="1786">
        <v>0</v>
      </c>
      <c r="R2045" s="1788"/>
      <c r="S2045" s="1786">
        <f t="shared" si="347"/>
        <v>168</v>
      </c>
      <c r="T2045" s="1786">
        <f t="shared" si="348"/>
        <v>0</v>
      </c>
      <c r="U2045" s="1786" t="str">
        <f t="shared" si="349"/>
        <v>מנורה מבטחים פנסיה</v>
      </c>
      <c r="V2045" s="1786" t="str">
        <f t="shared" si="350"/>
        <v>520007469</v>
      </c>
      <c r="W2045" s="1789" t="str">
        <f t="shared" si="351"/>
        <v>מנורה מבטחים פנסיה וגמל בע"מ</v>
      </c>
      <c r="AC2045" s="1761" t="s">
        <v>346</v>
      </c>
      <c r="AD2045" s="1761"/>
      <c r="AE2045" s="1762">
        <v>34700</v>
      </c>
      <c r="AF2045" s="1761" t="s">
        <v>4113</v>
      </c>
      <c r="AG2045" s="1761" t="s">
        <v>4113</v>
      </c>
      <c r="AH2045" s="1761" t="s">
        <v>3658</v>
      </c>
      <c r="AI2045" s="1761" t="s">
        <v>5723</v>
      </c>
      <c r="AJ2045" s="1761" t="s">
        <v>5723</v>
      </c>
      <c r="AK2045" s="1761">
        <v>2011</v>
      </c>
      <c r="AL2045" s="1761" t="s">
        <v>5716</v>
      </c>
      <c r="AM2045" s="1761">
        <v>168</v>
      </c>
      <c r="AN2045" s="1761"/>
      <c r="AO2045" s="1764"/>
      <c r="AP2045" s="1761" t="s">
        <v>5377</v>
      </c>
      <c r="AQ2045" s="1761" t="s">
        <v>5378</v>
      </c>
      <c r="AR2045" s="1761" t="s">
        <v>2971</v>
      </c>
      <c r="AS2045" s="1761" t="s">
        <v>396</v>
      </c>
      <c r="AT2045" s="1761" t="s">
        <v>328</v>
      </c>
      <c r="AU2045" s="1763"/>
      <c r="AV2045" s="1763"/>
    </row>
    <row r="2046" spans="1:48" ht="25">
      <c r="A2046" s="1785" t="str">
        <f t="shared" si="341"/>
        <v>פנסיה</v>
      </c>
      <c r="B2046" s="1786">
        <f t="shared" si="342"/>
        <v>2012</v>
      </c>
      <c r="C2046" s="1787">
        <v>28946</v>
      </c>
      <c r="D2046" s="1786" t="str">
        <f t="shared" si="343"/>
        <v>מנורה מבטחים פנסיה - מסלול יעד לפרישה 2025</v>
      </c>
      <c r="E2046" s="1786" t="s">
        <v>3929</v>
      </c>
      <c r="F2046" s="1786" t="s">
        <v>2958</v>
      </c>
      <c r="G2046" s="1786" t="s">
        <v>2959</v>
      </c>
      <c r="H2046" s="1786" t="str">
        <f t="shared" si="344"/>
        <v>פעיל</v>
      </c>
      <c r="I2046" s="1788">
        <f t="shared" si="345"/>
        <v>34700</v>
      </c>
      <c r="J2046" s="1788" t="str">
        <f t="shared" si="346"/>
        <v/>
      </c>
      <c r="K2046" s="1786">
        <v>0</v>
      </c>
      <c r="L2046" s="1786" t="s">
        <v>1594</v>
      </c>
      <c r="M2046" s="1786" t="s">
        <v>1653</v>
      </c>
      <c r="N2046" s="1786" t="s">
        <v>1653</v>
      </c>
      <c r="O2046" s="1786">
        <v>0</v>
      </c>
      <c r="P2046" s="1786"/>
      <c r="Q2046" s="1786">
        <v>0</v>
      </c>
      <c r="R2046" s="1788"/>
      <c r="S2046" s="1786">
        <f t="shared" si="347"/>
        <v>168</v>
      </c>
      <c r="T2046" s="1786">
        <f t="shared" si="348"/>
        <v>0</v>
      </c>
      <c r="U2046" s="1786" t="str">
        <f t="shared" si="349"/>
        <v>מנורה מבטחים פנסיה</v>
      </c>
      <c r="V2046" s="1786" t="str">
        <f t="shared" si="350"/>
        <v>520007469</v>
      </c>
      <c r="W2046" s="1789" t="str">
        <f t="shared" si="351"/>
        <v>מנורה מבטחים פנסיה וגמל בע"מ</v>
      </c>
      <c r="AC2046" s="1759" t="s">
        <v>346</v>
      </c>
      <c r="AD2046" s="1759"/>
      <c r="AE2046" s="1760">
        <v>34700</v>
      </c>
      <c r="AF2046" s="1759" t="s">
        <v>4113</v>
      </c>
      <c r="AG2046" s="1759" t="s">
        <v>4113</v>
      </c>
      <c r="AH2046" s="1759" t="s">
        <v>3658</v>
      </c>
      <c r="AI2046" s="1759" t="s">
        <v>5724</v>
      </c>
      <c r="AJ2046" s="1759" t="s">
        <v>5724</v>
      </c>
      <c r="AK2046" s="1759">
        <v>2012</v>
      </c>
      <c r="AL2046" s="1759" t="s">
        <v>5716</v>
      </c>
      <c r="AM2046" s="1759">
        <v>168</v>
      </c>
      <c r="AN2046" s="1759"/>
      <c r="AO2046" s="1764"/>
      <c r="AP2046" s="1759" t="s">
        <v>5377</v>
      </c>
      <c r="AQ2046" s="1759" t="s">
        <v>5378</v>
      </c>
      <c r="AR2046" s="1759" t="s">
        <v>2971</v>
      </c>
      <c r="AS2046" s="1759" t="s">
        <v>396</v>
      </c>
      <c r="AT2046" s="1759" t="s">
        <v>328</v>
      </c>
      <c r="AU2046" s="1763"/>
      <c r="AV2046" s="1763"/>
    </row>
    <row r="2047" spans="1:48" ht="25">
      <c r="A2047" s="1785" t="str">
        <f t="shared" si="341"/>
        <v>פנסיה</v>
      </c>
      <c r="B2047" s="1786">
        <f t="shared" si="342"/>
        <v>2013</v>
      </c>
      <c r="C2047" s="1787">
        <v>28946</v>
      </c>
      <c r="D2047" s="1786" t="str">
        <f t="shared" si="343"/>
        <v>מנורה מבטחים פנסיה - מסלול יעד לפרישה 2030</v>
      </c>
      <c r="E2047" s="1786" t="s">
        <v>3929</v>
      </c>
      <c r="F2047" s="1786" t="s">
        <v>2958</v>
      </c>
      <c r="G2047" s="1786" t="s">
        <v>2959</v>
      </c>
      <c r="H2047" s="1786" t="str">
        <f t="shared" si="344"/>
        <v>פעיל</v>
      </c>
      <c r="I2047" s="1788">
        <f t="shared" si="345"/>
        <v>34700</v>
      </c>
      <c r="J2047" s="1788" t="str">
        <f t="shared" si="346"/>
        <v/>
      </c>
      <c r="K2047" s="1786">
        <v>0</v>
      </c>
      <c r="L2047" s="1786" t="s">
        <v>1594</v>
      </c>
      <c r="M2047" s="1786" t="s">
        <v>1653</v>
      </c>
      <c r="N2047" s="1786" t="s">
        <v>1653</v>
      </c>
      <c r="O2047" s="1786">
        <v>0</v>
      </c>
      <c r="P2047" s="1786"/>
      <c r="Q2047" s="1786">
        <v>0</v>
      </c>
      <c r="R2047" s="1788"/>
      <c r="S2047" s="1786">
        <f t="shared" si="347"/>
        <v>168</v>
      </c>
      <c r="T2047" s="1786">
        <f t="shared" si="348"/>
        <v>0</v>
      </c>
      <c r="U2047" s="1786" t="str">
        <f t="shared" si="349"/>
        <v>מנורה מבטחים פנסיה</v>
      </c>
      <c r="V2047" s="1786" t="str">
        <f t="shared" si="350"/>
        <v>520007469</v>
      </c>
      <c r="W2047" s="1789" t="str">
        <f t="shared" si="351"/>
        <v>מנורה מבטחים פנסיה וגמל בע"מ</v>
      </c>
      <c r="AC2047" s="1761" t="s">
        <v>346</v>
      </c>
      <c r="AD2047" s="1761"/>
      <c r="AE2047" s="1762">
        <v>34700</v>
      </c>
      <c r="AF2047" s="1761" t="s">
        <v>4113</v>
      </c>
      <c r="AG2047" s="1761" t="s">
        <v>4113</v>
      </c>
      <c r="AH2047" s="1761" t="s">
        <v>3658</v>
      </c>
      <c r="AI2047" s="1761" t="s">
        <v>5725</v>
      </c>
      <c r="AJ2047" s="1761" t="s">
        <v>5725</v>
      </c>
      <c r="AK2047" s="1761">
        <v>2013</v>
      </c>
      <c r="AL2047" s="1761" t="s">
        <v>5716</v>
      </c>
      <c r="AM2047" s="1761">
        <v>168</v>
      </c>
      <c r="AN2047" s="1761"/>
      <c r="AO2047" s="1764"/>
      <c r="AP2047" s="1761" t="s">
        <v>5377</v>
      </c>
      <c r="AQ2047" s="1761" t="s">
        <v>5378</v>
      </c>
      <c r="AR2047" s="1761" t="s">
        <v>2971</v>
      </c>
      <c r="AS2047" s="1761" t="s">
        <v>396</v>
      </c>
      <c r="AT2047" s="1761" t="s">
        <v>328</v>
      </c>
      <c r="AU2047" s="1763"/>
      <c r="AV2047" s="1763"/>
    </row>
    <row r="2048" spans="1:48" ht="25">
      <c r="A2048" s="1785" t="str">
        <f t="shared" si="341"/>
        <v>פנסיה</v>
      </c>
      <c r="B2048" s="1786">
        <f t="shared" si="342"/>
        <v>2014</v>
      </c>
      <c r="C2048" s="1787">
        <v>28946</v>
      </c>
      <c r="D2048" s="1786" t="str">
        <f t="shared" si="343"/>
        <v>מנורה מבטחים פנסיה - מסלול יעד לפרישה 2035</v>
      </c>
      <c r="E2048" s="1786" t="s">
        <v>3929</v>
      </c>
      <c r="F2048" s="1786" t="s">
        <v>2958</v>
      </c>
      <c r="G2048" s="1786" t="s">
        <v>2959</v>
      </c>
      <c r="H2048" s="1786" t="str">
        <f t="shared" si="344"/>
        <v>פעיל</v>
      </c>
      <c r="I2048" s="1788">
        <f t="shared" si="345"/>
        <v>34700</v>
      </c>
      <c r="J2048" s="1788" t="str">
        <f t="shared" si="346"/>
        <v/>
      </c>
      <c r="K2048" s="1786">
        <v>0</v>
      </c>
      <c r="L2048" s="1786" t="s">
        <v>1594</v>
      </c>
      <c r="M2048" s="1786" t="s">
        <v>1653</v>
      </c>
      <c r="N2048" s="1786" t="s">
        <v>1653</v>
      </c>
      <c r="O2048" s="1786">
        <v>0</v>
      </c>
      <c r="P2048" s="1786"/>
      <c r="Q2048" s="1786">
        <v>0</v>
      </c>
      <c r="R2048" s="1788"/>
      <c r="S2048" s="1786">
        <f t="shared" si="347"/>
        <v>168</v>
      </c>
      <c r="T2048" s="1786">
        <f t="shared" si="348"/>
        <v>0</v>
      </c>
      <c r="U2048" s="1786" t="str">
        <f t="shared" si="349"/>
        <v>מנורה מבטחים פנסיה</v>
      </c>
      <c r="V2048" s="1786" t="str">
        <f t="shared" si="350"/>
        <v>520007469</v>
      </c>
      <c r="W2048" s="1789" t="str">
        <f t="shared" si="351"/>
        <v>מנורה מבטחים פנסיה וגמל בע"מ</v>
      </c>
      <c r="AC2048" s="1759" t="s">
        <v>346</v>
      </c>
      <c r="AD2048" s="1759"/>
      <c r="AE2048" s="1760">
        <v>34700</v>
      </c>
      <c r="AF2048" s="1759" t="s">
        <v>4113</v>
      </c>
      <c r="AG2048" s="1759" t="s">
        <v>4113</v>
      </c>
      <c r="AH2048" s="1759" t="s">
        <v>3658</v>
      </c>
      <c r="AI2048" s="1759" t="s">
        <v>5726</v>
      </c>
      <c r="AJ2048" s="1759" t="s">
        <v>5726</v>
      </c>
      <c r="AK2048" s="1759">
        <v>2014</v>
      </c>
      <c r="AL2048" s="1759" t="s">
        <v>5716</v>
      </c>
      <c r="AM2048" s="1759">
        <v>168</v>
      </c>
      <c r="AN2048" s="1759"/>
      <c r="AO2048" s="1764"/>
      <c r="AP2048" s="1759" t="s">
        <v>5377</v>
      </c>
      <c r="AQ2048" s="1759" t="s">
        <v>5378</v>
      </c>
      <c r="AR2048" s="1759" t="s">
        <v>2971</v>
      </c>
      <c r="AS2048" s="1759" t="s">
        <v>396</v>
      </c>
      <c r="AT2048" s="1759" t="s">
        <v>328</v>
      </c>
      <c r="AU2048" s="1763"/>
      <c r="AV2048" s="1763"/>
    </row>
    <row r="2049" spans="1:48" ht="25">
      <c r="A2049" s="1785" t="str">
        <f t="shared" si="341"/>
        <v>פנסיה</v>
      </c>
      <c r="B2049" s="1786">
        <f t="shared" si="342"/>
        <v>2015</v>
      </c>
      <c r="C2049" s="1787">
        <v>28946</v>
      </c>
      <c r="D2049" s="1786" t="str">
        <f t="shared" si="343"/>
        <v>מנורה מבטחים פנסיה - מסלול יעד לפרישה 2040</v>
      </c>
      <c r="E2049" s="1786" t="s">
        <v>3929</v>
      </c>
      <c r="F2049" s="1786" t="s">
        <v>2958</v>
      </c>
      <c r="G2049" s="1786" t="s">
        <v>2959</v>
      </c>
      <c r="H2049" s="1786" t="str">
        <f t="shared" si="344"/>
        <v>פעיל</v>
      </c>
      <c r="I2049" s="1788">
        <f t="shared" si="345"/>
        <v>34700</v>
      </c>
      <c r="J2049" s="1788" t="str">
        <f t="shared" si="346"/>
        <v/>
      </c>
      <c r="K2049" s="1786">
        <v>0</v>
      </c>
      <c r="L2049" s="1786" t="s">
        <v>1594</v>
      </c>
      <c r="M2049" s="1786" t="s">
        <v>1653</v>
      </c>
      <c r="N2049" s="1786" t="s">
        <v>1653</v>
      </c>
      <c r="O2049" s="1786">
        <v>0</v>
      </c>
      <c r="P2049" s="1786"/>
      <c r="Q2049" s="1786">
        <v>0</v>
      </c>
      <c r="R2049" s="1788"/>
      <c r="S2049" s="1786">
        <f t="shared" si="347"/>
        <v>168</v>
      </c>
      <c r="T2049" s="1786">
        <f t="shared" si="348"/>
        <v>0</v>
      </c>
      <c r="U2049" s="1786" t="str">
        <f t="shared" si="349"/>
        <v>מנורה מבטחים פנסיה</v>
      </c>
      <c r="V2049" s="1786" t="str">
        <f t="shared" si="350"/>
        <v>520007469</v>
      </c>
      <c r="W2049" s="1789" t="str">
        <f t="shared" si="351"/>
        <v>מנורה מבטחים פנסיה וגמל בע"מ</v>
      </c>
      <c r="AC2049" s="1761" t="s">
        <v>346</v>
      </c>
      <c r="AD2049" s="1761"/>
      <c r="AE2049" s="1762">
        <v>34700</v>
      </c>
      <c r="AF2049" s="1761" t="s">
        <v>4113</v>
      </c>
      <c r="AG2049" s="1761" t="s">
        <v>4113</v>
      </c>
      <c r="AH2049" s="1761" t="s">
        <v>3658</v>
      </c>
      <c r="AI2049" s="1761" t="s">
        <v>5727</v>
      </c>
      <c r="AJ2049" s="1761" t="s">
        <v>5727</v>
      </c>
      <c r="AK2049" s="1761">
        <v>2015</v>
      </c>
      <c r="AL2049" s="1761" t="s">
        <v>5716</v>
      </c>
      <c r="AM2049" s="1761">
        <v>168</v>
      </c>
      <c r="AN2049" s="1761"/>
      <c r="AO2049" s="1764"/>
      <c r="AP2049" s="1761" t="s">
        <v>5377</v>
      </c>
      <c r="AQ2049" s="1761" t="s">
        <v>5378</v>
      </c>
      <c r="AR2049" s="1761" t="s">
        <v>2971</v>
      </c>
      <c r="AS2049" s="1761" t="s">
        <v>396</v>
      </c>
      <c r="AT2049" s="1761" t="s">
        <v>328</v>
      </c>
      <c r="AU2049" s="1763"/>
      <c r="AV2049" s="1763"/>
    </row>
    <row r="2050" spans="1:48" ht="25">
      <c r="A2050" s="1785" t="str">
        <f t="shared" si="341"/>
        <v>פנסיה</v>
      </c>
      <c r="B2050" s="1786">
        <f t="shared" si="342"/>
        <v>2016</v>
      </c>
      <c r="C2050" s="1787">
        <v>28946</v>
      </c>
      <c r="D2050" s="1786" t="str">
        <f t="shared" si="343"/>
        <v>מנורה מבטחים פנסיה - מסלול יעד לפרישה 2045</v>
      </c>
      <c r="E2050" s="1786" t="s">
        <v>3929</v>
      </c>
      <c r="F2050" s="1786" t="s">
        <v>2958</v>
      </c>
      <c r="G2050" s="1786" t="s">
        <v>2959</v>
      </c>
      <c r="H2050" s="1786" t="str">
        <f t="shared" si="344"/>
        <v>פעיל</v>
      </c>
      <c r="I2050" s="1788">
        <f t="shared" si="345"/>
        <v>34700</v>
      </c>
      <c r="J2050" s="1788" t="str">
        <f t="shared" si="346"/>
        <v/>
      </c>
      <c r="K2050" s="1786">
        <v>0</v>
      </c>
      <c r="L2050" s="1786" t="s">
        <v>1594</v>
      </c>
      <c r="M2050" s="1786" t="s">
        <v>1653</v>
      </c>
      <c r="N2050" s="1786" t="s">
        <v>1653</v>
      </c>
      <c r="O2050" s="1786">
        <v>0</v>
      </c>
      <c r="P2050" s="1786"/>
      <c r="Q2050" s="1786">
        <v>0</v>
      </c>
      <c r="R2050" s="1788"/>
      <c r="S2050" s="1786">
        <f t="shared" si="347"/>
        <v>168</v>
      </c>
      <c r="T2050" s="1786">
        <f t="shared" si="348"/>
        <v>0</v>
      </c>
      <c r="U2050" s="1786" t="str">
        <f t="shared" si="349"/>
        <v>מנורה מבטחים פנסיה</v>
      </c>
      <c r="V2050" s="1786" t="str">
        <f t="shared" si="350"/>
        <v>520007469</v>
      </c>
      <c r="W2050" s="1789" t="str">
        <f t="shared" si="351"/>
        <v>מנורה מבטחים פנסיה וגמל בע"מ</v>
      </c>
      <c r="AC2050" s="1759" t="s">
        <v>346</v>
      </c>
      <c r="AD2050" s="1759"/>
      <c r="AE2050" s="1760">
        <v>34700</v>
      </c>
      <c r="AF2050" s="1759" t="s">
        <v>4113</v>
      </c>
      <c r="AG2050" s="1759" t="s">
        <v>4113</v>
      </c>
      <c r="AH2050" s="1759" t="s">
        <v>3658</v>
      </c>
      <c r="AI2050" s="1759" t="s">
        <v>5728</v>
      </c>
      <c r="AJ2050" s="1759" t="s">
        <v>5729</v>
      </c>
      <c r="AK2050" s="1759">
        <v>2016</v>
      </c>
      <c r="AL2050" s="1759" t="s">
        <v>5716</v>
      </c>
      <c r="AM2050" s="1759">
        <v>168</v>
      </c>
      <c r="AN2050" s="1759"/>
      <c r="AO2050" s="1764"/>
      <c r="AP2050" s="1759" t="s">
        <v>5377</v>
      </c>
      <c r="AQ2050" s="1759" t="s">
        <v>5378</v>
      </c>
      <c r="AR2050" s="1759" t="s">
        <v>2971</v>
      </c>
      <c r="AS2050" s="1759" t="s">
        <v>396</v>
      </c>
      <c r="AT2050" s="1759" t="s">
        <v>328</v>
      </c>
      <c r="AU2050" s="1763"/>
      <c r="AV2050" s="1763"/>
    </row>
    <row r="2051" spans="1:48" ht="25">
      <c r="A2051" s="1785" t="str">
        <f t="shared" si="341"/>
        <v>פנסיה</v>
      </c>
      <c r="B2051" s="1786">
        <f t="shared" si="342"/>
        <v>2063</v>
      </c>
      <c r="C2051" s="1787">
        <v>28946</v>
      </c>
      <c r="D2051" s="1786" t="str">
        <f t="shared" si="343"/>
        <v xml:space="preserve">מנורה מבטחים פנסיה - מסלול מניות </v>
      </c>
      <c r="E2051" s="1786" t="s">
        <v>3929</v>
      </c>
      <c r="F2051" s="1786" t="s">
        <v>2958</v>
      </c>
      <c r="G2051" s="1786" t="s">
        <v>2959</v>
      </c>
      <c r="H2051" s="1786" t="str">
        <f t="shared" si="344"/>
        <v>פעיל</v>
      </c>
      <c r="I2051" s="1788">
        <f t="shared" si="345"/>
        <v>34700</v>
      </c>
      <c r="J2051" s="1788" t="str">
        <f t="shared" si="346"/>
        <v/>
      </c>
      <c r="K2051" s="1786">
        <v>0</v>
      </c>
      <c r="L2051" s="1786" t="s">
        <v>1594</v>
      </c>
      <c r="M2051" s="1786" t="s">
        <v>1653</v>
      </c>
      <c r="N2051" s="1786" t="s">
        <v>1653</v>
      </c>
      <c r="O2051" s="1786">
        <v>0</v>
      </c>
      <c r="P2051" s="1786"/>
      <c r="Q2051" s="1786">
        <v>0</v>
      </c>
      <c r="R2051" s="1788"/>
      <c r="S2051" s="1786">
        <f t="shared" si="347"/>
        <v>168</v>
      </c>
      <c r="T2051" s="1786">
        <f t="shared" si="348"/>
        <v>0</v>
      </c>
      <c r="U2051" s="1786" t="str">
        <f t="shared" si="349"/>
        <v>מנורה מבטחים פנסיה</v>
      </c>
      <c r="V2051" s="1786" t="str">
        <f t="shared" si="350"/>
        <v>520007469</v>
      </c>
      <c r="W2051" s="1789" t="str">
        <f t="shared" si="351"/>
        <v>מנורה מבטחים פנסיה וגמל בע"מ</v>
      </c>
      <c r="AC2051" s="1761" t="s">
        <v>346</v>
      </c>
      <c r="AD2051" s="1761"/>
      <c r="AE2051" s="1762">
        <v>34700</v>
      </c>
      <c r="AF2051" s="1761" t="s">
        <v>1595</v>
      </c>
      <c r="AG2051" s="1761" t="s">
        <v>75</v>
      </c>
      <c r="AH2051" s="1761" t="s">
        <v>1594</v>
      </c>
      <c r="AI2051" s="1761" t="s">
        <v>5730</v>
      </c>
      <c r="AJ2051" s="1761" t="s">
        <v>5730</v>
      </c>
      <c r="AK2051" s="1761">
        <v>2063</v>
      </c>
      <c r="AL2051" s="1761" t="s">
        <v>5716</v>
      </c>
      <c r="AM2051" s="1761">
        <v>168</v>
      </c>
      <c r="AN2051" s="1761"/>
      <c r="AO2051" s="1764"/>
      <c r="AP2051" s="1761" t="s">
        <v>5377</v>
      </c>
      <c r="AQ2051" s="1761" t="s">
        <v>5378</v>
      </c>
      <c r="AR2051" s="1761" t="s">
        <v>2971</v>
      </c>
      <c r="AS2051" s="1761" t="s">
        <v>396</v>
      </c>
      <c r="AT2051" s="1761" t="s">
        <v>328</v>
      </c>
      <c r="AU2051" s="1763"/>
      <c r="AV2051" s="1763"/>
    </row>
    <row r="2052" spans="1:48" ht="25">
      <c r="A2052" s="1785" t="str">
        <f t="shared" si="341"/>
        <v>פנסיה</v>
      </c>
      <c r="B2052" s="1786">
        <f t="shared" si="342"/>
        <v>2064</v>
      </c>
      <c r="C2052" s="1787">
        <v>28946</v>
      </c>
      <c r="D2052" s="1786" t="str">
        <f t="shared" si="343"/>
        <v>מנורה מבטחים פנסיה - מסלול אג"ח</v>
      </c>
      <c r="E2052" s="1786" t="s">
        <v>3929</v>
      </c>
      <c r="F2052" s="1786" t="s">
        <v>2958</v>
      </c>
      <c r="G2052" s="1786" t="s">
        <v>2959</v>
      </c>
      <c r="H2052" s="1786" t="str">
        <f t="shared" si="344"/>
        <v>פעיל</v>
      </c>
      <c r="I2052" s="1788">
        <f t="shared" si="345"/>
        <v>34700</v>
      </c>
      <c r="J2052" s="1788" t="str">
        <f t="shared" si="346"/>
        <v/>
      </c>
      <c r="K2052" s="1786">
        <v>0</v>
      </c>
      <c r="L2052" s="1786" t="s">
        <v>1594</v>
      </c>
      <c r="M2052" s="1786" t="s">
        <v>1653</v>
      </c>
      <c r="N2052" s="1786" t="s">
        <v>1653</v>
      </c>
      <c r="O2052" s="1786">
        <v>0</v>
      </c>
      <c r="P2052" s="1786"/>
      <c r="Q2052" s="1786">
        <v>0</v>
      </c>
      <c r="R2052" s="1788"/>
      <c r="S2052" s="1786">
        <f t="shared" si="347"/>
        <v>168</v>
      </c>
      <c r="T2052" s="1786">
        <f t="shared" si="348"/>
        <v>0</v>
      </c>
      <c r="U2052" s="1786" t="str">
        <f t="shared" si="349"/>
        <v>מנורה מבטחים פנסיה</v>
      </c>
      <c r="V2052" s="1786" t="str">
        <f t="shared" si="350"/>
        <v>520007469</v>
      </c>
      <c r="W2052" s="1789" t="str">
        <f t="shared" si="351"/>
        <v>מנורה מבטחים פנסיה וגמל בע"מ</v>
      </c>
      <c r="AC2052" s="1759" t="s">
        <v>346</v>
      </c>
      <c r="AD2052" s="1759"/>
      <c r="AE2052" s="1760">
        <v>34700</v>
      </c>
      <c r="AF2052" s="1759" t="s">
        <v>1653</v>
      </c>
      <c r="AG2052" s="1759" t="s">
        <v>1653</v>
      </c>
      <c r="AH2052" s="1759" t="s">
        <v>1594</v>
      </c>
      <c r="AI2052" s="1759" t="s">
        <v>5731</v>
      </c>
      <c r="AJ2052" s="1759" t="s">
        <v>5731</v>
      </c>
      <c r="AK2052" s="1759">
        <v>2064</v>
      </c>
      <c r="AL2052" s="1759" t="s">
        <v>5716</v>
      </c>
      <c r="AM2052" s="1759">
        <v>168</v>
      </c>
      <c r="AN2052" s="1759"/>
      <c r="AO2052" s="1764"/>
      <c r="AP2052" s="1759" t="s">
        <v>5377</v>
      </c>
      <c r="AQ2052" s="1759" t="s">
        <v>5378</v>
      </c>
      <c r="AR2052" s="1759" t="s">
        <v>2971</v>
      </c>
      <c r="AS2052" s="1759" t="s">
        <v>396</v>
      </c>
      <c r="AT2052" s="1759" t="s">
        <v>328</v>
      </c>
      <c r="AU2052" s="1763"/>
      <c r="AV2052" s="1763"/>
    </row>
    <row r="2053" spans="1:48" ht="25">
      <c r="A2053" s="1785" t="str">
        <f t="shared" si="341"/>
        <v>פנסיה</v>
      </c>
      <c r="B2053" s="1786">
        <f t="shared" si="342"/>
        <v>2181</v>
      </c>
      <c r="C2053" s="1787">
        <v>28946</v>
      </c>
      <c r="D2053" s="1786" t="str">
        <f t="shared" si="343"/>
        <v>מבטחים החדשה - מסלול כללי ב'</v>
      </c>
      <c r="E2053" s="1786" t="s">
        <v>3929</v>
      </c>
      <c r="F2053" s="1786" t="s">
        <v>2958</v>
      </c>
      <c r="G2053" s="1786" t="s">
        <v>2959</v>
      </c>
      <c r="H2053" s="1786" t="str">
        <f t="shared" si="344"/>
        <v>לא פעיל</v>
      </c>
      <c r="I2053" s="1788">
        <f t="shared" si="345"/>
        <v>34700</v>
      </c>
      <c r="J2053" s="1788">
        <f t="shared" si="346"/>
        <v>42572.755717592598</v>
      </c>
      <c r="K2053" s="1786">
        <v>0</v>
      </c>
      <c r="L2053" s="1786" t="s">
        <v>1594</v>
      </c>
      <c r="M2053" s="1786" t="s">
        <v>1653</v>
      </c>
      <c r="N2053" s="1786" t="s">
        <v>1653</v>
      </c>
      <c r="O2053" s="1786">
        <v>0</v>
      </c>
      <c r="P2053" s="1786"/>
      <c r="Q2053" s="1786">
        <v>0</v>
      </c>
      <c r="R2053" s="1788"/>
      <c r="S2053" s="1786">
        <f t="shared" si="347"/>
        <v>168</v>
      </c>
      <c r="T2053" s="1786">
        <f t="shared" si="348"/>
        <v>0</v>
      </c>
      <c r="U2053" s="1786" t="str">
        <f t="shared" si="349"/>
        <v>מנורה מבטחים פנסיה</v>
      </c>
      <c r="V2053" s="1786" t="str">
        <f t="shared" si="350"/>
        <v>520007469</v>
      </c>
      <c r="W2053" s="1789" t="str">
        <f t="shared" si="351"/>
        <v>מנורה מבטחים פנסיה וגמל בע"מ</v>
      </c>
      <c r="AC2053" s="1761" t="s">
        <v>1586</v>
      </c>
      <c r="AD2053" s="1762">
        <v>42572.755717592598</v>
      </c>
      <c r="AE2053" s="1762">
        <v>34700</v>
      </c>
      <c r="AF2053" s="1761" t="s">
        <v>1583</v>
      </c>
      <c r="AG2053" s="1761" t="s">
        <v>1583</v>
      </c>
      <c r="AH2053" s="1761" t="s">
        <v>1583</v>
      </c>
      <c r="AI2053" s="1761" t="s">
        <v>2633</v>
      </c>
      <c r="AJ2053" s="1761" t="s">
        <v>2633</v>
      </c>
      <c r="AK2053" s="1761">
        <v>2181</v>
      </c>
      <c r="AL2053" s="1761" t="s">
        <v>5716</v>
      </c>
      <c r="AM2053" s="1761">
        <v>168</v>
      </c>
      <c r="AN2053" s="1761"/>
      <c r="AO2053" s="1764"/>
      <c r="AP2053" s="1761" t="s">
        <v>5377</v>
      </c>
      <c r="AQ2053" s="1761" t="s">
        <v>5378</v>
      </c>
      <c r="AR2053" s="1761" t="s">
        <v>2971</v>
      </c>
      <c r="AS2053" s="1761" t="s">
        <v>396</v>
      </c>
      <c r="AT2053" s="1761" t="s">
        <v>328</v>
      </c>
      <c r="AU2053" s="1763"/>
      <c r="AV2053" s="1763"/>
    </row>
    <row r="2054" spans="1:48" ht="25">
      <c r="A2054" s="1785" t="str">
        <f t="shared" si="341"/>
        <v>פנסיה</v>
      </c>
      <c r="B2054" s="1786">
        <f t="shared" si="342"/>
        <v>2182</v>
      </c>
      <c r="C2054" s="1787">
        <v>28946</v>
      </c>
      <c r="D2054" s="1786" t="str">
        <f t="shared" si="343"/>
        <v>מנורה מבטחים פנסיה - מסלול הלכה</v>
      </c>
      <c r="E2054" s="1786" t="s">
        <v>3929</v>
      </c>
      <c r="F2054" s="1786" t="s">
        <v>2958</v>
      </c>
      <c r="G2054" s="1786" t="s">
        <v>2959</v>
      </c>
      <c r="H2054" s="1786" t="str">
        <f t="shared" si="344"/>
        <v>פעיל</v>
      </c>
      <c r="I2054" s="1788">
        <f t="shared" si="345"/>
        <v>34700</v>
      </c>
      <c r="J2054" s="1788" t="str">
        <f t="shared" si="346"/>
        <v/>
      </c>
      <c r="K2054" s="1786">
        <v>0</v>
      </c>
      <c r="L2054" s="1786" t="s">
        <v>1594</v>
      </c>
      <c r="M2054" s="1786" t="s">
        <v>1653</v>
      </c>
      <c r="N2054" s="1786" t="s">
        <v>1653</v>
      </c>
      <c r="O2054" s="1786">
        <v>0</v>
      </c>
      <c r="P2054" s="1786"/>
      <c r="Q2054" s="1786">
        <v>0</v>
      </c>
      <c r="R2054" s="1788"/>
      <c r="S2054" s="1786">
        <f t="shared" si="347"/>
        <v>168</v>
      </c>
      <c r="T2054" s="1786">
        <f t="shared" si="348"/>
        <v>0</v>
      </c>
      <c r="U2054" s="1786" t="str">
        <f t="shared" si="349"/>
        <v>מנורה מבטחים פנסיה</v>
      </c>
      <c r="V2054" s="1786" t="str">
        <f t="shared" si="350"/>
        <v>520007469</v>
      </c>
      <c r="W2054" s="1789" t="str">
        <f t="shared" si="351"/>
        <v>מנורה מבטחים פנסיה וגמל בע"מ</v>
      </c>
      <c r="AC2054" s="1759" t="s">
        <v>346</v>
      </c>
      <c r="AD2054" s="1759"/>
      <c r="AE2054" s="1760">
        <v>34700</v>
      </c>
      <c r="AF2054" s="1759" t="s">
        <v>4603</v>
      </c>
      <c r="AG2054" s="1759" t="s">
        <v>2029</v>
      </c>
      <c r="AH2054" s="1759" t="s">
        <v>2028</v>
      </c>
      <c r="AI2054" s="1759" t="s">
        <v>5732</v>
      </c>
      <c r="AJ2054" s="1759" t="s">
        <v>5732</v>
      </c>
      <c r="AK2054" s="1759">
        <v>2182</v>
      </c>
      <c r="AL2054" s="1759" t="s">
        <v>5716</v>
      </c>
      <c r="AM2054" s="1759">
        <v>168</v>
      </c>
      <c r="AN2054" s="1759"/>
      <c r="AO2054" s="1764"/>
      <c r="AP2054" s="1759" t="s">
        <v>5377</v>
      </c>
      <c r="AQ2054" s="1759" t="s">
        <v>5378</v>
      </c>
      <c r="AR2054" s="1759" t="s">
        <v>2971</v>
      </c>
      <c r="AS2054" s="1759" t="s">
        <v>396</v>
      </c>
      <c r="AT2054" s="1759" t="s">
        <v>328</v>
      </c>
      <c r="AU2054" s="1763"/>
      <c r="AV2054" s="1763"/>
    </row>
    <row r="2055" spans="1:48" ht="25">
      <c r="A2055" s="1785" t="str">
        <f t="shared" si="341"/>
        <v>פנסיה</v>
      </c>
      <c r="B2055" s="1786">
        <f t="shared" si="342"/>
        <v>2183</v>
      </c>
      <c r="C2055" s="1787">
        <v>28946</v>
      </c>
      <c r="D2055" s="1786" t="str">
        <f t="shared" si="343"/>
        <v>מנורה מבטחים פנסיה - מסלול יעד לפרישה 2050</v>
      </c>
      <c r="E2055" s="1786" t="s">
        <v>3929</v>
      </c>
      <c r="F2055" s="1786" t="s">
        <v>2958</v>
      </c>
      <c r="G2055" s="1786" t="s">
        <v>2959</v>
      </c>
      <c r="H2055" s="1786" t="str">
        <f t="shared" si="344"/>
        <v>פעיל</v>
      </c>
      <c r="I2055" s="1788">
        <f t="shared" si="345"/>
        <v>34700</v>
      </c>
      <c r="J2055" s="1788" t="str">
        <f t="shared" si="346"/>
        <v/>
      </c>
      <c r="K2055" s="1786">
        <v>0</v>
      </c>
      <c r="L2055" s="1786" t="s">
        <v>1594</v>
      </c>
      <c r="M2055" s="1786" t="s">
        <v>1653</v>
      </c>
      <c r="N2055" s="1786" t="s">
        <v>1653</v>
      </c>
      <c r="O2055" s="1786">
        <v>0</v>
      </c>
      <c r="P2055" s="1786"/>
      <c r="Q2055" s="1786">
        <v>0</v>
      </c>
      <c r="R2055" s="1788"/>
      <c r="S2055" s="1786">
        <f t="shared" si="347"/>
        <v>168</v>
      </c>
      <c r="T2055" s="1786">
        <f t="shared" si="348"/>
        <v>0</v>
      </c>
      <c r="U2055" s="1786" t="str">
        <f t="shared" si="349"/>
        <v>מנורה מבטחים פנסיה</v>
      </c>
      <c r="V2055" s="1786" t="str">
        <f t="shared" si="350"/>
        <v>520007469</v>
      </c>
      <c r="W2055" s="1789" t="str">
        <f t="shared" si="351"/>
        <v>מנורה מבטחים פנסיה וגמל בע"מ</v>
      </c>
      <c r="AC2055" s="1761" t="s">
        <v>346</v>
      </c>
      <c r="AD2055" s="1759"/>
      <c r="AE2055" s="1762">
        <v>34700</v>
      </c>
      <c r="AF2055" s="1761" t="s">
        <v>4113</v>
      </c>
      <c r="AG2055" s="1761" t="s">
        <v>4113</v>
      </c>
      <c r="AH2055" s="1761" t="s">
        <v>3658</v>
      </c>
      <c r="AI2055" s="1761" t="s">
        <v>5733</v>
      </c>
      <c r="AJ2055" s="1761" t="s">
        <v>5733</v>
      </c>
      <c r="AK2055" s="1761">
        <v>2183</v>
      </c>
      <c r="AL2055" s="1761" t="s">
        <v>5716</v>
      </c>
      <c r="AM2055" s="1761">
        <v>168</v>
      </c>
      <c r="AN2055" s="1761"/>
      <c r="AO2055" s="1764"/>
      <c r="AP2055" s="1761" t="s">
        <v>5377</v>
      </c>
      <c r="AQ2055" s="1761" t="s">
        <v>5378</v>
      </c>
      <c r="AR2055" s="1761" t="s">
        <v>2971</v>
      </c>
      <c r="AS2055" s="1761" t="s">
        <v>396</v>
      </c>
      <c r="AT2055" s="1761" t="s">
        <v>328</v>
      </c>
      <c r="AU2055" s="1763"/>
      <c r="AV2055" s="1763"/>
    </row>
    <row r="2056" spans="1:48" ht="25">
      <c r="A2056" s="1785" t="str">
        <f t="shared" si="341"/>
        <v>פנסיה</v>
      </c>
      <c r="B2056" s="1786">
        <f t="shared" si="342"/>
        <v>2212</v>
      </c>
      <c r="C2056" s="1787">
        <v>28946</v>
      </c>
      <c r="D2056" s="1786" t="str">
        <f t="shared" si="343"/>
        <v>מנורה מבטחים פנסיה - תיק מקבלי פנסיה קיימים</v>
      </c>
      <c r="E2056" s="1786" t="s">
        <v>3929</v>
      </c>
      <c r="F2056" s="1786" t="s">
        <v>2958</v>
      </c>
      <c r="G2056" s="1786" t="s">
        <v>2959</v>
      </c>
      <c r="H2056" s="1786" t="str">
        <f t="shared" si="344"/>
        <v>פעיל</v>
      </c>
      <c r="I2056" s="1788">
        <f t="shared" si="345"/>
        <v>34700</v>
      </c>
      <c r="J2056" s="1788" t="str">
        <f t="shared" si="346"/>
        <v/>
      </c>
      <c r="K2056" s="1786">
        <v>0</v>
      </c>
      <c r="L2056" s="1786" t="s">
        <v>1594</v>
      </c>
      <c r="M2056" s="1786" t="s">
        <v>1653</v>
      </c>
      <c r="N2056" s="1786" t="s">
        <v>1653</v>
      </c>
      <c r="O2056" s="1786">
        <v>0</v>
      </c>
      <c r="P2056" s="1786"/>
      <c r="Q2056" s="1786">
        <v>0</v>
      </c>
      <c r="R2056" s="1788"/>
      <c r="S2056" s="1786">
        <f t="shared" si="347"/>
        <v>168</v>
      </c>
      <c r="T2056" s="1786">
        <f t="shared" si="348"/>
        <v>0</v>
      </c>
      <c r="U2056" s="1786" t="str">
        <f t="shared" si="349"/>
        <v>מנורה מבטחים פנסיה</v>
      </c>
      <c r="V2056" s="1786" t="str">
        <f t="shared" si="350"/>
        <v>520007469</v>
      </c>
      <c r="W2056" s="1789" t="str">
        <f t="shared" si="351"/>
        <v>מנורה מבטחים פנסיה וגמל בע"מ</v>
      </c>
      <c r="AC2056" s="1759" t="s">
        <v>346</v>
      </c>
      <c r="AD2056" s="1759"/>
      <c r="AE2056" s="1760">
        <v>34700</v>
      </c>
      <c r="AF2056" s="1759" t="s">
        <v>4160</v>
      </c>
      <c r="AG2056" s="1759" t="s">
        <v>2614</v>
      </c>
      <c r="AH2056" s="1759" t="s">
        <v>3658</v>
      </c>
      <c r="AI2056" s="1759" t="s">
        <v>5734</v>
      </c>
      <c r="AJ2056" s="1759" t="s">
        <v>5735</v>
      </c>
      <c r="AK2056" s="1759">
        <v>2212</v>
      </c>
      <c r="AL2056" s="1759" t="s">
        <v>5716</v>
      </c>
      <c r="AM2056" s="1759">
        <v>168</v>
      </c>
      <c r="AN2056" s="1759"/>
      <c r="AO2056" s="1764"/>
      <c r="AP2056" s="1759" t="s">
        <v>5377</v>
      </c>
      <c r="AQ2056" s="1759" t="s">
        <v>5378</v>
      </c>
      <c r="AR2056" s="1759" t="s">
        <v>2971</v>
      </c>
      <c r="AS2056" s="1759" t="s">
        <v>396</v>
      </c>
      <c r="AT2056" s="1759" t="s">
        <v>328</v>
      </c>
      <c r="AU2056" s="1763"/>
      <c r="AV2056" s="1763"/>
    </row>
    <row r="2057" spans="1:48" ht="25">
      <c r="A2057" s="1785" t="str">
        <f t="shared" si="341"/>
        <v>פנסיה</v>
      </c>
      <c r="B2057" s="1786">
        <f t="shared" si="342"/>
        <v>2209</v>
      </c>
      <c r="C2057" s="1787">
        <v>28946</v>
      </c>
      <c r="D2057" s="1786" t="str">
        <f t="shared" si="343"/>
        <v>מגן זהב - פנסיונרים</v>
      </c>
      <c r="E2057" s="1786" t="s">
        <v>3929</v>
      </c>
      <c r="F2057" s="1786" t="s">
        <v>2958</v>
      </c>
      <c r="G2057" s="1786" t="s">
        <v>2959</v>
      </c>
      <c r="H2057" s="1786" t="str">
        <f t="shared" si="344"/>
        <v>לא פעיל</v>
      </c>
      <c r="I2057" s="1788">
        <f t="shared" si="345"/>
        <v>35431</v>
      </c>
      <c r="J2057" s="1788">
        <f t="shared" si="346"/>
        <v>41717.462337962999</v>
      </c>
      <c r="K2057" s="1786">
        <v>0</v>
      </c>
      <c r="L2057" s="1786" t="s">
        <v>1594</v>
      </c>
      <c r="M2057" s="1786" t="s">
        <v>1653</v>
      </c>
      <c r="N2057" s="1786" t="s">
        <v>1653</v>
      </c>
      <c r="O2057" s="1786">
        <v>0</v>
      </c>
      <c r="P2057" s="1786"/>
      <c r="Q2057" s="1786">
        <v>0</v>
      </c>
      <c r="R2057" s="1788"/>
      <c r="S2057" s="1786">
        <f t="shared" si="347"/>
        <v>166</v>
      </c>
      <c r="T2057" s="1786" t="str">
        <f t="shared" si="348"/>
        <v>מגן הותיקה</v>
      </c>
      <c r="U2057" s="1786" t="str">
        <f t="shared" si="349"/>
        <v>מגן זהב</v>
      </c>
      <c r="V2057" s="1786">
        <f t="shared" si="350"/>
        <v>0</v>
      </c>
      <c r="W2057" s="1789" t="str">
        <f t="shared" si="351"/>
        <v>מגן חברה לניהול קרנות פנסיה בע"מ</v>
      </c>
      <c r="AC2057" s="1761" t="s">
        <v>1586</v>
      </c>
      <c r="AD2057" s="1762">
        <v>41717.462337962999</v>
      </c>
      <c r="AE2057" s="1762">
        <v>35431</v>
      </c>
      <c r="AF2057" s="1761" t="s">
        <v>4160</v>
      </c>
      <c r="AG2057" s="1761" t="s">
        <v>2614</v>
      </c>
      <c r="AH2057" s="1761" t="s">
        <v>3658</v>
      </c>
      <c r="AI2057" s="1761" t="s">
        <v>2648</v>
      </c>
      <c r="AJ2057" s="1761" t="s">
        <v>2648</v>
      </c>
      <c r="AK2057" s="1761">
        <v>2209</v>
      </c>
      <c r="AL2057" s="1761" t="s">
        <v>2601</v>
      </c>
      <c r="AM2057" s="1761">
        <v>166</v>
      </c>
      <c r="AN2057" s="1761" t="s">
        <v>5736</v>
      </c>
      <c r="AO2057" s="1764"/>
      <c r="AP2057" s="1761"/>
      <c r="AQ2057" s="1761"/>
      <c r="AR2057" s="1761" t="s">
        <v>2600</v>
      </c>
      <c r="AS2057" s="1761" t="s">
        <v>2599</v>
      </c>
      <c r="AT2057" s="1761" t="s">
        <v>328</v>
      </c>
      <c r="AU2057" s="1763"/>
      <c r="AV2057" s="1763"/>
    </row>
    <row r="2058" spans="1:48" ht="25">
      <c r="A2058" s="1785" t="str">
        <f t="shared" si="341"/>
        <v>פנסיה</v>
      </c>
      <c r="B2058" s="1786">
        <f t="shared" si="342"/>
        <v>2133</v>
      </c>
      <c r="C2058" s="1787">
        <v>28946</v>
      </c>
      <c r="D2058" s="1786" t="str">
        <f t="shared" si="343"/>
        <v>מגן זהב - מסלול כהלכה</v>
      </c>
      <c r="E2058" s="1786" t="s">
        <v>3929</v>
      </c>
      <c r="F2058" s="1786" t="s">
        <v>2958</v>
      </c>
      <c r="G2058" s="1786" t="s">
        <v>2959</v>
      </c>
      <c r="H2058" s="1786" t="str">
        <f t="shared" si="344"/>
        <v>לא פעיל</v>
      </c>
      <c r="I2058" s="1788">
        <f t="shared" si="345"/>
        <v>35431</v>
      </c>
      <c r="J2058" s="1788">
        <f t="shared" si="346"/>
        <v>41717.462337962999</v>
      </c>
      <c r="K2058" s="1786">
        <v>0</v>
      </c>
      <c r="L2058" s="1786" t="s">
        <v>1594</v>
      </c>
      <c r="M2058" s="1786" t="s">
        <v>1653</v>
      </c>
      <c r="N2058" s="1786" t="s">
        <v>1653</v>
      </c>
      <c r="O2058" s="1786">
        <v>0</v>
      </c>
      <c r="P2058" s="1786"/>
      <c r="Q2058" s="1786">
        <v>0</v>
      </c>
      <c r="R2058" s="1788"/>
      <c r="S2058" s="1786">
        <f t="shared" si="347"/>
        <v>166</v>
      </c>
      <c r="T2058" s="1786" t="str">
        <f t="shared" si="348"/>
        <v>מגן הותיקה</v>
      </c>
      <c r="U2058" s="1786" t="str">
        <f t="shared" si="349"/>
        <v>מגן זהב</v>
      </c>
      <c r="V2058" s="1786">
        <f t="shared" si="350"/>
        <v>0</v>
      </c>
      <c r="W2058" s="1789" t="str">
        <f t="shared" si="351"/>
        <v>מגן חברה לניהול קרנות פנסיה בע"מ</v>
      </c>
      <c r="AC2058" s="1759" t="s">
        <v>1586</v>
      </c>
      <c r="AD2058" s="1760">
        <v>41717.462337962999</v>
      </c>
      <c r="AE2058" s="1760">
        <v>35431</v>
      </c>
      <c r="AF2058" s="1759" t="s">
        <v>4603</v>
      </c>
      <c r="AG2058" s="1759" t="s">
        <v>2029</v>
      </c>
      <c r="AH2058" s="1759" t="s">
        <v>2028</v>
      </c>
      <c r="AI2058" s="1759" t="s">
        <v>2598</v>
      </c>
      <c r="AJ2058" s="1759" t="s">
        <v>2598</v>
      </c>
      <c r="AK2058" s="1759">
        <v>2133</v>
      </c>
      <c r="AL2058" s="1759" t="s">
        <v>2601</v>
      </c>
      <c r="AM2058" s="1759">
        <v>166</v>
      </c>
      <c r="AN2058" s="1759" t="s">
        <v>5736</v>
      </c>
      <c r="AO2058" s="1764"/>
      <c r="AP2058" s="1759"/>
      <c r="AQ2058" s="1759"/>
      <c r="AR2058" s="1759" t="s">
        <v>2600</v>
      </c>
      <c r="AS2058" s="1759" t="s">
        <v>2599</v>
      </c>
      <c r="AT2058" s="1759" t="s">
        <v>328</v>
      </c>
      <c r="AU2058" s="1763"/>
      <c r="AV2058" s="1763"/>
    </row>
    <row r="2059" spans="1:48" ht="25">
      <c r="A2059" s="1785" t="str">
        <f t="shared" si="341"/>
        <v>פנסיה</v>
      </c>
      <c r="B2059" s="1786">
        <f t="shared" si="342"/>
        <v>2136</v>
      </c>
      <c r="C2059" s="1787">
        <v>28946</v>
      </c>
      <c r="D2059" s="1786" t="str">
        <f t="shared" si="343"/>
        <v>מגן זהב - כללי</v>
      </c>
      <c r="E2059" s="1786" t="s">
        <v>3929</v>
      </c>
      <c r="F2059" s="1786" t="s">
        <v>2958</v>
      </c>
      <c r="G2059" s="1786" t="s">
        <v>2959</v>
      </c>
      <c r="H2059" s="1786" t="str">
        <f t="shared" si="344"/>
        <v>לא פעיל</v>
      </c>
      <c r="I2059" s="1788">
        <f t="shared" si="345"/>
        <v>35431</v>
      </c>
      <c r="J2059" s="1788">
        <f t="shared" si="346"/>
        <v>41717.462337962999</v>
      </c>
      <c r="K2059" s="1786">
        <v>0</v>
      </c>
      <c r="L2059" s="1786" t="s">
        <v>1594</v>
      </c>
      <c r="M2059" s="1786" t="s">
        <v>1653</v>
      </c>
      <c r="N2059" s="1786" t="s">
        <v>1653</v>
      </c>
      <c r="O2059" s="1786">
        <v>0</v>
      </c>
      <c r="P2059" s="1786"/>
      <c r="Q2059" s="1786">
        <v>0</v>
      </c>
      <c r="R2059" s="1788"/>
      <c r="S2059" s="1786">
        <f t="shared" si="347"/>
        <v>166</v>
      </c>
      <c r="T2059" s="1786" t="str">
        <f t="shared" si="348"/>
        <v>מגן הותיקה</v>
      </c>
      <c r="U2059" s="1786" t="str">
        <f t="shared" si="349"/>
        <v>מגן זהב</v>
      </c>
      <c r="V2059" s="1786">
        <f t="shared" si="350"/>
        <v>0</v>
      </c>
      <c r="W2059" s="1789" t="str">
        <f t="shared" si="351"/>
        <v>מגן חברה לניהול קרנות פנסיה בע"מ</v>
      </c>
      <c r="AC2059" s="1761" t="s">
        <v>1586</v>
      </c>
      <c r="AD2059" s="1762">
        <v>41717.462337962999</v>
      </c>
      <c r="AE2059" s="1762">
        <v>35431</v>
      </c>
      <c r="AF2059" s="1761" t="s">
        <v>1583</v>
      </c>
      <c r="AG2059" s="1761" t="s">
        <v>1583</v>
      </c>
      <c r="AH2059" s="1761" t="s">
        <v>1583</v>
      </c>
      <c r="AI2059" s="1761" t="s">
        <v>2604</v>
      </c>
      <c r="AJ2059" s="1761" t="s">
        <v>2604</v>
      </c>
      <c r="AK2059" s="1761">
        <v>2136</v>
      </c>
      <c r="AL2059" s="1761" t="s">
        <v>2601</v>
      </c>
      <c r="AM2059" s="1761">
        <v>166</v>
      </c>
      <c r="AN2059" s="1761" t="s">
        <v>5736</v>
      </c>
      <c r="AO2059" s="1764"/>
      <c r="AP2059" s="1761"/>
      <c r="AQ2059" s="1761"/>
      <c r="AR2059" s="1761" t="s">
        <v>2600</v>
      </c>
      <c r="AS2059" s="1761" t="s">
        <v>2599</v>
      </c>
      <c r="AT2059" s="1761" t="s">
        <v>328</v>
      </c>
      <c r="AU2059" s="1763"/>
      <c r="AV2059" s="1763"/>
    </row>
    <row r="2060" spans="1:48" ht="25">
      <c r="A2060" s="1785" t="str">
        <f t="shared" si="341"/>
        <v>פנסיה</v>
      </c>
      <c r="B2060" s="1786">
        <f t="shared" si="342"/>
        <v>2135</v>
      </c>
      <c r="C2060" s="1787">
        <v>28946</v>
      </c>
      <c r="D2060" s="1786" t="str">
        <f t="shared" si="343"/>
        <v>מגן זהב - הדס איילון</v>
      </c>
      <c r="E2060" s="1786" t="s">
        <v>3929</v>
      </c>
      <c r="F2060" s="1786" t="s">
        <v>2958</v>
      </c>
      <c r="G2060" s="1786" t="s">
        <v>2959</v>
      </c>
      <c r="H2060" s="1786" t="str">
        <f t="shared" si="344"/>
        <v>לא פעיל</v>
      </c>
      <c r="I2060" s="1788">
        <f t="shared" si="345"/>
        <v>35431</v>
      </c>
      <c r="J2060" s="1788">
        <f t="shared" si="346"/>
        <v>41717.462337962999</v>
      </c>
      <c r="K2060" s="1786">
        <v>0</v>
      </c>
      <c r="L2060" s="1786" t="s">
        <v>1594</v>
      </c>
      <c r="M2060" s="1786" t="s">
        <v>1653</v>
      </c>
      <c r="N2060" s="1786" t="s">
        <v>1653</v>
      </c>
      <c r="O2060" s="1786">
        <v>0</v>
      </c>
      <c r="P2060" s="1786"/>
      <c r="Q2060" s="1786">
        <v>0</v>
      </c>
      <c r="R2060" s="1788"/>
      <c r="S2060" s="1786">
        <f t="shared" si="347"/>
        <v>166</v>
      </c>
      <c r="T2060" s="1786" t="str">
        <f t="shared" si="348"/>
        <v>מגן הותיקה</v>
      </c>
      <c r="U2060" s="1786" t="str">
        <f t="shared" si="349"/>
        <v>מגן זהב</v>
      </c>
      <c r="V2060" s="1786">
        <f t="shared" si="350"/>
        <v>0</v>
      </c>
      <c r="W2060" s="1789" t="str">
        <f t="shared" si="351"/>
        <v>מגן חברה לניהול קרנות פנסיה בע"מ</v>
      </c>
      <c r="AC2060" s="1759" t="s">
        <v>1586</v>
      </c>
      <c r="AD2060" s="1760">
        <v>41717.462337962999</v>
      </c>
      <c r="AE2060" s="1760">
        <v>35431</v>
      </c>
      <c r="AF2060" s="1759" t="s">
        <v>1583</v>
      </c>
      <c r="AG2060" s="1759" t="s">
        <v>1583</v>
      </c>
      <c r="AH2060" s="1759" t="s">
        <v>1583</v>
      </c>
      <c r="AI2060" s="1759" t="s">
        <v>2603</v>
      </c>
      <c r="AJ2060" s="1759" t="s">
        <v>2603</v>
      </c>
      <c r="AK2060" s="1759">
        <v>2135</v>
      </c>
      <c r="AL2060" s="1759" t="s">
        <v>2601</v>
      </c>
      <c r="AM2060" s="1759">
        <v>166</v>
      </c>
      <c r="AN2060" s="1759" t="s">
        <v>5736</v>
      </c>
      <c r="AO2060" s="1764"/>
      <c r="AP2060" s="1759"/>
      <c r="AQ2060" s="1759"/>
      <c r="AR2060" s="1759" t="s">
        <v>2600</v>
      </c>
      <c r="AS2060" s="1759" t="s">
        <v>2599</v>
      </c>
      <c r="AT2060" s="1759" t="s">
        <v>328</v>
      </c>
      <c r="AU2060" s="1763"/>
      <c r="AV2060" s="1763"/>
    </row>
    <row r="2061" spans="1:48" ht="25">
      <c r="A2061" s="1785" t="str">
        <f t="shared" si="341"/>
        <v>פנסיה</v>
      </c>
      <c r="B2061" s="1786">
        <f t="shared" si="342"/>
        <v>2134</v>
      </c>
      <c r="C2061" s="1787">
        <v>28946</v>
      </c>
      <c r="D2061" s="1786" t="str">
        <f t="shared" si="343"/>
        <v>מגן זהב - פסגות איילון</v>
      </c>
      <c r="E2061" s="1786" t="s">
        <v>3929</v>
      </c>
      <c r="F2061" s="1786" t="s">
        <v>2958</v>
      </c>
      <c r="G2061" s="1786" t="s">
        <v>2959</v>
      </c>
      <c r="H2061" s="1786" t="str">
        <f t="shared" si="344"/>
        <v>לא פעיל</v>
      </c>
      <c r="I2061" s="1788">
        <f t="shared" si="345"/>
        <v>35431</v>
      </c>
      <c r="J2061" s="1788">
        <f t="shared" si="346"/>
        <v>41717.462337962999</v>
      </c>
      <c r="K2061" s="1786">
        <v>0</v>
      </c>
      <c r="L2061" s="1786" t="s">
        <v>1594</v>
      </c>
      <c r="M2061" s="1786" t="s">
        <v>1653</v>
      </c>
      <c r="N2061" s="1786" t="s">
        <v>1653</v>
      </c>
      <c r="O2061" s="1786">
        <v>0</v>
      </c>
      <c r="P2061" s="1786"/>
      <c r="Q2061" s="1786">
        <v>0</v>
      </c>
      <c r="R2061" s="1788"/>
      <c r="S2061" s="1786">
        <f t="shared" si="347"/>
        <v>166</v>
      </c>
      <c r="T2061" s="1786" t="str">
        <f t="shared" si="348"/>
        <v>מגן הותיקה</v>
      </c>
      <c r="U2061" s="1786" t="str">
        <f t="shared" si="349"/>
        <v>מגן זהב</v>
      </c>
      <c r="V2061" s="1786">
        <f t="shared" si="350"/>
        <v>0</v>
      </c>
      <c r="W2061" s="1789" t="str">
        <f t="shared" si="351"/>
        <v>מגן חברה לניהול קרנות פנסיה בע"מ</v>
      </c>
      <c r="AC2061" s="1761" t="s">
        <v>1586</v>
      </c>
      <c r="AD2061" s="1762">
        <v>41717.462337962999</v>
      </c>
      <c r="AE2061" s="1762">
        <v>35431</v>
      </c>
      <c r="AF2061" s="1761" t="s">
        <v>1583</v>
      </c>
      <c r="AG2061" s="1761" t="s">
        <v>1583</v>
      </c>
      <c r="AH2061" s="1761" t="s">
        <v>1583</v>
      </c>
      <c r="AI2061" s="1761" t="s">
        <v>2602</v>
      </c>
      <c r="AJ2061" s="1761" t="s">
        <v>2602</v>
      </c>
      <c r="AK2061" s="1761">
        <v>2134</v>
      </c>
      <c r="AL2061" s="1761" t="s">
        <v>2601</v>
      </c>
      <c r="AM2061" s="1761">
        <v>166</v>
      </c>
      <c r="AN2061" s="1761" t="s">
        <v>5736</v>
      </c>
      <c r="AO2061" s="1764"/>
      <c r="AP2061" s="1761"/>
      <c r="AQ2061" s="1761"/>
      <c r="AR2061" s="1761" t="s">
        <v>2600</v>
      </c>
      <c r="AS2061" s="1761" t="s">
        <v>2599</v>
      </c>
      <c r="AT2061" s="1761" t="s">
        <v>328</v>
      </c>
      <c r="AU2061" s="1763"/>
      <c r="AV2061" s="1763"/>
    </row>
    <row r="2062" spans="1:48" ht="25">
      <c r="A2062" s="1785" t="str">
        <f t="shared" si="341"/>
        <v>פנסיה</v>
      </c>
      <c r="B2062" s="1786">
        <f t="shared" si="342"/>
        <v>9967</v>
      </c>
      <c r="C2062" s="1787">
        <v>28946</v>
      </c>
      <c r="D2062" s="1786" t="str">
        <f t="shared" si="343"/>
        <v>איילון מיטב מקיפה 50-60</v>
      </c>
      <c r="E2062" s="1786" t="s">
        <v>3929</v>
      </c>
      <c r="F2062" s="1786" t="s">
        <v>2958</v>
      </c>
      <c r="G2062" s="1786" t="s">
        <v>2959</v>
      </c>
      <c r="H2062" s="1786" t="str">
        <f t="shared" si="344"/>
        <v>פעיל</v>
      </c>
      <c r="I2062" s="1788">
        <f t="shared" si="345"/>
        <v>34700</v>
      </c>
      <c r="J2062" s="1788" t="str">
        <f t="shared" si="346"/>
        <v/>
      </c>
      <c r="K2062" s="1786">
        <v>0</v>
      </c>
      <c r="L2062" s="1786" t="s">
        <v>1594</v>
      </c>
      <c r="M2062" s="1786" t="s">
        <v>1653</v>
      </c>
      <c r="N2062" s="1786" t="s">
        <v>1653</v>
      </c>
      <c r="O2062" s="1786">
        <v>0</v>
      </c>
      <c r="P2062" s="1786"/>
      <c r="Q2062" s="1786">
        <v>0</v>
      </c>
      <c r="R2062" s="1788"/>
      <c r="S2062" s="1786">
        <f t="shared" si="347"/>
        <v>163</v>
      </c>
      <c r="T2062" s="1786">
        <f t="shared" si="348"/>
        <v>0</v>
      </c>
      <c r="U2062" s="1786" t="str">
        <f t="shared" si="349"/>
        <v>איילון מיטב פנסיה מקיפה</v>
      </c>
      <c r="V2062" s="1786" t="str">
        <f t="shared" si="350"/>
        <v>520043795</v>
      </c>
      <c r="W2062" s="1789" t="str">
        <f t="shared" si="351"/>
        <v>מיטב דש גמל ופנסיה בע"מ</v>
      </c>
      <c r="AC2062" s="1759" t="s">
        <v>346</v>
      </c>
      <c r="AD2062" s="1759"/>
      <c r="AE2062" s="1760">
        <v>34700</v>
      </c>
      <c r="AF2062" s="1759" t="s">
        <v>3932</v>
      </c>
      <c r="AG2062" s="1759" t="s">
        <v>3931</v>
      </c>
      <c r="AH2062" s="1759" t="s">
        <v>3658</v>
      </c>
      <c r="AI2062" s="1759" t="s">
        <v>5737</v>
      </c>
      <c r="AJ2062" s="1759" t="s">
        <v>5737</v>
      </c>
      <c r="AK2062" s="1759">
        <v>9967</v>
      </c>
      <c r="AL2062" s="1759" t="s">
        <v>5738</v>
      </c>
      <c r="AM2062" s="1759">
        <v>163</v>
      </c>
      <c r="AN2062" s="1759"/>
      <c r="AO2062" s="1764"/>
      <c r="AP2062" s="1759" t="s">
        <v>5373</v>
      </c>
      <c r="AQ2062" s="1759" t="s">
        <v>5374</v>
      </c>
      <c r="AR2062" s="1759" t="s">
        <v>2899</v>
      </c>
      <c r="AS2062" s="1759" t="s">
        <v>349</v>
      </c>
      <c r="AT2062" s="1759" t="s">
        <v>328</v>
      </c>
      <c r="AU2062" s="1763"/>
      <c r="AV2062" s="1763"/>
    </row>
    <row r="2063" spans="1:48" ht="25">
      <c r="A2063" s="1785" t="str">
        <f t="shared" si="341"/>
        <v>פנסיה</v>
      </c>
      <c r="B2063" s="1786">
        <f t="shared" si="342"/>
        <v>2157</v>
      </c>
      <c r="C2063" s="1787">
        <v>28946</v>
      </c>
      <c r="D2063" s="1786" t="str">
        <f t="shared" si="343"/>
        <v>איילון מיטב מקיפה מסלול בסיסי למקבלי קצבה (למעט לפנסיונרים זכאים קיימים)</v>
      </c>
      <c r="E2063" s="1786" t="s">
        <v>3929</v>
      </c>
      <c r="F2063" s="1786" t="s">
        <v>2958</v>
      </c>
      <c r="G2063" s="1786" t="s">
        <v>2959</v>
      </c>
      <c r="H2063" s="1786" t="str">
        <f t="shared" si="344"/>
        <v>פעיל</v>
      </c>
      <c r="I2063" s="1788">
        <f t="shared" si="345"/>
        <v>34700</v>
      </c>
      <c r="J2063" s="1788" t="str">
        <f t="shared" si="346"/>
        <v/>
      </c>
      <c r="K2063" s="1786">
        <v>0</v>
      </c>
      <c r="L2063" s="1786" t="s">
        <v>1594</v>
      </c>
      <c r="M2063" s="1786" t="s">
        <v>1653</v>
      </c>
      <c r="N2063" s="1786" t="s">
        <v>1653</v>
      </c>
      <c r="O2063" s="1786">
        <v>0</v>
      </c>
      <c r="P2063" s="1786"/>
      <c r="Q2063" s="1786">
        <v>0</v>
      </c>
      <c r="R2063" s="1788"/>
      <c r="S2063" s="1786">
        <f t="shared" si="347"/>
        <v>163</v>
      </c>
      <c r="T2063" s="1786">
        <f t="shared" si="348"/>
        <v>0</v>
      </c>
      <c r="U2063" s="1786" t="str">
        <f t="shared" si="349"/>
        <v>איילון מיטב פנסיה מקיפה</v>
      </c>
      <c r="V2063" s="1786" t="str">
        <f t="shared" si="350"/>
        <v>520043795</v>
      </c>
      <c r="W2063" s="1789" t="str">
        <f t="shared" si="351"/>
        <v>מיטב דש גמל ופנסיה בע"מ</v>
      </c>
      <c r="AC2063" s="1761" t="s">
        <v>346</v>
      </c>
      <c r="AD2063" s="1759"/>
      <c r="AE2063" s="1762">
        <v>34700</v>
      </c>
      <c r="AF2063" s="1761" t="s">
        <v>4160</v>
      </c>
      <c r="AG2063" s="1761" t="s">
        <v>2614</v>
      </c>
      <c r="AH2063" s="1761" t="s">
        <v>3658</v>
      </c>
      <c r="AI2063" s="1761" t="s">
        <v>5739</v>
      </c>
      <c r="AJ2063" s="1761" t="s">
        <v>5739</v>
      </c>
      <c r="AK2063" s="1761">
        <v>2157</v>
      </c>
      <c r="AL2063" s="1761" t="s">
        <v>5738</v>
      </c>
      <c r="AM2063" s="1761">
        <v>163</v>
      </c>
      <c r="AN2063" s="1761"/>
      <c r="AO2063" s="1764"/>
      <c r="AP2063" s="1761" t="s">
        <v>5373</v>
      </c>
      <c r="AQ2063" s="1761" t="s">
        <v>5374</v>
      </c>
      <c r="AR2063" s="1761" t="s">
        <v>2899</v>
      </c>
      <c r="AS2063" s="1761" t="s">
        <v>349</v>
      </c>
      <c r="AT2063" s="1761" t="s">
        <v>328</v>
      </c>
      <c r="AU2063" s="1763"/>
      <c r="AV2063" s="1763"/>
    </row>
    <row r="2064" spans="1:48" ht="25">
      <c r="A2064" s="1785" t="str">
        <f t="shared" si="341"/>
        <v>פנסיה</v>
      </c>
      <c r="B2064" s="1786">
        <f t="shared" si="342"/>
        <v>9968</v>
      </c>
      <c r="C2064" s="1787">
        <v>28946</v>
      </c>
      <c r="D2064" s="1786" t="str">
        <f t="shared" si="343"/>
        <v>איילון מיטב מקיפה 60 ומעלה</v>
      </c>
      <c r="E2064" s="1786" t="s">
        <v>3929</v>
      </c>
      <c r="F2064" s="1786" t="s">
        <v>2958</v>
      </c>
      <c r="G2064" s="1786" t="s">
        <v>2959</v>
      </c>
      <c r="H2064" s="1786" t="str">
        <f t="shared" si="344"/>
        <v>פעיל</v>
      </c>
      <c r="I2064" s="1788">
        <f t="shared" si="345"/>
        <v>34700</v>
      </c>
      <c r="J2064" s="1788" t="str">
        <f t="shared" si="346"/>
        <v/>
      </c>
      <c r="K2064" s="1786">
        <v>0</v>
      </c>
      <c r="L2064" s="1786" t="s">
        <v>1594</v>
      </c>
      <c r="M2064" s="1786" t="s">
        <v>1653</v>
      </c>
      <c r="N2064" s="1786" t="s">
        <v>1653</v>
      </c>
      <c r="O2064" s="1786">
        <v>0</v>
      </c>
      <c r="P2064" s="1786"/>
      <c r="Q2064" s="1786">
        <v>0</v>
      </c>
      <c r="R2064" s="1788"/>
      <c r="S2064" s="1786">
        <f t="shared" si="347"/>
        <v>163</v>
      </c>
      <c r="T2064" s="1786">
        <f t="shared" si="348"/>
        <v>0</v>
      </c>
      <c r="U2064" s="1786" t="str">
        <f t="shared" si="349"/>
        <v>איילון מיטב פנסיה מקיפה</v>
      </c>
      <c r="V2064" s="1786" t="str">
        <f t="shared" si="350"/>
        <v>520043795</v>
      </c>
      <c r="W2064" s="1789" t="str">
        <f t="shared" si="351"/>
        <v>מיטב דש גמל ופנסיה בע"מ</v>
      </c>
      <c r="AC2064" s="1759" t="s">
        <v>346</v>
      </c>
      <c r="AD2064" s="1759"/>
      <c r="AE2064" s="1760">
        <v>34700</v>
      </c>
      <c r="AF2064" s="1759" t="s">
        <v>3963</v>
      </c>
      <c r="AG2064" s="1759" t="s">
        <v>3931</v>
      </c>
      <c r="AH2064" s="1759" t="s">
        <v>3658</v>
      </c>
      <c r="AI2064" s="1759" t="s">
        <v>5740</v>
      </c>
      <c r="AJ2064" s="1759" t="s">
        <v>5740</v>
      </c>
      <c r="AK2064" s="1759">
        <v>9968</v>
      </c>
      <c r="AL2064" s="1759" t="s">
        <v>5738</v>
      </c>
      <c r="AM2064" s="1759">
        <v>163</v>
      </c>
      <c r="AN2064" s="1759"/>
      <c r="AO2064" s="1764"/>
      <c r="AP2064" s="1759" t="s">
        <v>5373</v>
      </c>
      <c r="AQ2064" s="1759" t="s">
        <v>5374</v>
      </c>
      <c r="AR2064" s="1759" t="s">
        <v>2899</v>
      </c>
      <c r="AS2064" s="1759" t="s">
        <v>349</v>
      </c>
      <c r="AT2064" s="1759" t="s">
        <v>328</v>
      </c>
      <c r="AU2064" s="1763"/>
      <c r="AV2064" s="1763"/>
    </row>
    <row r="2065" spans="1:48" ht="25">
      <c r="A2065" s="1785" t="str">
        <f t="shared" si="341"/>
        <v>פנסיה</v>
      </c>
      <c r="B2065" s="1786">
        <f t="shared" si="342"/>
        <v>9968</v>
      </c>
      <c r="C2065" s="1787">
        <v>28946</v>
      </c>
      <c r="D2065" s="1786" t="str">
        <f t="shared" si="343"/>
        <v>איילון מיטב מקיפה 60 ומעלה</v>
      </c>
      <c r="E2065" s="1786" t="s">
        <v>3929</v>
      </c>
      <c r="F2065" s="1786" t="s">
        <v>2958</v>
      </c>
      <c r="G2065" s="1786" t="s">
        <v>2959</v>
      </c>
      <c r="H2065" s="1786" t="str">
        <f t="shared" si="344"/>
        <v>פעיל</v>
      </c>
      <c r="I2065" s="1788">
        <f t="shared" si="345"/>
        <v>34700</v>
      </c>
      <c r="J2065" s="1788" t="str">
        <f t="shared" si="346"/>
        <v/>
      </c>
      <c r="K2065" s="1786">
        <v>0</v>
      </c>
      <c r="L2065" s="1786" t="s">
        <v>1594</v>
      </c>
      <c r="M2065" s="1786" t="s">
        <v>1653</v>
      </c>
      <c r="N2065" s="1786" t="s">
        <v>1653</v>
      </c>
      <c r="O2065" s="1786">
        <v>0</v>
      </c>
      <c r="P2065" s="1786"/>
      <c r="Q2065" s="1786">
        <v>0</v>
      </c>
      <c r="R2065" s="1788"/>
      <c r="S2065" s="1786">
        <f t="shared" si="347"/>
        <v>163</v>
      </c>
      <c r="T2065" s="1786">
        <f t="shared" si="348"/>
        <v>0</v>
      </c>
      <c r="U2065" s="1786" t="str">
        <f t="shared" si="349"/>
        <v>איילון מיטב פנסיה מקיפה</v>
      </c>
      <c r="V2065" s="1786" t="str">
        <f t="shared" si="350"/>
        <v>520043795</v>
      </c>
      <c r="W2065" s="1789" t="str">
        <f t="shared" si="351"/>
        <v>מיטב דש גמל ופנסיה בע"מ</v>
      </c>
      <c r="AC2065" s="1761" t="s">
        <v>346</v>
      </c>
      <c r="AD2065" s="1761"/>
      <c r="AE2065" s="1762">
        <v>34700</v>
      </c>
      <c r="AF2065" s="1761" t="s">
        <v>3963</v>
      </c>
      <c r="AG2065" s="1761" t="s">
        <v>3931</v>
      </c>
      <c r="AH2065" s="1761" t="s">
        <v>3658</v>
      </c>
      <c r="AI2065" s="1761" t="s">
        <v>5740</v>
      </c>
      <c r="AJ2065" s="1761" t="s">
        <v>5740</v>
      </c>
      <c r="AK2065" s="1761">
        <v>9968</v>
      </c>
      <c r="AL2065" s="1761" t="s">
        <v>5738</v>
      </c>
      <c r="AM2065" s="1761">
        <v>163</v>
      </c>
      <c r="AN2065" s="1761"/>
      <c r="AO2065" s="1764"/>
      <c r="AP2065" s="1761" t="s">
        <v>5373</v>
      </c>
      <c r="AQ2065" s="1761" t="s">
        <v>5374</v>
      </c>
      <c r="AR2065" s="1761" t="s">
        <v>2899</v>
      </c>
      <c r="AS2065" s="1761" t="s">
        <v>349</v>
      </c>
      <c r="AT2065" s="1761" t="s">
        <v>328</v>
      </c>
      <c r="AU2065" s="1763"/>
      <c r="AV2065" s="1763"/>
    </row>
    <row r="2066" spans="1:48" ht="25">
      <c r="A2066" s="1785" t="str">
        <f t="shared" si="341"/>
        <v>פנסיה</v>
      </c>
      <c r="B2066" s="1786">
        <f t="shared" si="342"/>
        <v>1560</v>
      </c>
      <c r="C2066" s="1787">
        <v>28946</v>
      </c>
      <c r="D2066" s="1786" t="str">
        <f t="shared" si="343"/>
        <v>איילון מיטב פנסיה מקיפה פאסיבי- מדדי אג"ח עד 25% במדדי מניות</v>
      </c>
      <c r="E2066" s="1786" t="s">
        <v>3929</v>
      </c>
      <c r="F2066" s="1786" t="s">
        <v>2958</v>
      </c>
      <c r="G2066" s="1786" t="s">
        <v>2959</v>
      </c>
      <c r="H2066" s="1786" t="str">
        <f t="shared" si="344"/>
        <v>פעיל</v>
      </c>
      <c r="I2066" s="1788">
        <f t="shared" si="345"/>
        <v>34700</v>
      </c>
      <c r="J2066" s="1788" t="str">
        <f t="shared" si="346"/>
        <v/>
      </c>
      <c r="K2066" s="1786">
        <v>0</v>
      </c>
      <c r="L2066" s="1786" t="s">
        <v>1594</v>
      </c>
      <c r="M2066" s="1786" t="s">
        <v>1653</v>
      </c>
      <c r="N2066" s="1786" t="s">
        <v>1653</v>
      </c>
      <c r="O2066" s="1786">
        <v>0</v>
      </c>
      <c r="P2066" s="1786"/>
      <c r="Q2066" s="1786">
        <v>0</v>
      </c>
      <c r="R2066" s="1788"/>
      <c r="S2066" s="1786">
        <f t="shared" si="347"/>
        <v>163</v>
      </c>
      <c r="T2066" s="1786">
        <f t="shared" si="348"/>
        <v>0</v>
      </c>
      <c r="U2066" s="1786" t="str">
        <f t="shared" si="349"/>
        <v>איילון מיטב פנסיה מקיפה</v>
      </c>
      <c r="V2066" s="1786" t="str">
        <f t="shared" si="350"/>
        <v>520043795</v>
      </c>
      <c r="W2066" s="1789" t="str">
        <f t="shared" si="351"/>
        <v>מיטב דש גמל ופנסיה בע"מ</v>
      </c>
      <c r="AC2066" s="1759" t="s">
        <v>346</v>
      </c>
      <c r="AD2066" s="1759"/>
      <c r="AE2066" s="1760">
        <v>34700</v>
      </c>
      <c r="AF2066" s="1759" t="s">
        <v>4619</v>
      </c>
      <c r="AG2066" s="1759" t="s">
        <v>1653</v>
      </c>
      <c r="AH2066" s="1759" t="s">
        <v>1594</v>
      </c>
      <c r="AI2066" s="1759" t="s">
        <v>5741</v>
      </c>
      <c r="AJ2066" s="1759" t="s">
        <v>5741</v>
      </c>
      <c r="AK2066" s="1759">
        <v>1560</v>
      </c>
      <c r="AL2066" s="1759" t="s">
        <v>5738</v>
      </c>
      <c r="AM2066" s="1759">
        <v>163</v>
      </c>
      <c r="AN2066" s="1759"/>
      <c r="AO2066" s="1764"/>
      <c r="AP2066" s="1759" t="s">
        <v>5373</v>
      </c>
      <c r="AQ2066" s="1759" t="s">
        <v>5374</v>
      </c>
      <c r="AR2066" s="1759" t="s">
        <v>2899</v>
      </c>
      <c r="AS2066" s="1759" t="s">
        <v>349</v>
      </c>
      <c r="AT2066" s="1759" t="s">
        <v>328</v>
      </c>
      <c r="AU2066" s="1763"/>
      <c r="AV2066" s="1763"/>
    </row>
    <row r="2067" spans="1:48" ht="25">
      <c r="A2067" s="1785" t="str">
        <f t="shared" si="341"/>
        <v>פנסיה</v>
      </c>
      <c r="B2067" s="1786">
        <f t="shared" si="342"/>
        <v>1560</v>
      </c>
      <c r="C2067" s="1787">
        <v>28946</v>
      </c>
      <c r="D2067" s="1786" t="str">
        <f t="shared" si="343"/>
        <v>איילון מיטב פנסיה מקיפה פאסיבי- מדדי אג"ח עד 25% במדדי מניות</v>
      </c>
      <c r="E2067" s="1786" t="s">
        <v>3929</v>
      </c>
      <c r="F2067" s="1786" t="s">
        <v>2958</v>
      </c>
      <c r="G2067" s="1786" t="s">
        <v>2959</v>
      </c>
      <c r="H2067" s="1786" t="str">
        <f t="shared" si="344"/>
        <v>פעיל</v>
      </c>
      <c r="I2067" s="1788">
        <f t="shared" si="345"/>
        <v>34700</v>
      </c>
      <c r="J2067" s="1788" t="str">
        <f t="shared" si="346"/>
        <v/>
      </c>
      <c r="K2067" s="1786">
        <v>0</v>
      </c>
      <c r="L2067" s="1786" t="s">
        <v>1594</v>
      </c>
      <c r="M2067" s="1786" t="s">
        <v>1653</v>
      </c>
      <c r="N2067" s="1786" t="s">
        <v>1653</v>
      </c>
      <c r="O2067" s="1786">
        <v>0</v>
      </c>
      <c r="P2067" s="1786"/>
      <c r="Q2067" s="1786">
        <v>0</v>
      </c>
      <c r="R2067" s="1788"/>
      <c r="S2067" s="1786">
        <f t="shared" si="347"/>
        <v>163</v>
      </c>
      <c r="T2067" s="1786">
        <f t="shared" si="348"/>
        <v>0</v>
      </c>
      <c r="U2067" s="1786" t="str">
        <f t="shared" si="349"/>
        <v>איילון מיטב פנסיה מקיפה</v>
      </c>
      <c r="V2067" s="1786" t="str">
        <f t="shared" si="350"/>
        <v>520043795</v>
      </c>
      <c r="W2067" s="1789" t="str">
        <f t="shared" si="351"/>
        <v>מיטב דש גמל ופנסיה בע"מ</v>
      </c>
      <c r="AC2067" s="1761" t="s">
        <v>346</v>
      </c>
      <c r="AD2067" s="1761"/>
      <c r="AE2067" s="1762">
        <v>34700</v>
      </c>
      <c r="AF2067" s="1761" t="s">
        <v>4619</v>
      </c>
      <c r="AG2067" s="1761" t="s">
        <v>1653</v>
      </c>
      <c r="AH2067" s="1761" t="s">
        <v>1594</v>
      </c>
      <c r="AI2067" s="1761" t="s">
        <v>5741</v>
      </c>
      <c r="AJ2067" s="1761" t="s">
        <v>5741</v>
      </c>
      <c r="AK2067" s="1761">
        <v>1560</v>
      </c>
      <c r="AL2067" s="1761" t="s">
        <v>5738</v>
      </c>
      <c r="AM2067" s="1761">
        <v>163</v>
      </c>
      <c r="AN2067" s="1761"/>
      <c r="AO2067" s="1764"/>
      <c r="AP2067" s="1761" t="s">
        <v>5373</v>
      </c>
      <c r="AQ2067" s="1761" t="s">
        <v>5374</v>
      </c>
      <c r="AR2067" s="1761" t="s">
        <v>2899</v>
      </c>
      <c r="AS2067" s="1761" t="s">
        <v>349</v>
      </c>
      <c r="AT2067" s="1761" t="s">
        <v>328</v>
      </c>
      <c r="AU2067" s="1763"/>
      <c r="AV2067" s="1763"/>
    </row>
    <row r="2068" spans="1:48" ht="25">
      <c r="A2068" s="1785" t="str">
        <f t="shared" si="341"/>
        <v>פנסיה</v>
      </c>
      <c r="B2068" s="1786">
        <f t="shared" si="342"/>
        <v>1589</v>
      </c>
      <c r="C2068" s="1787">
        <v>28946</v>
      </c>
      <c r="D2068" s="1786" t="str">
        <f t="shared" si="343"/>
        <v>איילון מיטב פנסיה מקיפה פאסיבי- מדדי מניות</v>
      </c>
      <c r="E2068" s="1786" t="s">
        <v>3929</v>
      </c>
      <c r="F2068" s="1786" t="s">
        <v>2958</v>
      </c>
      <c r="G2068" s="1786" t="s">
        <v>2959</v>
      </c>
      <c r="H2068" s="1786" t="str">
        <f t="shared" si="344"/>
        <v>פעיל</v>
      </c>
      <c r="I2068" s="1788">
        <f t="shared" si="345"/>
        <v>34700</v>
      </c>
      <c r="J2068" s="1788" t="str">
        <f t="shared" si="346"/>
        <v/>
      </c>
      <c r="K2068" s="1786">
        <v>0</v>
      </c>
      <c r="L2068" s="1786" t="s">
        <v>1594</v>
      </c>
      <c r="M2068" s="1786" t="s">
        <v>1653</v>
      </c>
      <c r="N2068" s="1786" t="s">
        <v>1653</v>
      </c>
      <c r="O2068" s="1786">
        <v>0</v>
      </c>
      <c r="P2068" s="1786"/>
      <c r="Q2068" s="1786">
        <v>0</v>
      </c>
      <c r="R2068" s="1788"/>
      <c r="S2068" s="1786">
        <f t="shared" si="347"/>
        <v>163</v>
      </c>
      <c r="T2068" s="1786">
        <f t="shared" si="348"/>
        <v>0</v>
      </c>
      <c r="U2068" s="1786" t="str">
        <f t="shared" si="349"/>
        <v>איילון מיטב פנסיה מקיפה</v>
      </c>
      <c r="V2068" s="1786" t="str">
        <f t="shared" si="350"/>
        <v>520043795</v>
      </c>
      <c r="W2068" s="1789" t="str">
        <f t="shared" si="351"/>
        <v>מיטב דש גמל ופנסיה בע"מ</v>
      </c>
      <c r="AC2068" s="1759" t="s">
        <v>346</v>
      </c>
      <c r="AD2068" s="1759"/>
      <c r="AE2068" s="1760">
        <v>34700</v>
      </c>
      <c r="AF2068" s="1759" t="s">
        <v>3959</v>
      </c>
      <c r="AG2068" s="1759" t="s">
        <v>75</v>
      </c>
      <c r="AH2068" s="1759" t="s">
        <v>1594</v>
      </c>
      <c r="AI2068" s="1759" t="s">
        <v>5742</v>
      </c>
      <c r="AJ2068" s="1759" t="s">
        <v>5743</v>
      </c>
      <c r="AK2068" s="1759">
        <v>1589</v>
      </c>
      <c r="AL2068" s="1759" t="s">
        <v>5738</v>
      </c>
      <c r="AM2068" s="1759">
        <v>163</v>
      </c>
      <c r="AN2068" s="1759"/>
      <c r="AO2068" s="1764"/>
      <c r="AP2068" s="1759" t="s">
        <v>5373</v>
      </c>
      <c r="AQ2068" s="1759" t="s">
        <v>5374</v>
      </c>
      <c r="AR2068" s="1759" t="s">
        <v>2899</v>
      </c>
      <c r="AS2068" s="1759" t="s">
        <v>349</v>
      </c>
      <c r="AT2068" s="1759" t="s">
        <v>328</v>
      </c>
      <c r="AU2068" s="1763"/>
      <c r="AV2068" s="1763"/>
    </row>
    <row r="2069" spans="1:48" ht="25">
      <c r="A2069" s="1785" t="str">
        <f t="shared" si="341"/>
        <v>פנסיה</v>
      </c>
      <c r="B2069" s="1786">
        <f t="shared" si="342"/>
        <v>1589</v>
      </c>
      <c r="C2069" s="1787">
        <v>28946</v>
      </c>
      <c r="D2069" s="1786" t="str">
        <f t="shared" si="343"/>
        <v>איילון מיטב פנסיה מקיפה פאסיבי- מדדי מניות</v>
      </c>
      <c r="E2069" s="1786" t="s">
        <v>3929</v>
      </c>
      <c r="F2069" s="1786" t="s">
        <v>2958</v>
      </c>
      <c r="G2069" s="1786" t="s">
        <v>2959</v>
      </c>
      <c r="H2069" s="1786" t="str">
        <f t="shared" si="344"/>
        <v>פעיל</v>
      </c>
      <c r="I2069" s="1788">
        <f t="shared" si="345"/>
        <v>34700</v>
      </c>
      <c r="J2069" s="1788" t="str">
        <f t="shared" si="346"/>
        <v/>
      </c>
      <c r="K2069" s="1786">
        <v>0</v>
      </c>
      <c r="L2069" s="1786" t="s">
        <v>1594</v>
      </c>
      <c r="M2069" s="1786" t="s">
        <v>1653</v>
      </c>
      <c r="N2069" s="1786" t="s">
        <v>1653</v>
      </c>
      <c r="O2069" s="1786">
        <v>0</v>
      </c>
      <c r="P2069" s="1786"/>
      <c r="Q2069" s="1786">
        <v>0</v>
      </c>
      <c r="R2069" s="1788"/>
      <c r="S2069" s="1786">
        <f t="shared" si="347"/>
        <v>163</v>
      </c>
      <c r="T2069" s="1786">
        <f t="shared" si="348"/>
        <v>0</v>
      </c>
      <c r="U2069" s="1786" t="str">
        <f t="shared" si="349"/>
        <v>איילון מיטב פנסיה מקיפה</v>
      </c>
      <c r="V2069" s="1786" t="str">
        <f t="shared" si="350"/>
        <v>520043795</v>
      </c>
      <c r="W2069" s="1789" t="str">
        <f t="shared" si="351"/>
        <v>מיטב דש גמל ופנסיה בע"מ</v>
      </c>
      <c r="AC2069" s="1761" t="s">
        <v>346</v>
      </c>
      <c r="AD2069" s="1761"/>
      <c r="AE2069" s="1762">
        <v>34700</v>
      </c>
      <c r="AF2069" s="1761" t="s">
        <v>3959</v>
      </c>
      <c r="AG2069" s="1761" t="s">
        <v>75</v>
      </c>
      <c r="AH2069" s="1761" t="s">
        <v>1594</v>
      </c>
      <c r="AI2069" s="1761" t="s">
        <v>5742</v>
      </c>
      <c r="AJ2069" s="1761" t="s">
        <v>5743</v>
      </c>
      <c r="AK2069" s="1761">
        <v>1589</v>
      </c>
      <c r="AL2069" s="1761" t="s">
        <v>5738</v>
      </c>
      <c r="AM2069" s="1761">
        <v>163</v>
      </c>
      <c r="AN2069" s="1761"/>
      <c r="AO2069" s="1764"/>
      <c r="AP2069" s="1761" t="s">
        <v>5373</v>
      </c>
      <c r="AQ2069" s="1761" t="s">
        <v>5374</v>
      </c>
      <c r="AR2069" s="1761" t="s">
        <v>2899</v>
      </c>
      <c r="AS2069" s="1761" t="s">
        <v>349</v>
      </c>
      <c r="AT2069" s="1761" t="s">
        <v>328</v>
      </c>
      <c r="AU2069" s="1763"/>
      <c r="AV2069" s="1763"/>
    </row>
    <row r="2070" spans="1:48" ht="25">
      <c r="A2070" s="1785" t="str">
        <f t="shared" si="341"/>
        <v>פנסיה</v>
      </c>
      <c r="B2070" s="1786">
        <f t="shared" si="342"/>
        <v>12157</v>
      </c>
      <c r="C2070" s="1787">
        <v>28946</v>
      </c>
      <c r="D2070" s="1786" t="str">
        <f t="shared" si="343"/>
        <v>איילון מיטב פנסיה מקיפה מסלול מקבלי קצבה החל מיום 1.1.2018</v>
      </c>
      <c r="E2070" s="1786" t="s">
        <v>3929</v>
      </c>
      <c r="F2070" s="1786" t="s">
        <v>2958</v>
      </c>
      <c r="G2070" s="1786" t="s">
        <v>2959</v>
      </c>
      <c r="H2070" s="1786" t="str">
        <f t="shared" si="344"/>
        <v>פעיל</v>
      </c>
      <c r="I2070" s="1788">
        <f t="shared" si="345"/>
        <v>34700</v>
      </c>
      <c r="J2070" s="1788" t="str">
        <f t="shared" si="346"/>
        <v/>
      </c>
      <c r="K2070" s="1786">
        <v>0</v>
      </c>
      <c r="L2070" s="1786" t="s">
        <v>1594</v>
      </c>
      <c r="M2070" s="1786" t="s">
        <v>1653</v>
      </c>
      <c r="N2070" s="1786" t="s">
        <v>1653</v>
      </c>
      <c r="O2070" s="1786">
        <v>0</v>
      </c>
      <c r="P2070" s="1786"/>
      <c r="Q2070" s="1786">
        <v>0</v>
      </c>
      <c r="R2070" s="1788"/>
      <c r="S2070" s="1786">
        <f t="shared" si="347"/>
        <v>163</v>
      </c>
      <c r="T2070" s="1786">
        <f t="shared" si="348"/>
        <v>0</v>
      </c>
      <c r="U2070" s="1786" t="str">
        <f t="shared" si="349"/>
        <v>איילון מיטב פנסיה מקיפה</v>
      </c>
      <c r="V2070" s="1786" t="str">
        <f t="shared" si="350"/>
        <v>520043795</v>
      </c>
      <c r="W2070" s="1789" t="str">
        <f t="shared" si="351"/>
        <v>מיטב דש גמל ופנסיה בע"מ</v>
      </c>
      <c r="AC2070" s="1759" t="s">
        <v>346</v>
      </c>
      <c r="AD2070" s="1759"/>
      <c r="AE2070" s="1760">
        <v>34700</v>
      </c>
      <c r="AF2070" s="1759" t="s">
        <v>4160</v>
      </c>
      <c r="AG2070" s="1759" t="s">
        <v>2614</v>
      </c>
      <c r="AH2070" s="1759" t="s">
        <v>3658</v>
      </c>
      <c r="AI2070" s="1759" t="s">
        <v>5744</v>
      </c>
      <c r="AJ2070" s="1759" t="s">
        <v>5745</v>
      </c>
      <c r="AK2070" s="1759">
        <v>12157</v>
      </c>
      <c r="AL2070" s="1759" t="s">
        <v>5738</v>
      </c>
      <c r="AM2070" s="1759">
        <v>163</v>
      </c>
      <c r="AN2070" s="1759"/>
      <c r="AO2070" s="1764"/>
      <c r="AP2070" s="1759" t="s">
        <v>5373</v>
      </c>
      <c r="AQ2070" s="1759" t="s">
        <v>5374</v>
      </c>
      <c r="AR2070" s="1759" t="s">
        <v>2899</v>
      </c>
      <c r="AS2070" s="1759" t="s">
        <v>349</v>
      </c>
      <c r="AT2070" s="1759" t="s">
        <v>328</v>
      </c>
      <c r="AU2070" s="1763"/>
      <c r="AV2070" s="1763"/>
    </row>
    <row r="2071" spans="1:48" ht="25">
      <c r="A2071" s="1785" t="str">
        <f t="shared" ref="A2071:A2134" si="352">AT2071</f>
        <v>פנסיה</v>
      </c>
      <c r="B2071" s="1786">
        <f t="shared" ref="B2071:B2134" si="353">AK2071</f>
        <v>12157</v>
      </c>
      <c r="C2071" s="1787">
        <v>28946</v>
      </c>
      <c r="D2071" s="1786" t="str">
        <f t="shared" ref="D2071:D2134" si="354">AJ2071</f>
        <v>איילון מיטב פנסיה מקיפה מסלול מקבלי קצבה החל מיום 1.1.2018</v>
      </c>
      <c r="E2071" s="1786" t="s">
        <v>3929</v>
      </c>
      <c r="F2071" s="1786" t="s">
        <v>2958</v>
      </c>
      <c r="G2071" s="1786" t="s">
        <v>2959</v>
      </c>
      <c r="H2071" s="1786" t="str">
        <f t="shared" ref="H2071:H2134" si="355">AC2071</f>
        <v>פעיל</v>
      </c>
      <c r="I2071" s="1788">
        <f t="shared" ref="I2071:I2134" si="356">IF(AE2071="","",AE2071)</f>
        <v>34700</v>
      </c>
      <c r="J2071" s="1788" t="str">
        <f t="shared" ref="J2071:J2134" si="357">IF(AD2071="","",AD2071)</f>
        <v/>
      </c>
      <c r="K2071" s="1786">
        <v>0</v>
      </c>
      <c r="L2071" s="1786" t="s">
        <v>1594</v>
      </c>
      <c r="M2071" s="1786" t="s">
        <v>1653</v>
      </c>
      <c r="N2071" s="1786" t="s">
        <v>1653</v>
      </c>
      <c r="O2071" s="1786">
        <v>0</v>
      </c>
      <c r="P2071" s="1786"/>
      <c r="Q2071" s="1786">
        <v>0</v>
      </c>
      <c r="R2071" s="1788"/>
      <c r="S2071" s="1786">
        <f t="shared" ref="S2071:S2134" si="358">AM2071</f>
        <v>163</v>
      </c>
      <c r="T2071" s="1786">
        <f t="shared" ref="T2071:T2134" si="359">AN2071</f>
        <v>0</v>
      </c>
      <c r="U2071" s="1786" t="str">
        <f t="shared" ref="U2071:U2134" si="360">AL2071</f>
        <v>איילון מיטב פנסיה מקיפה</v>
      </c>
      <c r="V2071" s="1786" t="str">
        <f t="shared" ref="V2071:V2134" si="361">AQ2071</f>
        <v>520043795</v>
      </c>
      <c r="W2071" s="1789" t="str">
        <f t="shared" ref="W2071:W2134" si="362">AR2071</f>
        <v>מיטב דש גמל ופנסיה בע"מ</v>
      </c>
      <c r="AC2071" s="1761" t="s">
        <v>346</v>
      </c>
      <c r="AD2071" s="1761"/>
      <c r="AE2071" s="1762">
        <v>34700</v>
      </c>
      <c r="AF2071" s="1761" t="s">
        <v>4160</v>
      </c>
      <c r="AG2071" s="1761" t="s">
        <v>2614</v>
      </c>
      <c r="AH2071" s="1761" t="s">
        <v>3658</v>
      </c>
      <c r="AI2071" s="1761" t="s">
        <v>5744</v>
      </c>
      <c r="AJ2071" s="1761" t="s">
        <v>5745</v>
      </c>
      <c r="AK2071" s="1761">
        <v>12157</v>
      </c>
      <c r="AL2071" s="1761" t="s">
        <v>5738</v>
      </c>
      <c r="AM2071" s="1761">
        <v>163</v>
      </c>
      <c r="AN2071" s="1761"/>
      <c r="AO2071" s="1764"/>
      <c r="AP2071" s="1761" t="s">
        <v>5373</v>
      </c>
      <c r="AQ2071" s="1761" t="s">
        <v>5374</v>
      </c>
      <c r="AR2071" s="1761" t="s">
        <v>2899</v>
      </c>
      <c r="AS2071" s="1761" t="s">
        <v>349</v>
      </c>
      <c r="AT2071" s="1761" t="s">
        <v>328</v>
      </c>
      <c r="AU2071" s="1763"/>
      <c r="AV2071" s="1763"/>
    </row>
    <row r="2072" spans="1:48" ht="25">
      <c r="A2072" s="1785" t="str">
        <f t="shared" si="352"/>
        <v>פנסיה</v>
      </c>
      <c r="B2072" s="1786">
        <f t="shared" si="353"/>
        <v>12966</v>
      </c>
      <c r="C2072" s="1787">
        <v>28946</v>
      </c>
      <c r="D2072" s="1786" t="str">
        <f t="shared" si="354"/>
        <v>איילון מיטב פנסיה מקיפה הלכה למקבלי קצבה</v>
      </c>
      <c r="E2072" s="1786" t="s">
        <v>3929</v>
      </c>
      <c r="F2072" s="1786" t="s">
        <v>2958</v>
      </c>
      <c r="G2072" s="1786" t="s">
        <v>2959</v>
      </c>
      <c r="H2072" s="1786" t="str">
        <f t="shared" si="355"/>
        <v>פעיל</v>
      </c>
      <c r="I2072" s="1788">
        <f t="shared" si="356"/>
        <v>34700</v>
      </c>
      <c r="J2072" s="1788" t="str">
        <f t="shared" si="357"/>
        <v/>
      </c>
      <c r="K2072" s="1786">
        <v>0</v>
      </c>
      <c r="L2072" s="1786" t="s">
        <v>1594</v>
      </c>
      <c r="M2072" s="1786" t="s">
        <v>1653</v>
      </c>
      <c r="N2072" s="1786" t="s">
        <v>1653</v>
      </c>
      <c r="O2072" s="1786">
        <v>0</v>
      </c>
      <c r="P2072" s="1786"/>
      <c r="Q2072" s="1786">
        <v>0</v>
      </c>
      <c r="R2072" s="1788"/>
      <c r="S2072" s="1786">
        <f t="shared" si="358"/>
        <v>163</v>
      </c>
      <c r="T2072" s="1786">
        <f t="shared" si="359"/>
        <v>0</v>
      </c>
      <c r="U2072" s="1786" t="str">
        <f t="shared" si="360"/>
        <v>איילון מיטב פנסיה מקיפה</v>
      </c>
      <c r="V2072" s="1786" t="str">
        <f t="shared" si="361"/>
        <v>520043795</v>
      </c>
      <c r="W2072" s="1789" t="str">
        <f t="shared" si="362"/>
        <v>מיטב דש גמל ופנסיה בע"מ</v>
      </c>
      <c r="AC2072" s="1759" t="s">
        <v>346</v>
      </c>
      <c r="AD2072" s="1759"/>
      <c r="AE2072" s="1760">
        <v>34700</v>
      </c>
      <c r="AF2072" s="1759" t="s">
        <v>3956</v>
      </c>
      <c r="AG2072" s="1759" t="s">
        <v>70</v>
      </c>
      <c r="AH2072" s="1759" t="s">
        <v>1594</v>
      </c>
      <c r="AI2072" s="1759" t="s">
        <v>5746</v>
      </c>
      <c r="AJ2072" s="1759" t="s">
        <v>5747</v>
      </c>
      <c r="AK2072" s="1759">
        <v>12966</v>
      </c>
      <c r="AL2072" s="1759" t="s">
        <v>5738</v>
      </c>
      <c r="AM2072" s="1759">
        <v>163</v>
      </c>
      <c r="AN2072" s="1759"/>
      <c r="AO2072" s="1764"/>
      <c r="AP2072" s="1759" t="s">
        <v>5373</v>
      </c>
      <c r="AQ2072" s="1759" t="s">
        <v>5374</v>
      </c>
      <c r="AR2072" s="1759" t="s">
        <v>2899</v>
      </c>
      <c r="AS2072" s="1759" t="s">
        <v>349</v>
      </c>
      <c r="AT2072" s="1759" t="s">
        <v>328</v>
      </c>
      <c r="AU2072" s="1763"/>
      <c r="AV2072" s="1763"/>
    </row>
    <row r="2073" spans="1:48" ht="25">
      <c r="A2073" s="1785" t="str">
        <f t="shared" si="352"/>
        <v>פנסיה</v>
      </c>
      <c r="B2073" s="1786">
        <f t="shared" si="353"/>
        <v>12966</v>
      </c>
      <c r="C2073" s="1787">
        <v>28946</v>
      </c>
      <c r="D2073" s="1786" t="str">
        <f t="shared" si="354"/>
        <v>איילון מיטב פנסיה מקיפה הלכה למקבלי קצבה</v>
      </c>
      <c r="E2073" s="1786" t="s">
        <v>3929</v>
      </c>
      <c r="F2073" s="1786" t="s">
        <v>2958</v>
      </c>
      <c r="G2073" s="1786" t="s">
        <v>2959</v>
      </c>
      <c r="H2073" s="1786" t="str">
        <f t="shared" si="355"/>
        <v>פעיל</v>
      </c>
      <c r="I2073" s="1788">
        <f t="shared" si="356"/>
        <v>34700</v>
      </c>
      <c r="J2073" s="1788" t="str">
        <f t="shared" si="357"/>
        <v/>
      </c>
      <c r="K2073" s="1786">
        <v>0</v>
      </c>
      <c r="L2073" s="1786" t="s">
        <v>1594</v>
      </c>
      <c r="M2073" s="1786" t="s">
        <v>1653</v>
      </c>
      <c r="N2073" s="1786" t="s">
        <v>1653</v>
      </c>
      <c r="O2073" s="1786">
        <v>0</v>
      </c>
      <c r="P2073" s="1786"/>
      <c r="Q2073" s="1786">
        <v>0</v>
      </c>
      <c r="R2073" s="1788"/>
      <c r="S2073" s="1786">
        <f t="shared" si="358"/>
        <v>163</v>
      </c>
      <c r="T2073" s="1786">
        <f t="shared" si="359"/>
        <v>0</v>
      </c>
      <c r="U2073" s="1786" t="str">
        <f t="shared" si="360"/>
        <v>איילון מיטב פנסיה מקיפה</v>
      </c>
      <c r="V2073" s="1786" t="str">
        <f t="shared" si="361"/>
        <v>520043795</v>
      </c>
      <c r="W2073" s="1789" t="str">
        <f t="shared" si="362"/>
        <v>מיטב דש גמל ופנסיה בע"מ</v>
      </c>
      <c r="AC2073" s="1761" t="s">
        <v>346</v>
      </c>
      <c r="AD2073" s="1761"/>
      <c r="AE2073" s="1762">
        <v>34700</v>
      </c>
      <c r="AF2073" s="1761" t="s">
        <v>3956</v>
      </c>
      <c r="AG2073" s="1761" t="s">
        <v>70</v>
      </c>
      <c r="AH2073" s="1761" t="s">
        <v>1594</v>
      </c>
      <c r="AI2073" s="1761" t="s">
        <v>5746</v>
      </c>
      <c r="AJ2073" s="1761" t="s">
        <v>5747</v>
      </c>
      <c r="AK2073" s="1761">
        <v>12966</v>
      </c>
      <c r="AL2073" s="1761" t="s">
        <v>5738</v>
      </c>
      <c r="AM2073" s="1761">
        <v>163</v>
      </c>
      <c r="AN2073" s="1761"/>
      <c r="AO2073" s="1764"/>
      <c r="AP2073" s="1761" t="s">
        <v>5373</v>
      </c>
      <c r="AQ2073" s="1761" t="s">
        <v>5374</v>
      </c>
      <c r="AR2073" s="1761" t="s">
        <v>2899</v>
      </c>
      <c r="AS2073" s="1761" t="s">
        <v>349</v>
      </c>
      <c r="AT2073" s="1761" t="s">
        <v>328</v>
      </c>
      <c r="AU2073" s="1763"/>
      <c r="AV2073" s="1763"/>
    </row>
    <row r="2074" spans="1:48" ht="25">
      <c r="A2074" s="1785" t="str">
        <f t="shared" si="352"/>
        <v>פנסיה</v>
      </c>
      <c r="B2074" s="1786">
        <f t="shared" si="353"/>
        <v>2242</v>
      </c>
      <c r="C2074" s="1787">
        <v>28946</v>
      </c>
      <c r="D2074" s="1786" t="str">
        <f t="shared" si="354"/>
        <v>איילון מיטב מקיפה אג"ח עד 25% במנית</v>
      </c>
      <c r="E2074" s="1786" t="s">
        <v>3929</v>
      </c>
      <c r="F2074" s="1786" t="s">
        <v>2958</v>
      </c>
      <c r="G2074" s="1786" t="s">
        <v>2959</v>
      </c>
      <c r="H2074" s="1786" t="str">
        <f t="shared" si="355"/>
        <v>פעיל</v>
      </c>
      <c r="I2074" s="1788">
        <f t="shared" si="356"/>
        <v>34700</v>
      </c>
      <c r="J2074" s="1788" t="str">
        <f t="shared" si="357"/>
        <v/>
      </c>
      <c r="K2074" s="1786">
        <v>0</v>
      </c>
      <c r="L2074" s="1786" t="s">
        <v>1594</v>
      </c>
      <c r="M2074" s="1786" t="s">
        <v>1653</v>
      </c>
      <c r="N2074" s="1786" t="s">
        <v>1653</v>
      </c>
      <c r="O2074" s="1786">
        <v>0</v>
      </c>
      <c r="P2074" s="1786"/>
      <c r="Q2074" s="1786">
        <v>0</v>
      </c>
      <c r="R2074" s="1788"/>
      <c r="S2074" s="1786">
        <f t="shared" si="358"/>
        <v>163</v>
      </c>
      <c r="T2074" s="1786">
        <f t="shared" si="359"/>
        <v>0</v>
      </c>
      <c r="U2074" s="1786" t="str">
        <f t="shared" si="360"/>
        <v>איילון מיטב פנסיה מקיפה</v>
      </c>
      <c r="V2074" s="1786" t="str">
        <f t="shared" si="361"/>
        <v>520043795</v>
      </c>
      <c r="W2074" s="1789" t="str">
        <f t="shared" si="362"/>
        <v>מיטב דש גמל ופנסיה בע"מ</v>
      </c>
      <c r="AC2074" s="1759" t="s">
        <v>346</v>
      </c>
      <c r="AD2074" s="1759"/>
      <c r="AE2074" s="1760">
        <v>34700</v>
      </c>
      <c r="AF2074" s="1759" t="s">
        <v>1653</v>
      </c>
      <c r="AG2074" s="1759" t="s">
        <v>1653</v>
      </c>
      <c r="AH2074" s="1759" t="s">
        <v>1594</v>
      </c>
      <c r="AI2074" s="1759" t="s">
        <v>5748</v>
      </c>
      <c r="AJ2074" s="1759" t="s">
        <v>5749</v>
      </c>
      <c r="AK2074" s="1759">
        <v>2242</v>
      </c>
      <c r="AL2074" s="1759" t="s">
        <v>5738</v>
      </c>
      <c r="AM2074" s="1759">
        <v>163</v>
      </c>
      <c r="AN2074" s="1759"/>
      <c r="AO2074" s="1764"/>
      <c r="AP2074" s="1759" t="s">
        <v>5373</v>
      </c>
      <c r="AQ2074" s="1759" t="s">
        <v>5374</v>
      </c>
      <c r="AR2074" s="1759" t="s">
        <v>2899</v>
      </c>
      <c r="AS2074" s="1759" t="s">
        <v>349</v>
      </c>
      <c r="AT2074" s="1759" t="s">
        <v>328</v>
      </c>
      <c r="AU2074" s="1763"/>
      <c r="AV2074" s="1763"/>
    </row>
    <row r="2075" spans="1:48" ht="25">
      <c r="A2075" s="1785" t="str">
        <f t="shared" si="352"/>
        <v>פנסיה</v>
      </c>
      <c r="B2075" s="1786">
        <f t="shared" si="353"/>
        <v>2242</v>
      </c>
      <c r="C2075" s="1787">
        <v>28946</v>
      </c>
      <c r="D2075" s="1786" t="str">
        <f t="shared" si="354"/>
        <v>איילון מיטב מקיפה אג"ח עד 25% במנית</v>
      </c>
      <c r="E2075" s="1786" t="s">
        <v>3929</v>
      </c>
      <c r="F2075" s="1786" t="s">
        <v>2958</v>
      </c>
      <c r="G2075" s="1786" t="s">
        <v>2959</v>
      </c>
      <c r="H2075" s="1786" t="str">
        <f t="shared" si="355"/>
        <v>פעיל</v>
      </c>
      <c r="I2075" s="1788">
        <f t="shared" si="356"/>
        <v>34700</v>
      </c>
      <c r="J2075" s="1788" t="str">
        <f t="shared" si="357"/>
        <v/>
      </c>
      <c r="K2075" s="1786">
        <v>0</v>
      </c>
      <c r="L2075" s="1786" t="s">
        <v>1594</v>
      </c>
      <c r="M2075" s="1786" t="s">
        <v>1653</v>
      </c>
      <c r="N2075" s="1786" t="s">
        <v>1653</v>
      </c>
      <c r="O2075" s="1786">
        <v>0</v>
      </c>
      <c r="P2075" s="1786"/>
      <c r="Q2075" s="1786">
        <v>0</v>
      </c>
      <c r="R2075" s="1788"/>
      <c r="S2075" s="1786">
        <f t="shared" si="358"/>
        <v>163</v>
      </c>
      <c r="T2075" s="1786">
        <f t="shared" si="359"/>
        <v>0</v>
      </c>
      <c r="U2075" s="1786" t="str">
        <f t="shared" si="360"/>
        <v>איילון מיטב פנסיה מקיפה</v>
      </c>
      <c r="V2075" s="1786" t="str">
        <f t="shared" si="361"/>
        <v>520043795</v>
      </c>
      <c r="W2075" s="1789" t="str">
        <f t="shared" si="362"/>
        <v>מיטב דש גמל ופנסיה בע"מ</v>
      </c>
      <c r="AC2075" s="1761" t="s">
        <v>346</v>
      </c>
      <c r="AD2075" s="1761"/>
      <c r="AE2075" s="1762">
        <v>34700</v>
      </c>
      <c r="AF2075" s="1761" t="s">
        <v>1653</v>
      </c>
      <c r="AG2075" s="1761" t="s">
        <v>1653</v>
      </c>
      <c r="AH2075" s="1761" t="s">
        <v>1594</v>
      </c>
      <c r="AI2075" s="1761" t="s">
        <v>5748</v>
      </c>
      <c r="AJ2075" s="1761" t="s">
        <v>5749</v>
      </c>
      <c r="AK2075" s="1761">
        <v>2242</v>
      </c>
      <c r="AL2075" s="1761" t="s">
        <v>5738</v>
      </c>
      <c r="AM2075" s="1761">
        <v>163</v>
      </c>
      <c r="AN2075" s="1761"/>
      <c r="AO2075" s="1764"/>
      <c r="AP2075" s="1761" t="s">
        <v>5373</v>
      </c>
      <c r="AQ2075" s="1761" t="s">
        <v>5374</v>
      </c>
      <c r="AR2075" s="1761" t="s">
        <v>2899</v>
      </c>
      <c r="AS2075" s="1761" t="s">
        <v>349</v>
      </c>
      <c r="AT2075" s="1761" t="s">
        <v>328</v>
      </c>
      <c r="AU2075" s="1763"/>
      <c r="AV2075" s="1763"/>
    </row>
    <row r="2076" spans="1:48" ht="25">
      <c r="A2076" s="1785" t="str">
        <f t="shared" si="352"/>
        <v>פנסיה</v>
      </c>
      <c r="B2076" s="1786">
        <f t="shared" si="353"/>
        <v>8645</v>
      </c>
      <c r="C2076" s="1787">
        <v>28946</v>
      </c>
      <c r="D2076" s="1786" t="str">
        <f t="shared" si="354"/>
        <v>איילון מיטב מקיפה קצבה לזכאים קיימים</v>
      </c>
      <c r="E2076" s="1786" t="s">
        <v>3929</v>
      </c>
      <c r="F2076" s="1786" t="s">
        <v>2958</v>
      </c>
      <c r="G2076" s="1786" t="s">
        <v>2959</v>
      </c>
      <c r="H2076" s="1786" t="str">
        <f t="shared" si="355"/>
        <v>פעיל</v>
      </c>
      <c r="I2076" s="1788">
        <f t="shared" si="356"/>
        <v>34700</v>
      </c>
      <c r="J2076" s="1788" t="str">
        <f t="shared" si="357"/>
        <v/>
      </c>
      <c r="K2076" s="1786">
        <v>0</v>
      </c>
      <c r="L2076" s="1786" t="s">
        <v>1594</v>
      </c>
      <c r="M2076" s="1786" t="s">
        <v>1653</v>
      </c>
      <c r="N2076" s="1786" t="s">
        <v>1653</v>
      </c>
      <c r="O2076" s="1786">
        <v>0</v>
      </c>
      <c r="P2076" s="1786"/>
      <c r="Q2076" s="1786">
        <v>0</v>
      </c>
      <c r="R2076" s="1788"/>
      <c r="S2076" s="1786">
        <f t="shared" si="358"/>
        <v>163</v>
      </c>
      <c r="T2076" s="1786">
        <f t="shared" si="359"/>
        <v>0</v>
      </c>
      <c r="U2076" s="1786" t="str">
        <f t="shared" si="360"/>
        <v>איילון מיטב פנסיה מקיפה</v>
      </c>
      <c r="V2076" s="1786" t="str">
        <f t="shared" si="361"/>
        <v>520043795</v>
      </c>
      <c r="W2076" s="1789" t="str">
        <f t="shared" si="362"/>
        <v>מיטב דש גמל ופנסיה בע"מ</v>
      </c>
      <c r="AC2076" s="1759" t="s">
        <v>346</v>
      </c>
      <c r="AD2076" s="1759"/>
      <c r="AE2076" s="1760">
        <v>34700</v>
      </c>
      <c r="AF2076" s="1759" t="s">
        <v>4160</v>
      </c>
      <c r="AG2076" s="1759" t="s">
        <v>2614</v>
      </c>
      <c r="AH2076" s="1759" t="s">
        <v>3658</v>
      </c>
      <c r="AI2076" s="1759" t="s">
        <v>5750</v>
      </c>
      <c r="AJ2076" s="1759" t="s">
        <v>5751</v>
      </c>
      <c r="AK2076" s="1759">
        <v>8645</v>
      </c>
      <c r="AL2076" s="1759" t="s">
        <v>5738</v>
      </c>
      <c r="AM2076" s="1759">
        <v>163</v>
      </c>
      <c r="AN2076" s="1759"/>
      <c r="AO2076" s="1764"/>
      <c r="AP2076" s="1759" t="s">
        <v>5373</v>
      </c>
      <c r="AQ2076" s="1759" t="s">
        <v>5374</v>
      </c>
      <c r="AR2076" s="1759" t="s">
        <v>2899</v>
      </c>
      <c r="AS2076" s="1759" t="s">
        <v>349</v>
      </c>
      <c r="AT2076" s="1759" t="s">
        <v>328</v>
      </c>
      <c r="AU2076" s="1763"/>
      <c r="AV2076" s="1763"/>
    </row>
    <row r="2077" spans="1:48" ht="25">
      <c r="A2077" s="1785" t="str">
        <f t="shared" si="352"/>
        <v>פנסיה</v>
      </c>
      <c r="B2077" s="1786">
        <f t="shared" si="353"/>
        <v>8645</v>
      </c>
      <c r="C2077" s="1787">
        <v>28946</v>
      </c>
      <c r="D2077" s="1786" t="str">
        <f t="shared" si="354"/>
        <v>איילון מיטב מקיפה קצבה לזכאים קיימים</v>
      </c>
      <c r="E2077" s="1786" t="s">
        <v>3929</v>
      </c>
      <c r="F2077" s="1786" t="s">
        <v>2958</v>
      </c>
      <c r="G2077" s="1786" t="s">
        <v>2959</v>
      </c>
      <c r="H2077" s="1786" t="str">
        <f t="shared" si="355"/>
        <v>פעיל</v>
      </c>
      <c r="I2077" s="1788">
        <f t="shared" si="356"/>
        <v>34700</v>
      </c>
      <c r="J2077" s="1788" t="str">
        <f t="shared" si="357"/>
        <v/>
      </c>
      <c r="K2077" s="1786">
        <v>0</v>
      </c>
      <c r="L2077" s="1786" t="s">
        <v>1594</v>
      </c>
      <c r="M2077" s="1786" t="s">
        <v>1653</v>
      </c>
      <c r="N2077" s="1786" t="s">
        <v>1653</v>
      </c>
      <c r="O2077" s="1786">
        <v>0</v>
      </c>
      <c r="P2077" s="1786"/>
      <c r="Q2077" s="1786">
        <v>0</v>
      </c>
      <c r="R2077" s="1788"/>
      <c r="S2077" s="1786">
        <f t="shared" si="358"/>
        <v>163</v>
      </c>
      <c r="T2077" s="1786">
        <f t="shared" si="359"/>
        <v>0</v>
      </c>
      <c r="U2077" s="1786" t="str">
        <f t="shared" si="360"/>
        <v>איילון מיטב פנסיה מקיפה</v>
      </c>
      <c r="V2077" s="1786" t="str">
        <f t="shared" si="361"/>
        <v>520043795</v>
      </c>
      <c r="W2077" s="1789" t="str">
        <f t="shared" si="362"/>
        <v>מיטב דש גמל ופנסיה בע"מ</v>
      </c>
      <c r="AC2077" s="1761" t="s">
        <v>346</v>
      </c>
      <c r="AD2077" s="1761"/>
      <c r="AE2077" s="1762">
        <v>34700</v>
      </c>
      <c r="AF2077" s="1761" t="s">
        <v>4160</v>
      </c>
      <c r="AG2077" s="1761" t="s">
        <v>2614</v>
      </c>
      <c r="AH2077" s="1761" t="s">
        <v>3658</v>
      </c>
      <c r="AI2077" s="1761" t="s">
        <v>5750</v>
      </c>
      <c r="AJ2077" s="1761" t="s">
        <v>5751</v>
      </c>
      <c r="AK2077" s="1761">
        <v>8645</v>
      </c>
      <c r="AL2077" s="1761" t="s">
        <v>5738</v>
      </c>
      <c r="AM2077" s="1761">
        <v>163</v>
      </c>
      <c r="AN2077" s="1761"/>
      <c r="AO2077" s="1764"/>
      <c r="AP2077" s="1761" t="s">
        <v>5373</v>
      </c>
      <c r="AQ2077" s="1761" t="s">
        <v>5374</v>
      </c>
      <c r="AR2077" s="1761" t="s">
        <v>2899</v>
      </c>
      <c r="AS2077" s="1761" t="s">
        <v>349</v>
      </c>
      <c r="AT2077" s="1761" t="s">
        <v>328</v>
      </c>
      <c r="AU2077" s="1763"/>
      <c r="AV2077" s="1763"/>
    </row>
    <row r="2078" spans="1:48" ht="25">
      <c r="A2078" s="1785" t="str">
        <f t="shared" si="352"/>
        <v>פנסיה</v>
      </c>
      <c r="B2078" s="1786">
        <f t="shared" si="353"/>
        <v>2104</v>
      </c>
      <c r="C2078" s="1787">
        <v>28946</v>
      </c>
      <c r="D2078" s="1786" t="str">
        <f t="shared" si="354"/>
        <v>איילון מיטב מקיפה - מסלול אג"ח (ללא מניות)</v>
      </c>
      <c r="E2078" s="1786" t="s">
        <v>3929</v>
      </c>
      <c r="F2078" s="1786" t="s">
        <v>2958</v>
      </c>
      <c r="G2078" s="1786" t="s">
        <v>2959</v>
      </c>
      <c r="H2078" s="1786" t="str">
        <f t="shared" si="355"/>
        <v>פעיל</v>
      </c>
      <c r="I2078" s="1788">
        <f t="shared" si="356"/>
        <v>34700</v>
      </c>
      <c r="J2078" s="1788" t="str">
        <f t="shared" si="357"/>
        <v/>
      </c>
      <c r="K2078" s="1786">
        <v>0</v>
      </c>
      <c r="L2078" s="1786" t="s">
        <v>1594</v>
      </c>
      <c r="M2078" s="1786" t="s">
        <v>1653</v>
      </c>
      <c r="N2078" s="1786" t="s">
        <v>1653</v>
      </c>
      <c r="O2078" s="1786">
        <v>0</v>
      </c>
      <c r="P2078" s="1786"/>
      <c r="Q2078" s="1786">
        <v>0</v>
      </c>
      <c r="R2078" s="1788"/>
      <c r="S2078" s="1786">
        <f t="shared" si="358"/>
        <v>163</v>
      </c>
      <c r="T2078" s="1786">
        <f t="shared" si="359"/>
        <v>0</v>
      </c>
      <c r="U2078" s="1786" t="str">
        <f t="shared" si="360"/>
        <v>איילון מיטב פנסיה מקיפה</v>
      </c>
      <c r="V2078" s="1786" t="str">
        <f t="shared" si="361"/>
        <v>520043795</v>
      </c>
      <c r="W2078" s="1789" t="str">
        <f t="shared" si="362"/>
        <v>מיטב דש גמל ופנסיה בע"מ</v>
      </c>
      <c r="AC2078" s="1759" t="s">
        <v>346</v>
      </c>
      <c r="AD2078" s="1759"/>
      <c r="AE2078" s="1760">
        <v>34700</v>
      </c>
      <c r="AF2078" s="1759" t="s">
        <v>1653</v>
      </c>
      <c r="AG2078" s="1759" t="s">
        <v>1653</v>
      </c>
      <c r="AH2078" s="1759" t="s">
        <v>1594</v>
      </c>
      <c r="AI2078" s="1759" t="s">
        <v>5752</v>
      </c>
      <c r="AJ2078" s="1759" t="s">
        <v>5752</v>
      </c>
      <c r="AK2078" s="1759">
        <v>2104</v>
      </c>
      <c r="AL2078" s="1759" t="s">
        <v>5738</v>
      </c>
      <c r="AM2078" s="1759">
        <v>163</v>
      </c>
      <c r="AN2078" s="1759"/>
      <c r="AO2078" s="1764"/>
      <c r="AP2078" s="1759" t="s">
        <v>5373</v>
      </c>
      <c r="AQ2078" s="1759" t="s">
        <v>5374</v>
      </c>
      <c r="AR2078" s="1759" t="s">
        <v>2899</v>
      </c>
      <c r="AS2078" s="1759" t="s">
        <v>349</v>
      </c>
      <c r="AT2078" s="1759" t="s">
        <v>328</v>
      </c>
      <c r="AU2078" s="1763"/>
      <c r="AV2078" s="1763"/>
    </row>
    <row r="2079" spans="1:48" ht="25">
      <c r="A2079" s="1785" t="str">
        <f t="shared" si="352"/>
        <v>פנסיה</v>
      </c>
      <c r="B2079" s="1786">
        <f t="shared" si="353"/>
        <v>2104</v>
      </c>
      <c r="C2079" s="1787">
        <v>28946</v>
      </c>
      <c r="D2079" s="1786" t="str">
        <f t="shared" si="354"/>
        <v>איילון מיטב מקיפה - מסלול אג"ח (ללא מניות)</v>
      </c>
      <c r="E2079" s="1786" t="s">
        <v>3929</v>
      </c>
      <c r="F2079" s="1786" t="s">
        <v>2958</v>
      </c>
      <c r="G2079" s="1786" t="s">
        <v>2959</v>
      </c>
      <c r="H2079" s="1786" t="str">
        <f t="shared" si="355"/>
        <v>פעיל</v>
      </c>
      <c r="I2079" s="1788">
        <f t="shared" si="356"/>
        <v>34700</v>
      </c>
      <c r="J2079" s="1788" t="str">
        <f t="shared" si="357"/>
        <v/>
      </c>
      <c r="K2079" s="1786">
        <v>0</v>
      </c>
      <c r="L2079" s="1786" t="s">
        <v>1594</v>
      </c>
      <c r="M2079" s="1786" t="s">
        <v>1653</v>
      </c>
      <c r="N2079" s="1786" t="s">
        <v>1653</v>
      </c>
      <c r="O2079" s="1786">
        <v>0</v>
      </c>
      <c r="P2079" s="1786"/>
      <c r="Q2079" s="1786">
        <v>0</v>
      </c>
      <c r="R2079" s="1788"/>
      <c r="S2079" s="1786">
        <f t="shared" si="358"/>
        <v>163</v>
      </c>
      <c r="T2079" s="1786">
        <f t="shared" si="359"/>
        <v>0</v>
      </c>
      <c r="U2079" s="1786" t="str">
        <f t="shared" si="360"/>
        <v>איילון מיטב פנסיה מקיפה</v>
      </c>
      <c r="V2079" s="1786" t="str">
        <f t="shared" si="361"/>
        <v>520043795</v>
      </c>
      <c r="W2079" s="1789" t="str">
        <f t="shared" si="362"/>
        <v>מיטב דש גמל ופנסיה בע"מ</v>
      </c>
      <c r="AC2079" s="1761" t="s">
        <v>346</v>
      </c>
      <c r="AD2079" s="1761"/>
      <c r="AE2079" s="1762">
        <v>34700</v>
      </c>
      <c r="AF2079" s="1761" t="s">
        <v>1653</v>
      </c>
      <c r="AG2079" s="1761" t="s">
        <v>1653</v>
      </c>
      <c r="AH2079" s="1761" t="s">
        <v>1594</v>
      </c>
      <c r="AI2079" s="1761" t="s">
        <v>5752</v>
      </c>
      <c r="AJ2079" s="1761" t="s">
        <v>5752</v>
      </c>
      <c r="AK2079" s="1761">
        <v>2104</v>
      </c>
      <c r="AL2079" s="1761" t="s">
        <v>5738</v>
      </c>
      <c r="AM2079" s="1761">
        <v>163</v>
      </c>
      <c r="AN2079" s="1761"/>
      <c r="AO2079" s="1764"/>
      <c r="AP2079" s="1761" t="s">
        <v>5373</v>
      </c>
      <c r="AQ2079" s="1761" t="s">
        <v>5374</v>
      </c>
      <c r="AR2079" s="1761" t="s">
        <v>2899</v>
      </c>
      <c r="AS2079" s="1761" t="s">
        <v>349</v>
      </c>
      <c r="AT2079" s="1761" t="s">
        <v>328</v>
      </c>
      <c r="AU2079" s="1763"/>
      <c r="AV2079" s="1763"/>
    </row>
    <row r="2080" spans="1:48" ht="25">
      <c r="A2080" s="1785" t="str">
        <f t="shared" si="352"/>
        <v>פנסיה</v>
      </c>
      <c r="B2080" s="1786">
        <f t="shared" si="353"/>
        <v>2105</v>
      </c>
      <c r="C2080" s="1787">
        <v>28946</v>
      </c>
      <c r="D2080" s="1786" t="str">
        <f t="shared" si="354"/>
        <v>איילון מיטב מקיפה - מסלול מניות</v>
      </c>
      <c r="E2080" s="1786" t="s">
        <v>3929</v>
      </c>
      <c r="F2080" s="1786" t="s">
        <v>2958</v>
      </c>
      <c r="G2080" s="1786" t="s">
        <v>2959</v>
      </c>
      <c r="H2080" s="1786" t="str">
        <f t="shared" si="355"/>
        <v>פעיל</v>
      </c>
      <c r="I2080" s="1788">
        <f t="shared" si="356"/>
        <v>34700</v>
      </c>
      <c r="J2080" s="1788" t="str">
        <f t="shared" si="357"/>
        <v/>
      </c>
      <c r="K2080" s="1786">
        <v>0</v>
      </c>
      <c r="L2080" s="1786" t="s">
        <v>1594</v>
      </c>
      <c r="M2080" s="1786" t="s">
        <v>1653</v>
      </c>
      <c r="N2080" s="1786" t="s">
        <v>1653</v>
      </c>
      <c r="O2080" s="1786">
        <v>0</v>
      </c>
      <c r="P2080" s="1786"/>
      <c r="Q2080" s="1786">
        <v>0</v>
      </c>
      <c r="R2080" s="1788"/>
      <c r="S2080" s="1786">
        <f t="shared" si="358"/>
        <v>163</v>
      </c>
      <c r="T2080" s="1786">
        <f t="shared" si="359"/>
        <v>0</v>
      </c>
      <c r="U2080" s="1786" t="str">
        <f t="shared" si="360"/>
        <v>איילון מיטב פנסיה מקיפה</v>
      </c>
      <c r="V2080" s="1786" t="str">
        <f t="shared" si="361"/>
        <v>520043795</v>
      </c>
      <c r="W2080" s="1789" t="str">
        <f t="shared" si="362"/>
        <v>מיטב דש גמל ופנסיה בע"מ</v>
      </c>
      <c r="AC2080" s="1759" t="s">
        <v>346</v>
      </c>
      <c r="AD2080" s="1759"/>
      <c r="AE2080" s="1760">
        <v>34700</v>
      </c>
      <c r="AF2080" s="1759" t="s">
        <v>1595</v>
      </c>
      <c r="AG2080" s="1759" t="s">
        <v>75</v>
      </c>
      <c r="AH2080" s="1759" t="s">
        <v>1594</v>
      </c>
      <c r="AI2080" s="1759" t="s">
        <v>5753</v>
      </c>
      <c r="AJ2080" s="1759" t="s">
        <v>5753</v>
      </c>
      <c r="AK2080" s="1759">
        <v>2105</v>
      </c>
      <c r="AL2080" s="1759" t="s">
        <v>5738</v>
      </c>
      <c r="AM2080" s="1759">
        <v>163</v>
      </c>
      <c r="AN2080" s="1759"/>
      <c r="AO2080" s="1764"/>
      <c r="AP2080" s="1759" t="s">
        <v>5373</v>
      </c>
      <c r="AQ2080" s="1759" t="s">
        <v>5374</v>
      </c>
      <c r="AR2080" s="1759" t="s">
        <v>2899</v>
      </c>
      <c r="AS2080" s="1759" t="s">
        <v>349</v>
      </c>
      <c r="AT2080" s="1759" t="s">
        <v>328</v>
      </c>
      <c r="AU2080" s="1763"/>
      <c r="AV2080" s="1763"/>
    </row>
    <row r="2081" spans="1:48" ht="25">
      <c r="A2081" s="1785" t="str">
        <f t="shared" si="352"/>
        <v>פנסיה</v>
      </c>
      <c r="B2081" s="1786">
        <f t="shared" si="353"/>
        <v>2105</v>
      </c>
      <c r="C2081" s="1787">
        <v>28946</v>
      </c>
      <c r="D2081" s="1786" t="str">
        <f t="shared" si="354"/>
        <v>איילון מיטב מקיפה - מסלול מניות</v>
      </c>
      <c r="E2081" s="1786" t="s">
        <v>3929</v>
      </c>
      <c r="F2081" s="1786" t="s">
        <v>2958</v>
      </c>
      <c r="G2081" s="1786" t="s">
        <v>2959</v>
      </c>
      <c r="H2081" s="1786" t="str">
        <f t="shared" si="355"/>
        <v>פעיל</v>
      </c>
      <c r="I2081" s="1788">
        <f t="shared" si="356"/>
        <v>34700</v>
      </c>
      <c r="J2081" s="1788" t="str">
        <f t="shared" si="357"/>
        <v/>
      </c>
      <c r="K2081" s="1786">
        <v>0</v>
      </c>
      <c r="L2081" s="1786" t="s">
        <v>1594</v>
      </c>
      <c r="M2081" s="1786" t="s">
        <v>1653</v>
      </c>
      <c r="N2081" s="1786" t="s">
        <v>1653</v>
      </c>
      <c r="O2081" s="1786">
        <v>0</v>
      </c>
      <c r="P2081" s="1786"/>
      <c r="Q2081" s="1786">
        <v>0</v>
      </c>
      <c r="R2081" s="1788"/>
      <c r="S2081" s="1786">
        <f t="shared" si="358"/>
        <v>163</v>
      </c>
      <c r="T2081" s="1786">
        <f t="shared" si="359"/>
        <v>0</v>
      </c>
      <c r="U2081" s="1786" t="str">
        <f t="shared" si="360"/>
        <v>איילון מיטב פנסיה מקיפה</v>
      </c>
      <c r="V2081" s="1786" t="str">
        <f t="shared" si="361"/>
        <v>520043795</v>
      </c>
      <c r="W2081" s="1789" t="str">
        <f t="shared" si="362"/>
        <v>מיטב דש גמל ופנסיה בע"מ</v>
      </c>
      <c r="AC2081" s="1761" t="s">
        <v>346</v>
      </c>
      <c r="AD2081" s="1761"/>
      <c r="AE2081" s="1762">
        <v>34700</v>
      </c>
      <c r="AF2081" s="1761" t="s">
        <v>1595</v>
      </c>
      <c r="AG2081" s="1761" t="s">
        <v>75</v>
      </c>
      <c r="AH2081" s="1761" t="s">
        <v>1594</v>
      </c>
      <c r="AI2081" s="1761" t="s">
        <v>5753</v>
      </c>
      <c r="AJ2081" s="1761" t="s">
        <v>5753</v>
      </c>
      <c r="AK2081" s="1761">
        <v>2105</v>
      </c>
      <c r="AL2081" s="1761" t="s">
        <v>5738</v>
      </c>
      <c r="AM2081" s="1761">
        <v>163</v>
      </c>
      <c r="AN2081" s="1761"/>
      <c r="AO2081" s="1764"/>
      <c r="AP2081" s="1761" t="s">
        <v>5373</v>
      </c>
      <c r="AQ2081" s="1761" t="s">
        <v>5374</v>
      </c>
      <c r="AR2081" s="1761" t="s">
        <v>2899</v>
      </c>
      <c r="AS2081" s="1761" t="s">
        <v>349</v>
      </c>
      <c r="AT2081" s="1761" t="s">
        <v>328</v>
      </c>
      <c r="AU2081" s="1763"/>
      <c r="AV2081" s="1763"/>
    </row>
    <row r="2082" spans="1:48" ht="25">
      <c r="A2082" s="1785" t="str">
        <f t="shared" si="352"/>
        <v>פנסיה</v>
      </c>
      <c r="B2082" s="1786">
        <f t="shared" si="353"/>
        <v>2155</v>
      </c>
      <c r="C2082" s="1787">
        <v>28946</v>
      </c>
      <c r="D2082" s="1786" t="str">
        <f t="shared" si="354"/>
        <v>איילון מיטב מקיפה מסלול לבני 50 ומטה</v>
      </c>
      <c r="E2082" s="1786" t="s">
        <v>3929</v>
      </c>
      <c r="F2082" s="1786" t="s">
        <v>2958</v>
      </c>
      <c r="G2082" s="1786" t="s">
        <v>2959</v>
      </c>
      <c r="H2082" s="1786" t="str">
        <f t="shared" si="355"/>
        <v>פעיל</v>
      </c>
      <c r="I2082" s="1788">
        <f t="shared" si="356"/>
        <v>34700</v>
      </c>
      <c r="J2082" s="1788" t="str">
        <f t="shared" si="357"/>
        <v/>
      </c>
      <c r="K2082" s="1786">
        <v>0</v>
      </c>
      <c r="L2082" s="1786" t="s">
        <v>1594</v>
      </c>
      <c r="M2082" s="1786" t="s">
        <v>1653</v>
      </c>
      <c r="N2082" s="1786" t="s">
        <v>1653</v>
      </c>
      <c r="O2082" s="1786">
        <v>0</v>
      </c>
      <c r="P2082" s="1786"/>
      <c r="Q2082" s="1786">
        <v>0</v>
      </c>
      <c r="R2082" s="1788"/>
      <c r="S2082" s="1786">
        <f t="shared" si="358"/>
        <v>163</v>
      </c>
      <c r="T2082" s="1786">
        <f t="shared" si="359"/>
        <v>0</v>
      </c>
      <c r="U2082" s="1786" t="str">
        <f t="shared" si="360"/>
        <v>איילון מיטב פנסיה מקיפה</v>
      </c>
      <c r="V2082" s="1786" t="str">
        <f t="shared" si="361"/>
        <v>520043795</v>
      </c>
      <c r="W2082" s="1789" t="str">
        <f t="shared" si="362"/>
        <v>מיטב דש גמל ופנסיה בע"מ</v>
      </c>
      <c r="AC2082" s="1759" t="s">
        <v>346</v>
      </c>
      <c r="AD2082" s="1759"/>
      <c r="AE2082" s="1760">
        <v>34700</v>
      </c>
      <c r="AF2082" s="1759" t="s">
        <v>4151</v>
      </c>
      <c r="AG2082" s="1759" t="s">
        <v>3931</v>
      </c>
      <c r="AH2082" s="1759" t="s">
        <v>3658</v>
      </c>
      <c r="AI2082" s="1759" t="s">
        <v>5754</v>
      </c>
      <c r="AJ2082" s="1759" t="s">
        <v>5754</v>
      </c>
      <c r="AK2082" s="1759">
        <v>2155</v>
      </c>
      <c r="AL2082" s="1759" t="s">
        <v>5738</v>
      </c>
      <c r="AM2082" s="1759">
        <v>163</v>
      </c>
      <c r="AN2082" s="1759"/>
      <c r="AO2082" s="1764"/>
      <c r="AP2082" s="1759" t="s">
        <v>5373</v>
      </c>
      <c r="AQ2082" s="1759" t="s">
        <v>5374</v>
      </c>
      <c r="AR2082" s="1759" t="s">
        <v>2899</v>
      </c>
      <c r="AS2082" s="1759" t="s">
        <v>349</v>
      </c>
      <c r="AT2082" s="1759" t="s">
        <v>328</v>
      </c>
      <c r="AU2082" s="1763"/>
      <c r="AV2082" s="1763"/>
    </row>
    <row r="2083" spans="1:48" ht="25">
      <c r="A2083" s="1785" t="str">
        <f t="shared" si="352"/>
        <v>פנסיה</v>
      </c>
      <c r="B2083" s="1786">
        <f t="shared" si="353"/>
        <v>2155</v>
      </c>
      <c r="C2083" s="1787">
        <v>28946</v>
      </c>
      <c r="D2083" s="1786" t="str">
        <f t="shared" si="354"/>
        <v>איילון מיטב מקיפה מסלול לבני 50 ומטה</v>
      </c>
      <c r="E2083" s="1786" t="s">
        <v>3929</v>
      </c>
      <c r="F2083" s="1786" t="s">
        <v>2958</v>
      </c>
      <c r="G2083" s="1786" t="s">
        <v>2959</v>
      </c>
      <c r="H2083" s="1786" t="str">
        <f t="shared" si="355"/>
        <v>פעיל</v>
      </c>
      <c r="I2083" s="1788">
        <f t="shared" si="356"/>
        <v>34700</v>
      </c>
      <c r="J2083" s="1788" t="str">
        <f t="shared" si="357"/>
        <v/>
      </c>
      <c r="K2083" s="1786">
        <v>0</v>
      </c>
      <c r="L2083" s="1786" t="s">
        <v>1594</v>
      </c>
      <c r="M2083" s="1786" t="s">
        <v>1653</v>
      </c>
      <c r="N2083" s="1786" t="s">
        <v>1653</v>
      </c>
      <c r="O2083" s="1786">
        <v>0</v>
      </c>
      <c r="P2083" s="1786"/>
      <c r="Q2083" s="1786">
        <v>0</v>
      </c>
      <c r="R2083" s="1788"/>
      <c r="S2083" s="1786">
        <f t="shared" si="358"/>
        <v>163</v>
      </c>
      <c r="T2083" s="1786">
        <f t="shared" si="359"/>
        <v>0</v>
      </c>
      <c r="U2083" s="1786" t="str">
        <f t="shared" si="360"/>
        <v>איילון מיטב פנסיה מקיפה</v>
      </c>
      <c r="V2083" s="1786" t="str">
        <f t="shared" si="361"/>
        <v>520043795</v>
      </c>
      <c r="W2083" s="1789" t="str">
        <f t="shared" si="362"/>
        <v>מיטב דש גמל ופנסיה בע"מ</v>
      </c>
      <c r="AC2083" s="1761" t="s">
        <v>346</v>
      </c>
      <c r="AD2083" s="1761"/>
      <c r="AE2083" s="1762">
        <v>34700</v>
      </c>
      <c r="AF2083" s="1761" t="s">
        <v>4151</v>
      </c>
      <c r="AG2083" s="1761" t="s">
        <v>3931</v>
      </c>
      <c r="AH2083" s="1761" t="s">
        <v>3658</v>
      </c>
      <c r="AI2083" s="1761" t="s">
        <v>5754</v>
      </c>
      <c r="AJ2083" s="1761" t="s">
        <v>5754</v>
      </c>
      <c r="AK2083" s="1761">
        <v>2155</v>
      </c>
      <c r="AL2083" s="1761" t="s">
        <v>5738</v>
      </c>
      <c r="AM2083" s="1761">
        <v>163</v>
      </c>
      <c r="AN2083" s="1761"/>
      <c r="AO2083" s="1764"/>
      <c r="AP2083" s="1761" t="s">
        <v>5373</v>
      </c>
      <c r="AQ2083" s="1761" t="s">
        <v>5374</v>
      </c>
      <c r="AR2083" s="1761" t="s">
        <v>2899</v>
      </c>
      <c r="AS2083" s="1761" t="s">
        <v>349</v>
      </c>
      <c r="AT2083" s="1761" t="s">
        <v>328</v>
      </c>
      <c r="AU2083" s="1763"/>
      <c r="AV2083" s="1763"/>
    </row>
    <row r="2084" spans="1:48" ht="25">
      <c r="A2084" s="1785" t="str">
        <f t="shared" si="352"/>
        <v>פנסיה</v>
      </c>
      <c r="B2084" s="1786">
        <f t="shared" si="353"/>
        <v>2156</v>
      </c>
      <c r="C2084" s="1787">
        <v>28946</v>
      </c>
      <c r="D2084" s="1786" t="str">
        <f t="shared" si="354"/>
        <v>איילון מיטב מקיפה הלכה</v>
      </c>
      <c r="E2084" s="1786" t="s">
        <v>3929</v>
      </c>
      <c r="F2084" s="1786" t="s">
        <v>2958</v>
      </c>
      <c r="G2084" s="1786" t="s">
        <v>2959</v>
      </c>
      <c r="H2084" s="1786" t="str">
        <f t="shared" si="355"/>
        <v>פעיל</v>
      </c>
      <c r="I2084" s="1788">
        <f t="shared" si="356"/>
        <v>34700</v>
      </c>
      <c r="J2084" s="1788" t="str">
        <f t="shared" si="357"/>
        <v/>
      </c>
      <c r="K2084" s="1786">
        <v>0</v>
      </c>
      <c r="L2084" s="1786" t="s">
        <v>1594</v>
      </c>
      <c r="M2084" s="1786" t="s">
        <v>1653</v>
      </c>
      <c r="N2084" s="1786" t="s">
        <v>1653</v>
      </c>
      <c r="O2084" s="1786">
        <v>0</v>
      </c>
      <c r="P2084" s="1786"/>
      <c r="Q2084" s="1786">
        <v>0</v>
      </c>
      <c r="R2084" s="1788"/>
      <c r="S2084" s="1786">
        <f t="shared" si="358"/>
        <v>163</v>
      </c>
      <c r="T2084" s="1786">
        <f t="shared" si="359"/>
        <v>0</v>
      </c>
      <c r="U2084" s="1786" t="str">
        <f t="shared" si="360"/>
        <v>איילון מיטב פנסיה מקיפה</v>
      </c>
      <c r="V2084" s="1786" t="str">
        <f t="shared" si="361"/>
        <v>520043795</v>
      </c>
      <c r="W2084" s="1789" t="str">
        <f t="shared" si="362"/>
        <v>מיטב דש גמל ופנסיה בע"מ</v>
      </c>
      <c r="AC2084" s="1759" t="s">
        <v>346</v>
      </c>
      <c r="AD2084" s="1759"/>
      <c r="AE2084" s="1760">
        <v>34700</v>
      </c>
      <c r="AF2084" s="1759" t="s">
        <v>4603</v>
      </c>
      <c r="AG2084" s="1759" t="s">
        <v>2029</v>
      </c>
      <c r="AH2084" s="1759" t="s">
        <v>2028</v>
      </c>
      <c r="AI2084" s="1759" t="s">
        <v>5755</v>
      </c>
      <c r="AJ2084" s="1759" t="s">
        <v>5755</v>
      </c>
      <c r="AK2084" s="1759">
        <v>2156</v>
      </c>
      <c r="AL2084" s="1759" t="s">
        <v>5738</v>
      </c>
      <c r="AM2084" s="1759">
        <v>163</v>
      </c>
      <c r="AN2084" s="1759"/>
      <c r="AO2084" s="1764"/>
      <c r="AP2084" s="1759" t="s">
        <v>5373</v>
      </c>
      <c r="AQ2084" s="1759" t="s">
        <v>5374</v>
      </c>
      <c r="AR2084" s="1759" t="s">
        <v>2899</v>
      </c>
      <c r="AS2084" s="1759" t="s">
        <v>349</v>
      </c>
      <c r="AT2084" s="1759" t="s">
        <v>328</v>
      </c>
      <c r="AU2084" s="1763"/>
      <c r="AV2084" s="1763"/>
    </row>
    <row r="2085" spans="1:48" ht="25">
      <c r="A2085" s="1785" t="str">
        <f t="shared" si="352"/>
        <v>פנסיה</v>
      </c>
      <c r="B2085" s="1786">
        <f t="shared" si="353"/>
        <v>2156</v>
      </c>
      <c r="C2085" s="1787">
        <v>28946</v>
      </c>
      <c r="D2085" s="1786" t="str">
        <f t="shared" si="354"/>
        <v>איילון מיטב מקיפה הלכה</v>
      </c>
      <c r="E2085" s="1786" t="s">
        <v>3929</v>
      </c>
      <c r="F2085" s="1786" t="s">
        <v>2958</v>
      </c>
      <c r="G2085" s="1786" t="s">
        <v>2959</v>
      </c>
      <c r="H2085" s="1786" t="str">
        <f t="shared" si="355"/>
        <v>פעיל</v>
      </c>
      <c r="I2085" s="1788">
        <f t="shared" si="356"/>
        <v>34700</v>
      </c>
      <c r="J2085" s="1788" t="str">
        <f t="shared" si="357"/>
        <v/>
      </c>
      <c r="K2085" s="1786">
        <v>0</v>
      </c>
      <c r="L2085" s="1786" t="s">
        <v>1594</v>
      </c>
      <c r="M2085" s="1786" t="s">
        <v>1653</v>
      </c>
      <c r="N2085" s="1786" t="s">
        <v>1653</v>
      </c>
      <c r="O2085" s="1786">
        <v>0</v>
      </c>
      <c r="P2085" s="1786"/>
      <c r="Q2085" s="1786">
        <v>0</v>
      </c>
      <c r="R2085" s="1788"/>
      <c r="S2085" s="1786">
        <f t="shared" si="358"/>
        <v>163</v>
      </c>
      <c r="T2085" s="1786">
        <f t="shared" si="359"/>
        <v>0</v>
      </c>
      <c r="U2085" s="1786" t="str">
        <f t="shared" si="360"/>
        <v>איילון מיטב פנסיה מקיפה</v>
      </c>
      <c r="V2085" s="1786" t="str">
        <f t="shared" si="361"/>
        <v>520043795</v>
      </c>
      <c r="W2085" s="1789" t="str">
        <f t="shared" si="362"/>
        <v>מיטב דש גמל ופנסיה בע"מ</v>
      </c>
      <c r="AC2085" s="1761" t="s">
        <v>346</v>
      </c>
      <c r="AD2085" s="1761"/>
      <c r="AE2085" s="1762">
        <v>34700</v>
      </c>
      <c r="AF2085" s="1761" t="s">
        <v>4603</v>
      </c>
      <c r="AG2085" s="1761" t="s">
        <v>2029</v>
      </c>
      <c r="AH2085" s="1761" t="s">
        <v>2028</v>
      </c>
      <c r="AI2085" s="1761" t="s">
        <v>5755</v>
      </c>
      <c r="AJ2085" s="1761" t="s">
        <v>5755</v>
      </c>
      <c r="AK2085" s="1761">
        <v>2156</v>
      </c>
      <c r="AL2085" s="1761" t="s">
        <v>5738</v>
      </c>
      <c r="AM2085" s="1761">
        <v>163</v>
      </c>
      <c r="AN2085" s="1761"/>
      <c r="AO2085" s="1764"/>
      <c r="AP2085" s="1761" t="s">
        <v>5373</v>
      </c>
      <c r="AQ2085" s="1761" t="s">
        <v>5374</v>
      </c>
      <c r="AR2085" s="1761" t="s">
        <v>2899</v>
      </c>
      <c r="AS2085" s="1761" t="s">
        <v>349</v>
      </c>
      <c r="AT2085" s="1761" t="s">
        <v>328</v>
      </c>
      <c r="AU2085" s="1763"/>
      <c r="AV2085" s="1763"/>
    </row>
    <row r="2086" spans="1:48" ht="25">
      <c r="A2086" s="1785" t="str">
        <f t="shared" si="352"/>
        <v>פנסיה</v>
      </c>
      <c r="B2086" s="1786">
        <f t="shared" si="353"/>
        <v>2157</v>
      </c>
      <c r="C2086" s="1787">
        <v>28946</v>
      </c>
      <c r="D2086" s="1786" t="str">
        <f t="shared" si="354"/>
        <v>איילון מיטב מקיפה מסלול בסיסי למקבלי קצבה (למעט לפנסיונרים זכאים קיימים)</v>
      </c>
      <c r="E2086" s="1786" t="s">
        <v>3929</v>
      </c>
      <c r="F2086" s="1786" t="s">
        <v>2958</v>
      </c>
      <c r="G2086" s="1786" t="s">
        <v>2959</v>
      </c>
      <c r="H2086" s="1786" t="str">
        <f t="shared" si="355"/>
        <v>פעיל</v>
      </c>
      <c r="I2086" s="1788">
        <f t="shared" si="356"/>
        <v>34700</v>
      </c>
      <c r="J2086" s="1788" t="str">
        <f t="shared" si="357"/>
        <v/>
      </c>
      <c r="K2086" s="1786">
        <v>0</v>
      </c>
      <c r="L2086" s="1786" t="s">
        <v>1594</v>
      </c>
      <c r="M2086" s="1786" t="s">
        <v>1653</v>
      </c>
      <c r="N2086" s="1786" t="s">
        <v>1653</v>
      </c>
      <c r="O2086" s="1786">
        <v>0</v>
      </c>
      <c r="P2086" s="1786"/>
      <c r="Q2086" s="1786">
        <v>0</v>
      </c>
      <c r="R2086" s="1788"/>
      <c r="S2086" s="1786">
        <f t="shared" si="358"/>
        <v>163</v>
      </c>
      <c r="T2086" s="1786">
        <f t="shared" si="359"/>
        <v>0</v>
      </c>
      <c r="U2086" s="1786" t="str">
        <f t="shared" si="360"/>
        <v>איילון מיטב פנסיה מקיפה</v>
      </c>
      <c r="V2086" s="1786" t="str">
        <f t="shared" si="361"/>
        <v>520043795</v>
      </c>
      <c r="W2086" s="1789" t="str">
        <f t="shared" si="362"/>
        <v>מיטב דש גמל ופנסיה בע"מ</v>
      </c>
      <c r="AC2086" s="1759" t="s">
        <v>346</v>
      </c>
      <c r="AD2086" s="1759"/>
      <c r="AE2086" s="1760">
        <v>34700</v>
      </c>
      <c r="AF2086" s="1759" t="s">
        <v>4160</v>
      </c>
      <c r="AG2086" s="1759" t="s">
        <v>2614</v>
      </c>
      <c r="AH2086" s="1759" t="s">
        <v>3658</v>
      </c>
      <c r="AI2086" s="1759" t="s">
        <v>5739</v>
      </c>
      <c r="AJ2086" s="1759" t="s">
        <v>5739</v>
      </c>
      <c r="AK2086" s="1759">
        <v>2157</v>
      </c>
      <c r="AL2086" s="1759" t="s">
        <v>5738</v>
      </c>
      <c r="AM2086" s="1759">
        <v>163</v>
      </c>
      <c r="AN2086" s="1759"/>
      <c r="AO2086" s="1764"/>
      <c r="AP2086" s="1759" t="s">
        <v>5373</v>
      </c>
      <c r="AQ2086" s="1759" t="s">
        <v>5374</v>
      </c>
      <c r="AR2086" s="1759" t="s">
        <v>2899</v>
      </c>
      <c r="AS2086" s="1759" t="s">
        <v>349</v>
      </c>
      <c r="AT2086" s="1759" t="s">
        <v>328</v>
      </c>
      <c r="AU2086" s="1763"/>
      <c r="AV2086" s="1763"/>
    </row>
    <row r="2087" spans="1:48" ht="25">
      <c r="A2087" s="1785" t="str">
        <f t="shared" si="352"/>
        <v>פנסיה</v>
      </c>
      <c r="B2087" s="1786">
        <f t="shared" si="353"/>
        <v>9967</v>
      </c>
      <c r="C2087" s="1787">
        <v>28946</v>
      </c>
      <c r="D2087" s="1786" t="str">
        <f t="shared" si="354"/>
        <v>איילון מיטב מקיפה 50-60</v>
      </c>
      <c r="E2087" s="1786" t="s">
        <v>3929</v>
      </c>
      <c r="F2087" s="1786" t="s">
        <v>2958</v>
      </c>
      <c r="G2087" s="1786" t="s">
        <v>2959</v>
      </c>
      <c r="H2087" s="1786" t="str">
        <f t="shared" si="355"/>
        <v>פעיל</v>
      </c>
      <c r="I2087" s="1788">
        <f t="shared" si="356"/>
        <v>34700</v>
      </c>
      <c r="J2087" s="1788" t="str">
        <f t="shared" si="357"/>
        <v/>
      </c>
      <c r="K2087" s="1786">
        <v>0</v>
      </c>
      <c r="L2087" s="1786" t="s">
        <v>1594</v>
      </c>
      <c r="M2087" s="1786" t="s">
        <v>1653</v>
      </c>
      <c r="N2087" s="1786" t="s">
        <v>1653</v>
      </c>
      <c r="O2087" s="1786">
        <v>0</v>
      </c>
      <c r="P2087" s="1786"/>
      <c r="Q2087" s="1786">
        <v>0</v>
      </c>
      <c r="R2087" s="1788"/>
      <c r="S2087" s="1786">
        <f t="shared" si="358"/>
        <v>163</v>
      </c>
      <c r="T2087" s="1786">
        <f t="shared" si="359"/>
        <v>0</v>
      </c>
      <c r="U2087" s="1786" t="str">
        <f t="shared" si="360"/>
        <v>איילון מיטב פנסיה מקיפה</v>
      </c>
      <c r="V2087" s="1786" t="str">
        <f t="shared" si="361"/>
        <v>520043795</v>
      </c>
      <c r="W2087" s="1789" t="str">
        <f t="shared" si="362"/>
        <v>מיטב דש גמל ופנסיה בע"מ</v>
      </c>
      <c r="AC2087" s="1761" t="s">
        <v>346</v>
      </c>
      <c r="AD2087" s="1761"/>
      <c r="AE2087" s="1762">
        <v>34700</v>
      </c>
      <c r="AF2087" s="1761" t="s">
        <v>3932</v>
      </c>
      <c r="AG2087" s="1761" t="s">
        <v>3931</v>
      </c>
      <c r="AH2087" s="1761" t="s">
        <v>3658</v>
      </c>
      <c r="AI2087" s="1761" t="s">
        <v>5737</v>
      </c>
      <c r="AJ2087" s="1761" t="s">
        <v>5737</v>
      </c>
      <c r="AK2087" s="1761">
        <v>9967</v>
      </c>
      <c r="AL2087" s="1761" t="s">
        <v>5738</v>
      </c>
      <c r="AM2087" s="1761">
        <v>163</v>
      </c>
      <c r="AN2087" s="1761"/>
      <c r="AO2087" s="1764"/>
      <c r="AP2087" s="1761" t="s">
        <v>5373</v>
      </c>
      <c r="AQ2087" s="1761" t="s">
        <v>5374</v>
      </c>
      <c r="AR2087" s="1761" t="s">
        <v>2899</v>
      </c>
      <c r="AS2087" s="1761" t="s">
        <v>349</v>
      </c>
      <c r="AT2087" s="1761" t="s">
        <v>328</v>
      </c>
      <c r="AU2087" s="1763"/>
      <c r="AV2087" s="1763"/>
    </row>
    <row r="2088" spans="1:48" ht="37.5">
      <c r="A2088" s="1785" t="str">
        <f t="shared" si="352"/>
        <v>פנסיה</v>
      </c>
      <c r="B2088" s="1786">
        <f t="shared" si="353"/>
        <v>12145</v>
      </c>
      <c r="C2088" s="1787">
        <v>28946</v>
      </c>
      <c r="D2088" s="1786" t="str">
        <f t="shared" si="354"/>
        <v>מגדל מקפת אישית למקבלי קצבה</v>
      </c>
      <c r="E2088" s="1786" t="s">
        <v>3929</v>
      </c>
      <c r="F2088" s="1786" t="s">
        <v>2958</v>
      </c>
      <c r="G2088" s="1786" t="s">
        <v>2959</v>
      </c>
      <c r="H2088" s="1786" t="str">
        <f t="shared" si="355"/>
        <v>פעיל</v>
      </c>
      <c r="I2088" s="1788">
        <f t="shared" si="356"/>
        <v>34700</v>
      </c>
      <c r="J2088" s="1788" t="str">
        <f t="shared" si="357"/>
        <v/>
      </c>
      <c r="K2088" s="1786">
        <v>0</v>
      </c>
      <c r="L2088" s="1786" t="s">
        <v>1594</v>
      </c>
      <c r="M2088" s="1786" t="s">
        <v>1653</v>
      </c>
      <c r="N2088" s="1786" t="s">
        <v>1653</v>
      </c>
      <c r="O2088" s="1786">
        <v>0</v>
      </c>
      <c r="P2088" s="1786"/>
      <c r="Q2088" s="1786">
        <v>0</v>
      </c>
      <c r="R2088" s="1788"/>
      <c r="S2088" s="1786">
        <f t="shared" si="358"/>
        <v>162</v>
      </c>
      <c r="T2088" s="1786">
        <f t="shared" si="359"/>
        <v>0</v>
      </c>
      <c r="U2088" s="1786" t="str">
        <f t="shared" si="360"/>
        <v>מגדל מקפת אישית</v>
      </c>
      <c r="V2088" s="1786" t="str">
        <f t="shared" si="361"/>
        <v>510464803</v>
      </c>
      <c r="W2088" s="1789" t="str">
        <f t="shared" si="362"/>
        <v>מגדל מקפת קרנות פנסיה וקופות גמל בע"מ</v>
      </c>
      <c r="AC2088" s="1759" t="s">
        <v>346</v>
      </c>
      <c r="AD2088" s="1759"/>
      <c r="AE2088" s="1760">
        <v>34700</v>
      </c>
      <c r="AF2088" s="1759" t="s">
        <v>1583</v>
      </c>
      <c r="AG2088" s="1759" t="s">
        <v>1583</v>
      </c>
      <c r="AH2088" s="1759" t="s">
        <v>1583</v>
      </c>
      <c r="AI2088" s="1759" t="s">
        <v>5756</v>
      </c>
      <c r="AJ2088" s="1759" t="s">
        <v>5757</v>
      </c>
      <c r="AK2088" s="1759">
        <v>12145</v>
      </c>
      <c r="AL2088" s="1759" t="s">
        <v>3701</v>
      </c>
      <c r="AM2088" s="1759">
        <v>162</v>
      </c>
      <c r="AN2088" s="1759"/>
      <c r="AO2088" s="1764"/>
      <c r="AP2088" s="1759" t="s">
        <v>5382</v>
      </c>
      <c r="AQ2088" s="1759" t="s">
        <v>5383</v>
      </c>
      <c r="AR2088" s="1759" t="s">
        <v>394</v>
      </c>
      <c r="AS2088" s="1759" t="s">
        <v>395</v>
      </c>
      <c r="AT2088" s="1759" t="s">
        <v>328</v>
      </c>
      <c r="AU2088" s="1763"/>
      <c r="AV2088" s="1763"/>
    </row>
    <row r="2089" spans="1:48" ht="37.5">
      <c r="A2089" s="1785" t="str">
        <f t="shared" si="352"/>
        <v>פנסיה</v>
      </c>
      <c r="B2089" s="1786">
        <f t="shared" si="353"/>
        <v>2144</v>
      </c>
      <c r="C2089" s="1787">
        <v>28946</v>
      </c>
      <c r="D2089" s="1786" t="str">
        <f t="shared" si="354"/>
        <v>מגדל מקפת אישית אג"ח</v>
      </c>
      <c r="E2089" s="1786" t="s">
        <v>3929</v>
      </c>
      <c r="F2089" s="1786" t="s">
        <v>2958</v>
      </c>
      <c r="G2089" s="1786" t="s">
        <v>2959</v>
      </c>
      <c r="H2089" s="1786" t="str">
        <f t="shared" si="355"/>
        <v>פעיל</v>
      </c>
      <c r="I2089" s="1788">
        <f t="shared" si="356"/>
        <v>34700</v>
      </c>
      <c r="J2089" s="1788" t="str">
        <f t="shared" si="357"/>
        <v/>
      </c>
      <c r="K2089" s="1786">
        <v>0</v>
      </c>
      <c r="L2089" s="1786" t="s">
        <v>1594</v>
      </c>
      <c r="M2089" s="1786" t="s">
        <v>1653</v>
      </c>
      <c r="N2089" s="1786" t="s">
        <v>1653</v>
      </c>
      <c r="O2089" s="1786">
        <v>0</v>
      </c>
      <c r="P2089" s="1786"/>
      <c r="Q2089" s="1786">
        <v>0</v>
      </c>
      <c r="R2089" s="1788"/>
      <c r="S2089" s="1786">
        <f t="shared" si="358"/>
        <v>162</v>
      </c>
      <c r="T2089" s="1786">
        <f t="shared" si="359"/>
        <v>0</v>
      </c>
      <c r="U2089" s="1786" t="str">
        <f t="shared" si="360"/>
        <v>מגדל מקפת אישית</v>
      </c>
      <c r="V2089" s="1786" t="str">
        <f t="shared" si="361"/>
        <v>510464803</v>
      </c>
      <c r="W2089" s="1789" t="str">
        <f t="shared" si="362"/>
        <v>מגדל מקפת קרנות פנסיה וקופות גמל בע"מ</v>
      </c>
      <c r="AC2089" s="1761" t="s">
        <v>346</v>
      </c>
      <c r="AD2089" s="1761"/>
      <c r="AE2089" s="1762">
        <v>34700</v>
      </c>
      <c r="AF2089" s="1761" t="s">
        <v>1653</v>
      </c>
      <c r="AG2089" s="1761" t="s">
        <v>1653</v>
      </c>
      <c r="AH2089" s="1761" t="s">
        <v>1594</v>
      </c>
      <c r="AI2089" s="1761" t="s">
        <v>5758</v>
      </c>
      <c r="AJ2089" s="1761" t="s">
        <v>5759</v>
      </c>
      <c r="AK2089" s="1761">
        <v>2144</v>
      </c>
      <c r="AL2089" s="1761" t="s">
        <v>3701</v>
      </c>
      <c r="AM2089" s="1761">
        <v>162</v>
      </c>
      <c r="AN2089" s="1761"/>
      <c r="AO2089" s="1764"/>
      <c r="AP2089" s="1761" t="s">
        <v>5382</v>
      </c>
      <c r="AQ2089" s="1761" t="s">
        <v>5383</v>
      </c>
      <c r="AR2089" s="1761" t="s">
        <v>394</v>
      </c>
      <c r="AS2089" s="1761" t="s">
        <v>395</v>
      </c>
      <c r="AT2089" s="1761" t="s">
        <v>328</v>
      </c>
      <c r="AU2089" s="1763"/>
      <c r="AV2089" s="1763"/>
    </row>
    <row r="2090" spans="1:48" ht="37.5">
      <c r="A2090" s="1785" t="str">
        <f t="shared" si="352"/>
        <v>פנסיה</v>
      </c>
      <c r="B2090" s="1786">
        <f t="shared" si="353"/>
        <v>12147</v>
      </c>
      <c r="C2090" s="1787">
        <v>28946</v>
      </c>
      <c r="D2090" s="1786" t="str">
        <f t="shared" si="354"/>
        <v>מגדל מקפת אישית מניות למקבלי קצבה</v>
      </c>
      <c r="E2090" s="1786" t="s">
        <v>3929</v>
      </c>
      <c r="F2090" s="1786" t="s">
        <v>2958</v>
      </c>
      <c r="G2090" s="1786" t="s">
        <v>2959</v>
      </c>
      <c r="H2090" s="1786" t="str">
        <f t="shared" si="355"/>
        <v>פעיל</v>
      </c>
      <c r="I2090" s="1788">
        <f t="shared" si="356"/>
        <v>34700</v>
      </c>
      <c r="J2090" s="1788" t="str">
        <f t="shared" si="357"/>
        <v/>
      </c>
      <c r="K2090" s="1786">
        <v>0</v>
      </c>
      <c r="L2090" s="1786" t="s">
        <v>1594</v>
      </c>
      <c r="M2090" s="1786" t="s">
        <v>1653</v>
      </c>
      <c r="N2090" s="1786" t="s">
        <v>1653</v>
      </c>
      <c r="O2090" s="1786">
        <v>0</v>
      </c>
      <c r="P2090" s="1786"/>
      <c r="Q2090" s="1786">
        <v>0</v>
      </c>
      <c r="R2090" s="1788"/>
      <c r="S2090" s="1786">
        <f t="shared" si="358"/>
        <v>162</v>
      </c>
      <c r="T2090" s="1786">
        <f t="shared" si="359"/>
        <v>0</v>
      </c>
      <c r="U2090" s="1786" t="str">
        <f t="shared" si="360"/>
        <v>מגדל מקפת אישית</v>
      </c>
      <c r="V2090" s="1786" t="str">
        <f t="shared" si="361"/>
        <v>510464803</v>
      </c>
      <c r="W2090" s="1789" t="str">
        <f t="shared" si="362"/>
        <v>מגדל מקפת קרנות פנסיה וקופות גמל בע"מ</v>
      </c>
      <c r="AC2090" s="1759" t="s">
        <v>346</v>
      </c>
      <c r="AD2090" s="1759"/>
      <c r="AE2090" s="1760">
        <v>34700</v>
      </c>
      <c r="AF2090" s="1759" t="s">
        <v>1595</v>
      </c>
      <c r="AG2090" s="1759" t="s">
        <v>75</v>
      </c>
      <c r="AH2090" s="1759" t="s">
        <v>1594</v>
      </c>
      <c r="AI2090" s="1759" t="s">
        <v>5760</v>
      </c>
      <c r="AJ2090" s="1759" t="s">
        <v>5761</v>
      </c>
      <c r="AK2090" s="1759">
        <v>12147</v>
      </c>
      <c r="AL2090" s="1759" t="s">
        <v>3701</v>
      </c>
      <c r="AM2090" s="1759">
        <v>162</v>
      </c>
      <c r="AN2090" s="1759"/>
      <c r="AO2090" s="1764"/>
      <c r="AP2090" s="1759" t="s">
        <v>5382</v>
      </c>
      <c r="AQ2090" s="1759" t="s">
        <v>5383</v>
      </c>
      <c r="AR2090" s="1759" t="s">
        <v>394</v>
      </c>
      <c r="AS2090" s="1759" t="s">
        <v>395</v>
      </c>
      <c r="AT2090" s="1759" t="s">
        <v>328</v>
      </c>
      <c r="AU2090" s="1763"/>
      <c r="AV2090" s="1763"/>
    </row>
    <row r="2091" spans="1:48" ht="37.5">
      <c r="A2091" s="1785" t="str">
        <f t="shared" si="352"/>
        <v>פנסיה</v>
      </c>
      <c r="B2091" s="1786">
        <f t="shared" si="353"/>
        <v>12148</v>
      </c>
      <c r="C2091" s="1787">
        <v>28946</v>
      </c>
      <c r="D2091" s="1786" t="str">
        <f t="shared" si="354"/>
        <v>מגדל מקפת אישית אג"ח למקבלי קצבה</v>
      </c>
      <c r="E2091" s="1786" t="s">
        <v>3929</v>
      </c>
      <c r="F2091" s="1786" t="s">
        <v>2958</v>
      </c>
      <c r="G2091" s="1786" t="s">
        <v>2959</v>
      </c>
      <c r="H2091" s="1786" t="str">
        <f t="shared" si="355"/>
        <v>פעיל</v>
      </c>
      <c r="I2091" s="1788">
        <f t="shared" si="356"/>
        <v>34700</v>
      </c>
      <c r="J2091" s="1788" t="str">
        <f t="shared" si="357"/>
        <v/>
      </c>
      <c r="K2091" s="1786">
        <v>0</v>
      </c>
      <c r="L2091" s="1786" t="s">
        <v>1594</v>
      </c>
      <c r="M2091" s="1786" t="s">
        <v>1653</v>
      </c>
      <c r="N2091" s="1786" t="s">
        <v>1653</v>
      </c>
      <c r="O2091" s="1786">
        <v>0</v>
      </c>
      <c r="P2091" s="1786"/>
      <c r="Q2091" s="1786">
        <v>0</v>
      </c>
      <c r="R2091" s="1788"/>
      <c r="S2091" s="1786">
        <f t="shared" si="358"/>
        <v>162</v>
      </c>
      <c r="T2091" s="1786">
        <f t="shared" si="359"/>
        <v>0</v>
      </c>
      <c r="U2091" s="1786" t="str">
        <f t="shared" si="360"/>
        <v>מגדל מקפת אישית</v>
      </c>
      <c r="V2091" s="1786" t="str">
        <f t="shared" si="361"/>
        <v>510464803</v>
      </c>
      <c r="W2091" s="1789" t="str">
        <f t="shared" si="362"/>
        <v>מגדל מקפת קרנות פנסיה וקופות גמל בע"מ</v>
      </c>
      <c r="AC2091" s="1761" t="s">
        <v>346</v>
      </c>
      <c r="AD2091" s="1761"/>
      <c r="AE2091" s="1762">
        <v>34700</v>
      </c>
      <c r="AF2091" s="1761" t="s">
        <v>1653</v>
      </c>
      <c r="AG2091" s="1761" t="s">
        <v>1653</v>
      </c>
      <c r="AH2091" s="1761" t="s">
        <v>1594</v>
      </c>
      <c r="AI2091" s="1761" t="s">
        <v>5762</v>
      </c>
      <c r="AJ2091" s="1761" t="s">
        <v>5763</v>
      </c>
      <c r="AK2091" s="1761">
        <v>12148</v>
      </c>
      <c r="AL2091" s="1761" t="s">
        <v>3701</v>
      </c>
      <c r="AM2091" s="1761">
        <v>162</v>
      </c>
      <c r="AN2091" s="1761"/>
      <c r="AO2091" s="1764"/>
      <c r="AP2091" s="1761" t="s">
        <v>5382</v>
      </c>
      <c r="AQ2091" s="1761" t="s">
        <v>5383</v>
      </c>
      <c r="AR2091" s="1761" t="s">
        <v>394</v>
      </c>
      <c r="AS2091" s="1761" t="s">
        <v>395</v>
      </c>
      <c r="AT2091" s="1761" t="s">
        <v>328</v>
      </c>
      <c r="AU2091" s="1763"/>
      <c r="AV2091" s="1763"/>
    </row>
    <row r="2092" spans="1:48" ht="37.5">
      <c r="A2092" s="1785" t="str">
        <f t="shared" si="352"/>
        <v>פנסיה</v>
      </c>
      <c r="B2092" s="1786">
        <f t="shared" si="353"/>
        <v>2207</v>
      </c>
      <c r="C2092" s="1787">
        <v>28946</v>
      </c>
      <c r="D2092" s="1786" t="str">
        <f t="shared" si="354"/>
        <v>מגדל מקפת אישית  למקבלי קצבה קיימים</v>
      </c>
      <c r="E2092" s="1786" t="s">
        <v>3929</v>
      </c>
      <c r="F2092" s="1786" t="s">
        <v>2958</v>
      </c>
      <c r="G2092" s="1786" t="s">
        <v>2959</v>
      </c>
      <c r="H2092" s="1786" t="str">
        <f t="shared" si="355"/>
        <v>פעיל</v>
      </c>
      <c r="I2092" s="1788">
        <f t="shared" si="356"/>
        <v>34700</v>
      </c>
      <c r="J2092" s="1788" t="str">
        <f t="shared" si="357"/>
        <v/>
      </c>
      <c r="K2092" s="1786">
        <v>0</v>
      </c>
      <c r="L2092" s="1786" t="s">
        <v>1594</v>
      </c>
      <c r="M2092" s="1786" t="s">
        <v>1653</v>
      </c>
      <c r="N2092" s="1786" t="s">
        <v>1653</v>
      </c>
      <c r="O2092" s="1786">
        <v>0</v>
      </c>
      <c r="P2092" s="1786"/>
      <c r="Q2092" s="1786">
        <v>0</v>
      </c>
      <c r="R2092" s="1788"/>
      <c r="S2092" s="1786">
        <f t="shared" si="358"/>
        <v>162</v>
      </c>
      <c r="T2092" s="1786">
        <f t="shared" si="359"/>
        <v>0</v>
      </c>
      <c r="U2092" s="1786" t="str">
        <f t="shared" si="360"/>
        <v>מגדל מקפת אישית</v>
      </c>
      <c r="V2092" s="1786" t="str">
        <f t="shared" si="361"/>
        <v>510464803</v>
      </c>
      <c r="W2092" s="1789" t="str">
        <f t="shared" si="362"/>
        <v>מגדל מקפת קרנות פנסיה וקופות גמל בע"מ</v>
      </c>
      <c r="AC2092" s="1759" t="s">
        <v>346</v>
      </c>
      <c r="AD2092" s="1759"/>
      <c r="AE2092" s="1760">
        <v>34700</v>
      </c>
      <c r="AF2092" s="1759" t="s">
        <v>1583</v>
      </c>
      <c r="AG2092" s="1759" t="s">
        <v>1583</v>
      </c>
      <c r="AH2092" s="1759" t="s">
        <v>1583</v>
      </c>
      <c r="AI2092" s="1759" t="s">
        <v>5764</v>
      </c>
      <c r="AJ2092" s="1759" t="s">
        <v>5765</v>
      </c>
      <c r="AK2092" s="1759">
        <v>2207</v>
      </c>
      <c r="AL2092" s="1759" t="s">
        <v>3701</v>
      </c>
      <c r="AM2092" s="1759">
        <v>162</v>
      </c>
      <c r="AN2092" s="1759"/>
      <c r="AO2092" s="1764"/>
      <c r="AP2092" s="1759" t="s">
        <v>5382</v>
      </c>
      <c r="AQ2092" s="1759" t="s">
        <v>5383</v>
      </c>
      <c r="AR2092" s="1759" t="s">
        <v>394</v>
      </c>
      <c r="AS2092" s="1759" t="s">
        <v>395</v>
      </c>
      <c r="AT2092" s="1759" t="s">
        <v>328</v>
      </c>
      <c r="AU2092" s="1763"/>
      <c r="AV2092" s="1763"/>
    </row>
    <row r="2093" spans="1:48" ht="37.5">
      <c r="A2093" s="1785" t="str">
        <f t="shared" si="352"/>
        <v>פנסיה</v>
      </c>
      <c r="B2093" s="1786">
        <f t="shared" si="353"/>
        <v>8602</v>
      </c>
      <c r="C2093" s="1787">
        <v>28946</v>
      </c>
      <c r="D2093" s="1786" t="str">
        <f t="shared" si="354"/>
        <v>מגדל מקפת אישית לזכאים קיימים לקצבה</v>
      </c>
      <c r="E2093" s="1786" t="s">
        <v>3929</v>
      </c>
      <c r="F2093" s="1786" t="s">
        <v>2958</v>
      </c>
      <c r="G2093" s="1786" t="s">
        <v>2959</v>
      </c>
      <c r="H2093" s="1786" t="str">
        <f t="shared" si="355"/>
        <v>פעיל</v>
      </c>
      <c r="I2093" s="1788">
        <f t="shared" si="356"/>
        <v>34700</v>
      </c>
      <c r="J2093" s="1788" t="str">
        <f t="shared" si="357"/>
        <v/>
      </c>
      <c r="K2093" s="1786">
        <v>0</v>
      </c>
      <c r="L2093" s="1786" t="s">
        <v>1594</v>
      </c>
      <c r="M2093" s="1786" t="s">
        <v>1653</v>
      </c>
      <c r="N2093" s="1786" t="s">
        <v>1653</v>
      </c>
      <c r="O2093" s="1786">
        <v>0</v>
      </c>
      <c r="P2093" s="1786"/>
      <c r="Q2093" s="1786">
        <v>0</v>
      </c>
      <c r="R2093" s="1788"/>
      <c r="S2093" s="1786">
        <f t="shared" si="358"/>
        <v>162</v>
      </c>
      <c r="T2093" s="1786">
        <f t="shared" si="359"/>
        <v>0</v>
      </c>
      <c r="U2093" s="1786" t="str">
        <f t="shared" si="360"/>
        <v>מגדל מקפת אישית</v>
      </c>
      <c r="V2093" s="1786" t="str">
        <f t="shared" si="361"/>
        <v>510464803</v>
      </c>
      <c r="W2093" s="1789" t="str">
        <f t="shared" si="362"/>
        <v>מגדל מקפת קרנות פנסיה וקופות גמל בע"מ</v>
      </c>
      <c r="AC2093" s="1761" t="s">
        <v>346</v>
      </c>
      <c r="AD2093" s="1761"/>
      <c r="AE2093" s="1762">
        <v>34700</v>
      </c>
      <c r="AF2093" s="1761" t="s">
        <v>1583</v>
      </c>
      <c r="AG2093" s="1761" t="s">
        <v>1583</v>
      </c>
      <c r="AH2093" s="1761" t="s">
        <v>1583</v>
      </c>
      <c r="AI2093" s="1761" t="s">
        <v>5766</v>
      </c>
      <c r="AJ2093" s="1761" t="s">
        <v>5767</v>
      </c>
      <c r="AK2093" s="1761">
        <v>8602</v>
      </c>
      <c r="AL2093" s="1761" t="s">
        <v>3701</v>
      </c>
      <c r="AM2093" s="1761">
        <v>162</v>
      </c>
      <c r="AN2093" s="1761"/>
      <c r="AO2093" s="1764"/>
      <c r="AP2093" s="1761" t="s">
        <v>5382</v>
      </c>
      <c r="AQ2093" s="1761" t="s">
        <v>5383</v>
      </c>
      <c r="AR2093" s="1761" t="s">
        <v>394</v>
      </c>
      <c r="AS2093" s="1761" t="s">
        <v>395</v>
      </c>
      <c r="AT2093" s="1761" t="s">
        <v>328</v>
      </c>
      <c r="AU2093" s="1763"/>
      <c r="AV2093" s="1763"/>
    </row>
    <row r="2094" spans="1:48" ht="37.5">
      <c r="A2094" s="1785" t="str">
        <f t="shared" si="352"/>
        <v>פנסיה</v>
      </c>
      <c r="B2094" s="1786">
        <f t="shared" si="353"/>
        <v>8603</v>
      </c>
      <c r="C2094" s="1787">
        <v>28946</v>
      </c>
      <c r="D2094" s="1786" t="str">
        <f t="shared" si="354"/>
        <v xml:space="preserve">מגדל מקפת אישית הלכה למקבלי קצבה קיימים </v>
      </c>
      <c r="E2094" s="1786" t="s">
        <v>3929</v>
      </c>
      <c r="F2094" s="1786" t="s">
        <v>2958</v>
      </c>
      <c r="G2094" s="1786" t="s">
        <v>2959</v>
      </c>
      <c r="H2094" s="1786" t="str">
        <f t="shared" si="355"/>
        <v>פעיל</v>
      </c>
      <c r="I2094" s="1788">
        <f t="shared" si="356"/>
        <v>34700</v>
      </c>
      <c r="J2094" s="1788" t="str">
        <f t="shared" si="357"/>
        <v/>
      </c>
      <c r="K2094" s="1786">
        <v>0</v>
      </c>
      <c r="L2094" s="1786" t="s">
        <v>1594</v>
      </c>
      <c r="M2094" s="1786" t="s">
        <v>1653</v>
      </c>
      <c r="N2094" s="1786" t="s">
        <v>1653</v>
      </c>
      <c r="O2094" s="1786">
        <v>0</v>
      </c>
      <c r="P2094" s="1786"/>
      <c r="Q2094" s="1786">
        <v>0</v>
      </c>
      <c r="R2094" s="1788"/>
      <c r="S2094" s="1786">
        <f t="shared" si="358"/>
        <v>162</v>
      </c>
      <c r="T2094" s="1786">
        <f t="shared" si="359"/>
        <v>0</v>
      </c>
      <c r="U2094" s="1786" t="str">
        <f t="shared" si="360"/>
        <v>מגדל מקפת אישית</v>
      </c>
      <c r="V2094" s="1786" t="str">
        <f t="shared" si="361"/>
        <v>510464803</v>
      </c>
      <c r="W2094" s="1789" t="str">
        <f t="shared" si="362"/>
        <v>מגדל מקפת קרנות פנסיה וקופות גמל בע"מ</v>
      </c>
      <c r="AC2094" s="1759" t="s">
        <v>346</v>
      </c>
      <c r="AD2094" s="1759"/>
      <c r="AE2094" s="1760">
        <v>34700</v>
      </c>
      <c r="AF2094" s="1759" t="s">
        <v>4603</v>
      </c>
      <c r="AG2094" s="1759" t="s">
        <v>2029</v>
      </c>
      <c r="AH2094" s="1759" t="s">
        <v>2028</v>
      </c>
      <c r="AI2094" s="1759" t="s">
        <v>5768</v>
      </c>
      <c r="AJ2094" s="1759" t="s">
        <v>5769</v>
      </c>
      <c r="AK2094" s="1759">
        <v>8603</v>
      </c>
      <c r="AL2094" s="1759" t="s">
        <v>3701</v>
      </c>
      <c r="AM2094" s="1759">
        <v>162</v>
      </c>
      <c r="AN2094" s="1759"/>
      <c r="AO2094" s="1764"/>
      <c r="AP2094" s="1759" t="s">
        <v>5382</v>
      </c>
      <c r="AQ2094" s="1759" t="s">
        <v>5383</v>
      </c>
      <c r="AR2094" s="1759" t="s">
        <v>394</v>
      </c>
      <c r="AS2094" s="1759" t="s">
        <v>395</v>
      </c>
      <c r="AT2094" s="1759" t="s">
        <v>328</v>
      </c>
      <c r="AU2094" s="1763"/>
      <c r="AV2094" s="1763"/>
    </row>
    <row r="2095" spans="1:48" ht="37.5">
      <c r="A2095" s="1785" t="str">
        <f t="shared" si="352"/>
        <v>פנסיה</v>
      </c>
      <c r="B2095" s="1786">
        <f t="shared" si="353"/>
        <v>8801</v>
      </c>
      <c r="C2095" s="1787">
        <v>28946</v>
      </c>
      <c r="D2095" s="1786" t="str">
        <f t="shared" si="354"/>
        <v>מגדל מקפת אישית לבני 50 ומטה</v>
      </c>
      <c r="E2095" s="1786" t="s">
        <v>3929</v>
      </c>
      <c r="F2095" s="1786" t="s">
        <v>2958</v>
      </c>
      <c r="G2095" s="1786" t="s">
        <v>2959</v>
      </c>
      <c r="H2095" s="1786" t="str">
        <f t="shared" si="355"/>
        <v>פעיל</v>
      </c>
      <c r="I2095" s="1788">
        <f t="shared" si="356"/>
        <v>34700</v>
      </c>
      <c r="J2095" s="1788" t="str">
        <f t="shared" si="357"/>
        <v/>
      </c>
      <c r="K2095" s="1786">
        <v>0</v>
      </c>
      <c r="L2095" s="1786" t="s">
        <v>1594</v>
      </c>
      <c r="M2095" s="1786" t="s">
        <v>1653</v>
      </c>
      <c r="N2095" s="1786" t="s">
        <v>1653</v>
      </c>
      <c r="O2095" s="1786">
        <v>0</v>
      </c>
      <c r="P2095" s="1786"/>
      <c r="Q2095" s="1786">
        <v>0</v>
      </c>
      <c r="R2095" s="1788"/>
      <c r="S2095" s="1786">
        <f t="shared" si="358"/>
        <v>162</v>
      </c>
      <c r="T2095" s="1786">
        <f t="shared" si="359"/>
        <v>0</v>
      </c>
      <c r="U2095" s="1786" t="str">
        <f t="shared" si="360"/>
        <v>מגדל מקפת אישית</v>
      </c>
      <c r="V2095" s="1786" t="str">
        <f t="shared" si="361"/>
        <v>510464803</v>
      </c>
      <c r="W2095" s="1789" t="str">
        <f t="shared" si="362"/>
        <v>מגדל מקפת קרנות פנסיה וקופות גמל בע"מ</v>
      </c>
      <c r="AC2095" s="1761" t="s">
        <v>346</v>
      </c>
      <c r="AD2095" s="1761"/>
      <c r="AE2095" s="1762">
        <v>34700</v>
      </c>
      <c r="AF2095" s="1761" t="s">
        <v>70</v>
      </c>
      <c r="AG2095" s="1761" t="s">
        <v>70</v>
      </c>
      <c r="AH2095" s="1761" t="s">
        <v>3658</v>
      </c>
      <c r="AI2095" s="1761" t="s">
        <v>5770</v>
      </c>
      <c r="AJ2095" s="1761" t="s">
        <v>5771</v>
      </c>
      <c r="AK2095" s="1761">
        <v>8801</v>
      </c>
      <c r="AL2095" s="1761" t="s">
        <v>3701</v>
      </c>
      <c r="AM2095" s="1761">
        <v>162</v>
      </c>
      <c r="AN2095" s="1761"/>
      <c r="AO2095" s="1764"/>
      <c r="AP2095" s="1761" t="s">
        <v>5382</v>
      </c>
      <c r="AQ2095" s="1761" t="s">
        <v>5383</v>
      </c>
      <c r="AR2095" s="1761" t="s">
        <v>394</v>
      </c>
      <c r="AS2095" s="1761" t="s">
        <v>395</v>
      </c>
      <c r="AT2095" s="1761" t="s">
        <v>328</v>
      </c>
      <c r="AU2095" s="1763"/>
      <c r="AV2095" s="1763"/>
    </row>
    <row r="2096" spans="1:48" ht="37.5">
      <c r="A2096" s="1785" t="str">
        <f t="shared" si="352"/>
        <v>פנסיה</v>
      </c>
      <c r="B2096" s="1786">
        <f t="shared" si="353"/>
        <v>8802</v>
      </c>
      <c r="C2096" s="1787">
        <v>28946</v>
      </c>
      <c r="D2096" s="1786" t="str">
        <f t="shared" si="354"/>
        <v>מגדל מקפת אישית לבני 50 עד 60</v>
      </c>
      <c r="E2096" s="1786" t="s">
        <v>3929</v>
      </c>
      <c r="F2096" s="1786" t="s">
        <v>2958</v>
      </c>
      <c r="G2096" s="1786" t="s">
        <v>2959</v>
      </c>
      <c r="H2096" s="1786" t="str">
        <f t="shared" si="355"/>
        <v>פעיל</v>
      </c>
      <c r="I2096" s="1788">
        <f t="shared" si="356"/>
        <v>34700</v>
      </c>
      <c r="J2096" s="1788" t="str">
        <f t="shared" si="357"/>
        <v/>
      </c>
      <c r="K2096" s="1786">
        <v>0</v>
      </c>
      <c r="L2096" s="1786" t="s">
        <v>1594</v>
      </c>
      <c r="M2096" s="1786" t="s">
        <v>1653</v>
      </c>
      <c r="N2096" s="1786" t="s">
        <v>1653</v>
      </c>
      <c r="O2096" s="1786">
        <v>0</v>
      </c>
      <c r="P2096" s="1786"/>
      <c r="Q2096" s="1786">
        <v>0</v>
      </c>
      <c r="R2096" s="1788"/>
      <c r="S2096" s="1786">
        <f t="shared" si="358"/>
        <v>162</v>
      </c>
      <c r="T2096" s="1786">
        <f t="shared" si="359"/>
        <v>0</v>
      </c>
      <c r="U2096" s="1786" t="str">
        <f t="shared" si="360"/>
        <v>מגדל מקפת אישית</v>
      </c>
      <c r="V2096" s="1786" t="str">
        <f t="shared" si="361"/>
        <v>510464803</v>
      </c>
      <c r="W2096" s="1789" t="str">
        <f t="shared" si="362"/>
        <v>מגדל מקפת קרנות פנסיה וקופות גמל בע"מ</v>
      </c>
      <c r="AC2096" s="1759" t="s">
        <v>346</v>
      </c>
      <c r="AD2096" s="1759"/>
      <c r="AE2096" s="1760">
        <v>34700</v>
      </c>
      <c r="AF2096" s="1759" t="s">
        <v>70</v>
      </c>
      <c r="AG2096" s="1759" t="s">
        <v>70</v>
      </c>
      <c r="AH2096" s="1759" t="s">
        <v>3658</v>
      </c>
      <c r="AI2096" s="1759" t="s">
        <v>5772</v>
      </c>
      <c r="AJ2096" s="1759" t="s">
        <v>5773</v>
      </c>
      <c r="AK2096" s="1759">
        <v>8802</v>
      </c>
      <c r="AL2096" s="1759" t="s">
        <v>3701</v>
      </c>
      <c r="AM2096" s="1759">
        <v>162</v>
      </c>
      <c r="AN2096" s="1759"/>
      <c r="AO2096" s="1764"/>
      <c r="AP2096" s="1759" t="s">
        <v>5382</v>
      </c>
      <c r="AQ2096" s="1759" t="s">
        <v>5383</v>
      </c>
      <c r="AR2096" s="1759" t="s">
        <v>394</v>
      </c>
      <c r="AS2096" s="1759" t="s">
        <v>395</v>
      </c>
      <c r="AT2096" s="1759" t="s">
        <v>328</v>
      </c>
      <c r="AU2096" s="1763"/>
      <c r="AV2096" s="1763"/>
    </row>
    <row r="2097" spans="1:48" ht="37.5">
      <c r="A2097" s="1785" t="str">
        <f t="shared" si="352"/>
        <v>פנסיה</v>
      </c>
      <c r="B2097" s="1786">
        <f t="shared" si="353"/>
        <v>8803</v>
      </c>
      <c r="C2097" s="1787">
        <v>28946</v>
      </c>
      <c r="D2097" s="1786" t="str">
        <f t="shared" si="354"/>
        <v>מגדל מקפת אישית לבני 60 ומעלה</v>
      </c>
      <c r="E2097" s="1786" t="s">
        <v>3929</v>
      </c>
      <c r="F2097" s="1786" t="s">
        <v>2958</v>
      </c>
      <c r="G2097" s="1786" t="s">
        <v>2959</v>
      </c>
      <c r="H2097" s="1786" t="str">
        <f t="shared" si="355"/>
        <v>פעיל</v>
      </c>
      <c r="I2097" s="1788">
        <f t="shared" si="356"/>
        <v>34700</v>
      </c>
      <c r="J2097" s="1788" t="str">
        <f t="shared" si="357"/>
        <v/>
      </c>
      <c r="K2097" s="1786">
        <v>0</v>
      </c>
      <c r="L2097" s="1786" t="s">
        <v>1594</v>
      </c>
      <c r="M2097" s="1786" t="s">
        <v>1653</v>
      </c>
      <c r="N2097" s="1786" t="s">
        <v>1653</v>
      </c>
      <c r="O2097" s="1786">
        <v>0</v>
      </c>
      <c r="P2097" s="1786"/>
      <c r="Q2097" s="1786">
        <v>0</v>
      </c>
      <c r="R2097" s="1788"/>
      <c r="S2097" s="1786">
        <f t="shared" si="358"/>
        <v>162</v>
      </c>
      <c r="T2097" s="1786">
        <f t="shared" si="359"/>
        <v>0</v>
      </c>
      <c r="U2097" s="1786" t="str">
        <f t="shared" si="360"/>
        <v>מגדל מקפת אישית</v>
      </c>
      <c r="V2097" s="1786" t="str">
        <f t="shared" si="361"/>
        <v>510464803</v>
      </c>
      <c r="W2097" s="1789" t="str">
        <f t="shared" si="362"/>
        <v>מגדל מקפת קרנות פנסיה וקופות גמל בע"מ</v>
      </c>
      <c r="AC2097" s="1761" t="s">
        <v>346</v>
      </c>
      <c r="AD2097" s="1761"/>
      <c r="AE2097" s="1762">
        <v>34700</v>
      </c>
      <c r="AF2097" s="1761" t="s">
        <v>70</v>
      </c>
      <c r="AG2097" s="1761" t="s">
        <v>70</v>
      </c>
      <c r="AH2097" s="1761" t="s">
        <v>3658</v>
      </c>
      <c r="AI2097" s="1761" t="s">
        <v>5774</v>
      </c>
      <c r="AJ2097" s="1761" t="s">
        <v>5775</v>
      </c>
      <c r="AK2097" s="1761">
        <v>8803</v>
      </c>
      <c r="AL2097" s="1761" t="s">
        <v>3701</v>
      </c>
      <c r="AM2097" s="1761">
        <v>162</v>
      </c>
      <c r="AN2097" s="1761"/>
      <c r="AO2097" s="1764"/>
      <c r="AP2097" s="1761" t="s">
        <v>5382</v>
      </c>
      <c r="AQ2097" s="1761" t="s">
        <v>5383</v>
      </c>
      <c r="AR2097" s="1761" t="s">
        <v>394</v>
      </c>
      <c r="AS2097" s="1761" t="s">
        <v>395</v>
      </c>
      <c r="AT2097" s="1761" t="s">
        <v>328</v>
      </c>
      <c r="AU2097" s="1763"/>
      <c r="AV2097" s="1763"/>
    </row>
    <row r="2098" spans="1:48" ht="37.5">
      <c r="A2098" s="1785" t="str">
        <f t="shared" si="352"/>
        <v>פנסיה</v>
      </c>
      <c r="B2098" s="1786">
        <f t="shared" si="353"/>
        <v>2102</v>
      </c>
      <c r="C2098" s="1787">
        <v>28946</v>
      </c>
      <c r="D2098" s="1786" t="str">
        <f t="shared" si="354"/>
        <v>מגדל מקפת אישית כללי</v>
      </c>
      <c r="E2098" s="1786" t="s">
        <v>3929</v>
      </c>
      <c r="F2098" s="1786" t="s">
        <v>2958</v>
      </c>
      <c r="G2098" s="1786" t="s">
        <v>2959</v>
      </c>
      <c r="H2098" s="1786" t="str">
        <f t="shared" si="355"/>
        <v>פעיל</v>
      </c>
      <c r="I2098" s="1788">
        <f t="shared" si="356"/>
        <v>34700</v>
      </c>
      <c r="J2098" s="1788" t="str">
        <f t="shared" si="357"/>
        <v/>
      </c>
      <c r="K2098" s="1786">
        <v>0</v>
      </c>
      <c r="L2098" s="1786" t="s">
        <v>1594</v>
      </c>
      <c r="M2098" s="1786" t="s">
        <v>1653</v>
      </c>
      <c r="N2098" s="1786" t="s">
        <v>1653</v>
      </c>
      <c r="O2098" s="1786">
        <v>0</v>
      </c>
      <c r="P2098" s="1786"/>
      <c r="Q2098" s="1786">
        <v>0</v>
      </c>
      <c r="R2098" s="1788"/>
      <c r="S2098" s="1786">
        <f t="shared" si="358"/>
        <v>162</v>
      </c>
      <c r="T2098" s="1786">
        <f t="shared" si="359"/>
        <v>0</v>
      </c>
      <c r="U2098" s="1786" t="str">
        <f t="shared" si="360"/>
        <v>מגדל מקפת אישית</v>
      </c>
      <c r="V2098" s="1786" t="str">
        <f t="shared" si="361"/>
        <v>510464803</v>
      </c>
      <c r="W2098" s="1789" t="str">
        <f t="shared" si="362"/>
        <v>מגדל מקפת קרנות פנסיה וקופות גמל בע"מ</v>
      </c>
      <c r="AC2098" s="1759" t="s">
        <v>346</v>
      </c>
      <c r="AD2098" s="1759"/>
      <c r="AE2098" s="1760">
        <v>34700</v>
      </c>
      <c r="AF2098" s="1759" t="s">
        <v>1583</v>
      </c>
      <c r="AG2098" s="1759" t="s">
        <v>1583</v>
      </c>
      <c r="AH2098" s="1759" t="s">
        <v>1583</v>
      </c>
      <c r="AI2098" s="1759" t="s">
        <v>5776</v>
      </c>
      <c r="AJ2098" s="1759" t="s">
        <v>5777</v>
      </c>
      <c r="AK2098" s="1759">
        <v>2102</v>
      </c>
      <c r="AL2098" s="1759" t="s">
        <v>3701</v>
      </c>
      <c r="AM2098" s="1759">
        <v>162</v>
      </c>
      <c r="AN2098" s="1759"/>
      <c r="AO2098" s="1764"/>
      <c r="AP2098" s="1759" t="s">
        <v>5382</v>
      </c>
      <c r="AQ2098" s="1759" t="s">
        <v>5383</v>
      </c>
      <c r="AR2098" s="1759" t="s">
        <v>394</v>
      </c>
      <c r="AS2098" s="1759" t="s">
        <v>395</v>
      </c>
      <c r="AT2098" s="1759" t="s">
        <v>328</v>
      </c>
      <c r="AU2098" s="1763"/>
      <c r="AV2098" s="1763"/>
    </row>
    <row r="2099" spans="1:48" ht="37.5">
      <c r="A2099" s="1785" t="str">
        <f t="shared" si="352"/>
        <v>פנסיה</v>
      </c>
      <c r="B2099" s="1786">
        <f t="shared" si="353"/>
        <v>2112</v>
      </c>
      <c r="C2099" s="1787">
        <v>28946</v>
      </c>
      <c r="D2099" s="1786" t="str">
        <f t="shared" si="354"/>
        <v>מגדל מקפת אישית הלכה</v>
      </c>
      <c r="E2099" s="1786" t="s">
        <v>3929</v>
      </c>
      <c r="F2099" s="1786" t="s">
        <v>2958</v>
      </c>
      <c r="G2099" s="1786" t="s">
        <v>2959</v>
      </c>
      <c r="H2099" s="1786" t="str">
        <f t="shared" si="355"/>
        <v>פעיל</v>
      </c>
      <c r="I2099" s="1788">
        <f t="shared" si="356"/>
        <v>34700</v>
      </c>
      <c r="J2099" s="1788" t="str">
        <f t="shared" si="357"/>
        <v/>
      </c>
      <c r="K2099" s="1786">
        <v>0</v>
      </c>
      <c r="L2099" s="1786" t="s">
        <v>1594</v>
      </c>
      <c r="M2099" s="1786" t="s">
        <v>1653</v>
      </c>
      <c r="N2099" s="1786" t="s">
        <v>1653</v>
      </c>
      <c r="O2099" s="1786">
        <v>0</v>
      </c>
      <c r="P2099" s="1786"/>
      <c r="Q2099" s="1786">
        <v>0</v>
      </c>
      <c r="R2099" s="1788"/>
      <c r="S2099" s="1786">
        <f t="shared" si="358"/>
        <v>162</v>
      </c>
      <c r="T2099" s="1786">
        <f t="shared" si="359"/>
        <v>0</v>
      </c>
      <c r="U2099" s="1786" t="str">
        <f t="shared" si="360"/>
        <v>מגדל מקפת אישית</v>
      </c>
      <c r="V2099" s="1786" t="str">
        <f t="shared" si="361"/>
        <v>510464803</v>
      </c>
      <c r="W2099" s="1789" t="str">
        <f t="shared" si="362"/>
        <v>מגדל מקפת קרנות פנסיה וקופות גמל בע"מ</v>
      </c>
      <c r="AC2099" s="1761" t="s">
        <v>346</v>
      </c>
      <c r="AD2099" s="1761"/>
      <c r="AE2099" s="1762">
        <v>34700</v>
      </c>
      <c r="AF2099" s="1761" t="s">
        <v>4603</v>
      </c>
      <c r="AG2099" s="1761" t="s">
        <v>2029</v>
      </c>
      <c r="AH2099" s="1761" t="s">
        <v>2028</v>
      </c>
      <c r="AI2099" s="1761" t="s">
        <v>5778</v>
      </c>
      <c r="AJ2099" s="1761" t="s">
        <v>5779</v>
      </c>
      <c r="AK2099" s="1761">
        <v>2112</v>
      </c>
      <c r="AL2099" s="1761" t="s">
        <v>3701</v>
      </c>
      <c r="AM2099" s="1761">
        <v>162</v>
      </c>
      <c r="AN2099" s="1761"/>
      <c r="AO2099" s="1764"/>
      <c r="AP2099" s="1761" t="s">
        <v>5382</v>
      </c>
      <c r="AQ2099" s="1761" t="s">
        <v>5383</v>
      </c>
      <c r="AR2099" s="1761" t="s">
        <v>394</v>
      </c>
      <c r="AS2099" s="1761" t="s">
        <v>395</v>
      </c>
      <c r="AT2099" s="1761" t="s">
        <v>328</v>
      </c>
      <c r="AU2099" s="1763"/>
      <c r="AV2099" s="1763"/>
    </row>
    <row r="2100" spans="1:48" ht="37.5">
      <c r="A2100" s="1785" t="str">
        <f t="shared" si="352"/>
        <v>פנסיה</v>
      </c>
      <c r="B2100" s="1786">
        <f t="shared" si="353"/>
        <v>2142</v>
      </c>
      <c r="C2100" s="1787">
        <v>28946</v>
      </c>
      <c r="D2100" s="1786" t="str">
        <f t="shared" si="354"/>
        <v>מגדל מקפת אישית מניות</v>
      </c>
      <c r="E2100" s="1786" t="s">
        <v>3929</v>
      </c>
      <c r="F2100" s="1786" t="s">
        <v>2958</v>
      </c>
      <c r="G2100" s="1786" t="s">
        <v>2959</v>
      </c>
      <c r="H2100" s="1786" t="str">
        <f t="shared" si="355"/>
        <v>פעיל</v>
      </c>
      <c r="I2100" s="1788">
        <f t="shared" si="356"/>
        <v>34700</v>
      </c>
      <c r="J2100" s="1788" t="str">
        <f t="shared" si="357"/>
        <v/>
      </c>
      <c r="K2100" s="1786">
        <v>0</v>
      </c>
      <c r="L2100" s="1786" t="s">
        <v>1594</v>
      </c>
      <c r="M2100" s="1786" t="s">
        <v>1653</v>
      </c>
      <c r="N2100" s="1786" t="s">
        <v>1653</v>
      </c>
      <c r="O2100" s="1786">
        <v>0</v>
      </c>
      <c r="P2100" s="1786"/>
      <c r="Q2100" s="1786">
        <v>0</v>
      </c>
      <c r="R2100" s="1788"/>
      <c r="S2100" s="1786">
        <f t="shared" si="358"/>
        <v>162</v>
      </c>
      <c r="T2100" s="1786">
        <f t="shared" si="359"/>
        <v>0</v>
      </c>
      <c r="U2100" s="1786" t="str">
        <f t="shared" si="360"/>
        <v>מגדל מקפת אישית</v>
      </c>
      <c r="V2100" s="1786" t="str">
        <f t="shared" si="361"/>
        <v>510464803</v>
      </c>
      <c r="W2100" s="1789" t="str">
        <f t="shared" si="362"/>
        <v>מגדל מקפת קרנות פנסיה וקופות גמל בע"מ</v>
      </c>
      <c r="AC2100" s="1759" t="s">
        <v>346</v>
      </c>
      <c r="AD2100" s="1759"/>
      <c r="AE2100" s="1760">
        <v>34700</v>
      </c>
      <c r="AF2100" s="1759" t="s">
        <v>1595</v>
      </c>
      <c r="AG2100" s="1759" t="s">
        <v>75</v>
      </c>
      <c r="AH2100" s="1759" t="s">
        <v>1594</v>
      </c>
      <c r="AI2100" s="1759" t="s">
        <v>5780</v>
      </c>
      <c r="AJ2100" s="1759" t="s">
        <v>5781</v>
      </c>
      <c r="AK2100" s="1759">
        <v>2142</v>
      </c>
      <c r="AL2100" s="1759" t="s">
        <v>3701</v>
      </c>
      <c r="AM2100" s="1759">
        <v>162</v>
      </c>
      <c r="AN2100" s="1759"/>
      <c r="AO2100" s="1764"/>
      <c r="AP2100" s="1759" t="s">
        <v>5382</v>
      </c>
      <c r="AQ2100" s="1759" t="s">
        <v>5383</v>
      </c>
      <c r="AR2100" s="1759" t="s">
        <v>394</v>
      </c>
      <c r="AS2100" s="1759" t="s">
        <v>395</v>
      </c>
      <c r="AT2100" s="1759" t="s">
        <v>328</v>
      </c>
      <c r="AU2100" s="1763"/>
      <c r="AV2100" s="1763"/>
    </row>
    <row r="2101" spans="1:48" ht="37.5">
      <c r="A2101" s="1785" t="str">
        <f t="shared" si="352"/>
        <v>פנסיה</v>
      </c>
      <c r="B2101" s="1786">
        <f t="shared" si="353"/>
        <v>2143</v>
      </c>
      <c r="C2101" s="1787">
        <v>28946</v>
      </c>
      <c r="D2101" s="1786" t="str">
        <f t="shared" si="354"/>
        <v>מגדל מקפת אישית שקלי טווח קצר</v>
      </c>
      <c r="E2101" s="1786" t="s">
        <v>3929</v>
      </c>
      <c r="F2101" s="1786" t="s">
        <v>2958</v>
      </c>
      <c r="G2101" s="1786" t="s">
        <v>2959</v>
      </c>
      <c r="H2101" s="1786" t="str">
        <f t="shared" si="355"/>
        <v>פעיל</v>
      </c>
      <c r="I2101" s="1788">
        <f t="shared" si="356"/>
        <v>34700</v>
      </c>
      <c r="J2101" s="1788" t="str">
        <f t="shared" si="357"/>
        <v/>
      </c>
      <c r="K2101" s="1786">
        <v>0</v>
      </c>
      <c r="L2101" s="1786" t="s">
        <v>1594</v>
      </c>
      <c r="M2101" s="1786" t="s">
        <v>1653</v>
      </c>
      <c r="N2101" s="1786" t="s">
        <v>1653</v>
      </c>
      <c r="O2101" s="1786">
        <v>0</v>
      </c>
      <c r="P2101" s="1786"/>
      <c r="Q2101" s="1786">
        <v>0</v>
      </c>
      <c r="R2101" s="1788"/>
      <c r="S2101" s="1786">
        <f t="shared" si="358"/>
        <v>162</v>
      </c>
      <c r="T2101" s="1786">
        <f t="shared" si="359"/>
        <v>0</v>
      </c>
      <c r="U2101" s="1786" t="str">
        <f t="shared" si="360"/>
        <v>מגדל מקפת אישית</v>
      </c>
      <c r="V2101" s="1786" t="str">
        <f t="shared" si="361"/>
        <v>510464803</v>
      </c>
      <c r="W2101" s="1789" t="str">
        <f t="shared" si="362"/>
        <v>מגדל מקפת קרנות פנסיה וקופות גמל בע"מ</v>
      </c>
      <c r="AC2101" s="1761" t="s">
        <v>346</v>
      </c>
      <c r="AD2101" s="1761"/>
      <c r="AE2101" s="1762">
        <v>34700</v>
      </c>
      <c r="AF2101" s="1761" t="s">
        <v>1673</v>
      </c>
      <c r="AG2101" s="1761" t="s">
        <v>1614</v>
      </c>
      <c r="AH2101" s="1761" t="s">
        <v>1594</v>
      </c>
      <c r="AI2101" s="1761" t="s">
        <v>5782</v>
      </c>
      <c r="AJ2101" s="1761" t="s">
        <v>5783</v>
      </c>
      <c r="AK2101" s="1761">
        <v>2143</v>
      </c>
      <c r="AL2101" s="1761" t="s">
        <v>3701</v>
      </c>
      <c r="AM2101" s="1761">
        <v>162</v>
      </c>
      <c r="AN2101" s="1761"/>
      <c r="AO2101" s="1764"/>
      <c r="AP2101" s="1761" t="s">
        <v>5382</v>
      </c>
      <c r="AQ2101" s="1761" t="s">
        <v>5383</v>
      </c>
      <c r="AR2101" s="1761" t="s">
        <v>394</v>
      </c>
      <c r="AS2101" s="1761" t="s">
        <v>395</v>
      </c>
      <c r="AT2101" s="1761" t="s">
        <v>328</v>
      </c>
      <c r="AU2101" s="1763"/>
      <c r="AV2101" s="1763"/>
    </row>
    <row r="2102" spans="1:48" ht="37.5">
      <c r="A2102" s="1785" t="str">
        <f t="shared" si="352"/>
        <v>פנסיה</v>
      </c>
      <c r="B2102" s="1786">
        <f t="shared" si="353"/>
        <v>12146</v>
      </c>
      <c r="C2102" s="1787">
        <v>28946</v>
      </c>
      <c r="D2102" s="1786" t="str">
        <f t="shared" si="354"/>
        <v>מגדל מקפת אישית הלכה למקבלי קצבה</v>
      </c>
      <c r="E2102" s="1786" t="s">
        <v>3929</v>
      </c>
      <c r="F2102" s="1786" t="s">
        <v>2958</v>
      </c>
      <c r="G2102" s="1786" t="s">
        <v>2959</v>
      </c>
      <c r="H2102" s="1786" t="str">
        <f t="shared" si="355"/>
        <v>פעיל</v>
      </c>
      <c r="I2102" s="1788">
        <f t="shared" si="356"/>
        <v>34700</v>
      </c>
      <c r="J2102" s="1788" t="str">
        <f t="shared" si="357"/>
        <v/>
      </c>
      <c r="K2102" s="1786">
        <v>0</v>
      </c>
      <c r="L2102" s="1786" t="s">
        <v>1594</v>
      </c>
      <c r="M2102" s="1786" t="s">
        <v>1653</v>
      </c>
      <c r="N2102" s="1786" t="s">
        <v>1653</v>
      </c>
      <c r="O2102" s="1786">
        <v>0</v>
      </c>
      <c r="P2102" s="1786"/>
      <c r="Q2102" s="1786">
        <v>0</v>
      </c>
      <c r="R2102" s="1788"/>
      <c r="S2102" s="1786">
        <f t="shared" si="358"/>
        <v>162</v>
      </c>
      <c r="T2102" s="1786">
        <f t="shared" si="359"/>
        <v>0</v>
      </c>
      <c r="U2102" s="1786" t="str">
        <f t="shared" si="360"/>
        <v>מגדל מקפת אישית</v>
      </c>
      <c r="V2102" s="1786" t="str">
        <f t="shared" si="361"/>
        <v>510464803</v>
      </c>
      <c r="W2102" s="1789" t="str">
        <f t="shared" si="362"/>
        <v>מגדל מקפת קרנות פנסיה וקופות גמל בע"מ</v>
      </c>
      <c r="AC2102" s="1759" t="s">
        <v>346</v>
      </c>
      <c r="AD2102" s="1759"/>
      <c r="AE2102" s="1760">
        <v>34700</v>
      </c>
      <c r="AF2102" s="1759" t="s">
        <v>4603</v>
      </c>
      <c r="AG2102" s="1759" t="s">
        <v>2029</v>
      </c>
      <c r="AH2102" s="1759" t="s">
        <v>2028</v>
      </c>
      <c r="AI2102" s="1759" t="s">
        <v>5784</v>
      </c>
      <c r="AJ2102" s="1759" t="s">
        <v>5785</v>
      </c>
      <c r="AK2102" s="1759">
        <v>12146</v>
      </c>
      <c r="AL2102" s="1759" t="s">
        <v>3701</v>
      </c>
      <c r="AM2102" s="1759">
        <v>162</v>
      </c>
      <c r="AN2102" s="1759"/>
      <c r="AO2102" s="1764"/>
      <c r="AP2102" s="1759" t="s">
        <v>5382</v>
      </c>
      <c r="AQ2102" s="1759" t="s">
        <v>5383</v>
      </c>
      <c r="AR2102" s="1759" t="s">
        <v>394</v>
      </c>
      <c r="AS2102" s="1759" t="s">
        <v>395</v>
      </c>
      <c r="AT2102" s="1759" t="s">
        <v>328</v>
      </c>
      <c r="AU2102" s="1763"/>
      <c r="AV2102" s="1763"/>
    </row>
    <row r="2103" spans="1:48" ht="37.5" hidden="1">
      <c r="A2103" s="1785" t="str">
        <f t="shared" si="352"/>
        <v>גמל</v>
      </c>
      <c r="B2103" s="1786">
        <f t="shared" si="353"/>
        <v>12468</v>
      </c>
      <c r="C2103" s="1787">
        <v>28946</v>
      </c>
      <c r="D2103" s="1786" t="str">
        <f t="shared" si="354"/>
        <v xml:space="preserve">קופת גמל עמ"י  מניות מניות </v>
      </c>
      <c r="E2103" s="1786" t="s">
        <v>3929</v>
      </c>
      <c r="F2103" s="1786" t="s">
        <v>2958</v>
      </c>
      <c r="G2103" s="1786" t="s">
        <v>2959</v>
      </c>
      <c r="H2103" s="1786" t="str">
        <f t="shared" si="355"/>
        <v>פעיל</v>
      </c>
      <c r="I2103" s="1788">
        <f t="shared" si="356"/>
        <v>35054</v>
      </c>
      <c r="J2103" s="1788" t="str">
        <f t="shared" si="357"/>
        <v/>
      </c>
      <c r="K2103" s="1786">
        <v>0</v>
      </c>
      <c r="L2103" s="1786" t="s">
        <v>1594</v>
      </c>
      <c r="M2103" s="1786" t="s">
        <v>1653</v>
      </c>
      <c r="N2103" s="1786" t="s">
        <v>1653</v>
      </c>
      <c r="O2103" s="1786">
        <v>0</v>
      </c>
      <c r="P2103" s="1786"/>
      <c r="Q2103" s="1786">
        <v>0</v>
      </c>
      <c r="R2103" s="1788"/>
      <c r="S2103" s="1786">
        <f t="shared" si="358"/>
        <v>161</v>
      </c>
      <c r="T2103" s="1786" t="str">
        <f t="shared" si="359"/>
        <v>לאומי</v>
      </c>
      <c r="U2103" s="1786" t="str">
        <f t="shared" si="360"/>
        <v xml:space="preserve">קופת גמל עמ"י </v>
      </c>
      <c r="V2103" s="1786">
        <f t="shared" si="361"/>
        <v>0</v>
      </c>
      <c r="W2103" s="1789" t="str">
        <f t="shared" si="362"/>
        <v>עמ"י - חברה לניהול קופות גמל ענפיות בע"מ</v>
      </c>
      <c r="AC2103" s="1761" t="s">
        <v>346</v>
      </c>
      <c r="AD2103" s="1761"/>
      <c r="AE2103" s="1762">
        <v>35054</v>
      </c>
      <c r="AF2103" s="1761" t="s">
        <v>1595</v>
      </c>
      <c r="AG2103" s="1761" t="s">
        <v>75</v>
      </c>
      <c r="AH2103" s="1761" t="s">
        <v>1594</v>
      </c>
      <c r="AI2103" s="1761" t="s">
        <v>5786</v>
      </c>
      <c r="AJ2103" s="1761" t="s">
        <v>5786</v>
      </c>
      <c r="AK2103" s="1761">
        <v>12468</v>
      </c>
      <c r="AL2103" s="1761" t="s">
        <v>4101</v>
      </c>
      <c r="AM2103" s="1761">
        <v>161</v>
      </c>
      <c r="AN2103" s="1761" t="s">
        <v>5305</v>
      </c>
      <c r="AO2103" s="1764"/>
      <c r="AP2103" s="1761" t="s">
        <v>5668</v>
      </c>
      <c r="AQ2103" s="1761"/>
      <c r="AR2103" s="1761" t="s">
        <v>391</v>
      </c>
      <c r="AS2103" s="1761" t="s">
        <v>392</v>
      </c>
      <c r="AT2103" s="1761" t="s">
        <v>327</v>
      </c>
      <c r="AU2103" s="1763"/>
      <c r="AV2103" s="1763"/>
    </row>
    <row r="2104" spans="1:48" ht="37.5" hidden="1">
      <c r="A2104" s="1785" t="str">
        <f t="shared" si="352"/>
        <v>גמל</v>
      </c>
      <c r="B2104" s="1786">
        <f t="shared" si="353"/>
        <v>8258</v>
      </c>
      <c r="C2104" s="1787">
        <v>28946</v>
      </c>
      <c r="D2104" s="1786" t="str">
        <f t="shared" si="354"/>
        <v>קופת גמל עמ"י מסלול אג"ח</v>
      </c>
      <c r="E2104" s="1786" t="s">
        <v>3929</v>
      </c>
      <c r="F2104" s="1786" t="s">
        <v>2958</v>
      </c>
      <c r="G2104" s="1786" t="s">
        <v>2959</v>
      </c>
      <c r="H2104" s="1786" t="str">
        <f t="shared" si="355"/>
        <v>לא פעיל</v>
      </c>
      <c r="I2104" s="1788">
        <f t="shared" si="356"/>
        <v>35054</v>
      </c>
      <c r="J2104" s="1788">
        <f t="shared" si="357"/>
        <v>42373.4596759259</v>
      </c>
      <c r="K2104" s="1786">
        <v>0</v>
      </c>
      <c r="L2104" s="1786" t="s">
        <v>1594</v>
      </c>
      <c r="M2104" s="1786" t="s">
        <v>1653</v>
      </c>
      <c r="N2104" s="1786" t="s">
        <v>1653</v>
      </c>
      <c r="O2104" s="1786">
        <v>0</v>
      </c>
      <c r="P2104" s="1786"/>
      <c r="Q2104" s="1786">
        <v>0</v>
      </c>
      <c r="R2104" s="1788"/>
      <c r="S2104" s="1786">
        <f t="shared" si="358"/>
        <v>161</v>
      </c>
      <c r="T2104" s="1786" t="str">
        <f t="shared" si="359"/>
        <v>לאומי</v>
      </c>
      <c r="U2104" s="1786" t="str">
        <f t="shared" si="360"/>
        <v xml:space="preserve">קופת גמל עמ"י </v>
      </c>
      <c r="V2104" s="1786">
        <f t="shared" si="361"/>
        <v>0</v>
      </c>
      <c r="W2104" s="1789" t="str">
        <f t="shared" si="362"/>
        <v>עמ"י - חברה לניהול קופות גמל ענפיות בע"מ</v>
      </c>
      <c r="AC2104" s="1759" t="s">
        <v>1586</v>
      </c>
      <c r="AD2104" s="1760">
        <v>42373.4596759259</v>
      </c>
      <c r="AE2104" s="1760">
        <v>35054</v>
      </c>
      <c r="AF2104" s="1759" t="s">
        <v>1653</v>
      </c>
      <c r="AG2104" s="1759" t="s">
        <v>1653</v>
      </c>
      <c r="AH2104" s="1759" t="s">
        <v>1594</v>
      </c>
      <c r="AI2104" s="1759" t="s">
        <v>4528</v>
      </c>
      <c r="AJ2104" s="1759" t="s">
        <v>4528</v>
      </c>
      <c r="AK2104" s="1759">
        <v>8258</v>
      </c>
      <c r="AL2104" s="1759" t="s">
        <v>4101</v>
      </c>
      <c r="AM2104" s="1759">
        <v>161</v>
      </c>
      <c r="AN2104" s="1759" t="s">
        <v>5305</v>
      </c>
      <c r="AO2104" s="1764"/>
      <c r="AP2104" s="1759" t="s">
        <v>5668</v>
      </c>
      <c r="AQ2104" s="1759"/>
      <c r="AR2104" s="1759" t="s">
        <v>391</v>
      </c>
      <c r="AS2104" s="1759" t="s">
        <v>392</v>
      </c>
      <c r="AT2104" s="1759" t="s">
        <v>327</v>
      </c>
      <c r="AU2104" s="1763"/>
      <c r="AV2104" s="1763"/>
    </row>
    <row r="2105" spans="1:48" ht="37.5" hidden="1">
      <c r="A2105" s="1785" t="str">
        <f t="shared" si="352"/>
        <v>גמל</v>
      </c>
      <c r="B2105" s="1786">
        <f t="shared" si="353"/>
        <v>9938</v>
      </c>
      <c r="C2105" s="1787">
        <v>28946</v>
      </c>
      <c r="D2105" s="1786" t="str">
        <f t="shared" si="354"/>
        <v>קופת גמל עמ"י מסלול לבני 50 ומטה</v>
      </c>
      <c r="E2105" s="1786" t="s">
        <v>3929</v>
      </c>
      <c r="F2105" s="1786" t="s">
        <v>2958</v>
      </c>
      <c r="G2105" s="1786" t="s">
        <v>2959</v>
      </c>
      <c r="H2105" s="1786" t="str">
        <f t="shared" si="355"/>
        <v>פעיל</v>
      </c>
      <c r="I2105" s="1788">
        <f t="shared" si="356"/>
        <v>35054</v>
      </c>
      <c r="J2105" s="1788" t="str">
        <f t="shared" si="357"/>
        <v/>
      </c>
      <c r="K2105" s="1786">
        <v>0</v>
      </c>
      <c r="L2105" s="1786" t="s">
        <v>1594</v>
      </c>
      <c r="M2105" s="1786" t="s">
        <v>1653</v>
      </c>
      <c r="N2105" s="1786" t="s">
        <v>1653</v>
      </c>
      <c r="O2105" s="1786">
        <v>0</v>
      </c>
      <c r="P2105" s="1786"/>
      <c r="Q2105" s="1786">
        <v>0</v>
      </c>
      <c r="R2105" s="1788"/>
      <c r="S2105" s="1786">
        <f t="shared" si="358"/>
        <v>161</v>
      </c>
      <c r="T2105" s="1786" t="str">
        <f t="shared" si="359"/>
        <v>לאומי</v>
      </c>
      <c r="U2105" s="1786" t="str">
        <f t="shared" si="360"/>
        <v xml:space="preserve">קופת גמל עמ"י </v>
      </c>
      <c r="V2105" s="1786">
        <f t="shared" si="361"/>
        <v>0</v>
      </c>
      <c r="W2105" s="1789" t="str">
        <f t="shared" si="362"/>
        <v>עמ"י - חברה לניהול קופות גמל ענפיות בע"מ</v>
      </c>
      <c r="AC2105" s="1761" t="s">
        <v>346</v>
      </c>
      <c r="AD2105" s="1761"/>
      <c r="AE2105" s="1762">
        <v>35054</v>
      </c>
      <c r="AF2105" s="1761" t="s">
        <v>4151</v>
      </c>
      <c r="AG2105" s="1761" t="s">
        <v>3931</v>
      </c>
      <c r="AH2105" s="1761" t="s">
        <v>3658</v>
      </c>
      <c r="AI2105" s="1761" t="s">
        <v>4466</v>
      </c>
      <c r="AJ2105" s="1761" t="s">
        <v>4466</v>
      </c>
      <c r="AK2105" s="1761">
        <v>9938</v>
      </c>
      <c r="AL2105" s="1761" t="s">
        <v>4101</v>
      </c>
      <c r="AM2105" s="1761">
        <v>161</v>
      </c>
      <c r="AN2105" s="1761" t="s">
        <v>5305</v>
      </c>
      <c r="AO2105" s="1764"/>
      <c r="AP2105" s="1761" t="s">
        <v>5668</v>
      </c>
      <c r="AQ2105" s="1761"/>
      <c r="AR2105" s="1761" t="s">
        <v>391</v>
      </c>
      <c r="AS2105" s="1761" t="s">
        <v>392</v>
      </c>
      <c r="AT2105" s="1761" t="s">
        <v>327</v>
      </c>
      <c r="AU2105" s="1763"/>
      <c r="AV2105" s="1763"/>
    </row>
    <row r="2106" spans="1:48" ht="37.5" hidden="1">
      <c r="A2106" s="1785" t="str">
        <f t="shared" si="352"/>
        <v>גמל</v>
      </c>
      <c r="B2106" s="1786">
        <f t="shared" si="353"/>
        <v>161</v>
      </c>
      <c r="C2106" s="1787">
        <v>28946</v>
      </c>
      <c r="D2106" s="1786" t="str">
        <f t="shared" si="354"/>
        <v>קופת גמל עמ"י מסלול כללי</v>
      </c>
      <c r="E2106" s="1786" t="s">
        <v>3929</v>
      </c>
      <c r="F2106" s="1786" t="s">
        <v>2958</v>
      </c>
      <c r="G2106" s="1786" t="s">
        <v>2959</v>
      </c>
      <c r="H2106" s="1786" t="str">
        <f t="shared" si="355"/>
        <v>לא פעיל</v>
      </c>
      <c r="I2106" s="1788">
        <f t="shared" si="356"/>
        <v>35054</v>
      </c>
      <c r="J2106" s="1788">
        <f t="shared" si="357"/>
        <v>42373.4596759259</v>
      </c>
      <c r="K2106" s="1786">
        <v>0</v>
      </c>
      <c r="L2106" s="1786" t="s">
        <v>1594</v>
      </c>
      <c r="M2106" s="1786" t="s">
        <v>1653</v>
      </c>
      <c r="N2106" s="1786" t="s">
        <v>1653</v>
      </c>
      <c r="O2106" s="1786">
        <v>0</v>
      </c>
      <c r="P2106" s="1786"/>
      <c r="Q2106" s="1786">
        <v>0</v>
      </c>
      <c r="R2106" s="1788"/>
      <c r="S2106" s="1786">
        <f t="shared" si="358"/>
        <v>161</v>
      </c>
      <c r="T2106" s="1786" t="str">
        <f t="shared" si="359"/>
        <v>לאומי</v>
      </c>
      <c r="U2106" s="1786" t="str">
        <f t="shared" si="360"/>
        <v xml:space="preserve">קופת גמל עמ"י </v>
      </c>
      <c r="V2106" s="1786">
        <f t="shared" si="361"/>
        <v>0</v>
      </c>
      <c r="W2106" s="1789" t="str">
        <f t="shared" si="362"/>
        <v>עמ"י - חברה לניהול קופות גמל ענפיות בע"מ</v>
      </c>
      <c r="AC2106" s="1759" t="s">
        <v>1586</v>
      </c>
      <c r="AD2106" s="1760">
        <v>42373.4596759259</v>
      </c>
      <c r="AE2106" s="1760">
        <v>35054</v>
      </c>
      <c r="AF2106" s="1759" t="s">
        <v>1583</v>
      </c>
      <c r="AG2106" s="1759" t="s">
        <v>1583</v>
      </c>
      <c r="AH2106" s="1759" t="s">
        <v>1583</v>
      </c>
      <c r="AI2106" s="1759" t="s">
        <v>393</v>
      </c>
      <c r="AJ2106" s="1759" t="s">
        <v>393</v>
      </c>
      <c r="AK2106" s="1759">
        <v>161</v>
      </c>
      <c r="AL2106" s="1759" t="s">
        <v>4101</v>
      </c>
      <c r="AM2106" s="1759">
        <v>161</v>
      </c>
      <c r="AN2106" s="1759" t="s">
        <v>5305</v>
      </c>
      <c r="AO2106" s="1764"/>
      <c r="AP2106" s="1759" t="s">
        <v>5668</v>
      </c>
      <c r="AQ2106" s="1759"/>
      <c r="AR2106" s="1759" t="s">
        <v>391</v>
      </c>
      <c r="AS2106" s="1759" t="s">
        <v>392</v>
      </c>
      <c r="AT2106" s="1759" t="s">
        <v>327</v>
      </c>
      <c r="AU2106" s="1763"/>
      <c r="AV2106" s="1763"/>
    </row>
    <row r="2107" spans="1:48" ht="37.5" hidden="1">
      <c r="A2107" s="1785" t="str">
        <f t="shared" si="352"/>
        <v>גמל</v>
      </c>
      <c r="B2107" s="1786">
        <f t="shared" si="353"/>
        <v>9943</v>
      </c>
      <c r="C2107" s="1787">
        <v>28946</v>
      </c>
      <c r="D2107" s="1786" t="str">
        <f t="shared" si="354"/>
        <v>קופת גמל עמ"י  50-60</v>
      </c>
      <c r="E2107" s="1786" t="s">
        <v>3929</v>
      </c>
      <c r="F2107" s="1786" t="s">
        <v>2958</v>
      </c>
      <c r="G2107" s="1786" t="s">
        <v>2959</v>
      </c>
      <c r="H2107" s="1786" t="str">
        <f t="shared" si="355"/>
        <v>פעיל</v>
      </c>
      <c r="I2107" s="1788">
        <f t="shared" si="356"/>
        <v>35054</v>
      </c>
      <c r="J2107" s="1788" t="str">
        <f t="shared" si="357"/>
        <v/>
      </c>
      <c r="K2107" s="1786">
        <v>0</v>
      </c>
      <c r="L2107" s="1786" t="s">
        <v>1594</v>
      </c>
      <c r="M2107" s="1786" t="s">
        <v>1653</v>
      </c>
      <c r="N2107" s="1786" t="s">
        <v>1653</v>
      </c>
      <c r="O2107" s="1786">
        <v>0</v>
      </c>
      <c r="P2107" s="1786"/>
      <c r="Q2107" s="1786">
        <v>0</v>
      </c>
      <c r="R2107" s="1788"/>
      <c r="S2107" s="1786">
        <f t="shared" si="358"/>
        <v>161</v>
      </c>
      <c r="T2107" s="1786" t="str">
        <f t="shared" si="359"/>
        <v>לאומי</v>
      </c>
      <c r="U2107" s="1786" t="str">
        <f t="shared" si="360"/>
        <v xml:space="preserve">קופת גמל עמ"י </v>
      </c>
      <c r="V2107" s="1786">
        <f t="shared" si="361"/>
        <v>0</v>
      </c>
      <c r="W2107" s="1789" t="str">
        <f t="shared" si="362"/>
        <v>עמ"י - חברה לניהול קופות גמל ענפיות בע"מ</v>
      </c>
      <c r="AC2107" s="1761" t="s">
        <v>346</v>
      </c>
      <c r="AD2107" s="1761"/>
      <c r="AE2107" s="1762">
        <v>35054</v>
      </c>
      <c r="AF2107" s="1761" t="s">
        <v>3932</v>
      </c>
      <c r="AG2107" s="1761" t="s">
        <v>3931</v>
      </c>
      <c r="AH2107" s="1761" t="s">
        <v>3658</v>
      </c>
      <c r="AI2107" s="1761" t="s">
        <v>4471</v>
      </c>
      <c r="AJ2107" s="1761" t="s">
        <v>4471</v>
      </c>
      <c r="AK2107" s="1761">
        <v>9943</v>
      </c>
      <c r="AL2107" s="1761" t="s">
        <v>4101</v>
      </c>
      <c r="AM2107" s="1761">
        <v>161</v>
      </c>
      <c r="AN2107" s="1761" t="s">
        <v>5305</v>
      </c>
      <c r="AO2107" s="1764"/>
      <c r="AP2107" s="1761" t="s">
        <v>5668</v>
      </c>
      <c r="AQ2107" s="1761"/>
      <c r="AR2107" s="1761" t="s">
        <v>391</v>
      </c>
      <c r="AS2107" s="1761" t="s">
        <v>392</v>
      </c>
      <c r="AT2107" s="1761" t="s">
        <v>327</v>
      </c>
      <c r="AU2107" s="1763"/>
      <c r="AV2107" s="1763"/>
    </row>
    <row r="2108" spans="1:48" ht="37.5" hidden="1">
      <c r="A2108" s="1785" t="str">
        <f t="shared" si="352"/>
        <v>גמל</v>
      </c>
      <c r="B2108" s="1786">
        <f t="shared" si="353"/>
        <v>1434</v>
      </c>
      <c r="C2108" s="1787">
        <v>28946</v>
      </c>
      <c r="D2108" s="1786" t="str">
        <f t="shared" si="354"/>
        <v>קופת גמל עמ"י מסלול ללא מניות</v>
      </c>
      <c r="E2108" s="1786" t="s">
        <v>3929</v>
      </c>
      <c r="F2108" s="1786" t="s">
        <v>2958</v>
      </c>
      <c r="G2108" s="1786" t="s">
        <v>2959</v>
      </c>
      <c r="H2108" s="1786" t="str">
        <f t="shared" si="355"/>
        <v>פעיל</v>
      </c>
      <c r="I2108" s="1788">
        <f t="shared" si="356"/>
        <v>35054</v>
      </c>
      <c r="J2108" s="1788" t="str">
        <f t="shared" si="357"/>
        <v/>
      </c>
      <c r="K2108" s="1786">
        <v>0</v>
      </c>
      <c r="L2108" s="1786" t="s">
        <v>1594</v>
      </c>
      <c r="M2108" s="1786" t="s">
        <v>1653</v>
      </c>
      <c r="N2108" s="1786" t="s">
        <v>1653</v>
      </c>
      <c r="O2108" s="1786">
        <v>0</v>
      </c>
      <c r="P2108" s="1786"/>
      <c r="Q2108" s="1786">
        <v>0</v>
      </c>
      <c r="R2108" s="1788"/>
      <c r="S2108" s="1786">
        <f t="shared" si="358"/>
        <v>161</v>
      </c>
      <c r="T2108" s="1786" t="str">
        <f t="shared" si="359"/>
        <v>לאומי</v>
      </c>
      <c r="U2108" s="1786" t="str">
        <f t="shared" si="360"/>
        <v xml:space="preserve">קופת גמל עמ"י </v>
      </c>
      <c r="V2108" s="1786">
        <f t="shared" si="361"/>
        <v>0</v>
      </c>
      <c r="W2108" s="1789" t="str">
        <f t="shared" si="362"/>
        <v>עמ"י - חברה לניהול קופות גמל ענפיות בע"מ</v>
      </c>
      <c r="AC2108" s="1759" t="s">
        <v>346</v>
      </c>
      <c r="AD2108" s="1759"/>
      <c r="AE2108" s="1760">
        <v>35054</v>
      </c>
      <c r="AF2108" s="1759" t="s">
        <v>1681</v>
      </c>
      <c r="AG2108" s="1759" t="s">
        <v>1653</v>
      </c>
      <c r="AH2108" s="1759" t="s">
        <v>1594</v>
      </c>
      <c r="AI2108" s="1759" t="s">
        <v>2464</v>
      </c>
      <c r="AJ2108" s="1759" t="s">
        <v>2464</v>
      </c>
      <c r="AK2108" s="1759">
        <v>1434</v>
      </c>
      <c r="AL2108" s="1759" t="s">
        <v>4101</v>
      </c>
      <c r="AM2108" s="1759">
        <v>161</v>
      </c>
      <c r="AN2108" s="1759" t="s">
        <v>5305</v>
      </c>
      <c r="AO2108" s="1764"/>
      <c r="AP2108" s="1759" t="s">
        <v>5668</v>
      </c>
      <c r="AQ2108" s="1759"/>
      <c r="AR2108" s="1759" t="s">
        <v>391</v>
      </c>
      <c r="AS2108" s="1759" t="s">
        <v>392</v>
      </c>
      <c r="AT2108" s="1759" t="s">
        <v>327</v>
      </c>
      <c r="AU2108" s="1763"/>
      <c r="AV2108" s="1763"/>
    </row>
    <row r="2109" spans="1:48" ht="37.5" hidden="1">
      <c r="A2109" s="1785" t="str">
        <f t="shared" si="352"/>
        <v>גמל</v>
      </c>
      <c r="B2109" s="1786">
        <f t="shared" si="353"/>
        <v>9942</v>
      </c>
      <c r="C2109" s="1787">
        <v>28946</v>
      </c>
      <c r="D2109" s="1786" t="str">
        <f t="shared" si="354"/>
        <v>קופת גמל עמ"י  60 ומעלה</v>
      </c>
      <c r="E2109" s="1786" t="s">
        <v>3929</v>
      </c>
      <c r="F2109" s="1786" t="s">
        <v>2958</v>
      </c>
      <c r="G2109" s="1786" t="s">
        <v>2959</v>
      </c>
      <c r="H2109" s="1786" t="str">
        <f t="shared" si="355"/>
        <v>פעיל</v>
      </c>
      <c r="I2109" s="1788">
        <f t="shared" si="356"/>
        <v>35054</v>
      </c>
      <c r="J2109" s="1788" t="str">
        <f t="shared" si="357"/>
        <v/>
      </c>
      <c r="K2109" s="1786">
        <v>0</v>
      </c>
      <c r="L2109" s="1786" t="s">
        <v>1594</v>
      </c>
      <c r="M2109" s="1786" t="s">
        <v>1653</v>
      </c>
      <c r="N2109" s="1786" t="s">
        <v>1653</v>
      </c>
      <c r="O2109" s="1786">
        <v>0</v>
      </c>
      <c r="P2109" s="1786"/>
      <c r="Q2109" s="1786">
        <v>0</v>
      </c>
      <c r="R2109" s="1788"/>
      <c r="S2109" s="1786">
        <f t="shared" si="358"/>
        <v>161</v>
      </c>
      <c r="T2109" s="1786" t="str">
        <f t="shared" si="359"/>
        <v>לאומי</v>
      </c>
      <c r="U2109" s="1786" t="str">
        <f t="shared" si="360"/>
        <v xml:space="preserve">קופת גמל עמ"י </v>
      </c>
      <c r="V2109" s="1786">
        <f t="shared" si="361"/>
        <v>0</v>
      </c>
      <c r="W2109" s="1789" t="str">
        <f t="shared" si="362"/>
        <v>עמ"י - חברה לניהול קופות גמל ענפיות בע"מ</v>
      </c>
      <c r="AC2109" s="1761" t="s">
        <v>346</v>
      </c>
      <c r="AD2109" s="1761"/>
      <c r="AE2109" s="1762">
        <v>35054</v>
      </c>
      <c r="AF2109" s="1761" t="s">
        <v>3963</v>
      </c>
      <c r="AG2109" s="1761" t="s">
        <v>3931</v>
      </c>
      <c r="AH2109" s="1761" t="s">
        <v>3658</v>
      </c>
      <c r="AI2109" s="1761" t="s">
        <v>4470</v>
      </c>
      <c r="AJ2109" s="1761" t="s">
        <v>4470</v>
      </c>
      <c r="AK2109" s="1761">
        <v>9942</v>
      </c>
      <c r="AL2109" s="1761" t="s">
        <v>4101</v>
      </c>
      <c r="AM2109" s="1761">
        <v>161</v>
      </c>
      <c r="AN2109" s="1761" t="s">
        <v>5305</v>
      </c>
      <c r="AO2109" s="1764"/>
      <c r="AP2109" s="1761" t="s">
        <v>5668</v>
      </c>
      <c r="AQ2109" s="1761"/>
      <c r="AR2109" s="1761" t="s">
        <v>391</v>
      </c>
      <c r="AS2109" s="1761" t="s">
        <v>392</v>
      </c>
      <c r="AT2109" s="1761" t="s">
        <v>327</v>
      </c>
      <c r="AU2109" s="1763"/>
      <c r="AV2109" s="1763"/>
    </row>
    <row r="2110" spans="1:48" ht="37.5" hidden="1">
      <c r="A2110" s="1785" t="str">
        <f t="shared" si="352"/>
        <v>גמל</v>
      </c>
      <c r="B2110" s="1786">
        <f t="shared" si="353"/>
        <v>9947</v>
      </c>
      <c r="C2110" s="1787">
        <v>28946</v>
      </c>
      <c r="D2110" s="1786" t="str">
        <f t="shared" si="354"/>
        <v>קופת גמל שדות לבני 50 ומטה</v>
      </c>
      <c r="E2110" s="1786" t="s">
        <v>3929</v>
      </c>
      <c r="F2110" s="1786" t="s">
        <v>2958</v>
      </c>
      <c r="G2110" s="1786" t="s">
        <v>2959</v>
      </c>
      <c r="H2110" s="1786" t="str">
        <f t="shared" si="355"/>
        <v>פעיל</v>
      </c>
      <c r="I2110" s="1788">
        <f t="shared" si="356"/>
        <v>35054</v>
      </c>
      <c r="J2110" s="1788" t="str">
        <f t="shared" si="357"/>
        <v/>
      </c>
      <c r="K2110" s="1786">
        <v>0</v>
      </c>
      <c r="L2110" s="1786" t="s">
        <v>1594</v>
      </c>
      <c r="M2110" s="1786" t="s">
        <v>1653</v>
      </c>
      <c r="N2110" s="1786" t="s">
        <v>1653</v>
      </c>
      <c r="O2110" s="1786">
        <v>0</v>
      </c>
      <c r="P2110" s="1786"/>
      <c r="Q2110" s="1786">
        <v>0</v>
      </c>
      <c r="R2110" s="1788"/>
      <c r="S2110" s="1786">
        <f t="shared" si="358"/>
        <v>160</v>
      </c>
      <c r="T2110" s="1786" t="str">
        <f t="shared" si="359"/>
        <v>הבנק הבינלאומי הראשון</v>
      </c>
      <c r="U2110" s="1786" t="str">
        <f t="shared" si="360"/>
        <v>קופת גמל שדות</v>
      </c>
      <c r="V2110" s="1786">
        <f t="shared" si="361"/>
        <v>0</v>
      </c>
      <c r="W2110" s="1789" t="str">
        <f t="shared" si="362"/>
        <v>הנדסאים וטכנאים - חברה לניהול קופות גמל בע"מ</v>
      </c>
      <c r="AC2110" s="1759" t="s">
        <v>346</v>
      </c>
      <c r="AD2110" s="1759"/>
      <c r="AE2110" s="1760">
        <v>35054</v>
      </c>
      <c r="AF2110" s="1759" t="s">
        <v>4151</v>
      </c>
      <c r="AG2110" s="1759" t="s">
        <v>3931</v>
      </c>
      <c r="AH2110" s="1759" t="s">
        <v>3658</v>
      </c>
      <c r="AI2110" s="1759" t="s">
        <v>4473</v>
      </c>
      <c r="AJ2110" s="1759" t="s">
        <v>4472</v>
      </c>
      <c r="AK2110" s="1759">
        <v>9947</v>
      </c>
      <c r="AL2110" s="1759" t="s">
        <v>4474</v>
      </c>
      <c r="AM2110" s="1759">
        <v>160</v>
      </c>
      <c r="AN2110" s="1759" t="s">
        <v>5384</v>
      </c>
      <c r="AO2110" s="1764"/>
      <c r="AP2110" s="1759" t="s">
        <v>5787</v>
      </c>
      <c r="AQ2110" s="1759"/>
      <c r="AR2110" s="1759" t="s">
        <v>381</v>
      </c>
      <c r="AS2110" s="1759" t="s">
        <v>382</v>
      </c>
      <c r="AT2110" s="1759" t="s">
        <v>327</v>
      </c>
      <c r="AU2110" s="1763"/>
      <c r="AV2110" s="1763"/>
    </row>
    <row r="2111" spans="1:48" ht="37.5" hidden="1">
      <c r="A2111" s="1785" t="str">
        <f t="shared" si="352"/>
        <v>גמל</v>
      </c>
      <c r="B2111" s="1786">
        <f t="shared" si="353"/>
        <v>9948</v>
      </c>
      <c r="C2111" s="1787">
        <v>28946</v>
      </c>
      <c r="D2111" s="1786" t="str">
        <f t="shared" si="354"/>
        <v xml:space="preserve">קופת גמל שדות לבני 60 ומעלה  </v>
      </c>
      <c r="E2111" s="1786" t="s">
        <v>3929</v>
      </c>
      <c r="F2111" s="1786" t="s">
        <v>2958</v>
      </c>
      <c r="G2111" s="1786" t="s">
        <v>2959</v>
      </c>
      <c r="H2111" s="1786" t="str">
        <f t="shared" si="355"/>
        <v>פעיל</v>
      </c>
      <c r="I2111" s="1788">
        <f t="shared" si="356"/>
        <v>35054</v>
      </c>
      <c r="J2111" s="1788" t="str">
        <f t="shared" si="357"/>
        <v/>
      </c>
      <c r="K2111" s="1786">
        <v>0</v>
      </c>
      <c r="L2111" s="1786" t="s">
        <v>1594</v>
      </c>
      <c r="M2111" s="1786" t="s">
        <v>1653</v>
      </c>
      <c r="N2111" s="1786" t="s">
        <v>1653</v>
      </c>
      <c r="O2111" s="1786">
        <v>0</v>
      </c>
      <c r="P2111" s="1786"/>
      <c r="Q2111" s="1786">
        <v>0</v>
      </c>
      <c r="R2111" s="1788"/>
      <c r="S2111" s="1786">
        <f t="shared" si="358"/>
        <v>160</v>
      </c>
      <c r="T2111" s="1786" t="str">
        <f t="shared" si="359"/>
        <v>הבנק הבינלאומי הראשון</v>
      </c>
      <c r="U2111" s="1786" t="str">
        <f t="shared" si="360"/>
        <v>קופת גמל שדות</v>
      </c>
      <c r="V2111" s="1786">
        <f t="shared" si="361"/>
        <v>0</v>
      </c>
      <c r="W2111" s="1789" t="str">
        <f t="shared" si="362"/>
        <v>הנדסאים וטכנאים - חברה לניהול קופות גמל בע"מ</v>
      </c>
      <c r="AC2111" s="1761" t="s">
        <v>346</v>
      </c>
      <c r="AD2111" s="1761"/>
      <c r="AE2111" s="1762">
        <v>35054</v>
      </c>
      <c r="AF2111" s="1761" t="s">
        <v>3963</v>
      </c>
      <c r="AG2111" s="1761" t="s">
        <v>3931</v>
      </c>
      <c r="AH2111" s="1761" t="s">
        <v>3658</v>
      </c>
      <c r="AI2111" s="1761" t="s">
        <v>4476</v>
      </c>
      <c r="AJ2111" s="1761" t="s">
        <v>4475</v>
      </c>
      <c r="AK2111" s="1761">
        <v>9948</v>
      </c>
      <c r="AL2111" s="1761" t="s">
        <v>4474</v>
      </c>
      <c r="AM2111" s="1761">
        <v>160</v>
      </c>
      <c r="AN2111" s="1761" t="s">
        <v>5384</v>
      </c>
      <c r="AO2111" s="1764"/>
      <c r="AP2111" s="1761" t="s">
        <v>5787</v>
      </c>
      <c r="AQ2111" s="1761"/>
      <c r="AR2111" s="1761" t="s">
        <v>381</v>
      </c>
      <c r="AS2111" s="1761" t="s">
        <v>382</v>
      </c>
      <c r="AT2111" s="1761" t="s">
        <v>327</v>
      </c>
      <c r="AU2111" s="1763"/>
      <c r="AV2111" s="1763"/>
    </row>
    <row r="2112" spans="1:48" ht="37.5" hidden="1">
      <c r="A2112" s="1785" t="str">
        <f t="shared" si="352"/>
        <v>גמל</v>
      </c>
      <c r="B2112" s="1786">
        <f t="shared" si="353"/>
        <v>160</v>
      </c>
      <c r="C2112" s="1787">
        <v>28946</v>
      </c>
      <c r="D2112" s="1786" t="str">
        <f t="shared" si="354"/>
        <v>שדות מסלול כללי</v>
      </c>
      <c r="E2112" s="1786" t="s">
        <v>3929</v>
      </c>
      <c r="F2112" s="1786" t="s">
        <v>2958</v>
      </c>
      <c r="G2112" s="1786" t="s">
        <v>2959</v>
      </c>
      <c r="H2112" s="1786" t="str">
        <f t="shared" si="355"/>
        <v>לא פעיל</v>
      </c>
      <c r="I2112" s="1788">
        <f t="shared" si="356"/>
        <v>35054</v>
      </c>
      <c r="J2112" s="1788">
        <f t="shared" si="357"/>
        <v>42373.456840277802</v>
      </c>
      <c r="K2112" s="1786">
        <v>0</v>
      </c>
      <c r="L2112" s="1786" t="s">
        <v>1594</v>
      </c>
      <c r="M2112" s="1786" t="s">
        <v>1653</v>
      </c>
      <c r="N2112" s="1786" t="s">
        <v>1653</v>
      </c>
      <c r="O2112" s="1786">
        <v>0</v>
      </c>
      <c r="P2112" s="1786"/>
      <c r="Q2112" s="1786">
        <v>0</v>
      </c>
      <c r="R2112" s="1788"/>
      <c r="S2112" s="1786">
        <f t="shared" si="358"/>
        <v>160</v>
      </c>
      <c r="T2112" s="1786" t="str">
        <f t="shared" si="359"/>
        <v>הבנק הבינלאומי הראשון</v>
      </c>
      <c r="U2112" s="1786" t="str">
        <f t="shared" si="360"/>
        <v>קופת גמל שדות</v>
      </c>
      <c r="V2112" s="1786">
        <f t="shared" si="361"/>
        <v>0</v>
      </c>
      <c r="W2112" s="1789" t="str">
        <f t="shared" si="362"/>
        <v>הנדסאים וטכנאים - חברה לניהול קופות גמל בע"מ</v>
      </c>
      <c r="AC2112" s="1759" t="s">
        <v>1586</v>
      </c>
      <c r="AD2112" s="1760">
        <v>42373.456840277802</v>
      </c>
      <c r="AE2112" s="1760">
        <v>35054</v>
      </c>
      <c r="AF2112" s="1759" t="s">
        <v>1583</v>
      </c>
      <c r="AG2112" s="1759" t="s">
        <v>1583</v>
      </c>
      <c r="AH2112" s="1759" t="s">
        <v>1583</v>
      </c>
      <c r="AI2112" s="1759" t="s">
        <v>390</v>
      </c>
      <c r="AJ2112" s="1759" t="s">
        <v>390</v>
      </c>
      <c r="AK2112" s="1759">
        <v>160</v>
      </c>
      <c r="AL2112" s="1759" t="s">
        <v>4474</v>
      </c>
      <c r="AM2112" s="1759">
        <v>160</v>
      </c>
      <c r="AN2112" s="1759" t="s">
        <v>5384</v>
      </c>
      <c r="AO2112" s="1764"/>
      <c r="AP2112" s="1759" t="s">
        <v>5787</v>
      </c>
      <c r="AQ2112" s="1759"/>
      <c r="AR2112" s="1759" t="s">
        <v>381</v>
      </c>
      <c r="AS2112" s="1759" t="s">
        <v>382</v>
      </c>
      <c r="AT2112" s="1759" t="s">
        <v>327</v>
      </c>
      <c r="AU2112" s="1763"/>
      <c r="AV2112" s="1763"/>
    </row>
    <row r="2113" spans="1:48" ht="37.5" hidden="1">
      <c r="A2113" s="1785" t="str">
        <f t="shared" si="352"/>
        <v>גמל</v>
      </c>
      <c r="B2113" s="1786">
        <f t="shared" si="353"/>
        <v>1436</v>
      </c>
      <c r="C2113" s="1787">
        <v>28946</v>
      </c>
      <c r="D2113" s="1786" t="str">
        <f t="shared" si="354"/>
        <v>שדות מסלול ללא מניות</v>
      </c>
      <c r="E2113" s="1786" t="s">
        <v>3929</v>
      </c>
      <c r="F2113" s="1786" t="s">
        <v>2958</v>
      </c>
      <c r="G2113" s="1786" t="s">
        <v>2959</v>
      </c>
      <c r="H2113" s="1786" t="str">
        <f t="shared" si="355"/>
        <v>לא פעיל</v>
      </c>
      <c r="I2113" s="1788">
        <f t="shared" si="356"/>
        <v>35054</v>
      </c>
      <c r="J2113" s="1788">
        <f t="shared" si="357"/>
        <v>42373.456840277802</v>
      </c>
      <c r="K2113" s="1786">
        <v>0</v>
      </c>
      <c r="L2113" s="1786" t="s">
        <v>1594</v>
      </c>
      <c r="M2113" s="1786" t="s">
        <v>1653</v>
      </c>
      <c r="N2113" s="1786" t="s">
        <v>1653</v>
      </c>
      <c r="O2113" s="1786">
        <v>0</v>
      </c>
      <c r="P2113" s="1786"/>
      <c r="Q2113" s="1786">
        <v>0</v>
      </c>
      <c r="R2113" s="1788"/>
      <c r="S2113" s="1786">
        <f t="shared" si="358"/>
        <v>160</v>
      </c>
      <c r="T2113" s="1786" t="str">
        <f t="shared" si="359"/>
        <v>הבנק הבינלאומי הראשון</v>
      </c>
      <c r="U2113" s="1786" t="str">
        <f t="shared" si="360"/>
        <v>קופת גמל שדות</v>
      </c>
      <c r="V2113" s="1786">
        <f t="shared" si="361"/>
        <v>0</v>
      </c>
      <c r="W2113" s="1789" t="str">
        <f t="shared" si="362"/>
        <v>הנדסאים וטכנאים - חברה לניהול קופות גמל בע"מ</v>
      </c>
      <c r="AC2113" s="1761" t="s">
        <v>1586</v>
      </c>
      <c r="AD2113" s="1762">
        <v>42373.456840277802</v>
      </c>
      <c r="AE2113" s="1762">
        <v>35054</v>
      </c>
      <c r="AF2113" s="1761" t="s">
        <v>1681</v>
      </c>
      <c r="AG2113" s="1761" t="s">
        <v>1583</v>
      </c>
      <c r="AH2113" s="1761" t="s">
        <v>1583</v>
      </c>
      <c r="AI2113" s="1761" t="s">
        <v>2466</v>
      </c>
      <c r="AJ2113" s="1761" t="s">
        <v>2466</v>
      </c>
      <c r="AK2113" s="1761">
        <v>1436</v>
      </c>
      <c r="AL2113" s="1761" t="s">
        <v>4474</v>
      </c>
      <c r="AM2113" s="1761">
        <v>160</v>
      </c>
      <c r="AN2113" s="1761" t="s">
        <v>5384</v>
      </c>
      <c r="AO2113" s="1764"/>
      <c r="AP2113" s="1761" t="s">
        <v>5787</v>
      </c>
      <c r="AQ2113" s="1761"/>
      <c r="AR2113" s="1761" t="s">
        <v>381</v>
      </c>
      <c r="AS2113" s="1761" t="s">
        <v>382</v>
      </c>
      <c r="AT2113" s="1761" t="s">
        <v>327</v>
      </c>
      <c r="AU2113" s="1763"/>
      <c r="AV2113" s="1763"/>
    </row>
    <row r="2114" spans="1:48" ht="37.5" hidden="1">
      <c r="A2114" s="1785" t="str">
        <f t="shared" si="352"/>
        <v>גמל</v>
      </c>
      <c r="B2114" s="1786">
        <f t="shared" si="353"/>
        <v>9949</v>
      </c>
      <c r="C2114" s="1787">
        <v>28946</v>
      </c>
      <c r="D2114" s="1786" t="str">
        <f t="shared" si="354"/>
        <v xml:space="preserve">קופת גמל שדות לבני 50 עד 60 </v>
      </c>
      <c r="E2114" s="1786" t="s">
        <v>3929</v>
      </c>
      <c r="F2114" s="1786" t="s">
        <v>2958</v>
      </c>
      <c r="G2114" s="1786" t="s">
        <v>2959</v>
      </c>
      <c r="H2114" s="1786" t="str">
        <f t="shared" si="355"/>
        <v>פעיל</v>
      </c>
      <c r="I2114" s="1788">
        <f t="shared" si="356"/>
        <v>35054</v>
      </c>
      <c r="J2114" s="1788" t="str">
        <f t="shared" si="357"/>
        <v/>
      </c>
      <c r="K2114" s="1786">
        <v>0</v>
      </c>
      <c r="L2114" s="1786" t="s">
        <v>1594</v>
      </c>
      <c r="M2114" s="1786" t="s">
        <v>1653</v>
      </c>
      <c r="N2114" s="1786" t="s">
        <v>1653</v>
      </c>
      <c r="O2114" s="1786">
        <v>0</v>
      </c>
      <c r="P2114" s="1786"/>
      <c r="Q2114" s="1786">
        <v>0</v>
      </c>
      <c r="R2114" s="1788"/>
      <c r="S2114" s="1786">
        <f t="shared" si="358"/>
        <v>160</v>
      </c>
      <c r="T2114" s="1786" t="str">
        <f t="shared" si="359"/>
        <v>הבנק הבינלאומי הראשון</v>
      </c>
      <c r="U2114" s="1786" t="str">
        <f t="shared" si="360"/>
        <v>קופת גמל שדות</v>
      </c>
      <c r="V2114" s="1786">
        <f t="shared" si="361"/>
        <v>0</v>
      </c>
      <c r="W2114" s="1789" t="str">
        <f t="shared" si="362"/>
        <v>הנדסאים וטכנאים - חברה לניהול קופות גמל בע"מ</v>
      </c>
      <c r="AC2114" s="1759" t="s">
        <v>346</v>
      </c>
      <c r="AD2114" s="1759"/>
      <c r="AE2114" s="1760">
        <v>35054</v>
      </c>
      <c r="AF2114" s="1759" t="s">
        <v>3932</v>
      </c>
      <c r="AG2114" s="1759" t="s">
        <v>3931</v>
      </c>
      <c r="AH2114" s="1759" t="s">
        <v>3658</v>
      </c>
      <c r="AI2114" s="1759" t="s">
        <v>4478</v>
      </c>
      <c r="AJ2114" s="1759" t="s">
        <v>4477</v>
      </c>
      <c r="AK2114" s="1759">
        <v>9949</v>
      </c>
      <c r="AL2114" s="1759" t="s">
        <v>4474</v>
      </c>
      <c r="AM2114" s="1759">
        <v>160</v>
      </c>
      <c r="AN2114" s="1759" t="s">
        <v>5384</v>
      </c>
      <c r="AO2114" s="1764"/>
      <c r="AP2114" s="1759" t="s">
        <v>5787</v>
      </c>
      <c r="AQ2114" s="1759"/>
      <c r="AR2114" s="1759" t="s">
        <v>381</v>
      </c>
      <c r="AS2114" s="1759" t="s">
        <v>382</v>
      </c>
      <c r="AT2114" s="1759" t="s">
        <v>327</v>
      </c>
      <c r="AU2114" s="1763"/>
      <c r="AV2114" s="1763"/>
    </row>
    <row r="2115" spans="1:48" ht="25" hidden="1">
      <c r="A2115" s="1785" t="str">
        <f t="shared" si="352"/>
        <v>גמל</v>
      </c>
      <c r="B2115" s="1786">
        <f t="shared" si="353"/>
        <v>7221</v>
      </c>
      <c r="C2115" s="1787">
        <v>28946</v>
      </c>
      <c r="D2115" s="1786" t="str">
        <f t="shared" si="354"/>
        <v>קופת גמל עו"ס לבני 50 ומטה</v>
      </c>
      <c r="E2115" s="1786" t="s">
        <v>3929</v>
      </c>
      <c r="F2115" s="1786" t="s">
        <v>2958</v>
      </c>
      <c r="G2115" s="1786" t="s">
        <v>2959</v>
      </c>
      <c r="H2115" s="1786" t="str">
        <f t="shared" si="355"/>
        <v>פעיל</v>
      </c>
      <c r="I2115" s="1788">
        <f t="shared" si="356"/>
        <v>35054</v>
      </c>
      <c r="J2115" s="1788" t="str">
        <f t="shared" si="357"/>
        <v/>
      </c>
      <c r="K2115" s="1786">
        <v>0</v>
      </c>
      <c r="L2115" s="1786" t="s">
        <v>1594</v>
      </c>
      <c r="M2115" s="1786" t="s">
        <v>1653</v>
      </c>
      <c r="N2115" s="1786" t="s">
        <v>1653</v>
      </c>
      <c r="O2115" s="1786">
        <v>0</v>
      </c>
      <c r="P2115" s="1786"/>
      <c r="Q2115" s="1786">
        <v>0</v>
      </c>
      <c r="R2115" s="1788"/>
      <c r="S2115" s="1786">
        <f t="shared" si="358"/>
        <v>159</v>
      </c>
      <c r="T2115" s="1786" t="str">
        <f t="shared" si="359"/>
        <v>הבנק הבינלאומי הראשון</v>
      </c>
      <c r="U2115" s="1786" t="str">
        <f t="shared" si="360"/>
        <v xml:space="preserve">קופת גמל עו"ס </v>
      </c>
      <c r="V2115" s="1786">
        <f t="shared" si="361"/>
        <v>0</v>
      </c>
      <c r="W2115" s="1789" t="str">
        <f t="shared" si="362"/>
        <v>עו"ס - חברה לניהול קופות גמל בע"מ</v>
      </c>
      <c r="AC2115" s="1761" t="s">
        <v>346</v>
      </c>
      <c r="AD2115" s="1759"/>
      <c r="AE2115" s="1762">
        <v>35054</v>
      </c>
      <c r="AF2115" s="1761" t="s">
        <v>4151</v>
      </c>
      <c r="AG2115" s="1761" t="s">
        <v>3931</v>
      </c>
      <c r="AH2115" s="1761" t="s">
        <v>3658</v>
      </c>
      <c r="AI2115" s="1761" t="s">
        <v>4200</v>
      </c>
      <c r="AJ2115" s="1761" t="s">
        <v>4199</v>
      </c>
      <c r="AK2115" s="1761">
        <v>7221</v>
      </c>
      <c r="AL2115" s="1761" t="s">
        <v>4201</v>
      </c>
      <c r="AM2115" s="1761">
        <v>159</v>
      </c>
      <c r="AN2115" s="1761" t="s">
        <v>5384</v>
      </c>
      <c r="AO2115" s="1764"/>
      <c r="AP2115" s="1761" t="s">
        <v>5670</v>
      </c>
      <c r="AQ2115" s="1761"/>
      <c r="AR2115" s="1761" t="s">
        <v>385</v>
      </c>
      <c r="AS2115" s="1761" t="s">
        <v>386</v>
      </c>
      <c r="AT2115" s="1761" t="s">
        <v>327</v>
      </c>
      <c r="AU2115" s="1763"/>
      <c r="AV2115" s="1763"/>
    </row>
    <row r="2116" spans="1:48" ht="25" hidden="1">
      <c r="A2116" s="1785" t="str">
        <f t="shared" si="352"/>
        <v>גמל</v>
      </c>
      <c r="B2116" s="1786">
        <f t="shared" si="353"/>
        <v>7222</v>
      </c>
      <c r="C2116" s="1787">
        <v>28946</v>
      </c>
      <c r="D2116" s="1786" t="str">
        <f t="shared" si="354"/>
        <v>קופת גמל עו"ס לבני 50 עד 60</v>
      </c>
      <c r="E2116" s="1786" t="s">
        <v>3929</v>
      </c>
      <c r="F2116" s="1786" t="s">
        <v>2958</v>
      </c>
      <c r="G2116" s="1786" t="s">
        <v>2959</v>
      </c>
      <c r="H2116" s="1786" t="str">
        <f t="shared" si="355"/>
        <v>פעיל</v>
      </c>
      <c r="I2116" s="1788">
        <f t="shared" si="356"/>
        <v>35054</v>
      </c>
      <c r="J2116" s="1788" t="str">
        <f t="shared" si="357"/>
        <v/>
      </c>
      <c r="K2116" s="1786">
        <v>0</v>
      </c>
      <c r="L2116" s="1786" t="s">
        <v>1594</v>
      </c>
      <c r="M2116" s="1786" t="s">
        <v>1653</v>
      </c>
      <c r="N2116" s="1786" t="s">
        <v>1653</v>
      </c>
      <c r="O2116" s="1786">
        <v>0</v>
      </c>
      <c r="P2116" s="1786"/>
      <c r="Q2116" s="1786">
        <v>0</v>
      </c>
      <c r="R2116" s="1788"/>
      <c r="S2116" s="1786">
        <f t="shared" si="358"/>
        <v>159</v>
      </c>
      <c r="T2116" s="1786" t="str">
        <f t="shared" si="359"/>
        <v>הבנק הבינלאומי הראשון</v>
      </c>
      <c r="U2116" s="1786" t="str">
        <f t="shared" si="360"/>
        <v xml:space="preserve">קופת גמל עו"ס </v>
      </c>
      <c r="V2116" s="1786">
        <f t="shared" si="361"/>
        <v>0</v>
      </c>
      <c r="W2116" s="1789" t="str">
        <f t="shared" si="362"/>
        <v>עו"ס - חברה לניהול קופות גמל בע"מ</v>
      </c>
      <c r="AC2116" s="1759" t="s">
        <v>346</v>
      </c>
      <c r="AD2116" s="1759"/>
      <c r="AE2116" s="1760">
        <v>35054</v>
      </c>
      <c r="AF2116" s="1759" t="s">
        <v>3932</v>
      </c>
      <c r="AG2116" s="1759" t="s">
        <v>3931</v>
      </c>
      <c r="AH2116" s="1759" t="s">
        <v>3658</v>
      </c>
      <c r="AI2116" s="1759" t="s">
        <v>4203</v>
      </c>
      <c r="AJ2116" s="1759" t="s">
        <v>4202</v>
      </c>
      <c r="AK2116" s="1759">
        <v>7222</v>
      </c>
      <c r="AL2116" s="1759" t="s">
        <v>4201</v>
      </c>
      <c r="AM2116" s="1759">
        <v>159</v>
      </c>
      <c r="AN2116" s="1759" t="s">
        <v>5384</v>
      </c>
      <c r="AO2116" s="1764"/>
      <c r="AP2116" s="1759" t="s">
        <v>5670</v>
      </c>
      <c r="AQ2116" s="1759"/>
      <c r="AR2116" s="1759" t="s">
        <v>385</v>
      </c>
      <c r="AS2116" s="1759" t="s">
        <v>386</v>
      </c>
      <c r="AT2116" s="1759" t="s">
        <v>327</v>
      </c>
      <c r="AU2116" s="1763"/>
      <c r="AV2116" s="1763"/>
    </row>
    <row r="2117" spans="1:48" ht="25" hidden="1">
      <c r="A2117" s="1785" t="str">
        <f t="shared" si="352"/>
        <v>גמל</v>
      </c>
      <c r="B2117" s="1786">
        <f t="shared" si="353"/>
        <v>159</v>
      </c>
      <c r="C2117" s="1787">
        <v>28946</v>
      </c>
      <c r="D2117" s="1786" t="str">
        <f t="shared" si="354"/>
        <v>קופת גמל עו"ס מסלול כללי</v>
      </c>
      <c r="E2117" s="1786" t="s">
        <v>3929</v>
      </c>
      <c r="F2117" s="1786" t="s">
        <v>2958</v>
      </c>
      <c r="G2117" s="1786" t="s">
        <v>2959</v>
      </c>
      <c r="H2117" s="1786" t="str">
        <f t="shared" si="355"/>
        <v>לא פעיל</v>
      </c>
      <c r="I2117" s="1788">
        <f t="shared" si="356"/>
        <v>35054</v>
      </c>
      <c r="J2117" s="1788">
        <f t="shared" si="357"/>
        <v>42373.488321759301</v>
      </c>
      <c r="K2117" s="1786">
        <v>0</v>
      </c>
      <c r="L2117" s="1786" t="s">
        <v>1594</v>
      </c>
      <c r="M2117" s="1786" t="s">
        <v>1653</v>
      </c>
      <c r="N2117" s="1786" t="s">
        <v>1653</v>
      </c>
      <c r="O2117" s="1786">
        <v>0</v>
      </c>
      <c r="P2117" s="1786"/>
      <c r="Q2117" s="1786">
        <v>0</v>
      </c>
      <c r="R2117" s="1788"/>
      <c r="S2117" s="1786">
        <f t="shared" si="358"/>
        <v>159</v>
      </c>
      <c r="T2117" s="1786" t="str">
        <f t="shared" si="359"/>
        <v>הבנק הבינלאומי הראשון</v>
      </c>
      <c r="U2117" s="1786" t="str">
        <f t="shared" si="360"/>
        <v xml:space="preserve">קופת גמל עו"ס </v>
      </c>
      <c r="V2117" s="1786">
        <f t="shared" si="361"/>
        <v>0</v>
      </c>
      <c r="W2117" s="1789" t="str">
        <f t="shared" si="362"/>
        <v>עו"ס - חברה לניהול קופות גמל בע"מ</v>
      </c>
      <c r="AC2117" s="1761" t="s">
        <v>1586</v>
      </c>
      <c r="AD2117" s="1762">
        <v>42373.488321759301</v>
      </c>
      <c r="AE2117" s="1762">
        <v>35054</v>
      </c>
      <c r="AF2117" s="1761" t="s">
        <v>1583</v>
      </c>
      <c r="AG2117" s="1761" t="s">
        <v>1583</v>
      </c>
      <c r="AH2117" s="1761" t="s">
        <v>1583</v>
      </c>
      <c r="AI2117" s="1761" t="s">
        <v>387</v>
      </c>
      <c r="AJ2117" s="1761" t="s">
        <v>387</v>
      </c>
      <c r="AK2117" s="1761">
        <v>159</v>
      </c>
      <c r="AL2117" s="1761" t="s">
        <v>4201</v>
      </c>
      <c r="AM2117" s="1761">
        <v>159</v>
      </c>
      <c r="AN2117" s="1761" t="s">
        <v>5384</v>
      </c>
      <c r="AO2117" s="1764"/>
      <c r="AP2117" s="1761" t="s">
        <v>5670</v>
      </c>
      <c r="AQ2117" s="1761"/>
      <c r="AR2117" s="1761" t="s">
        <v>385</v>
      </c>
      <c r="AS2117" s="1761" t="s">
        <v>386</v>
      </c>
      <c r="AT2117" s="1761" t="s">
        <v>327</v>
      </c>
      <c r="AU2117" s="1763"/>
      <c r="AV2117" s="1763"/>
    </row>
    <row r="2118" spans="1:48" ht="25" hidden="1">
      <c r="A2118" s="1785" t="str">
        <f t="shared" si="352"/>
        <v>גמל</v>
      </c>
      <c r="B2118" s="1786">
        <f t="shared" si="353"/>
        <v>1437</v>
      </c>
      <c r="C2118" s="1787">
        <v>28946</v>
      </c>
      <c r="D2118" s="1786" t="str">
        <f t="shared" si="354"/>
        <v>קופת גמל עו"ס מסלול ללא מניות</v>
      </c>
      <c r="E2118" s="1786" t="s">
        <v>3929</v>
      </c>
      <c r="F2118" s="1786" t="s">
        <v>2958</v>
      </c>
      <c r="G2118" s="1786" t="s">
        <v>2959</v>
      </c>
      <c r="H2118" s="1786" t="str">
        <f t="shared" si="355"/>
        <v>לא פעיל</v>
      </c>
      <c r="I2118" s="1788">
        <f t="shared" si="356"/>
        <v>35054</v>
      </c>
      <c r="J2118" s="1788">
        <f t="shared" si="357"/>
        <v>42373.488321759301</v>
      </c>
      <c r="K2118" s="1786">
        <v>0</v>
      </c>
      <c r="L2118" s="1786" t="s">
        <v>1594</v>
      </c>
      <c r="M2118" s="1786" t="s">
        <v>1653</v>
      </c>
      <c r="N2118" s="1786" t="s">
        <v>1653</v>
      </c>
      <c r="O2118" s="1786">
        <v>0</v>
      </c>
      <c r="P2118" s="1786"/>
      <c r="Q2118" s="1786">
        <v>0</v>
      </c>
      <c r="R2118" s="1788"/>
      <c r="S2118" s="1786">
        <f t="shared" si="358"/>
        <v>159</v>
      </c>
      <c r="T2118" s="1786" t="str">
        <f t="shared" si="359"/>
        <v>הבנק הבינלאומי הראשון</v>
      </c>
      <c r="U2118" s="1786" t="str">
        <f t="shared" si="360"/>
        <v xml:space="preserve">קופת גמל עו"ס </v>
      </c>
      <c r="V2118" s="1786">
        <f t="shared" si="361"/>
        <v>0</v>
      </c>
      <c r="W2118" s="1789" t="str">
        <f t="shared" si="362"/>
        <v>עו"ס - חברה לניהול קופות גמל בע"מ</v>
      </c>
      <c r="AC2118" s="1759" t="s">
        <v>1586</v>
      </c>
      <c r="AD2118" s="1760">
        <v>42373.488321759301</v>
      </c>
      <c r="AE2118" s="1760">
        <v>35054</v>
      </c>
      <c r="AF2118" s="1759" t="s">
        <v>1681</v>
      </c>
      <c r="AG2118" s="1759" t="s">
        <v>1583</v>
      </c>
      <c r="AH2118" s="1759" t="s">
        <v>1583</v>
      </c>
      <c r="AI2118" s="1759" t="s">
        <v>2467</v>
      </c>
      <c r="AJ2118" s="1759" t="s">
        <v>2467</v>
      </c>
      <c r="AK2118" s="1759">
        <v>1437</v>
      </c>
      <c r="AL2118" s="1759" t="s">
        <v>4201</v>
      </c>
      <c r="AM2118" s="1759">
        <v>159</v>
      </c>
      <c r="AN2118" s="1759" t="s">
        <v>5384</v>
      </c>
      <c r="AO2118" s="1764"/>
      <c r="AP2118" s="1759" t="s">
        <v>5670</v>
      </c>
      <c r="AQ2118" s="1759"/>
      <c r="AR2118" s="1759" t="s">
        <v>385</v>
      </c>
      <c r="AS2118" s="1759" t="s">
        <v>386</v>
      </c>
      <c r="AT2118" s="1759" t="s">
        <v>327</v>
      </c>
      <c r="AU2118" s="1763"/>
      <c r="AV2118" s="1763"/>
    </row>
    <row r="2119" spans="1:48" ht="25" hidden="1">
      <c r="A2119" s="1785" t="str">
        <f t="shared" si="352"/>
        <v>גמל</v>
      </c>
      <c r="B2119" s="1786">
        <f t="shared" si="353"/>
        <v>7223</v>
      </c>
      <c r="C2119" s="1787">
        <v>28946</v>
      </c>
      <c r="D2119" s="1786" t="str">
        <f t="shared" si="354"/>
        <v>קופת גמל עו"ס לבני 60 ומעלה</v>
      </c>
      <c r="E2119" s="1786" t="s">
        <v>3929</v>
      </c>
      <c r="F2119" s="1786" t="s">
        <v>2958</v>
      </c>
      <c r="G2119" s="1786" t="s">
        <v>2959</v>
      </c>
      <c r="H2119" s="1786" t="str">
        <f t="shared" si="355"/>
        <v>פעיל</v>
      </c>
      <c r="I2119" s="1788">
        <f t="shared" si="356"/>
        <v>35054</v>
      </c>
      <c r="J2119" s="1788" t="str">
        <f t="shared" si="357"/>
        <v/>
      </c>
      <c r="K2119" s="1786">
        <v>0</v>
      </c>
      <c r="L2119" s="1786" t="s">
        <v>1594</v>
      </c>
      <c r="M2119" s="1786" t="s">
        <v>1653</v>
      </c>
      <c r="N2119" s="1786" t="s">
        <v>1653</v>
      </c>
      <c r="O2119" s="1786">
        <v>0</v>
      </c>
      <c r="P2119" s="1786"/>
      <c r="Q2119" s="1786">
        <v>0</v>
      </c>
      <c r="R2119" s="1788"/>
      <c r="S2119" s="1786">
        <f t="shared" si="358"/>
        <v>159</v>
      </c>
      <c r="T2119" s="1786" t="str">
        <f t="shared" si="359"/>
        <v>הבנק הבינלאומי הראשון</v>
      </c>
      <c r="U2119" s="1786" t="str">
        <f t="shared" si="360"/>
        <v xml:space="preserve">קופת גמל עו"ס </v>
      </c>
      <c r="V2119" s="1786">
        <f t="shared" si="361"/>
        <v>0</v>
      </c>
      <c r="W2119" s="1789" t="str">
        <f t="shared" si="362"/>
        <v>עו"ס - חברה לניהול קופות גמל בע"מ</v>
      </c>
      <c r="AC2119" s="1761" t="s">
        <v>346</v>
      </c>
      <c r="AD2119" s="1761"/>
      <c r="AE2119" s="1762">
        <v>35054</v>
      </c>
      <c r="AF2119" s="1761" t="s">
        <v>3963</v>
      </c>
      <c r="AG2119" s="1761" t="s">
        <v>3931</v>
      </c>
      <c r="AH2119" s="1761" t="s">
        <v>3658</v>
      </c>
      <c r="AI2119" s="1761" t="s">
        <v>4205</v>
      </c>
      <c r="AJ2119" s="1761" t="s">
        <v>4204</v>
      </c>
      <c r="AK2119" s="1761">
        <v>7223</v>
      </c>
      <c r="AL2119" s="1761" t="s">
        <v>4201</v>
      </c>
      <c r="AM2119" s="1761">
        <v>159</v>
      </c>
      <c r="AN2119" s="1761" t="s">
        <v>5384</v>
      </c>
      <c r="AO2119" s="1764"/>
      <c r="AP2119" s="1761" t="s">
        <v>5670</v>
      </c>
      <c r="AQ2119" s="1761"/>
      <c r="AR2119" s="1761" t="s">
        <v>385</v>
      </c>
      <c r="AS2119" s="1761" t="s">
        <v>386</v>
      </c>
      <c r="AT2119" s="1761" t="s">
        <v>327</v>
      </c>
      <c r="AU2119" s="1763"/>
      <c r="AV2119" s="1763"/>
    </row>
    <row r="2120" spans="1:48" ht="37.5" hidden="1">
      <c r="A2120" s="1785" t="str">
        <f t="shared" si="352"/>
        <v>גמל</v>
      </c>
      <c r="B2120" s="1786">
        <f t="shared" si="353"/>
        <v>9935</v>
      </c>
      <c r="C2120" s="1787">
        <v>28946</v>
      </c>
      <c r="D2120" s="1786" t="str">
        <f t="shared" si="354"/>
        <v>קופת גמל מחר לבני 50 ומטה</v>
      </c>
      <c r="E2120" s="1786" t="s">
        <v>3929</v>
      </c>
      <c r="F2120" s="1786" t="s">
        <v>2958</v>
      </c>
      <c r="G2120" s="1786" t="s">
        <v>2959</v>
      </c>
      <c r="H2120" s="1786" t="str">
        <f t="shared" si="355"/>
        <v>פעיל</v>
      </c>
      <c r="I2120" s="1788">
        <f t="shared" si="356"/>
        <v>35054</v>
      </c>
      <c r="J2120" s="1788" t="str">
        <f t="shared" si="357"/>
        <v/>
      </c>
      <c r="K2120" s="1786">
        <v>0</v>
      </c>
      <c r="L2120" s="1786" t="s">
        <v>1594</v>
      </c>
      <c r="M2120" s="1786" t="s">
        <v>1653</v>
      </c>
      <c r="N2120" s="1786" t="s">
        <v>1653</v>
      </c>
      <c r="O2120" s="1786">
        <v>0</v>
      </c>
      <c r="P2120" s="1786"/>
      <c r="Q2120" s="1786">
        <v>0</v>
      </c>
      <c r="R2120" s="1788"/>
      <c r="S2120" s="1786">
        <f t="shared" si="358"/>
        <v>158</v>
      </c>
      <c r="T2120" s="1786" t="str">
        <f t="shared" si="359"/>
        <v>לאומי</v>
      </c>
      <c r="U2120" s="1786" t="str">
        <f t="shared" si="360"/>
        <v>קופת גמל מחר</v>
      </c>
      <c r="V2120" s="1786">
        <f t="shared" si="361"/>
        <v>0</v>
      </c>
      <c r="W2120" s="1789" t="str">
        <f t="shared" si="362"/>
        <v>מחר - חברה לניהול קופות גמל בע"מ</v>
      </c>
      <c r="AC2120" s="1759" t="s">
        <v>346</v>
      </c>
      <c r="AD2120" s="1759"/>
      <c r="AE2120" s="1760">
        <v>35054</v>
      </c>
      <c r="AF2120" s="1759" t="s">
        <v>4151</v>
      </c>
      <c r="AG2120" s="1759" t="s">
        <v>3931</v>
      </c>
      <c r="AH2120" s="1759" t="s">
        <v>3658</v>
      </c>
      <c r="AI2120" s="1759" t="s">
        <v>4461</v>
      </c>
      <c r="AJ2120" s="1759" t="s">
        <v>4460</v>
      </c>
      <c r="AK2120" s="1759">
        <v>9935</v>
      </c>
      <c r="AL2120" s="1759" t="s">
        <v>2991</v>
      </c>
      <c r="AM2120" s="1759">
        <v>158</v>
      </c>
      <c r="AN2120" s="1759" t="s">
        <v>5305</v>
      </c>
      <c r="AO2120" s="1764"/>
      <c r="AP2120" s="1759" t="s">
        <v>5677</v>
      </c>
      <c r="AQ2120" s="1759"/>
      <c r="AR2120" s="1759" t="s">
        <v>2992</v>
      </c>
      <c r="AS2120" s="1759" t="s">
        <v>384</v>
      </c>
      <c r="AT2120" s="1759" t="s">
        <v>327</v>
      </c>
      <c r="AU2120" s="1763"/>
      <c r="AV2120" s="1763"/>
    </row>
    <row r="2121" spans="1:48" ht="37.5" hidden="1">
      <c r="A2121" s="1785" t="str">
        <f t="shared" si="352"/>
        <v>גמל</v>
      </c>
      <c r="B2121" s="1786">
        <f t="shared" si="353"/>
        <v>9936</v>
      </c>
      <c r="C2121" s="1787">
        <v>28946</v>
      </c>
      <c r="D2121" s="1786" t="str">
        <f t="shared" si="354"/>
        <v>קופת גמל מחר לבני 50 עד 60</v>
      </c>
      <c r="E2121" s="1786" t="s">
        <v>3929</v>
      </c>
      <c r="F2121" s="1786" t="s">
        <v>2958</v>
      </c>
      <c r="G2121" s="1786" t="s">
        <v>2959</v>
      </c>
      <c r="H2121" s="1786" t="str">
        <f t="shared" si="355"/>
        <v>פעיל</v>
      </c>
      <c r="I2121" s="1788">
        <f t="shared" si="356"/>
        <v>35054</v>
      </c>
      <c r="J2121" s="1788" t="str">
        <f t="shared" si="357"/>
        <v/>
      </c>
      <c r="K2121" s="1786">
        <v>0</v>
      </c>
      <c r="L2121" s="1786" t="s">
        <v>1594</v>
      </c>
      <c r="M2121" s="1786" t="s">
        <v>1653</v>
      </c>
      <c r="N2121" s="1786" t="s">
        <v>1653</v>
      </c>
      <c r="O2121" s="1786">
        <v>0</v>
      </c>
      <c r="P2121" s="1786"/>
      <c r="Q2121" s="1786">
        <v>0</v>
      </c>
      <c r="R2121" s="1788"/>
      <c r="S2121" s="1786">
        <f t="shared" si="358"/>
        <v>158</v>
      </c>
      <c r="T2121" s="1786" t="str">
        <f t="shared" si="359"/>
        <v>לאומי</v>
      </c>
      <c r="U2121" s="1786" t="str">
        <f t="shared" si="360"/>
        <v>קופת גמל מחר</v>
      </c>
      <c r="V2121" s="1786">
        <f t="shared" si="361"/>
        <v>0</v>
      </c>
      <c r="W2121" s="1789" t="str">
        <f t="shared" si="362"/>
        <v>מחר - חברה לניהול קופות גמל בע"מ</v>
      </c>
      <c r="AC2121" s="1761" t="s">
        <v>346</v>
      </c>
      <c r="AD2121" s="1761"/>
      <c r="AE2121" s="1762">
        <v>35054</v>
      </c>
      <c r="AF2121" s="1761" t="s">
        <v>3932</v>
      </c>
      <c r="AG2121" s="1761" t="s">
        <v>3931</v>
      </c>
      <c r="AH2121" s="1761" t="s">
        <v>3658</v>
      </c>
      <c r="AI2121" s="1761" t="s">
        <v>4463</v>
      </c>
      <c r="AJ2121" s="1761" t="s">
        <v>4462</v>
      </c>
      <c r="AK2121" s="1761">
        <v>9936</v>
      </c>
      <c r="AL2121" s="1761" t="s">
        <v>2991</v>
      </c>
      <c r="AM2121" s="1761">
        <v>158</v>
      </c>
      <c r="AN2121" s="1761" t="s">
        <v>5305</v>
      </c>
      <c r="AO2121" s="1764"/>
      <c r="AP2121" s="1761" t="s">
        <v>5677</v>
      </c>
      <c r="AQ2121" s="1761"/>
      <c r="AR2121" s="1761" t="s">
        <v>2992</v>
      </c>
      <c r="AS2121" s="1761" t="s">
        <v>384</v>
      </c>
      <c r="AT2121" s="1761" t="s">
        <v>327</v>
      </c>
      <c r="AU2121" s="1763"/>
      <c r="AV2121" s="1763"/>
    </row>
    <row r="2122" spans="1:48" ht="37.5" hidden="1">
      <c r="A2122" s="1785" t="str">
        <f t="shared" si="352"/>
        <v>גמל</v>
      </c>
      <c r="B2122" s="1786">
        <f t="shared" si="353"/>
        <v>9937</v>
      </c>
      <c r="C2122" s="1787">
        <v>28946</v>
      </c>
      <c r="D2122" s="1786" t="str">
        <f t="shared" si="354"/>
        <v>קופת גמל מחר לבני 60 ומעלה</v>
      </c>
      <c r="E2122" s="1786" t="s">
        <v>3929</v>
      </c>
      <c r="F2122" s="1786" t="s">
        <v>2958</v>
      </c>
      <c r="G2122" s="1786" t="s">
        <v>2959</v>
      </c>
      <c r="H2122" s="1786" t="str">
        <f t="shared" si="355"/>
        <v>פעיל</v>
      </c>
      <c r="I2122" s="1788">
        <f t="shared" si="356"/>
        <v>35054</v>
      </c>
      <c r="J2122" s="1788" t="str">
        <f t="shared" si="357"/>
        <v/>
      </c>
      <c r="K2122" s="1786">
        <v>0</v>
      </c>
      <c r="L2122" s="1786" t="s">
        <v>1594</v>
      </c>
      <c r="M2122" s="1786" t="s">
        <v>1653</v>
      </c>
      <c r="N2122" s="1786" t="s">
        <v>1653</v>
      </c>
      <c r="O2122" s="1786">
        <v>0</v>
      </c>
      <c r="P2122" s="1786"/>
      <c r="Q2122" s="1786">
        <v>0</v>
      </c>
      <c r="R2122" s="1788"/>
      <c r="S2122" s="1786">
        <f t="shared" si="358"/>
        <v>158</v>
      </c>
      <c r="T2122" s="1786" t="str">
        <f t="shared" si="359"/>
        <v>לאומי</v>
      </c>
      <c r="U2122" s="1786" t="str">
        <f t="shared" si="360"/>
        <v>קופת גמל מחר</v>
      </c>
      <c r="V2122" s="1786">
        <f t="shared" si="361"/>
        <v>0</v>
      </c>
      <c r="W2122" s="1789" t="str">
        <f t="shared" si="362"/>
        <v>מחר - חברה לניהול קופות גמל בע"מ</v>
      </c>
      <c r="AC2122" s="1759" t="s">
        <v>346</v>
      </c>
      <c r="AD2122" s="1759"/>
      <c r="AE2122" s="1760">
        <v>35054</v>
      </c>
      <c r="AF2122" s="1759" t="s">
        <v>3963</v>
      </c>
      <c r="AG2122" s="1759" t="s">
        <v>3931</v>
      </c>
      <c r="AH2122" s="1759" t="s">
        <v>3658</v>
      </c>
      <c r="AI2122" s="1759" t="s">
        <v>4465</v>
      </c>
      <c r="AJ2122" s="1759" t="s">
        <v>4464</v>
      </c>
      <c r="AK2122" s="1759">
        <v>9937</v>
      </c>
      <c r="AL2122" s="1759" t="s">
        <v>2991</v>
      </c>
      <c r="AM2122" s="1759">
        <v>158</v>
      </c>
      <c r="AN2122" s="1759" t="s">
        <v>5305</v>
      </c>
      <c r="AO2122" s="1764"/>
      <c r="AP2122" s="1759" t="s">
        <v>5677</v>
      </c>
      <c r="AQ2122" s="1759"/>
      <c r="AR2122" s="1759" t="s">
        <v>2992</v>
      </c>
      <c r="AS2122" s="1759" t="s">
        <v>384</v>
      </c>
      <c r="AT2122" s="1759" t="s">
        <v>327</v>
      </c>
      <c r="AU2122" s="1763"/>
      <c r="AV2122" s="1763"/>
    </row>
    <row r="2123" spans="1:48" ht="37.5" hidden="1">
      <c r="A2123" s="1785" t="str">
        <f t="shared" si="352"/>
        <v>גמל</v>
      </c>
      <c r="B2123" s="1786">
        <f t="shared" si="353"/>
        <v>158</v>
      </c>
      <c r="C2123" s="1787">
        <v>28946</v>
      </c>
      <c r="D2123" s="1786" t="str">
        <f t="shared" si="354"/>
        <v>קופת גמל מחר מסלול כללי</v>
      </c>
      <c r="E2123" s="1786" t="s">
        <v>3929</v>
      </c>
      <c r="F2123" s="1786" t="s">
        <v>2958</v>
      </c>
      <c r="G2123" s="1786" t="s">
        <v>2959</v>
      </c>
      <c r="H2123" s="1786" t="str">
        <f t="shared" si="355"/>
        <v>לא פעיל</v>
      </c>
      <c r="I2123" s="1788">
        <f t="shared" si="356"/>
        <v>35054</v>
      </c>
      <c r="J2123" s="1788">
        <f t="shared" si="357"/>
        <v>42373.5325115741</v>
      </c>
      <c r="K2123" s="1786">
        <v>0</v>
      </c>
      <c r="L2123" s="1786" t="s">
        <v>1594</v>
      </c>
      <c r="M2123" s="1786" t="s">
        <v>1653</v>
      </c>
      <c r="N2123" s="1786" t="s">
        <v>1653</v>
      </c>
      <c r="O2123" s="1786">
        <v>0</v>
      </c>
      <c r="P2123" s="1786"/>
      <c r="Q2123" s="1786">
        <v>0</v>
      </c>
      <c r="R2123" s="1788"/>
      <c r="S2123" s="1786">
        <f t="shared" si="358"/>
        <v>158</v>
      </c>
      <c r="T2123" s="1786" t="str">
        <f t="shared" si="359"/>
        <v>לאומי</v>
      </c>
      <c r="U2123" s="1786" t="str">
        <f t="shared" si="360"/>
        <v>קופת גמל מחר</v>
      </c>
      <c r="V2123" s="1786">
        <f t="shared" si="361"/>
        <v>0</v>
      </c>
      <c r="W2123" s="1789" t="str">
        <f t="shared" si="362"/>
        <v>מחר - חברה לניהול קופות גמל בע"מ</v>
      </c>
      <c r="AC2123" s="1761" t="s">
        <v>1586</v>
      </c>
      <c r="AD2123" s="1762">
        <v>42373.5325115741</v>
      </c>
      <c r="AE2123" s="1762">
        <v>35054</v>
      </c>
      <c r="AF2123" s="1761" t="s">
        <v>1583</v>
      </c>
      <c r="AG2123" s="1761" t="s">
        <v>1583</v>
      </c>
      <c r="AH2123" s="1761" t="s">
        <v>1583</v>
      </c>
      <c r="AI2123" s="1761" t="s">
        <v>2990</v>
      </c>
      <c r="AJ2123" s="1761" t="s">
        <v>2990</v>
      </c>
      <c r="AK2123" s="1761">
        <v>158</v>
      </c>
      <c r="AL2123" s="1761" t="s">
        <v>2991</v>
      </c>
      <c r="AM2123" s="1761">
        <v>158</v>
      </c>
      <c r="AN2123" s="1761" t="s">
        <v>5305</v>
      </c>
      <c r="AO2123" s="1764"/>
      <c r="AP2123" s="1761" t="s">
        <v>5677</v>
      </c>
      <c r="AQ2123" s="1761"/>
      <c r="AR2123" s="1761" t="s">
        <v>2992</v>
      </c>
      <c r="AS2123" s="1761" t="s">
        <v>384</v>
      </c>
      <c r="AT2123" s="1761" t="s">
        <v>327</v>
      </c>
      <c r="AU2123" s="1763"/>
      <c r="AV2123" s="1763"/>
    </row>
    <row r="2124" spans="1:48" ht="37.5" hidden="1">
      <c r="A2124" s="1785" t="str">
        <f t="shared" si="352"/>
        <v>גמל</v>
      </c>
      <c r="B2124" s="1786">
        <f t="shared" si="353"/>
        <v>1440</v>
      </c>
      <c r="C2124" s="1787">
        <v>28946</v>
      </c>
      <c r="D2124" s="1786" t="str">
        <f t="shared" si="354"/>
        <v>קופת גמל מחר מסלול אג"ח</v>
      </c>
      <c r="E2124" s="1786" t="s">
        <v>3929</v>
      </c>
      <c r="F2124" s="1786" t="s">
        <v>2958</v>
      </c>
      <c r="G2124" s="1786" t="s">
        <v>2959</v>
      </c>
      <c r="H2124" s="1786" t="str">
        <f t="shared" si="355"/>
        <v>לא פעיל</v>
      </c>
      <c r="I2124" s="1788">
        <f t="shared" si="356"/>
        <v>35054</v>
      </c>
      <c r="J2124" s="1788">
        <f t="shared" si="357"/>
        <v>42373.5325115741</v>
      </c>
      <c r="K2124" s="1786">
        <v>0</v>
      </c>
      <c r="L2124" s="1786" t="s">
        <v>1594</v>
      </c>
      <c r="M2124" s="1786" t="s">
        <v>1653</v>
      </c>
      <c r="N2124" s="1786" t="s">
        <v>1653</v>
      </c>
      <c r="O2124" s="1786">
        <v>0</v>
      </c>
      <c r="P2124" s="1786"/>
      <c r="Q2124" s="1786">
        <v>0</v>
      </c>
      <c r="R2124" s="1788"/>
      <c r="S2124" s="1786">
        <f t="shared" si="358"/>
        <v>158</v>
      </c>
      <c r="T2124" s="1786" t="str">
        <f t="shared" si="359"/>
        <v>לאומי</v>
      </c>
      <c r="U2124" s="1786" t="str">
        <f t="shared" si="360"/>
        <v>קופת גמל מחר</v>
      </c>
      <c r="V2124" s="1786">
        <f t="shared" si="361"/>
        <v>0</v>
      </c>
      <c r="W2124" s="1789" t="str">
        <f t="shared" si="362"/>
        <v>מחר - חברה לניהול קופות גמל בע"מ</v>
      </c>
      <c r="AC2124" s="1759" t="s">
        <v>1586</v>
      </c>
      <c r="AD2124" s="1760">
        <v>42373.5325115741</v>
      </c>
      <c r="AE2124" s="1760">
        <v>35054</v>
      </c>
      <c r="AF2124" s="1759" t="s">
        <v>1653</v>
      </c>
      <c r="AG2124" s="1759" t="s">
        <v>1653</v>
      </c>
      <c r="AH2124" s="1759" t="s">
        <v>1594</v>
      </c>
      <c r="AI2124" s="1759" t="s">
        <v>3637</v>
      </c>
      <c r="AJ2124" s="1759" t="s">
        <v>3637</v>
      </c>
      <c r="AK2124" s="1759">
        <v>1440</v>
      </c>
      <c r="AL2124" s="1759" t="s">
        <v>2991</v>
      </c>
      <c r="AM2124" s="1759">
        <v>158</v>
      </c>
      <c r="AN2124" s="1759" t="s">
        <v>5305</v>
      </c>
      <c r="AO2124" s="1764"/>
      <c r="AP2124" s="1759" t="s">
        <v>5677</v>
      </c>
      <c r="AQ2124" s="1759"/>
      <c r="AR2124" s="1759" t="s">
        <v>2992</v>
      </c>
      <c r="AS2124" s="1759" t="s">
        <v>384</v>
      </c>
      <c r="AT2124" s="1759" t="s">
        <v>327</v>
      </c>
      <c r="AU2124" s="1763"/>
      <c r="AV2124" s="1763"/>
    </row>
    <row r="2125" spans="1:48" ht="37.5" hidden="1">
      <c r="A2125" s="1785" t="str">
        <f t="shared" si="352"/>
        <v>גמל</v>
      </c>
      <c r="B2125" s="1786">
        <f t="shared" si="353"/>
        <v>1441</v>
      </c>
      <c r="C2125" s="1787">
        <v>28946</v>
      </c>
      <c r="D2125" s="1786" t="str">
        <f t="shared" si="354"/>
        <v>קופת גמל מחר אג"ח ממשלת ישראל</v>
      </c>
      <c r="E2125" s="1786" t="s">
        <v>3929</v>
      </c>
      <c r="F2125" s="1786" t="s">
        <v>2958</v>
      </c>
      <c r="G2125" s="1786" t="s">
        <v>2959</v>
      </c>
      <c r="H2125" s="1786" t="str">
        <f t="shared" si="355"/>
        <v>פעיל</v>
      </c>
      <c r="I2125" s="1788">
        <f t="shared" si="356"/>
        <v>35054</v>
      </c>
      <c r="J2125" s="1788" t="str">
        <f t="shared" si="357"/>
        <v/>
      </c>
      <c r="K2125" s="1786">
        <v>0</v>
      </c>
      <c r="L2125" s="1786" t="s">
        <v>1594</v>
      </c>
      <c r="M2125" s="1786" t="s">
        <v>1653</v>
      </c>
      <c r="N2125" s="1786" t="s">
        <v>1653</v>
      </c>
      <c r="O2125" s="1786">
        <v>0</v>
      </c>
      <c r="P2125" s="1786"/>
      <c r="Q2125" s="1786">
        <v>0</v>
      </c>
      <c r="R2125" s="1788"/>
      <c r="S2125" s="1786">
        <f t="shared" si="358"/>
        <v>158</v>
      </c>
      <c r="T2125" s="1786" t="str">
        <f t="shared" si="359"/>
        <v>לאומי</v>
      </c>
      <c r="U2125" s="1786" t="str">
        <f t="shared" si="360"/>
        <v>קופת גמל מחר</v>
      </c>
      <c r="V2125" s="1786">
        <f t="shared" si="361"/>
        <v>0</v>
      </c>
      <c r="W2125" s="1789" t="str">
        <f t="shared" si="362"/>
        <v>מחר - חברה לניהול קופות גמל בע"מ</v>
      </c>
      <c r="AC2125" s="1761" t="s">
        <v>346</v>
      </c>
      <c r="AD2125" s="1761"/>
      <c r="AE2125" s="1762">
        <v>35054</v>
      </c>
      <c r="AF2125" s="1761" t="s">
        <v>2009</v>
      </c>
      <c r="AG2125" s="1761" t="s">
        <v>1653</v>
      </c>
      <c r="AH2125" s="1761" t="s">
        <v>1594</v>
      </c>
      <c r="AI2125" s="1761" t="s">
        <v>4106</v>
      </c>
      <c r="AJ2125" s="1761" t="s">
        <v>4105</v>
      </c>
      <c r="AK2125" s="1761">
        <v>1441</v>
      </c>
      <c r="AL2125" s="1761" t="s">
        <v>2991</v>
      </c>
      <c r="AM2125" s="1761">
        <v>158</v>
      </c>
      <c r="AN2125" s="1761" t="s">
        <v>5305</v>
      </c>
      <c r="AO2125" s="1764"/>
      <c r="AP2125" s="1761" t="s">
        <v>5677</v>
      </c>
      <c r="AQ2125" s="1761"/>
      <c r="AR2125" s="1761" t="s">
        <v>2992</v>
      </c>
      <c r="AS2125" s="1761" t="s">
        <v>384</v>
      </c>
      <c r="AT2125" s="1761" t="s">
        <v>327</v>
      </c>
      <c r="AU2125" s="1763"/>
      <c r="AV2125" s="1763"/>
    </row>
    <row r="2126" spans="1:48" ht="37.5" hidden="1">
      <c r="A2126" s="1785" t="str">
        <f t="shared" si="352"/>
        <v>גמל</v>
      </c>
      <c r="B2126" s="1786">
        <f t="shared" si="353"/>
        <v>1522</v>
      </c>
      <c r="C2126" s="1787">
        <v>28946</v>
      </c>
      <c r="D2126" s="1786" t="str">
        <f t="shared" si="354"/>
        <v xml:space="preserve">קופת גמל מחר מניות </v>
      </c>
      <c r="E2126" s="1786" t="s">
        <v>3929</v>
      </c>
      <c r="F2126" s="1786" t="s">
        <v>2958</v>
      </c>
      <c r="G2126" s="1786" t="s">
        <v>2959</v>
      </c>
      <c r="H2126" s="1786" t="str">
        <f t="shared" si="355"/>
        <v>פעיל</v>
      </c>
      <c r="I2126" s="1788">
        <f t="shared" si="356"/>
        <v>35054</v>
      </c>
      <c r="J2126" s="1788" t="str">
        <f t="shared" si="357"/>
        <v/>
      </c>
      <c r="K2126" s="1786">
        <v>0</v>
      </c>
      <c r="L2126" s="1786" t="s">
        <v>1594</v>
      </c>
      <c r="M2126" s="1786" t="s">
        <v>1653</v>
      </c>
      <c r="N2126" s="1786" t="s">
        <v>1653</v>
      </c>
      <c r="O2126" s="1786">
        <v>0</v>
      </c>
      <c r="P2126" s="1786"/>
      <c r="Q2126" s="1786">
        <v>0</v>
      </c>
      <c r="R2126" s="1788"/>
      <c r="S2126" s="1786">
        <f t="shared" si="358"/>
        <v>158</v>
      </c>
      <c r="T2126" s="1786" t="str">
        <f t="shared" si="359"/>
        <v>לאומי</v>
      </c>
      <c r="U2126" s="1786" t="str">
        <f t="shared" si="360"/>
        <v>קופת גמל מחר</v>
      </c>
      <c r="V2126" s="1786">
        <f t="shared" si="361"/>
        <v>0</v>
      </c>
      <c r="W2126" s="1789" t="str">
        <f t="shared" si="362"/>
        <v>מחר - חברה לניהול קופות גמל בע"מ</v>
      </c>
      <c r="AC2126" s="1759" t="s">
        <v>346</v>
      </c>
      <c r="AD2126" s="1759"/>
      <c r="AE2126" s="1760">
        <v>35054</v>
      </c>
      <c r="AF2126" s="1759" t="s">
        <v>1595</v>
      </c>
      <c r="AG2126" s="1759" t="s">
        <v>75</v>
      </c>
      <c r="AH2126" s="1759" t="s">
        <v>1594</v>
      </c>
      <c r="AI2126" s="1759" t="s">
        <v>4118</v>
      </c>
      <c r="AJ2126" s="1759" t="s">
        <v>4117</v>
      </c>
      <c r="AK2126" s="1759">
        <v>1522</v>
      </c>
      <c r="AL2126" s="1759" t="s">
        <v>2991</v>
      </c>
      <c r="AM2126" s="1759">
        <v>158</v>
      </c>
      <c r="AN2126" s="1759" t="s">
        <v>5305</v>
      </c>
      <c r="AO2126" s="1764"/>
      <c r="AP2126" s="1759" t="s">
        <v>5677</v>
      </c>
      <c r="AQ2126" s="1759"/>
      <c r="AR2126" s="1759" t="s">
        <v>2992</v>
      </c>
      <c r="AS2126" s="1759" t="s">
        <v>384</v>
      </c>
      <c r="AT2126" s="1759" t="s">
        <v>327</v>
      </c>
      <c r="AU2126" s="1763"/>
      <c r="AV2126" s="1763"/>
    </row>
    <row r="2127" spans="1:48" ht="37.5" hidden="1">
      <c r="A2127" s="1785" t="str">
        <f t="shared" si="352"/>
        <v>גמל</v>
      </c>
      <c r="B2127" s="1786">
        <f t="shared" si="353"/>
        <v>9955</v>
      </c>
      <c r="C2127" s="1787">
        <v>28946</v>
      </c>
      <c r="D2127" s="1786" t="str">
        <f t="shared" si="354"/>
        <v>קופת גמל הנדסאים - 60 ומעלה</v>
      </c>
      <c r="E2127" s="1786" t="s">
        <v>3929</v>
      </c>
      <c r="F2127" s="1786" t="s">
        <v>2958</v>
      </c>
      <c r="G2127" s="1786" t="s">
        <v>2959</v>
      </c>
      <c r="H2127" s="1786" t="str">
        <f t="shared" si="355"/>
        <v>פעיל</v>
      </c>
      <c r="I2127" s="1788">
        <f t="shared" si="356"/>
        <v>35054</v>
      </c>
      <c r="J2127" s="1788" t="str">
        <f t="shared" si="357"/>
        <v/>
      </c>
      <c r="K2127" s="1786">
        <v>0</v>
      </c>
      <c r="L2127" s="1786" t="s">
        <v>1594</v>
      </c>
      <c r="M2127" s="1786" t="s">
        <v>1653</v>
      </c>
      <c r="N2127" s="1786" t="s">
        <v>1653</v>
      </c>
      <c r="O2127" s="1786">
        <v>0</v>
      </c>
      <c r="P2127" s="1786"/>
      <c r="Q2127" s="1786">
        <v>0</v>
      </c>
      <c r="R2127" s="1788"/>
      <c r="S2127" s="1786">
        <f t="shared" si="358"/>
        <v>157</v>
      </c>
      <c r="T2127" s="1786" t="str">
        <f t="shared" si="359"/>
        <v>הבנק הבינלאומי הראשון</v>
      </c>
      <c r="U2127" s="1786" t="str">
        <f t="shared" si="360"/>
        <v xml:space="preserve">קופת גמל הנדסאים </v>
      </c>
      <c r="V2127" s="1786">
        <f t="shared" si="361"/>
        <v>0</v>
      </c>
      <c r="W2127" s="1789" t="str">
        <f t="shared" si="362"/>
        <v>הנדסאים וטכנאים - חברה לניהול קופות גמל בע"מ</v>
      </c>
      <c r="AC2127" s="1761" t="s">
        <v>346</v>
      </c>
      <c r="AD2127" s="1761"/>
      <c r="AE2127" s="1762">
        <v>35054</v>
      </c>
      <c r="AF2127" s="1761" t="s">
        <v>3963</v>
      </c>
      <c r="AG2127" s="1761" t="s">
        <v>3931</v>
      </c>
      <c r="AH2127" s="1761" t="s">
        <v>3658</v>
      </c>
      <c r="AI2127" s="1761" t="s">
        <v>4489</v>
      </c>
      <c r="AJ2127" s="1761" t="s">
        <v>4488</v>
      </c>
      <c r="AK2127" s="1761">
        <v>9955</v>
      </c>
      <c r="AL2127" s="1761" t="s">
        <v>4485</v>
      </c>
      <c r="AM2127" s="1761">
        <v>157</v>
      </c>
      <c r="AN2127" s="1761" t="s">
        <v>5384</v>
      </c>
      <c r="AO2127" s="1764"/>
      <c r="AP2127" s="1761" t="s">
        <v>5787</v>
      </c>
      <c r="AQ2127" s="1761"/>
      <c r="AR2127" s="1761" t="s">
        <v>381</v>
      </c>
      <c r="AS2127" s="1761" t="s">
        <v>382</v>
      </c>
      <c r="AT2127" s="1761" t="s">
        <v>327</v>
      </c>
      <c r="AU2127" s="1763"/>
      <c r="AV2127" s="1763"/>
    </row>
    <row r="2128" spans="1:48" ht="37.5" hidden="1">
      <c r="A2128" s="1785" t="str">
        <f t="shared" si="352"/>
        <v>גמל</v>
      </c>
      <c r="B2128" s="1786">
        <f t="shared" si="353"/>
        <v>9953</v>
      </c>
      <c r="C2128" s="1787">
        <v>28946</v>
      </c>
      <c r="D2128" s="1786" t="str">
        <f t="shared" si="354"/>
        <v>קופת גמל הנדסאים - מסלול עד 50</v>
      </c>
      <c r="E2128" s="1786" t="s">
        <v>3929</v>
      </c>
      <c r="F2128" s="1786" t="s">
        <v>2958</v>
      </c>
      <c r="G2128" s="1786" t="s">
        <v>2959</v>
      </c>
      <c r="H2128" s="1786" t="str">
        <f t="shared" si="355"/>
        <v>פעיל</v>
      </c>
      <c r="I2128" s="1788">
        <f t="shared" si="356"/>
        <v>35054</v>
      </c>
      <c r="J2128" s="1788" t="str">
        <f t="shared" si="357"/>
        <v/>
      </c>
      <c r="K2128" s="1786">
        <v>0</v>
      </c>
      <c r="L2128" s="1786" t="s">
        <v>1594</v>
      </c>
      <c r="M2128" s="1786" t="s">
        <v>1653</v>
      </c>
      <c r="N2128" s="1786" t="s">
        <v>1653</v>
      </c>
      <c r="O2128" s="1786">
        <v>0</v>
      </c>
      <c r="P2128" s="1786"/>
      <c r="Q2128" s="1786">
        <v>0</v>
      </c>
      <c r="R2128" s="1788"/>
      <c r="S2128" s="1786">
        <f t="shared" si="358"/>
        <v>157</v>
      </c>
      <c r="T2128" s="1786" t="str">
        <f t="shared" si="359"/>
        <v>הבנק הבינלאומי הראשון</v>
      </c>
      <c r="U2128" s="1786" t="str">
        <f t="shared" si="360"/>
        <v xml:space="preserve">קופת גמל הנדסאים </v>
      </c>
      <c r="V2128" s="1786">
        <f t="shared" si="361"/>
        <v>0</v>
      </c>
      <c r="W2128" s="1789" t="str">
        <f t="shared" si="362"/>
        <v>הנדסאים וטכנאים - חברה לניהול קופות גמל בע"מ</v>
      </c>
      <c r="AC2128" s="1759" t="s">
        <v>346</v>
      </c>
      <c r="AD2128" s="1759"/>
      <c r="AE2128" s="1760">
        <v>35054</v>
      </c>
      <c r="AF2128" s="1759" t="s">
        <v>4151</v>
      </c>
      <c r="AG2128" s="1759" t="s">
        <v>3931</v>
      </c>
      <c r="AH2128" s="1759" t="s">
        <v>3658</v>
      </c>
      <c r="AI2128" s="1759" t="s">
        <v>4484</v>
      </c>
      <c r="AJ2128" s="1759" t="s">
        <v>4483</v>
      </c>
      <c r="AK2128" s="1759">
        <v>9953</v>
      </c>
      <c r="AL2128" s="1759" t="s">
        <v>4485</v>
      </c>
      <c r="AM2128" s="1759">
        <v>157</v>
      </c>
      <c r="AN2128" s="1759" t="s">
        <v>5384</v>
      </c>
      <c r="AO2128" s="1764"/>
      <c r="AP2128" s="1759" t="s">
        <v>5787</v>
      </c>
      <c r="AQ2128" s="1759"/>
      <c r="AR2128" s="1759" t="s">
        <v>381</v>
      </c>
      <c r="AS2128" s="1759" t="s">
        <v>382</v>
      </c>
      <c r="AT2128" s="1759" t="s">
        <v>327</v>
      </c>
      <c r="AU2128" s="1763"/>
      <c r="AV2128" s="1763"/>
    </row>
    <row r="2129" spans="1:48" ht="37.5" hidden="1">
      <c r="A2129" s="1785" t="str">
        <f t="shared" si="352"/>
        <v>גמל</v>
      </c>
      <c r="B2129" s="1786">
        <f t="shared" si="353"/>
        <v>157</v>
      </c>
      <c r="C2129" s="1787">
        <v>28946</v>
      </c>
      <c r="D2129" s="1786" t="str">
        <f t="shared" si="354"/>
        <v>קופת גמל הנדסאים - קופ"ג לתגמולים ופיצויים לשכירים ועצמאיים מסלול כללי</v>
      </c>
      <c r="E2129" s="1786" t="s">
        <v>3929</v>
      </c>
      <c r="F2129" s="1786" t="s">
        <v>2958</v>
      </c>
      <c r="G2129" s="1786" t="s">
        <v>2959</v>
      </c>
      <c r="H2129" s="1786" t="str">
        <f t="shared" si="355"/>
        <v>לא פעיל</v>
      </c>
      <c r="I2129" s="1788">
        <f t="shared" si="356"/>
        <v>35054</v>
      </c>
      <c r="J2129" s="1788">
        <f t="shared" si="357"/>
        <v>42373.465960648202</v>
      </c>
      <c r="K2129" s="1786">
        <v>0</v>
      </c>
      <c r="L2129" s="1786" t="s">
        <v>1594</v>
      </c>
      <c r="M2129" s="1786" t="s">
        <v>1653</v>
      </c>
      <c r="N2129" s="1786" t="s">
        <v>1653</v>
      </c>
      <c r="O2129" s="1786">
        <v>0</v>
      </c>
      <c r="P2129" s="1786"/>
      <c r="Q2129" s="1786">
        <v>0</v>
      </c>
      <c r="R2129" s="1788"/>
      <c r="S2129" s="1786">
        <f t="shared" si="358"/>
        <v>157</v>
      </c>
      <c r="T2129" s="1786" t="str">
        <f t="shared" si="359"/>
        <v>הבנק הבינלאומי הראשון</v>
      </c>
      <c r="U2129" s="1786" t="str">
        <f t="shared" si="360"/>
        <v xml:space="preserve">קופת גמל הנדסאים </v>
      </c>
      <c r="V2129" s="1786">
        <f t="shared" si="361"/>
        <v>0</v>
      </c>
      <c r="W2129" s="1789" t="str">
        <f t="shared" si="362"/>
        <v>הנדסאים וטכנאים - חברה לניהול קופות גמל בע"מ</v>
      </c>
      <c r="AC2129" s="1761" t="s">
        <v>1586</v>
      </c>
      <c r="AD2129" s="1762">
        <v>42373.465960648202</v>
      </c>
      <c r="AE2129" s="1762">
        <v>35054</v>
      </c>
      <c r="AF2129" s="1761" t="s">
        <v>1583</v>
      </c>
      <c r="AG2129" s="1761" t="s">
        <v>1583</v>
      </c>
      <c r="AH2129" s="1761" t="s">
        <v>1583</v>
      </c>
      <c r="AI2129" s="1761" t="s">
        <v>2989</v>
      </c>
      <c r="AJ2129" s="1761" t="s">
        <v>383</v>
      </c>
      <c r="AK2129" s="1761">
        <v>157</v>
      </c>
      <c r="AL2129" s="1761" t="s">
        <v>4485</v>
      </c>
      <c r="AM2129" s="1761">
        <v>157</v>
      </c>
      <c r="AN2129" s="1761" t="s">
        <v>5384</v>
      </c>
      <c r="AO2129" s="1764"/>
      <c r="AP2129" s="1761" t="s">
        <v>5787</v>
      </c>
      <c r="AQ2129" s="1761"/>
      <c r="AR2129" s="1761" t="s">
        <v>381</v>
      </c>
      <c r="AS2129" s="1761" t="s">
        <v>382</v>
      </c>
      <c r="AT2129" s="1761" t="s">
        <v>327</v>
      </c>
      <c r="AU2129" s="1763"/>
      <c r="AV2129" s="1763"/>
    </row>
    <row r="2130" spans="1:48" ht="37.5" hidden="1">
      <c r="A2130" s="1785" t="str">
        <f t="shared" si="352"/>
        <v>גמל</v>
      </c>
      <c r="B2130" s="1786">
        <f t="shared" si="353"/>
        <v>1414</v>
      </c>
      <c r="C2130" s="1787">
        <v>28946</v>
      </c>
      <c r="D2130" s="1786" t="str">
        <f t="shared" si="354"/>
        <v>קופת גמל הנדסאים מסלול אג"ח</v>
      </c>
      <c r="E2130" s="1786" t="s">
        <v>3929</v>
      </c>
      <c r="F2130" s="1786" t="s">
        <v>2958</v>
      </c>
      <c r="G2130" s="1786" t="s">
        <v>2959</v>
      </c>
      <c r="H2130" s="1786" t="str">
        <f t="shared" si="355"/>
        <v>לא פעיל</v>
      </c>
      <c r="I2130" s="1788">
        <f t="shared" si="356"/>
        <v>35054</v>
      </c>
      <c r="J2130" s="1788">
        <f t="shared" si="357"/>
        <v>42373.465960648202</v>
      </c>
      <c r="K2130" s="1786">
        <v>0</v>
      </c>
      <c r="L2130" s="1786" t="s">
        <v>1594</v>
      </c>
      <c r="M2130" s="1786" t="s">
        <v>1653</v>
      </c>
      <c r="N2130" s="1786" t="s">
        <v>1653</v>
      </c>
      <c r="O2130" s="1786">
        <v>0</v>
      </c>
      <c r="P2130" s="1786"/>
      <c r="Q2130" s="1786">
        <v>0</v>
      </c>
      <c r="R2130" s="1788"/>
      <c r="S2130" s="1786">
        <f t="shared" si="358"/>
        <v>157</v>
      </c>
      <c r="T2130" s="1786" t="str">
        <f t="shared" si="359"/>
        <v>הבנק הבינלאומי הראשון</v>
      </c>
      <c r="U2130" s="1786" t="str">
        <f t="shared" si="360"/>
        <v xml:space="preserve">קופת גמל הנדסאים </v>
      </c>
      <c r="V2130" s="1786">
        <f t="shared" si="361"/>
        <v>0</v>
      </c>
      <c r="W2130" s="1789" t="str">
        <f t="shared" si="362"/>
        <v>הנדסאים וטכנאים - חברה לניהול קופות גמל בע"מ</v>
      </c>
      <c r="AC2130" s="1759" t="s">
        <v>1586</v>
      </c>
      <c r="AD2130" s="1760">
        <v>42373.465960648202</v>
      </c>
      <c r="AE2130" s="1760">
        <v>35054</v>
      </c>
      <c r="AF2130" s="1759" t="s">
        <v>1653</v>
      </c>
      <c r="AG2130" s="1759" t="s">
        <v>1653</v>
      </c>
      <c r="AH2130" s="1759" t="s">
        <v>1594</v>
      </c>
      <c r="AI2130" s="1759" t="s">
        <v>2451</v>
      </c>
      <c r="AJ2130" s="1759" t="s">
        <v>2451</v>
      </c>
      <c r="AK2130" s="1759">
        <v>1414</v>
      </c>
      <c r="AL2130" s="1759" t="s">
        <v>4485</v>
      </c>
      <c r="AM2130" s="1759">
        <v>157</v>
      </c>
      <c r="AN2130" s="1759" t="s">
        <v>5384</v>
      </c>
      <c r="AO2130" s="1764"/>
      <c r="AP2130" s="1759" t="s">
        <v>5787</v>
      </c>
      <c r="AQ2130" s="1759"/>
      <c r="AR2130" s="1759" t="s">
        <v>381</v>
      </c>
      <c r="AS2130" s="1759" t="s">
        <v>382</v>
      </c>
      <c r="AT2130" s="1759" t="s">
        <v>327</v>
      </c>
      <c r="AU2130" s="1763"/>
      <c r="AV2130" s="1763"/>
    </row>
    <row r="2131" spans="1:48" ht="37.5" hidden="1">
      <c r="A2131" s="1785" t="str">
        <f t="shared" si="352"/>
        <v>גמל</v>
      </c>
      <c r="B2131" s="1786">
        <f t="shared" si="353"/>
        <v>9954</v>
      </c>
      <c r="C2131" s="1787">
        <v>28946</v>
      </c>
      <c r="D2131" s="1786" t="str">
        <f t="shared" si="354"/>
        <v>קופת גמל הנדסאים - מסלול 50-60</v>
      </c>
      <c r="E2131" s="1786" t="s">
        <v>3929</v>
      </c>
      <c r="F2131" s="1786" t="s">
        <v>2958</v>
      </c>
      <c r="G2131" s="1786" t="s">
        <v>2959</v>
      </c>
      <c r="H2131" s="1786" t="str">
        <f t="shared" si="355"/>
        <v>פעיל</v>
      </c>
      <c r="I2131" s="1788">
        <f t="shared" si="356"/>
        <v>35054</v>
      </c>
      <c r="J2131" s="1788" t="str">
        <f t="shared" si="357"/>
        <v/>
      </c>
      <c r="K2131" s="1786">
        <v>0</v>
      </c>
      <c r="L2131" s="1786" t="s">
        <v>1594</v>
      </c>
      <c r="M2131" s="1786" t="s">
        <v>1653</v>
      </c>
      <c r="N2131" s="1786" t="s">
        <v>1653</v>
      </c>
      <c r="O2131" s="1786">
        <v>0</v>
      </c>
      <c r="P2131" s="1786"/>
      <c r="Q2131" s="1786">
        <v>0</v>
      </c>
      <c r="R2131" s="1788"/>
      <c r="S2131" s="1786">
        <f t="shared" si="358"/>
        <v>157</v>
      </c>
      <c r="T2131" s="1786" t="str">
        <f t="shared" si="359"/>
        <v>הבנק הבינלאומי הראשון</v>
      </c>
      <c r="U2131" s="1786" t="str">
        <f t="shared" si="360"/>
        <v xml:space="preserve">קופת גמל הנדסאים </v>
      </c>
      <c r="V2131" s="1786">
        <f t="shared" si="361"/>
        <v>0</v>
      </c>
      <c r="W2131" s="1789" t="str">
        <f t="shared" si="362"/>
        <v>הנדסאים וטכנאים - חברה לניהול קופות גמל בע"מ</v>
      </c>
      <c r="AC2131" s="1761" t="s">
        <v>346</v>
      </c>
      <c r="AD2131" s="1761"/>
      <c r="AE2131" s="1762">
        <v>35054</v>
      </c>
      <c r="AF2131" s="1761" t="s">
        <v>3932</v>
      </c>
      <c r="AG2131" s="1761" t="s">
        <v>3931</v>
      </c>
      <c r="AH2131" s="1761" t="s">
        <v>3658</v>
      </c>
      <c r="AI2131" s="1761" t="s">
        <v>4487</v>
      </c>
      <c r="AJ2131" s="1761" t="s">
        <v>4486</v>
      </c>
      <c r="AK2131" s="1761">
        <v>9954</v>
      </c>
      <c r="AL2131" s="1761" t="s">
        <v>4485</v>
      </c>
      <c r="AM2131" s="1761">
        <v>157</v>
      </c>
      <c r="AN2131" s="1761" t="s">
        <v>5384</v>
      </c>
      <c r="AO2131" s="1764"/>
      <c r="AP2131" s="1761" t="s">
        <v>5787</v>
      </c>
      <c r="AQ2131" s="1761"/>
      <c r="AR2131" s="1761" t="s">
        <v>381</v>
      </c>
      <c r="AS2131" s="1761" t="s">
        <v>382</v>
      </c>
      <c r="AT2131" s="1761" t="s">
        <v>327</v>
      </c>
      <c r="AU2131" s="1763"/>
      <c r="AV2131" s="1763"/>
    </row>
    <row r="2132" spans="1:48" ht="37.5" hidden="1">
      <c r="A2132" s="1785" t="str">
        <f t="shared" si="352"/>
        <v>גמל</v>
      </c>
      <c r="B2132" s="1786">
        <f t="shared" si="353"/>
        <v>739</v>
      </c>
      <c r="C2132" s="1787">
        <v>28946</v>
      </c>
      <c r="D2132" s="1786" t="str">
        <f t="shared" si="354"/>
        <v xml:space="preserve">הראל קמ"פ מסלול מניות </v>
      </c>
      <c r="E2132" s="1786" t="s">
        <v>3929</v>
      </c>
      <c r="F2132" s="1786" t="s">
        <v>2958</v>
      </c>
      <c r="G2132" s="1786" t="s">
        <v>2959</v>
      </c>
      <c r="H2132" s="1786" t="str">
        <f t="shared" si="355"/>
        <v>פעיל</v>
      </c>
      <c r="I2132" s="1788">
        <f t="shared" si="356"/>
        <v>35039</v>
      </c>
      <c r="J2132" s="1788" t="str">
        <f t="shared" si="357"/>
        <v/>
      </c>
      <c r="K2132" s="1786">
        <v>0</v>
      </c>
      <c r="L2132" s="1786" t="s">
        <v>1594</v>
      </c>
      <c r="M2132" s="1786" t="s">
        <v>1653</v>
      </c>
      <c r="N2132" s="1786" t="s">
        <v>1653</v>
      </c>
      <c r="O2132" s="1786">
        <v>0</v>
      </c>
      <c r="P2132" s="1786"/>
      <c r="Q2132" s="1786">
        <v>0</v>
      </c>
      <c r="R2132" s="1788"/>
      <c r="S2132" s="1786">
        <f t="shared" si="358"/>
        <v>155</v>
      </c>
      <c r="T2132" s="1786" t="str">
        <f t="shared" si="359"/>
        <v>בנק לאומי בע"מ</v>
      </c>
      <c r="U2132" s="1786" t="str">
        <f t="shared" si="360"/>
        <v>הראל מרכזית לפיצויים</v>
      </c>
      <c r="V2132" s="1786" t="str">
        <f t="shared" si="361"/>
        <v>520033986</v>
      </c>
      <c r="W2132" s="1789" t="str">
        <f t="shared" si="362"/>
        <v>הראל פנסיה וגמל בע"מ</v>
      </c>
      <c r="AC2132" s="1759" t="s">
        <v>346</v>
      </c>
      <c r="AD2132" s="1759"/>
      <c r="AE2132" s="1760">
        <v>35039</v>
      </c>
      <c r="AF2132" s="1759" t="s">
        <v>1595</v>
      </c>
      <c r="AG2132" s="1759" t="s">
        <v>75</v>
      </c>
      <c r="AH2132" s="1759" t="s">
        <v>1594</v>
      </c>
      <c r="AI2132" s="1759" t="s">
        <v>3979</v>
      </c>
      <c r="AJ2132" s="1759" t="s">
        <v>3979</v>
      </c>
      <c r="AK2132" s="1759">
        <v>739</v>
      </c>
      <c r="AL2132" s="1759" t="s">
        <v>3938</v>
      </c>
      <c r="AM2132" s="1759">
        <v>155</v>
      </c>
      <c r="AN2132" s="1759" t="s">
        <v>5470</v>
      </c>
      <c r="AO2132" s="1764"/>
      <c r="AP2132" s="1759" t="s">
        <v>5396</v>
      </c>
      <c r="AQ2132" s="1759" t="s">
        <v>5397</v>
      </c>
      <c r="AR2132" s="1759" t="s">
        <v>4588</v>
      </c>
      <c r="AS2132" s="1759" t="s">
        <v>405</v>
      </c>
      <c r="AT2132" s="1759" t="s">
        <v>327</v>
      </c>
      <c r="AU2132" s="1763"/>
      <c r="AV2132" s="1763"/>
    </row>
    <row r="2133" spans="1:48" ht="37.5" hidden="1">
      <c r="A2133" s="1785" t="str">
        <f t="shared" si="352"/>
        <v>גמל</v>
      </c>
      <c r="B2133" s="1786">
        <f t="shared" si="353"/>
        <v>741</v>
      </c>
      <c r="C2133" s="1787">
        <v>28946</v>
      </c>
      <c r="D2133" s="1786" t="str">
        <f t="shared" si="354"/>
        <v>הראל קמ"פ מסלול אג"ח צמוד מדד</v>
      </c>
      <c r="E2133" s="1786" t="s">
        <v>3929</v>
      </c>
      <c r="F2133" s="1786" t="s">
        <v>2958</v>
      </c>
      <c r="G2133" s="1786" t="s">
        <v>2959</v>
      </c>
      <c r="H2133" s="1786" t="str">
        <f t="shared" si="355"/>
        <v>פעיל</v>
      </c>
      <c r="I2133" s="1788">
        <f t="shared" si="356"/>
        <v>35039</v>
      </c>
      <c r="J2133" s="1788" t="str">
        <f t="shared" si="357"/>
        <v/>
      </c>
      <c r="K2133" s="1786">
        <v>0</v>
      </c>
      <c r="L2133" s="1786" t="s">
        <v>1594</v>
      </c>
      <c r="M2133" s="1786" t="s">
        <v>1653</v>
      </c>
      <c r="N2133" s="1786" t="s">
        <v>1653</v>
      </c>
      <c r="O2133" s="1786">
        <v>0</v>
      </c>
      <c r="P2133" s="1786"/>
      <c r="Q2133" s="1786">
        <v>0</v>
      </c>
      <c r="R2133" s="1788"/>
      <c r="S2133" s="1786">
        <f t="shared" si="358"/>
        <v>155</v>
      </c>
      <c r="T2133" s="1786" t="str">
        <f t="shared" si="359"/>
        <v>בנק לאומי בע"מ</v>
      </c>
      <c r="U2133" s="1786" t="str">
        <f t="shared" si="360"/>
        <v>הראל מרכזית לפיצויים</v>
      </c>
      <c r="V2133" s="1786" t="str">
        <f t="shared" si="361"/>
        <v>520033986</v>
      </c>
      <c r="W2133" s="1789" t="str">
        <f t="shared" si="362"/>
        <v>הראל פנסיה וגמל בע"מ</v>
      </c>
      <c r="AC2133" s="1761" t="s">
        <v>346</v>
      </c>
      <c r="AD2133" s="1761"/>
      <c r="AE2133" s="1762">
        <v>35039</v>
      </c>
      <c r="AF2133" s="1761" t="s">
        <v>71</v>
      </c>
      <c r="AG2133" s="1761" t="s">
        <v>1653</v>
      </c>
      <c r="AH2133" s="1761" t="s">
        <v>1594</v>
      </c>
      <c r="AI2133" s="1761" t="s">
        <v>3980</v>
      </c>
      <c r="AJ2133" s="1761" t="s">
        <v>3980</v>
      </c>
      <c r="AK2133" s="1761">
        <v>741</v>
      </c>
      <c r="AL2133" s="1761" t="s">
        <v>3938</v>
      </c>
      <c r="AM2133" s="1761">
        <v>155</v>
      </c>
      <c r="AN2133" s="1761" t="s">
        <v>5470</v>
      </c>
      <c r="AO2133" s="1764"/>
      <c r="AP2133" s="1761" t="s">
        <v>5396</v>
      </c>
      <c r="AQ2133" s="1761" t="s">
        <v>5397</v>
      </c>
      <c r="AR2133" s="1761" t="s">
        <v>4588</v>
      </c>
      <c r="AS2133" s="1761" t="s">
        <v>405</v>
      </c>
      <c r="AT2133" s="1761" t="s">
        <v>327</v>
      </c>
      <c r="AU2133" s="1763"/>
      <c r="AV2133" s="1763"/>
    </row>
    <row r="2134" spans="1:48" ht="37.5" hidden="1">
      <c r="A2134" s="1785" t="str">
        <f t="shared" si="352"/>
        <v>גמל</v>
      </c>
      <c r="B2134" s="1786">
        <f t="shared" si="353"/>
        <v>155</v>
      </c>
      <c r="C2134" s="1787">
        <v>28946</v>
      </c>
      <c r="D2134" s="1786" t="str">
        <f t="shared" si="354"/>
        <v xml:space="preserve">הראל קמ"פ מסלול כללי </v>
      </c>
      <c r="E2134" s="1786" t="s">
        <v>3929</v>
      </c>
      <c r="F2134" s="1786" t="s">
        <v>2958</v>
      </c>
      <c r="G2134" s="1786" t="s">
        <v>2959</v>
      </c>
      <c r="H2134" s="1786" t="str">
        <f t="shared" si="355"/>
        <v>פעיל</v>
      </c>
      <c r="I2134" s="1788">
        <f t="shared" si="356"/>
        <v>35039</v>
      </c>
      <c r="J2134" s="1788" t="str">
        <f t="shared" si="357"/>
        <v/>
      </c>
      <c r="K2134" s="1786">
        <v>0</v>
      </c>
      <c r="L2134" s="1786" t="s">
        <v>1594</v>
      </c>
      <c r="M2134" s="1786" t="s">
        <v>1653</v>
      </c>
      <c r="N2134" s="1786" t="s">
        <v>1653</v>
      </c>
      <c r="O2134" s="1786">
        <v>0</v>
      </c>
      <c r="P2134" s="1786"/>
      <c r="Q2134" s="1786">
        <v>0</v>
      </c>
      <c r="R2134" s="1788"/>
      <c r="S2134" s="1786">
        <f t="shared" si="358"/>
        <v>155</v>
      </c>
      <c r="T2134" s="1786" t="str">
        <f t="shared" si="359"/>
        <v>בנק לאומי בע"מ</v>
      </c>
      <c r="U2134" s="1786" t="str">
        <f t="shared" si="360"/>
        <v>הראל מרכזית לפיצויים</v>
      </c>
      <c r="V2134" s="1786" t="str">
        <f t="shared" si="361"/>
        <v>520033986</v>
      </c>
      <c r="W2134" s="1789" t="str">
        <f t="shared" si="362"/>
        <v>הראל פנסיה וגמל בע"מ</v>
      </c>
      <c r="AC2134" s="1759" t="s">
        <v>346</v>
      </c>
      <c r="AD2134" s="1759"/>
      <c r="AE2134" s="1760">
        <v>35039</v>
      </c>
      <c r="AF2134" s="1759" t="s">
        <v>1583</v>
      </c>
      <c r="AG2134" s="1759" t="s">
        <v>1583</v>
      </c>
      <c r="AH2134" s="1759" t="s">
        <v>1583</v>
      </c>
      <c r="AI2134" s="1759" t="s">
        <v>3937</v>
      </c>
      <c r="AJ2134" s="1759" t="s">
        <v>3937</v>
      </c>
      <c r="AK2134" s="1759">
        <v>155</v>
      </c>
      <c r="AL2134" s="1759" t="s">
        <v>3938</v>
      </c>
      <c r="AM2134" s="1759">
        <v>155</v>
      </c>
      <c r="AN2134" s="1759" t="s">
        <v>5470</v>
      </c>
      <c r="AO2134" s="1764"/>
      <c r="AP2134" s="1759" t="s">
        <v>5396</v>
      </c>
      <c r="AQ2134" s="1759" t="s">
        <v>5397</v>
      </c>
      <c r="AR2134" s="1759" t="s">
        <v>4588</v>
      </c>
      <c r="AS2134" s="1759" t="s">
        <v>405</v>
      </c>
      <c r="AT2134" s="1759" t="s">
        <v>327</v>
      </c>
      <c r="AU2134" s="1763"/>
      <c r="AV2134" s="1763"/>
    </row>
    <row r="2135" spans="1:48" ht="37.5" hidden="1">
      <c r="A2135" s="1785" t="str">
        <f t="shared" ref="A2135:A2198" si="363">AT2135</f>
        <v>גמל</v>
      </c>
      <c r="B2135" s="1786">
        <f t="shared" ref="B2135:B2198" si="364">AK2135</f>
        <v>743</v>
      </c>
      <c r="C2135" s="1787">
        <v>28946</v>
      </c>
      <c r="D2135" s="1786" t="str">
        <f t="shared" ref="D2135:D2198" si="365">AJ2135</f>
        <v xml:space="preserve">הראל קמ"פ אג"ח עד 15% מניות </v>
      </c>
      <c r="E2135" s="1786" t="s">
        <v>3929</v>
      </c>
      <c r="F2135" s="1786" t="s">
        <v>2958</v>
      </c>
      <c r="G2135" s="1786" t="s">
        <v>2959</v>
      </c>
      <c r="H2135" s="1786" t="str">
        <f t="shared" ref="H2135:H2198" si="366">AC2135</f>
        <v>פעיל</v>
      </c>
      <c r="I2135" s="1788">
        <f t="shared" ref="I2135:I2198" si="367">IF(AE2135="","",AE2135)</f>
        <v>35039</v>
      </c>
      <c r="J2135" s="1788" t="str">
        <f t="shared" ref="J2135:J2198" si="368">IF(AD2135="","",AD2135)</f>
        <v/>
      </c>
      <c r="K2135" s="1786">
        <v>0</v>
      </c>
      <c r="L2135" s="1786" t="s">
        <v>1594</v>
      </c>
      <c r="M2135" s="1786" t="s">
        <v>1653</v>
      </c>
      <c r="N2135" s="1786" t="s">
        <v>1653</v>
      </c>
      <c r="O2135" s="1786">
        <v>0</v>
      </c>
      <c r="P2135" s="1786"/>
      <c r="Q2135" s="1786">
        <v>0</v>
      </c>
      <c r="R2135" s="1788"/>
      <c r="S2135" s="1786">
        <f t="shared" ref="S2135:S2198" si="369">AM2135</f>
        <v>155</v>
      </c>
      <c r="T2135" s="1786" t="str">
        <f t="shared" ref="T2135:T2198" si="370">AN2135</f>
        <v>בנק לאומי בע"מ</v>
      </c>
      <c r="U2135" s="1786" t="str">
        <f t="shared" ref="U2135:U2198" si="371">AL2135</f>
        <v>הראל מרכזית לפיצויים</v>
      </c>
      <c r="V2135" s="1786" t="str">
        <f t="shared" ref="V2135:V2198" si="372">AQ2135</f>
        <v>520033986</v>
      </c>
      <c r="W2135" s="1789" t="str">
        <f t="shared" ref="W2135:W2198" si="373">AR2135</f>
        <v>הראל פנסיה וגמל בע"מ</v>
      </c>
      <c r="AC2135" s="1761" t="s">
        <v>346</v>
      </c>
      <c r="AD2135" s="1761"/>
      <c r="AE2135" s="1762">
        <v>35039</v>
      </c>
      <c r="AF2135" s="1761" t="s">
        <v>1653</v>
      </c>
      <c r="AG2135" s="1761" t="s">
        <v>1653</v>
      </c>
      <c r="AH2135" s="1761" t="s">
        <v>1594</v>
      </c>
      <c r="AI2135" s="1761" t="s">
        <v>3983</v>
      </c>
      <c r="AJ2135" s="1761" t="s">
        <v>3982</v>
      </c>
      <c r="AK2135" s="1761">
        <v>743</v>
      </c>
      <c r="AL2135" s="1761" t="s">
        <v>3938</v>
      </c>
      <c r="AM2135" s="1761">
        <v>155</v>
      </c>
      <c r="AN2135" s="1761" t="s">
        <v>5470</v>
      </c>
      <c r="AO2135" s="1764"/>
      <c r="AP2135" s="1761" t="s">
        <v>5396</v>
      </c>
      <c r="AQ2135" s="1761" t="s">
        <v>5397</v>
      </c>
      <c r="AR2135" s="1761" t="s">
        <v>4588</v>
      </c>
      <c r="AS2135" s="1761" t="s">
        <v>405</v>
      </c>
      <c r="AT2135" s="1761" t="s">
        <v>327</v>
      </c>
      <c r="AU2135" s="1763"/>
      <c r="AV2135" s="1763"/>
    </row>
    <row r="2136" spans="1:48" ht="37.5" hidden="1">
      <c r="A2136" s="1785" t="str">
        <f t="shared" si="363"/>
        <v>גמל</v>
      </c>
      <c r="B2136" s="1786">
        <f t="shared" si="364"/>
        <v>742</v>
      </c>
      <c r="C2136" s="1787">
        <v>28946</v>
      </c>
      <c r="D2136" s="1786" t="str">
        <f t="shared" si="365"/>
        <v>הראל קמ"פ מסלול שקלי</v>
      </c>
      <c r="E2136" s="1786" t="s">
        <v>3929</v>
      </c>
      <c r="F2136" s="1786" t="s">
        <v>2958</v>
      </c>
      <c r="G2136" s="1786" t="s">
        <v>2959</v>
      </c>
      <c r="H2136" s="1786" t="str">
        <f t="shared" si="366"/>
        <v>פעיל</v>
      </c>
      <c r="I2136" s="1788">
        <f t="shared" si="367"/>
        <v>35039</v>
      </c>
      <c r="J2136" s="1788" t="str">
        <f t="shared" si="368"/>
        <v/>
      </c>
      <c r="K2136" s="1786">
        <v>0</v>
      </c>
      <c r="L2136" s="1786" t="s">
        <v>1594</v>
      </c>
      <c r="M2136" s="1786" t="s">
        <v>1653</v>
      </c>
      <c r="N2136" s="1786" t="s">
        <v>1653</v>
      </c>
      <c r="O2136" s="1786">
        <v>0</v>
      </c>
      <c r="P2136" s="1786"/>
      <c r="Q2136" s="1786">
        <v>0</v>
      </c>
      <c r="R2136" s="1788"/>
      <c r="S2136" s="1786">
        <f t="shared" si="369"/>
        <v>155</v>
      </c>
      <c r="T2136" s="1786" t="str">
        <f t="shared" si="370"/>
        <v>בנק לאומי בע"מ</v>
      </c>
      <c r="U2136" s="1786" t="str">
        <f t="shared" si="371"/>
        <v>הראל מרכזית לפיצויים</v>
      </c>
      <c r="V2136" s="1786" t="str">
        <f t="shared" si="372"/>
        <v>520033986</v>
      </c>
      <c r="W2136" s="1789" t="str">
        <f t="shared" si="373"/>
        <v>הראל פנסיה וגמל בע"מ</v>
      </c>
      <c r="AC2136" s="1759" t="s">
        <v>346</v>
      </c>
      <c r="AD2136" s="1759"/>
      <c r="AE2136" s="1760">
        <v>35039</v>
      </c>
      <c r="AF2136" s="1759" t="s">
        <v>1076</v>
      </c>
      <c r="AG2136" s="1759" t="s">
        <v>1614</v>
      </c>
      <c r="AH2136" s="1759" t="s">
        <v>1594</v>
      </c>
      <c r="AI2136" s="1759" t="s">
        <v>3981</v>
      </c>
      <c r="AJ2136" s="1759" t="s">
        <v>3981</v>
      </c>
      <c r="AK2136" s="1759">
        <v>742</v>
      </c>
      <c r="AL2136" s="1759" t="s">
        <v>3938</v>
      </c>
      <c r="AM2136" s="1759">
        <v>155</v>
      </c>
      <c r="AN2136" s="1759" t="s">
        <v>5470</v>
      </c>
      <c r="AO2136" s="1764"/>
      <c r="AP2136" s="1759" t="s">
        <v>5396</v>
      </c>
      <c r="AQ2136" s="1759" t="s">
        <v>5397</v>
      </c>
      <c r="AR2136" s="1759" t="s">
        <v>4588</v>
      </c>
      <c r="AS2136" s="1759" t="s">
        <v>405</v>
      </c>
      <c r="AT2136" s="1759" t="s">
        <v>327</v>
      </c>
      <c r="AU2136" s="1763"/>
      <c r="AV2136" s="1763"/>
    </row>
    <row r="2137" spans="1:48" ht="37.5" hidden="1">
      <c r="A2137" s="1785" t="str">
        <f t="shared" si="363"/>
        <v>גמל</v>
      </c>
      <c r="B2137" s="1786">
        <f t="shared" si="364"/>
        <v>8058</v>
      </c>
      <c r="C2137" s="1787">
        <v>28946</v>
      </c>
      <c r="D2137" s="1786" t="str">
        <f t="shared" si="365"/>
        <v xml:space="preserve">הראל השתלמות אג"ח קונצרני </v>
      </c>
      <c r="E2137" s="1786" t="s">
        <v>3929</v>
      </c>
      <c r="F2137" s="1786" t="s">
        <v>2958</v>
      </c>
      <c r="G2137" s="1786" t="s">
        <v>2959</v>
      </c>
      <c r="H2137" s="1786" t="str">
        <f t="shared" si="366"/>
        <v>פעיל</v>
      </c>
      <c r="I2137" s="1788">
        <f t="shared" si="367"/>
        <v>35039</v>
      </c>
      <c r="J2137" s="1788" t="str">
        <f t="shared" si="368"/>
        <v/>
      </c>
      <c r="K2137" s="1786">
        <v>0</v>
      </c>
      <c r="L2137" s="1786" t="s">
        <v>1594</v>
      </c>
      <c r="M2137" s="1786" t="s">
        <v>1653</v>
      </c>
      <c r="N2137" s="1786" t="s">
        <v>1653</v>
      </c>
      <c r="O2137" s="1786">
        <v>0</v>
      </c>
      <c r="P2137" s="1786"/>
      <c r="Q2137" s="1786">
        <v>0</v>
      </c>
      <c r="R2137" s="1788"/>
      <c r="S2137" s="1786">
        <f t="shared" si="369"/>
        <v>154</v>
      </c>
      <c r="T2137" s="1786" t="str">
        <f t="shared" si="370"/>
        <v>הראל פנסיה</v>
      </c>
      <c r="U2137" s="1786" t="str">
        <f t="shared" si="371"/>
        <v>הראל השתלמות</v>
      </c>
      <c r="V2137" s="1786" t="str">
        <f t="shared" si="372"/>
        <v>520033986</v>
      </c>
      <c r="W2137" s="1789" t="str">
        <f t="shared" si="373"/>
        <v>הראל פנסיה וגמל בע"מ</v>
      </c>
      <c r="AC2137" s="1761" t="s">
        <v>346</v>
      </c>
      <c r="AD2137" s="1761"/>
      <c r="AE2137" s="1762">
        <v>35039</v>
      </c>
      <c r="AF2137" s="1761" t="s">
        <v>3010</v>
      </c>
      <c r="AG2137" s="1761" t="s">
        <v>1653</v>
      </c>
      <c r="AH2137" s="1761" t="s">
        <v>1594</v>
      </c>
      <c r="AI2137" s="1761" t="s">
        <v>4238</v>
      </c>
      <c r="AJ2137" s="1761" t="s">
        <v>4238</v>
      </c>
      <c r="AK2137" s="1761">
        <v>8058</v>
      </c>
      <c r="AL2137" s="1761" t="s">
        <v>2988</v>
      </c>
      <c r="AM2137" s="1761">
        <v>154</v>
      </c>
      <c r="AN2137" s="1761" t="s">
        <v>4168</v>
      </c>
      <c r="AO2137" s="1764"/>
      <c r="AP2137" s="1761" t="s">
        <v>5396</v>
      </c>
      <c r="AQ2137" s="1761" t="s">
        <v>5397</v>
      </c>
      <c r="AR2137" s="1761" t="s">
        <v>4588</v>
      </c>
      <c r="AS2137" s="1761" t="s">
        <v>405</v>
      </c>
      <c r="AT2137" s="1761" t="s">
        <v>327</v>
      </c>
      <c r="AU2137" s="1763"/>
      <c r="AV2137" s="1763"/>
    </row>
    <row r="2138" spans="1:48" ht="37.5" hidden="1">
      <c r="A2138" s="1785" t="str">
        <f t="shared" si="363"/>
        <v>גמל</v>
      </c>
      <c r="B2138" s="1786">
        <f t="shared" si="364"/>
        <v>9568</v>
      </c>
      <c r="C2138" s="1787">
        <v>28946</v>
      </c>
      <c r="D2138" s="1786" t="str">
        <f t="shared" si="365"/>
        <v xml:space="preserve">הראל השתלמות כללי פאסיבי </v>
      </c>
      <c r="E2138" s="1786" t="s">
        <v>3929</v>
      </c>
      <c r="F2138" s="1786" t="s">
        <v>2958</v>
      </c>
      <c r="G2138" s="1786" t="s">
        <v>2959</v>
      </c>
      <c r="H2138" s="1786" t="str">
        <f t="shared" si="366"/>
        <v>לא פעיל</v>
      </c>
      <c r="I2138" s="1788">
        <f t="shared" si="367"/>
        <v>35039</v>
      </c>
      <c r="J2138" s="1788">
        <f t="shared" si="368"/>
        <v>42908.461678240703</v>
      </c>
      <c r="K2138" s="1786">
        <v>0</v>
      </c>
      <c r="L2138" s="1786" t="s">
        <v>1594</v>
      </c>
      <c r="M2138" s="1786" t="s">
        <v>1653</v>
      </c>
      <c r="N2138" s="1786" t="s">
        <v>1653</v>
      </c>
      <c r="O2138" s="1786">
        <v>0</v>
      </c>
      <c r="P2138" s="1786"/>
      <c r="Q2138" s="1786">
        <v>0</v>
      </c>
      <c r="R2138" s="1788"/>
      <c r="S2138" s="1786">
        <f t="shared" si="369"/>
        <v>154</v>
      </c>
      <c r="T2138" s="1786" t="str">
        <f t="shared" si="370"/>
        <v>הראל פנסיה</v>
      </c>
      <c r="U2138" s="1786" t="str">
        <f t="shared" si="371"/>
        <v>הראל השתלמות</v>
      </c>
      <c r="V2138" s="1786" t="str">
        <f t="shared" si="372"/>
        <v>520033986</v>
      </c>
      <c r="W2138" s="1789" t="str">
        <f t="shared" si="373"/>
        <v>הראל פנסיה וגמל בע"מ</v>
      </c>
      <c r="AC2138" s="1759" t="s">
        <v>1586</v>
      </c>
      <c r="AD2138" s="1760">
        <v>42908.461678240703</v>
      </c>
      <c r="AE2138" s="1760">
        <v>35039</v>
      </c>
      <c r="AF2138" s="1759" t="s">
        <v>3959</v>
      </c>
      <c r="AG2138" s="1759" t="s">
        <v>1583</v>
      </c>
      <c r="AH2138" s="1759" t="s">
        <v>1583</v>
      </c>
      <c r="AI2138" s="1759" t="s">
        <v>4298</v>
      </c>
      <c r="AJ2138" s="1759" t="s">
        <v>4298</v>
      </c>
      <c r="AK2138" s="1759">
        <v>9568</v>
      </c>
      <c r="AL2138" s="1759" t="s">
        <v>2988</v>
      </c>
      <c r="AM2138" s="1759">
        <v>154</v>
      </c>
      <c r="AN2138" s="1759" t="s">
        <v>4168</v>
      </c>
      <c r="AO2138" s="1764"/>
      <c r="AP2138" s="1759" t="s">
        <v>5396</v>
      </c>
      <c r="AQ2138" s="1759" t="s">
        <v>5397</v>
      </c>
      <c r="AR2138" s="1759" t="s">
        <v>4588</v>
      </c>
      <c r="AS2138" s="1759" t="s">
        <v>405</v>
      </c>
      <c r="AT2138" s="1759" t="s">
        <v>327</v>
      </c>
      <c r="AU2138" s="1763"/>
      <c r="AV2138" s="1763"/>
    </row>
    <row r="2139" spans="1:48" ht="37.5" hidden="1">
      <c r="A2139" s="1785" t="str">
        <f t="shared" si="363"/>
        <v>גמל</v>
      </c>
      <c r="B2139" s="1786">
        <f t="shared" si="364"/>
        <v>1485</v>
      </c>
      <c r="C2139" s="1787">
        <v>28946</v>
      </c>
      <c r="D2139" s="1786" t="str">
        <f t="shared" si="365"/>
        <v xml:space="preserve">הראל השתלמות אג"ח ללא מניות </v>
      </c>
      <c r="E2139" s="1786" t="s">
        <v>3929</v>
      </c>
      <c r="F2139" s="1786" t="s">
        <v>2958</v>
      </c>
      <c r="G2139" s="1786" t="s">
        <v>2959</v>
      </c>
      <c r="H2139" s="1786" t="str">
        <f t="shared" si="366"/>
        <v>פעיל</v>
      </c>
      <c r="I2139" s="1788">
        <f t="shared" si="367"/>
        <v>35039</v>
      </c>
      <c r="J2139" s="1788" t="str">
        <f t="shared" si="368"/>
        <v/>
      </c>
      <c r="K2139" s="1786">
        <v>0</v>
      </c>
      <c r="L2139" s="1786" t="s">
        <v>1594</v>
      </c>
      <c r="M2139" s="1786" t="s">
        <v>1653</v>
      </c>
      <c r="N2139" s="1786" t="s">
        <v>1653</v>
      </c>
      <c r="O2139" s="1786">
        <v>0</v>
      </c>
      <c r="P2139" s="1786"/>
      <c r="Q2139" s="1786">
        <v>0</v>
      </c>
      <c r="R2139" s="1788"/>
      <c r="S2139" s="1786">
        <f t="shared" si="369"/>
        <v>154</v>
      </c>
      <c r="T2139" s="1786" t="str">
        <f t="shared" si="370"/>
        <v>הראל פנסיה</v>
      </c>
      <c r="U2139" s="1786" t="str">
        <f t="shared" si="371"/>
        <v>הראל השתלמות</v>
      </c>
      <c r="V2139" s="1786" t="str">
        <f t="shared" si="372"/>
        <v>520033986</v>
      </c>
      <c r="W2139" s="1789" t="str">
        <f t="shared" si="373"/>
        <v>הראל פנסיה וגמל בע"מ</v>
      </c>
      <c r="AC2139" s="1761" t="s">
        <v>346</v>
      </c>
      <c r="AD2139" s="1761"/>
      <c r="AE2139" s="1762">
        <v>35039</v>
      </c>
      <c r="AF2139" s="1761" t="s">
        <v>1681</v>
      </c>
      <c r="AG2139" s="1761" t="s">
        <v>1653</v>
      </c>
      <c r="AH2139" s="1761" t="s">
        <v>1594</v>
      </c>
      <c r="AI2139" s="1761" t="s">
        <v>4114</v>
      </c>
      <c r="AJ2139" s="1761" t="s">
        <v>4114</v>
      </c>
      <c r="AK2139" s="1761">
        <v>1485</v>
      </c>
      <c r="AL2139" s="1761" t="s">
        <v>2988</v>
      </c>
      <c r="AM2139" s="1761">
        <v>154</v>
      </c>
      <c r="AN2139" s="1761" t="s">
        <v>4168</v>
      </c>
      <c r="AO2139" s="1764"/>
      <c r="AP2139" s="1761" t="s">
        <v>5396</v>
      </c>
      <c r="AQ2139" s="1761" t="s">
        <v>5397</v>
      </c>
      <c r="AR2139" s="1761" t="s">
        <v>4588</v>
      </c>
      <c r="AS2139" s="1761" t="s">
        <v>405</v>
      </c>
      <c r="AT2139" s="1761" t="s">
        <v>327</v>
      </c>
      <c r="AU2139" s="1763"/>
      <c r="AV2139" s="1763"/>
    </row>
    <row r="2140" spans="1:48" ht="37.5" hidden="1">
      <c r="A2140" s="1785" t="str">
        <f t="shared" si="363"/>
        <v>גמל</v>
      </c>
      <c r="B2140" s="1786">
        <f t="shared" si="364"/>
        <v>1523</v>
      </c>
      <c r="C2140" s="1787">
        <v>28946</v>
      </c>
      <c r="D2140" s="1786" t="str">
        <f t="shared" si="365"/>
        <v>הראל השתלמות מסלול כהלכה</v>
      </c>
      <c r="E2140" s="1786" t="s">
        <v>3929</v>
      </c>
      <c r="F2140" s="1786" t="s">
        <v>2958</v>
      </c>
      <c r="G2140" s="1786" t="s">
        <v>2959</v>
      </c>
      <c r="H2140" s="1786" t="str">
        <f t="shared" si="366"/>
        <v>פעיל</v>
      </c>
      <c r="I2140" s="1788">
        <f t="shared" si="367"/>
        <v>35039</v>
      </c>
      <c r="J2140" s="1788" t="str">
        <f t="shared" si="368"/>
        <v/>
      </c>
      <c r="K2140" s="1786">
        <v>0</v>
      </c>
      <c r="L2140" s="1786" t="s">
        <v>1594</v>
      </c>
      <c r="M2140" s="1786" t="s">
        <v>1653</v>
      </c>
      <c r="N2140" s="1786" t="s">
        <v>1653</v>
      </c>
      <c r="O2140" s="1786">
        <v>0</v>
      </c>
      <c r="P2140" s="1786"/>
      <c r="Q2140" s="1786">
        <v>0</v>
      </c>
      <c r="R2140" s="1788"/>
      <c r="S2140" s="1786">
        <f t="shared" si="369"/>
        <v>154</v>
      </c>
      <c r="T2140" s="1786" t="str">
        <f t="shared" si="370"/>
        <v>הראל פנסיה</v>
      </c>
      <c r="U2140" s="1786" t="str">
        <f t="shared" si="371"/>
        <v>הראל השתלמות</v>
      </c>
      <c r="V2140" s="1786" t="str">
        <f t="shared" si="372"/>
        <v>520033986</v>
      </c>
      <c r="W2140" s="1789" t="str">
        <f t="shared" si="373"/>
        <v>הראל פנסיה וגמל בע"מ</v>
      </c>
      <c r="AC2140" s="1759" t="s">
        <v>346</v>
      </c>
      <c r="AD2140" s="1759"/>
      <c r="AE2140" s="1760">
        <v>35039</v>
      </c>
      <c r="AF2140" s="1759" t="s">
        <v>4603</v>
      </c>
      <c r="AG2140" s="1759" t="s">
        <v>2029</v>
      </c>
      <c r="AH2140" s="1759" t="s">
        <v>2028</v>
      </c>
      <c r="AI2140" s="1759" t="s">
        <v>4119</v>
      </c>
      <c r="AJ2140" s="1759" t="s">
        <v>4119</v>
      </c>
      <c r="AK2140" s="1759">
        <v>1523</v>
      </c>
      <c r="AL2140" s="1759" t="s">
        <v>2988</v>
      </c>
      <c r="AM2140" s="1759">
        <v>154</v>
      </c>
      <c r="AN2140" s="1759" t="s">
        <v>4168</v>
      </c>
      <c r="AO2140" s="1764"/>
      <c r="AP2140" s="1759" t="s">
        <v>5396</v>
      </c>
      <c r="AQ2140" s="1759" t="s">
        <v>5397</v>
      </c>
      <c r="AR2140" s="1759" t="s">
        <v>4588</v>
      </c>
      <c r="AS2140" s="1759" t="s">
        <v>405</v>
      </c>
      <c r="AT2140" s="1759" t="s">
        <v>327</v>
      </c>
      <c r="AU2140" s="1763"/>
      <c r="AV2140" s="1763"/>
    </row>
    <row r="2141" spans="1:48" ht="37.5" hidden="1">
      <c r="A2141" s="1785" t="str">
        <f t="shared" si="363"/>
        <v>גמל</v>
      </c>
      <c r="B2141" s="1786">
        <f t="shared" si="364"/>
        <v>416</v>
      </c>
      <c r="C2141" s="1787">
        <v>28946</v>
      </c>
      <c r="D2141" s="1786" t="str">
        <f t="shared" si="365"/>
        <v xml:space="preserve">הראל השתלמות אג"ח עד 20% מניות </v>
      </c>
      <c r="E2141" s="1786" t="s">
        <v>3929</v>
      </c>
      <c r="F2141" s="1786" t="s">
        <v>2958</v>
      </c>
      <c r="G2141" s="1786" t="s">
        <v>2959</v>
      </c>
      <c r="H2141" s="1786" t="str">
        <f t="shared" si="366"/>
        <v>פעיל</v>
      </c>
      <c r="I2141" s="1788">
        <f t="shared" si="367"/>
        <v>35039</v>
      </c>
      <c r="J2141" s="1788" t="str">
        <f t="shared" si="368"/>
        <v/>
      </c>
      <c r="K2141" s="1786">
        <v>0</v>
      </c>
      <c r="L2141" s="1786" t="s">
        <v>1594</v>
      </c>
      <c r="M2141" s="1786" t="s">
        <v>1653</v>
      </c>
      <c r="N2141" s="1786" t="s">
        <v>1653</v>
      </c>
      <c r="O2141" s="1786">
        <v>0</v>
      </c>
      <c r="P2141" s="1786"/>
      <c r="Q2141" s="1786">
        <v>0</v>
      </c>
      <c r="R2141" s="1788"/>
      <c r="S2141" s="1786">
        <f t="shared" si="369"/>
        <v>154</v>
      </c>
      <c r="T2141" s="1786" t="str">
        <f t="shared" si="370"/>
        <v>הראל פנסיה</v>
      </c>
      <c r="U2141" s="1786" t="str">
        <f t="shared" si="371"/>
        <v>הראל השתלמות</v>
      </c>
      <c r="V2141" s="1786" t="str">
        <f t="shared" si="372"/>
        <v>520033986</v>
      </c>
      <c r="W2141" s="1789" t="str">
        <f t="shared" si="373"/>
        <v>הראל פנסיה וגמל בע"מ</v>
      </c>
      <c r="AC2141" s="1761" t="s">
        <v>346</v>
      </c>
      <c r="AD2141" s="1761"/>
      <c r="AE2141" s="1762">
        <v>35039</v>
      </c>
      <c r="AF2141" s="1761" t="s">
        <v>1653</v>
      </c>
      <c r="AG2141" s="1761" t="s">
        <v>1653</v>
      </c>
      <c r="AH2141" s="1761" t="s">
        <v>1594</v>
      </c>
      <c r="AI2141" s="1761" t="s">
        <v>3950</v>
      </c>
      <c r="AJ2141" s="1761" t="s">
        <v>3950</v>
      </c>
      <c r="AK2141" s="1761">
        <v>416</v>
      </c>
      <c r="AL2141" s="1761" t="s">
        <v>2988</v>
      </c>
      <c r="AM2141" s="1761">
        <v>154</v>
      </c>
      <c r="AN2141" s="1761" t="s">
        <v>4168</v>
      </c>
      <c r="AO2141" s="1764"/>
      <c r="AP2141" s="1761" t="s">
        <v>5396</v>
      </c>
      <c r="AQ2141" s="1761" t="s">
        <v>5397</v>
      </c>
      <c r="AR2141" s="1761" t="s">
        <v>4588</v>
      </c>
      <c r="AS2141" s="1761" t="s">
        <v>405</v>
      </c>
      <c r="AT2141" s="1761" t="s">
        <v>327</v>
      </c>
      <c r="AU2141" s="1763"/>
      <c r="AV2141" s="1763"/>
    </row>
    <row r="2142" spans="1:48" ht="37.5" hidden="1">
      <c r="A2142" s="1785" t="str">
        <f t="shared" si="363"/>
        <v>גמל</v>
      </c>
      <c r="B2142" s="1786">
        <f t="shared" si="364"/>
        <v>566</v>
      </c>
      <c r="C2142" s="1787">
        <v>28946</v>
      </c>
      <c r="D2142" s="1786" t="str">
        <f t="shared" si="365"/>
        <v xml:space="preserve">הראל השתלמות לטווח ארוך 
(מסלול לאוכלוסיית יעד) </v>
      </c>
      <c r="E2142" s="1786" t="s">
        <v>3929</v>
      </c>
      <c r="F2142" s="1786" t="s">
        <v>2958</v>
      </c>
      <c r="G2142" s="1786" t="s">
        <v>2959</v>
      </c>
      <c r="H2142" s="1786" t="str">
        <f t="shared" si="366"/>
        <v>פעיל</v>
      </c>
      <c r="I2142" s="1788">
        <f t="shared" si="367"/>
        <v>35039</v>
      </c>
      <c r="J2142" s="1788" t="str">
        <f t="shared" si="368"/>
        <v/>
      </c>
      <c r="K2142" s="1786">
        <v>0</v>
      </c>
      <c r="L2142" s="1786" t="s">
        <v>1594</v>
      </c>
      <c r="M2142" s="1786" t="s">
        <v>1653</v>
      </c>
      <c r="N2142" s="1786" t="s">
        <v>1653</v>
      </c>
      <c r="O2142" s="1786">
        <v>0</v>
      </c>
      <c r="P2142" s="1786"/>
      <c r="Q2142" s="1786">
        <v>0</v>
      </c>
      <c r="R2142" s="1788"/>
      <c r="S2142" s="1786">
        <f t="shared" si="369"/>
        <v>154</v>
      </c>
      <c r="T2142" s="1786" t="str">
        <f t="shared" si="370"/>
        <v>הראל פנסיה</v>
      </c>
      <c r="U2142" s="1786" t="str">
        <f t="shared" si="371"/>
        <v>הראל השתלמות</v>
      </c>
      <c r="V2142" s="1786" t="str">
        <f t="shared" si="372"/>
        <v>520033986</v>
      </c>
      <c r="W2142" s="1789" t="str">
        <f t="shared" si="373"/>
        <v>הראל פנסיה וגמל בע"מ</v>
      </c>
      <c r="AC2142" s="1759" t="s">
        <v>346</v>
      </c>
      <c r="AD2142" s="1759"/>
      <c r="AE2142" s="1760">
        <v>35039</v>
      </c>
      <c r="AF2142" s="1759" t="s">
        <v>1948</v>
      </c>
      <c r="AG2142" s="1759" t="s">
        <v>1947</v>
      </c>
      <c r="AH2142" s="1759" t="s">
        <v>1594</v>
      </c>
      <c r="AI2142" s="1759" t="s">
        <v>3966</v>
      </c>
      <c r="AJ2142" s="1759" t="s">
        <v>3966</v>
      </c>
      <c r="AK2142" s="1759">
        <v>566</v>
      </c>
      <c r="AL2142" s="1759" t="s">
        <v>2988</v>
      </c>
      <c r="AM2142" s="1759">
        <v>154</v>
      </c>
      <c r="AN2142" s="1759" t="s">
        <v>4168</v>
      </c>
      <c r="AO2142" s="1764"/>
      <c r="AP2142" s="1759" t="s">
        <v>5396</v>
      </c>
      <c r="AQ2142" s="1759" t="s">
        <v>5397</v>
      </c>
      <c r="AR2142" s="1759" t="s">
        <v>4588</v>
      </c>
      <c r="AS2142" s="1759" t="s">
        <v>405</v>
      </c>
      <c r="AT2142" s="1759" t="s">
        <v>327</v>
      </c>
      <c r="AU2142" s="1763"/>
      <c r="AV2142" s="1763"/>
    </row>
    <row r="2143" spans="1:48" ht="37.5" hidden="1">
      <c r="A2143" s="1785" t="str">
        <f t="shared" si="363"/>
        <v>גמל</v>
      </c>
      <c r="B2143" s="1786">
        <f t="shared" si="364"/>
        <v>763</v>
      </c>
      <c r="C2143" s="1787">
        <v>28946</v>
      </c>
      <c r="D2143" s="1786" t="str">
        <f t="shared" si="365"/>
        <v>הראל השתלמות מסלול מניות</v>
      </c>
      <c r="E2143" s="1786" t="s">
        <v>3929</v>
      </c>
      <c r="F2143" s="1786" t="s">
        <v>2958</v>
      </c>
      <c r="G2143" s="1786" t="s">
        <v>2959</v>
      </c>
      <c r="H2143" s="1786" t="str">
        <f t="shared" si="366"/>
        <v>פעיל</v>
      </c>
      <c r="I2143" s="1788">
        <f t="shared" si="367"/>
        <v>35039</v>
      </c>
      <c r="J2143" s="1788" t="str">
        <f t="shared" si="368"/>
        <v/>
      </c>
      <c r="K2143" s="1786">
        <v>0</v>
      </c>
      <c r="L2143" s="1786" t="s">
        <v>1594</v>
      </c>
      <c r="M2143" s="1786" t="s">
        <v>1653</v>
      </c>
      <c r="N2143" s="1786" t="s">
        <v>1653</v>
      </c>
      <c r="O2143" s="1786">
        <v>0</v>
      </c>
      <c r="P2143" s="1786"/>
      <c r="Q2143" s="1786">
        <v>0</v>
      </c>
      <c r="R2143" s="1788"/>
      <c r="S2143" s="1786">
        <f t="shared" si="369"/>
        <v>154</v>
      </c>
      <c r="T2143" s="1786" t="str">
        <f t="shared" si="370"/>
        <v>הראל פנסיה</v>
      </c>
      <c r="U2143" s="1786" t="str">
        <f t="shared" si="371"/>
        <v>הראל השתלמות</v>
      </c>
      <c r="V2143" s="1786" t="str">
        <f t="shared" si="372"/>
        <v>520033986</v>
      </c>
      <c r="W2143" s="1789" t="str">
        <f t="shared" si="373"/>
        <v>הראל פנסיה וגמל בע"מ</v>
      </c>
      <c r="AC2143" s="1761" t="s">
        <v>346</v>
      </c>
      <c r="AD2143" s="1761"/>
      <c r="AE2143" s="1762">
        <v>35039</v>
      </c>
      <c r="AF2143" s="1761" t="s">
        <v>1595</v>
      </c>
      <c r="AG2143" s="1761" t="s">
        <v>75</v>
      </c>
      <c r="AH2143" s="1761" t="s">
        <v>1594</v>
      </c>
      <c r="AI2143" s="1761" t="s">
        <v>3985</v>
      </c>
      <c r="AJ2143" s="1761" t="s">
        <v>3985</v>
      </c>
      <c r="AK2143" s="1761">
        <v>763</v>
      </c>
      <c r="AL2143" s="1761" t="s">
        <v>2988</v>
      </c>
      <c r="AM2143" s="1761">
        <v>154</v>
      </c>
      <c r="AN2143" s="1761" t="s">
        <v>4168</v>
      </c>
      <c r="AO2143" s="1764"/>
      <c r="AP2143" s="1761" t="s">
        <v>5396</v>
      </c>
      <c r="AQ2143" s="1761" t="s">
        <v>5397</v>
      </c>
      <c r="AR2143" s="1761" t="s">
        <v>4588</v>
      </c>
      <c r="AS2143" s="1761" t="s">
        <v>405</v>
      </c>
      <c r="AT2143" s="1761" t="s">
        <v>327</v>
      </c>
      <c r="AU2143" s="1763"/>
      <c r="AV2143" s="1763"/>
    </row>
    <row r="2144" spans="1:48" ht="37.5" hidden="1">
      <c r="A2144" s="1785" t="str">
        <f t="shared" si="363"/>
        <v>גמל</v>
      </c>
      <c r="B2144" s="1786">
        <f t="shared" si="364"/>
        <v>764</v>
      </c>
      <c r="C2144" s="1787">
        <v>28946</v>
      </c>
      <c r="D2144" s="1786" t="str">
        <f t="shared" si="365"/>
        <v xml:space="preserve">הראל השתלמות אג"ח עד 10% מניות </v>
      </c>
      <c r="E2144" s="1786" t="s">
        <v>3929</v>
      </c>
      <c r="F2144" s="1786" t="s">
        <v>2958</v>
      </c>
      <c r="G2144" s="1786" t="s">
        <v>2959</v>
      </c>
      <c r="H2144" s="1786" t="str">
        <f t="shared" si="366"/>
        <v>פעיל</v>
      </c>
      <c r="I2144" s="1788">
        <f t="shared" si="367"/>
        <v>35039</v>
      </c>
      <c r="J2144" s="1788" t="str">
        <f t="shared" si="368"/>
        <v/>
      </c>
      <c r="K2144" s="1786">
        <v>0</v>
      </c>
      <c r="L2144" s="1786" t="s">
        <v>1594</v>
      </c>
      <c r="M2144" s="1786" t="s">
        <v>1653</v>
      </c>
      <c r="N2144" s="1786" t="s">
        <v>1653</v>
      </c>
      <c r="O2144" s="1786">
        <v>0</v>
      </c>
      <c r="P2144" s="1786"/>
      <c r="Q2144" s="1786">
        <v>0</v>
      </c>
      <c r="R2144" s="1788"/>
      <c r="S2144" s="1786">
        <f t="shared" si="369"/>
        <v>154</v>
      </c>
      <c r="T2144" s="1786" t="str">
        <f t="shared" si="370"/>
        <v>הראל פנסיה</v>
      </c>
      <c r="U2144" s="1786" t="str">
        <f t="shared" si="371"/>
        <v>הראל השתלמות</v>
      </c>
      <c r="V2144" s="1786" t="str">
        <f t="shared" si="372"/>
        <v>520033986</v>
      </c>
      <c r="W2144" s="1789" t="str">
        <f t="shared" si="373"/>
        <v>הראל פנסיה וגמל בע"מ</v>
      </c>
      <c r="AC2144" s="1759" t="s">
        <v>346</v>
      </c>
      <c r="AD2144" s="1759"/>
      <c r="AE2144" s="1760">
        <v>35039</v>
      </c>
      <c r="AF2144" s="1759" t="s">
        <v>1653</v>
      </c>
      <c r="AG2144" s="1759" t="s">
        <v>1653</v>
      </c>
      <c r="AH2144" s="1759" t="s">
        <v>1594</v>
      </c>
      <c r="AI2144" s="1759" t="s">
        <v>3986</v>
      </c>
      <c r="AJ2144" s="1759" t="s">
        <v>3986</v>
      </c>
      <c r="AK2144" s="1759">
        <v>764</v>
      </c>
      <c r="AL2144" s="1759" t="s">
        <v>2988</v>
      </c>
      <c r="AM2144" s="1759">
        <v>154</v>
      </c>
      <c r="AN2144" s="1759" t="s">
        <v>4168</v>
      </c>
      <c r="AO2144" s="1764"/>
      <c r="AP2144" s="1759" t="s">
        <v>5396</v>
      </c>
      <c r="AQ2144" s="1759" t="s">
        <v>5397</v>
      </c>
      <c r="AR2144" s="1759" t="s">
        <v>4588</v>
      </c>
      <c r="AS2144" s="1759" t="s">
        <v>405</v>
      </c>
      <c r="AT2144" s="1759" t="s">
        <v>327</v>
      </c>
      <c r="AU2144" s="1763"/>
      <c r="AV2144" s="1763"/>
    </row>
    <row r="2145" spans="1:48" ht="37.5" hidden="1">
      <c r="A2145" s="1785" t="str">
        <f t="shared" si="363"/>
        <v>גמל</v>
      </c>
      <c r="B2145" s="1786">
        <f t="shared" si="364"/>
        <v>1034</v>
      </c>
      <c r="C2145" s="1787">
        <v>28946</v>
      </c>
      <c r="D2145" s="1786" t="str">
        <f t="shared" si="365"/>
        <v>הראל השתלמות מסלול חו"ל</v>
      </c>
      <c r="E2145" s="1786" t="s">
        <v>3929</v>
      </c>
      <c r="F2145" s="1786" t="s">
        <v>2958</v>
      </c>
      <c r="G2145" s="1786" t="s">
        <v>2959</v>
      </c>
      <c r="H2145" s="1786" t="str">
        <f t="shared" si="366"/>
        <v>פעיל</v>
      </c>
      <c r="I2145" s="1788">
        <f t="shared" si="367"/>
        <v>35039</v>
      </c>
      <c r="J2145" s="1788" t="str">
        <f t="shared" si="368"/>
        <v/>
      </c>
      <c r="K2145" s="1786">
        <v>0</v>
      </c>
      <c r="L2145" s="1786" t="s">
        <v>1594</v>
      </c>
      <c r="M2145" s="1786" t="s">
        <v>1653</v>
      </c>
      <c r="N2145" s="1786" t="s">
        <v>1653</v>
      </c>
      <c r="O2145" s="1786">
        <v>0</v>
      </c>
      <c r="P2145" s="1786"/>
      <c r="Q2145" s="1786">
        <v>0</v>
      </c>
      <c r="R2145" s="1788"/>
      <c r="S2145" s="1786">
        <f t="shared" si="369"/>
        <v>154</v>
      </c>
      <c r="T2145" s="1786" t="str">
        <f t="shared" si="370"/>
        <v>הראל פנסיה</v>
      </c>
      <c r="U2145" s="1786" t="str">
        <f t="shared" si="371"/>
        <v>הראל השתלמות</v>
      </c>
      <c r="V2145" s="1786" t="str">
        <f t="shared" si="372"/>
        <v>520033986</v>
      </c>
      <c r="W2145" s="1789" t="str">
        <f t="shared" si="373"/>
        <v>הראל פנסיה וגמל בע"מ</v>
      </c>
      <c r="AC2145" s="1761" t="s">
        <v>346</v>
      </c>
      <c r="AD2145" s="1761"/>
      <c r="AE2145" s="1762">
        <v>35039</v>
      </c>
      <c r="AF2145" s="1761" t="s">
        <v>1948</v>
      </c>
      <c r="AG2145" s="1761" t="s">
        <v>1947</v>
      </c>
      <c r="AH2145" s="1761" t="s">
        <v>1594</v>
      </c>
      <c r="AI2145" s="1761" t="s">
        <v>4019</v>
      </c>
      <c r="AJ2145" s="1761" t="s">
        <v>4019</v>
      </c>
      <c r="AK2145" s="1761">
        <v>1034</v>
      </c>
      <c r="AL2145" s="1761" t="s">
        <v>2988</v>
      </c>
      <c r="AM2145" s="1761">
        <v>154</v>
      </c>
      <c r="AN2145" s="1761" t="s">
        <v>4168</v>
      </c>
      <c r="AO2145" s="1764"/>
      <c r="AP2145" s="1761" t="s">
        <v>5396</v>
      </c>
      <c r="AQ2145" s="1761" t="s">
        <v>5397</v>
      </c>
      <c r="AR2145" s="1761" t="s">
        <v>4588</v>
      </c>
      <c r="AS2145" s="1761" t="s">
        <v>405</v>
      </c>
      <c r="AT2145" s="1761" t="s">
        <v>327</v>
      </c>
      <c r="AU2145" s="1763"/>
      <c r="AV2145" s="1763"/>
    </row>
    <row r="2146" spans="1:48" ht="37.5" hidden="1">
      <c r="A2146" s="1785" t="str">
        <f t="shared" si="363"/>
        <v>גמל</v>
      </c>
      <c r="B2146" s="1786">
        <f t="shared" si="364"/>
        <v>1369</v>
      </c>
      <c r="C2146" s="1787">
        <v>28946</v>
      </c>
      <c r="D2146" s="1786" t="str">
        <f t="shared" si="365"/>
        <v>הראל השתלמות מסלול שקלי</v>
      </c>
      <c r="E2146" s="1786" t="s">
        <v>3929</v>
      </c>
      <c r="F2146" s="1786" t="s">
        <v>2958</v>
      </c>
      <c r="G2146" s="1786" t="s">
        <v>2959</v>
      </c>
      <c r="H2146" s="1786" t="str">
        <f t="shared" si="366"/>
        <v>פעיל</v>
      </c>
      <c r="I2146" s="1788">
        <f t="shared" si="367"/>
        <v>35039</v>
      </c>
      <c r="J2146" s="1788" t="str">
        <f t="shared" si="368"/>
        <v/>
      </c>
      <c r="K2146" s="1786">
        <v>0</v>
      </c>
      <c r="L2146" s="1786" t="s">
        <v>1594</v>
      </c>
      <c r="M2146" s="1786" t="s">
        <v>1653</v>
      </c>
      <c r="N2146" s="1786" t="s">
        <v>1653</v>
      </c>
      <c r="O2146" s="1786">
        <v>0</v>
      </c>
      <c r="P2146" s="1786"/>
      <c r="Q2146" s="1786">
        <v>0</v>
      </c>
      <c r="R2146" s="1788"/>
      <c r="S2146" s="1786">
        <f t="shared" si="369"/>
        <v>154</v>
      </c>
      <c r="T2146" s="1786" t="str">
        <f t="shared" si="370"/>
        <v>הראל פנסיה</v>
      </c>
      <c r="U2146" s="1786" t="str">
        <f t="shared" si="371"/>
        <v>הראל השתלמות</v>
      </c>
      <c r="V2146" s="1786" t="str">
        <f t="shared" si="372"/>
        <v>520033986</v>
      </c>
      <c r="W2146" s="1789" t="str">
        <f t="shared" si="373"/>
        <v>הראל פנסיה וגמל בע"מ</v>
      </c>
      <c r="AC2146" s="1759" t="s">
        <v>346</v>
      </c>
      <c r="AD2146" s="1759"/>
      <c r="AE2146" s="1760">
        <v>35039</v>
      </c>
      <c r="AF2146" s="1759" t="s">
        <v>1076</v>
      </c>
      <c r="AG2146" s="1759" t="s">
        <v>1614</v>
      </c>
      <c r="AH2146" s="1759" t="s">
        <v>1594</v>
      </c>
      <c r="AI2146" s="1759" t="s">
        <v>4072</v>
      </c>
      <c r="AJ2146" s="1759" t="s">
        <v>4072</v>
      </c>
      <c r="AK2146" s="1759">
        <v>1369</v>
      </c>
      <c r="AL2146" s="1759" t="s">
        <v>2988</v>
      </c>
      <c r="AM2146" s="1759">
        <v>154</v>
      </c>
      <c r="AN2146" s="1759" t="s">
        <v>4168</v>
      </c>
      <c r="AO2146" s="1764"/>
      <c r="AP2146" s="1759" t="s">
        <v>5396</v>
      </c>
      <c r="AQ2146" s="1759" t="s">
        <v>5397</v>
      </c>
      <c r="AR2146" s="1759" t="s">
        <v>4588</v>
      </c>
      <c r="AS2146" s="1759" t="s">
        <v>405</v>
      </c>
      <c r="AT2146" s="1759" t="s">
        <v>327</v>
      </c>
      <c r="AU2146" s="1763"/>
      <c r="AV2146" s="1763"/>
    </row>
    <row r="2147" spans="1:48" ht="37.5" hidden="1">
      <c r="A2147" s="1785" t="str">
        <f t="shared" si="363"/>
        <v>גמל</v>
      </c>
      <c r="B2147" s="1786">
        <f t="shared" si="364"/>
        <v>154</v>
      </c>
      <c r="C2147" s="1787">
        <v>28946</v>
      </c>
      <c r="D2147" s="1786" t="str">
        <f t="shared" si="365"/>
        <v>הראל השתלמות כללי</v>
      </c>
      <c r="E2147" s="1786" t="s">
        <v>3929</v>
      </c>
      <c r="F2147" s="1786" t="s">
        <v>2958</v>
      </c>
      <c r="G2147" s="1786" t="s">
        <v>2959</v>
      </c>
      <c r="H2147" s="1786" t="str">
        <f t="shared" si="366"/>
        <v>פעיל</v>
      </c>
      <c r="I2147" s="1788">
        <f t="shared" si="367"/>
        <v>35039</v>
      </c>
      <c r="J2147" s="1788" t="str">
        <f t="shared" si="368"/>
        <v/>
      </c>
      <c r="K2147" s="1786">
        <v>0</v>
      </c>
      <c r="L2147" s="1786" t="s">
        <v>1594</v>
      </c>
      <c r="M2147" s="1786" t="s">
        <v>1653</v>
      </c>
      <c r="N2147" s="1786" t="s">
        <v>1653</v>
      </c>
      <c r="O2147" s="1786">
        <v>0</v>
      </c>
      <c r="P2147" s="1786"/>
      <c r="Q2147" s="1786">
        <v>0</v>
      </c>
      <c r="R2147" s="1788"/>
      <c r="S2147" s="1786">
        <f t="shared" si="369"/>
        <v>154</v>
      </c>
      <c r="T2147" s="1786" t="str">
        <f t="shared" si="370"/>
        <v>הראל פנסיה</v>
      </c>
      <c r="U2147" s="1786" t="str">
        <f t="shared" si="371"/>
        <v>הראל השתלמות</v>
      </c>
      <c r="V2147" s="1786" t="str">
        <f t="shared" si="372"/>
        <v>520033986</v>
      </c>
      <c r="W2147" s="1789" t="str">
        <f t="shared" si="373"/>
        <v>הראל פנסיה וגמל בע"מ</v>
      </c>
      <c r="AC2147" s="1761" t="s">
        <v>346</v>
      </c>
      <c r="AD2147" s="1761"/>
      <c r="AE2147" s="1762">
        <v>35039</v>
      </c>
      <c r="AF2147" s="1761" t="s">
        <v>1583</v>
      </c>
      <c r="AG2147" s="1761" t="s">
        <v>1583</v>
      </c>
      <c r="AH2147" s="1761" t="s">
        <v>1583</v>
      </c>
      <c r="AI2147" s="1761" t="s">
        <v>2987</v>
      </c>
      <c r="AJ2147" s="1761" t="s">
        <v>2987</v>
      </c>
      <c r="AK2147" s="1761">
        <v>154</v>
      </c>
      <c r="AL2147" s="1761" t="s">
        <v>2988</v>
      </c>
      <c r="AM2147" s="1761">
        <v>154</v>
      </c>
      <c r="AN2147" s="1761" t="s">
        <v>4168</v>
      </c>
      <c r="AO2147" s="1764"/>
      <c r="AP2147" s="1761" t="s">
        <v>5396</v>
      </c>
      <c r="AQ2147" s="1761" t="s">
        <v>5397</v>
      </c>
      <c r="AR2147" s="1761" t="s">
        <v>4588</v>
      </c>
      <c r="AS2147" s="1761" t="s">
        <v>405</v>
      </c>
      <c r="AT2147" s="1761" t="s">
        <v>327</v>
      </c>
      <c r="AU2147" s="1763"/>
      <c r="AV2147" s="1763"/>
    </row>
    <row r="2148" spans="1:48" ht="25" hidden="1">
      <c r="A2148" s="1785" t="str">
        <f t="shared" si="363"/>
        <v>גמל</v>
      </c>
      <c r="B2148" s="1786">
        <f t="shared" si="364"/>
        <v>152</v>
      </c>
      <c r="C2148" s="1787">
        <v>28946</v>
      </c>
      <c r="D2148" s="1786" t="str">
        <f t="shared" si="365"/>
        <v>כלל ברזל - קופה מרכזית לפיצויים</v>
      </c>
      <c r="E2148" s="1786" t="s">
        <v>3929</v>
      </c>
      <c r="F2148" s="1786" t="s">
        <v>2958</v>
      </c>
      <c r="G2148" s="1786" t="s">
        <v>2959</v>
      </c>
      <c r="H2148" s="1786" t="str">
        <f t="shared" si="366"/>
        <v>פעיל</v>
      </c>
      <c r="I2148" s="1788">
        <f t="shared" si="367"/>
        <v>35039</v>
      </c>
      <c r="J2148" s="1788" t="str">
        <f t="shared" si="368"/>
        <v/>
      </c>
      <c r="K2148" s="1786">
        <v>0</v>
      </c>
      <c r="L2148" s="1786" t="s">
        <v>1594</v>
      </c>
      <c r="M2148" s="1786" t="s">
        <v>1653</v>
      </c>
      <c r="N2148" s="1786" t="s">
        <v>1653</v>
      </c>
      <c r="O2148" s="1786">
        <v>0</v>
      </c>
      <c r="P2148" s="1786"/>
      <c r="Q2148" s="1786">
        <v>0</v>
      </c>
      <c r="R2148" s="1788"/>
      <c r="S2148" s="1786">
        <f t="shared" si="369"/>
        <v>152</v>
      </c>
      <c r="T2148" s="1786" t="str">
        <f t="shared" si="370"/>
        <v>בנק הפועלים בע"מ</v>
      </c>
      <c r="U2148" s="1786" t="str">
        <f t="shared" si="371"/>
        <v>כלל ברזל - קופה מרכזית לפיצויים</v>
      </c>
      <c r="V2148" s="1786">
        <f t="shared" si="372"/>
        <v>0</v>
      </c>
      <c r="W2148" s="1789" t="str">
        <f t="shared" si="373"/>
        <v>כלל פנסיה וגמל בע"מ</v>
      </c>
      <c r="AC2148" s="1759" t="s">
        <v>346</v>
      </c>
      <c r="AD2148" s="1759"/>
      <c r="AE2148" s="1760">
        <v>35039</v>
      </c>
      <c r="AF2148" s="1759" t="s">
        <v>1583</v>
      </c>
      <c r="AG2148" s="1759" t="s">
        <v>1583</v>
      </c>
      <c r="AH2148" s="1759" t="s">
        <v>1583</v>
      </c>
      <c r="AI2148" s="1759" t="s">
        <v>2986</v>
      </c>
      <c r="AJ2148" s="1759" t="s">
        <v>380</v>
      </c>
      <c r="AK2148" s="1759">
        <v>152</v>
      </c>
      <c r="AL2148" s="1759" t="s">
        <v>380</v>
      </c>
      <c r="AM2148" s="1759">
        <v>152</v>
      </c>
      <c r="AN2148" s="1759" t="s">
        <v>1695</v>
      </c>
      <c r="AO2148" s="1764"/>
      <c r="AP2148" s="1759"/>
      <c r="AQ2148" s="1759"/>
      <c r="AR2148" s="1759" t="s">
        <v>378</v>
      </c>
      <c r="AS2148" s="1759" t="s">
        <v>379</v>
      </c>
      <c r="AT2148" s="1759" t="s">
        <v>327</v>
      </c>
      <c r="AU2148" s="1763"/>
      <c r="AV2148" s="1763"/>
    </row>
    <row r="2149" spans="1:48" ht="25" hidden="1">
      <c r="A2149" s="1785" t="str">
        <f t="shared" si="363"/>
        <v>גמל</v>
      </c>
      <c r="B2149" s="1786">
        <f t="shared" si="364"/>
        <v>151</v>
      </c>
      <c r="C2149" s="1787">
        <v>28946</v>
      </c>
      <c r="D2149" s="1786" t="str">
        <f t="shared" si="365"/>
        <v>פסגות תבור</v>
      </c>
      <c r="E2149" s="1786" t="s">
        <v>3929</v>
      </c>
      <c r="F2149" s="1786" t="s">
        <v>2958</v>
      </c>
      <c r="G2149" s="1786" t="s">
        <v>2959</v>
      </c>
      <c r="H2149" s="1786" t="str">
        <f t="shared" si="366"/>
        <v>לא פעיל</v>
      </c>
      <c r="I2149" s="1788">
        <f t="shared" si="367"/>
        <v>34948</v>
      </c>
      <c r="J2149" s="1788">
        <f t="shared" si="368"/>
        <v>40056</v>
      </c>
      <c r="K2149" s="1786">
        <v>0</v>
      </c>
      <c r="L2149" s="1786" t="s">
        <v>1594</v>
      </c>
      <c r="M2149" s="1786" t="s">
        <v>1653</v>
      </c>
      <c r="N2149" s="1786" t="s">
        <v>1653</v>
      </c>
      <c r="O2149" s="1786">
        <v>0</v>
      </c>
      <c r="P2149" s="1786"/>
      <c r="Q2149" s="1786">
        <v>0</v>
      </c>
      <c r="R2149" s="1788"/>
      <c r="S2149" s="1786">
        <f t="shared" si="369"/>
        <v>151</v>
      </c>
      <c r="T2149" s="1786" t="str">
        <f t="shared" si="370"/>
        <v>בנק הפועלים בע"מ</v>
      </c>
      <c r="U2149" s="1786" t="str">
        <f t="shared" si="371"/>
        <v>פסגות תבור</v>
      </c>
      <c r="V2149" s="1786" t="str">
        <f t="shared" si="372"/>
        <v>513767079</v>
      </c>
      <c r="W2149" s="1789" t="str">
        <f t="shared" si="373"/>
        <v>פסגות קופות גמל ופנסיה בע"מ</v>
      </c>
      <c r="AC2149" s="1761" t="s">
        <v>1586</v>
      </c>
      <c r="AD2149" s="1762">
        <v>40056</v>
      </c>
      <c r="AE2149" s="1762">
        <v>34948</v>
      </c>
      <c r="AF2149" s="1761" t="s">
        <v>1583</v>
      </c>
      <c r="AG2149" s="1761" t="s">
        <v>1583</v>
      </c>
      <c r="AH2149" s="1761" t="s">
        <v>1583</v>
      </c>
      <c r="AI2149" s="1761" t="s">
        <v>1632</v>
      </c>
      <c r="AJ2149" s="1761" t="s">
        <v>1632</v>
      </c>
      <c r="AK2149" s="1761">
        <v>151</v>
      </c>
      <c r="AL2149" s="1761" t="s">
        <v>1632</v>
      </c>
      <c r="AM2149" s="1761">
        <v>151</v>
      </c>
      <c r="AN2149" s="1761" t="s">
        <v>1695</v>
      </c>
      <c r="AO2149" s="1764"/>
      <c r="AP2149" s="1761" t="s">
        <v>5365</v>
      </c>
      <c r="AQ2149" s="1761" t="s">
        <v>5366</v>
      </c>
      <c r="AR2149" s="1761" t="s">
        <v>351</v>
      </c>
      <c r="AS2149" s="1761" t="s">
        <v>352</v>
      </c>
      <c r="AT2149" s="1761" t="s">
        <v>327</v>
      </c>
      <c r="AU2149" s="1763"/>
      <c r="AV2149" s="1763"/>
    </row>
    <row r="2150" spans="1:48" ht="25" hidden="1">
      <c r="A2150" s="1785" t="str">
        <f t="shared" si="363"/>
        <v>גמל</v>
      </c>
      <c r="B2150" s="1786">
        <f t="shared" si="364"/>
        <v>149</v>
      </c>
      <c r="C2150" s="1787">
        <v>28946</v>
      </c>
      <c r="D2150" s="1786" t="str">
        <f t="shared" si="365"/>
        <v>כרמל</v>
      </c>
      <c r="E2150" s="1786" t="s">
        <v>3929</v>
      </c>
      <c r="F2150" s="1786" t="s">
        <v>2958</v>
      </c>
      <c r="G2150" s="1786" t="s">
        <v>2959</v>
      </c>
      <c r="H2150" s="1786" t="str">
        <f t="shared" si="366"/>
        <v>לא פעיל</v>
      </c>
      <c r="I2150" s="1788">
        <f t="shared" si="367"/>
        <v>35431</v>
      </c>
      <c r="J2150" s="1788">
        <f t="shared" si="368"/>
        <v>35786</v>
      </c>
      <c r="K2150" s="1786">
        <v>0</v>
      </c>
      <c r="L2150" s="1786" t="s">
        <v>1594</v>
      </c>
      <c r="M2150" s="1786" t="s">
        <v>1653</v>
      </c>
      <c r="N2150" s="1786" t="s">
        <v>1653</v>
      </c>
      <c r="O2150" s="1786">
        <v>0</v>
      </c>
      <c r="P2150" s="1786"/>
      <c r="Q2150" s="1786">
        <v>0</v>
      </c>
      <c r="R2150" s="1788"/>
      <c r="S2150" s="1786">
        <f t="shared" si="369"/>
        <v>149</v>
      </c>
      <c r="T2150" s="1786" t="str">
        <f t="shared" si="370"/>
        <v>בנק הפועלים בע"מ</v>
      </c>
      <c r="U2150" s="1786" t="str">
        <f t="shared" si="371"/>
        <v>כרמל</v>
      </c>
      <c r="V2150" s="1786">
        <f t="shared" si="372"/>
        <v>0</v>
      </c>
      <c r="W2150" s="1789" t="str">
        <f t="shared" si="373"/>
        <v>פריזמה קופות גמל בע"מ</v>
      </c>
      <c r="AC2150" s="1759" t="s">
        <v>1586</v>
      </c>
      <c r="AD2150" s="1760">
        <v>35786</v>
      </c>
      <c r="AE2150" s="1760">
        <v>35431</v>
      </c>
      <c r="AF2150" s="1759" t="s">
        <v>1583</v>
      </c>
      <c r="AG2150" s="1759" t="s">
        <v>1583</v>
      </c>
      <c r="AH2150" s="1759" t="s">
        <v>1583</v>
      </c>
      <c r="AI2150" s="1759" t="s">
        <v>1628</v>
      </c>
      <c r="AJ2150" s="1759" t="s">
        <v>1628</v>
      </c>
      <c r="AK2150" s="1759">
        <v>149</v>
      </c>
      <c r="AL2150" s="1759" t="s">
        <v>1628</v>
      </c>
      <c r="AM2150" s="1759">
        <v>149</v>
      </c>
      <c r="AN2150" s="1759" t="s">
        <v>1695</v>
      </c>
      <c r="AO2150" s="1764"/>
      <c r="AP2150" s="1759"/>
      <c r="AQ2150" s="1759"/>
      <c r="AR2150" s="1759" t="s">
        <v>1630</v>
      </c>
      <c r="AS2150" s="1759" t="s">
        <v>1629</v>
      </c>
      <c r="AT2150" s="1759" t="s">
        <v>327</v>
      </c>
      <c r="AU2150" s="1763"/>
      <c r="AV2150" s="1763"/>
    </row>
    <row r="2151" spans="1:48" ht="25" hidden="1">
      <c r="A2151" s="1785" t="str">
        <f t="shared" si="363"/>
        <v>גמל</v>
      </c>
      <c r="B2151" s="1786">
        <f t="shared" si="364"/>
        <v>148</v>
      </c>
      <c r="C2151" s="1787">
        <v>28946</v>
      </c>
      <c r="D2151" s="1786" t="str">
        <f t="shared" si="365"/>
        <v>פסגות חרמון</v>
      </c>
      <c r="E2151" s="1786" t="s">
        <v>3929</v>
      </c>
      <c r="F2151" s="1786" t="s">
        <v>2958</v>
      </c>
      <c r="G2151" s="1786" t="s">
        <v>2959</v>
      </c>
      <c r="H2151" s="1786" t="str">
        <f t="shared" si="366"/>
        <v>לא פעיל</v>
      </c>
      <c r="I2151" s="1788">
        <f t="shared" si="367"/>
        <v>34948</v>
      </c>
      <c r="J2151" s="1788">
        <f t="shared" si="368"/>
        <v>40133.742210648103</v>
      </c>
      <c r="K2151" s="1786">
        <v>0</v>
      </c>
      <c r="L2151" s="1786" t="s">
        <v>1594</v>
      </c>
      <c r="M2151" s="1786" t="s">
        <v>1653</v>
      </c>
      <c r="N2151" s="1786" t="s">
        <v>1653</v>
      </c>
      <c r="O2151" s="1786">
        <v>0</v>
      </c>
      <c r="P2151" s="1786"/>
      <c r="Q2151" s="1786">
        <v>0</v>
      </c>
      <c r="R2151" s="1788"/>
      <c r="S2151" s="1786">
        <f t="shared" si="369"/>
        <v>148</v>
      </c>
      <c r="T2151" s="1786" t="str">
        <f t="shared" si="370"/>
        <v>בנק הפועלים בע"מ</v>
      </c>
      <c r="U2151" s="1786" t="str">
        <f t="shared" si="371"/>
        <v>פסגות חרמון</v>
      </c>
      <c r="V2151" s="1786" t="str">
        <f t="shared" si="372"/>
        <v>513767079</v>
      </c>
      <c r="W2151" s="1789" t="str">
        <f t="shared" si="373"/>
        <v>פסגות קופות גמל ופנסיה בע"מ</v>
      </c>
      <c r="AC2151" s="1761" t="s">
        <v>1586</v>
      </c>
      <c r="AD2151" s="1762">
        <v>40133.742210648103</v>
      </c>
      <c r="AE2151" s="1762">
        <v>34948</v>
      </c>
      <c r="AF2151" s="1761" t="s">
        <v>1583</v>
      </c>
      <c r="AG2151" s="1761" t="s">
        <v>1583</v>
      </c>
      <c r="AH2151" s="1761" t="s">
        <v>1583</v>
      </c>
      <c r="AI2151" s="1761" t="s">
        <v>1627</v>
      </c>
      <c r="AJ2151" s="1761" t="s">
        <v>1627</v>
      </c>
      <c r="AK2151" s="1761">
        <v>148</v>
      </c>
      <c r="AL2151" s="1761" t="s">
        <v>1627</v>
      </c>
      <c r="AM2151" s="1761">
        <v>148</v>
      </c>
      <c r="AN2151" s="1761" t="s">
        <v>1695</v>
      </c>
      <c r="AO2151" s="1764"/>
      <c r="AP2151" s="1761" t="s">
        <v>5365</v>
      </c>
      <c r="AQ2151" s="1761" t="s">
        <v>5366</v>
      </c>
      <c r="AR2151" s="1761" t="s">
        <v>351</v>
      </c>
      <c r="AS2151" s="1761" t="s">
        <v>352</v>
      </c>
      <c r="AT2151" s="1761" t="s">
        <v>327</v>
      </c>
      <c r="AU2151" s="1763"/>
      <c r="AV2151" s="1763"/>
    </row>
    <row r="2152" spans="1:48" ht="25" hidden="1">
      <c r="A2152" s="1785" t="str">
        <f t="shared" si="363"/>
        <v>גמל</v>
      </c>
      <c r="B2152" s="1786">
        <f t="shared" si="364"/>
        <v>147</v>
      </c>
      <c r="C2152" s="1787">
        <v>28946</v>
      </c>
      <c r="D2152" s="1786" t="str">
        <f t="shared" si="365"/>
        <v>ערד</v>
      </c>
      <c r="E2152" s="1786" t="s">
        <v>3929</v>
      </c>
      <c r="F2152" s="1786" t="s">
        <v>2958</v>
      </c>
      <c r="G2152" s="1786" t="s">
        <v>2959</v>
      </c>
      <c r="H2152" s="1786" t="str">
        <f t="shared" si="366"/>
        <v>לא פעיל</v>
      </c>
      <c r="I2152" s="1788">
        <f t="shared" si="367"/>
        <v>34938</v>
      </c>
      <c r="J2152" s="1788">
        <f t="shared" si="368"/>
        <v>40890.639351851903</v>
      </c>
      <c r="K2152" s="1786">
        <v>0</v>
      </c>
      <c r="L2152" s="1786" t="s">
        <v>1594</v>
      </c>
      <c r="M2152" s="1786" t="s">
        <v>1653</v>
      </c>
      <c r="N2152" s="1786" t="s">
        <v>1653</v>
      </c>
      <c r="O2152" s="1786">
        <v>0</v>
      </c>
      <c r="P2152" s="1786"/>
      <c r="Q2152" s="1786">
        <v>0</v>
      </c>
      <c r="R2152" s="1788"/>
      <c r="S2152" s="1786">
        <f t="shared" si="369"/>
        <v>147</v>
      </c>
      <c r="T2152" s="1786" t="str">
        <f t="shared" si="370"/>
        <v>בנק יהב לעובדי המדינה בע"מ</v>
      </c>
      <c r="U2152" s="1786" t="str">
        <f t="shared" si="371"/>
        <v>ערד</v>
      </c>
      <c r="V2152" s="1786" t="str">
        <f t="shared" si="372"/>
        <v>513163105</v>
      </c>
      <c r="W2152" s="1789" t="str">
        <f t="shared" si="373"/>
        <v>הלמן - אלדובי קופות גמל ופנסיה בע"מ</v>
      </c>
      <c r="AC2152" s="1759" t="s">
        <v>1586</v>
      </c>
      <c r="AD2152" s="1760">
        <v>40890.639351851903</v>
      </c>
      <c r="AE2152" s="1760">
        <v>34938</v>
      </c>
      <c r="AF2152" s="1759" t="s">
        <v>1583</v>
      </c>
      <c r="AG2152" s="1759" t="s">
        <v>1583</v>
      </c>
      <c r="AH2152" s="1759" t="s">
        <v>1583</v>
      </c>
      <c r="AI2152" s="1759" t="s">
        <v>1626</v>
      </c>
      <c r="AJ2152" s="1759" t="s">
        <v>1626</v>
      </c>
      <c r="AK2152" s="1759">
        <v>147</v>
      </c>
      <c r="AL2152" s="1759" t="s">
        <v>1626</v>
      </c>
      <c r="AM2152" s="1759">
        <v>147</v>
      </c>
      <c r="AN2152" s="1759" t="s">
        <v>5517</v>
      </c>
      <c r="AO2152" s="1764"/>
      <c r="AP2152" s="1759" t="s">
        <v>5371</v>
      </c>
      <c r="AQ2152" s="1759" t="s">
        <v>5372</v>
      </c>
      <c r="AR2152" s="1759" t="s">
        <v>354</v>
      </c>
      <c r="AS2152" s="1759" t="s">
        <v>355</v>
      </c>
      <c r="AT2152" s="1759" t="s">
        <v>327</v>
      </c>
      <c r="AU2152" s="1763"/>
      <c r="AV2152" s="1763"/>
    </row>
    <row r="2153" spans="1:48" ht="25" hidden="1">
      <c r="A2153" s="1785" t="str">
        <f t="shared" si="363"/>
        <v>גמל</v>
      </c>
      <c r="B2153" s="1786">
        <f t="shared" si="364"/>
        <v>146</v>
      </c>
      <c r="C2153" s="1787">
        <v>28946</v>
      </c>
      <c r="D2153" s="1786" t="str">
        <f t="shared" si="365"/>
        <v>חריש</v>
      </c>
      <c r="E2153" s="1786" t="s">
        <v>3929</v>
      </c>
      <c r="F2153" s="1786" t="s">
        <v>2958</v>
      </c>
      <c r="G2153" s="1786" t="s">
        <v>2959</v>
      </c>
      <c r="H2153" s="1786" t="str">
        <f t="shared" si="366"/>
        <v>לא פעיל</v>
      </c>
      <c r="I2153" s="1788">
        <f t="shared" si="367"/>
        <v>34938</v>
      </c>
      <c r="J2153" s="1788">
        <f t="shared" si="368"/>
        <v>40890.6387384259</v>
      </c>
      <c r="K2153" s="1786">
        <v>0</v>
      </c>
      <c r="L2153" s="1786" t="s">
        <v>1594</v>
      </c>
      <c r="M2153" s="1786" t="s">
        <v>1653</v>
      </c>
      <c r="N2153" s="1786" t="s">
        <v>1653</v>
      </c>
      <c r="O2153" s="1786">
        <v>0</v>
      </c>
      <c r="P2153" s="1786"/>
      <c r="Q2153" s="1786">
        <v>0</v>
      </c>
      <c r="R2153" s="1788"/>
      <c r="S2153" s="1786">
        <f t="shared" si="369"/>
        <v>146</v>
      </c>
      <c r="T2153" s="1786" t="str">
        <f t="shared" si="370"/>
        <v>בנק יהב לעובדי המדינה בע"מ</v>
      </c>
      <c r="U2153" s="1786" t="str">
        <f t="shared" si="371"/>
        <v>חריש</v>
      </c>
      <c r="V2153" s="1786" t="str">
        <f t="shared" si="372"/>
        <v>513163105</v>
      </c>
      <c r="W2153" s="1789" t="str">
        <f t="shared" si="373"/>
        <v>הלמן - אלדובי קופות גמל ופנסיה בע"מ</v>
      </c>
      <c r="AC2153" s="1761" t="s">
        <v>1586</v>
      </c>
      <c r="AD2153" s="1762">
        <v>40890.6387384259</v>
      </c>
      <c r="AE2153" s="1762">
        <v>34938</v>
      </c>
      <c r="AF2153" s="1761" t="s">
        <v>1583</v>
      </c>
      <c r="AG2153" s="1761" t="s">
        <v>1583</v>
      </c>
      <c r="AH2153" s="1761" t="s">
        <v>1583</v>
      </c>
      <c r="AI2153" s="1761" t="s">
        <v>1625</v>
      </c>
      <c r="AJ2153" s="1761" t="s">
        <v>1625</v>
      </c>
      <c r="AK2153" s="1761">
        <v>146</v>
      </c>
      <c r="AL2153" s="1761" t="s">
        <v>1625</v>
      </c>
      <c r="AM2153" s="1761">
        <v>146</v>
      </c>
      <c r="AN2153" s="1761" t="s">
        <v>5517</v>
      </c>
      <c r="AO2153" s="1764"/>
      <c r="AP2153" s="1761" t="s">
        <v>5371</v>
      </c>
      <c r="AQ2153" s="1761" t="s">
        <v>5372</v>
      </c>
      <c r="AR2153" s="1761" t="s">
        <v>354</v>
      </c>
      <c r="AS2153" s="1761" t="s">
        <v>355</v>
      </c>
      <c r="AT2153" s="1761" t="s">
        <v>327</v>
      </c>
      <c r="AU2153" s="1763"/>
      <c r="AV2153" s="1763"/>
    </row>
    <row r="2154" spans="1:48" ht="25" hidden="1">
      <c r="A2154" s="1785" t="str">
        <f t="shared" si="363"/>
        <v>גמל</v>
      </c>
      <c r="B2154" s="1786">
        <f t="shared" si="364"/>
        <v>144</v>
      </c>
      <c r="C2154" s="1787">
        <v>28946</v>
      </c>
      <c r="D2154" s="1786" t="str">
        <f t="shared" si="365"/>
        <v>הלמן-אלדובי קופה מרכזית לפיצויים</v>
      </c>
      <c r="E2154" s="1786" t="s">
        <v>3929</v>
      </c>
      <c r="F2154" s="1786" t="s">
        <v>2958</v>
      </c>
      <c r="G2154" s="1786" t="s">
        <v>2959</v>
      </c>
      <c r="H2154" s="1786" t="str">
        <f t="shared" si="366"/>
        <v>לא פעיל</v>
      </c>
      <c r="I2154" s="1788">
        <f t="shared" si="367"/>
        <v>34912</v>
      </c>
      <c r="J2154" s="1788">
        <f t="shared" si="368"/>
        <v>39813</v>
      </c>
      <c r="K2154" s="1786">
        <v>0</v>
      </c>
      <c r="L2154" s="1786" t="s">
        <v>1594</v>
      </c>
      <c r="M2154" s="1786" t="s">
        <v>1653</v>
      </c>
      <c r="N2154" s="1786" t="s">
        <v>1653</v>
      </c>
      <c r="O2154" s="1786">
        <v>0</v>
      </c>
      <c r="P2154" s="1786"/>
      <c r="Q2154" s="1786">
        <v>0</v>
      </c>
      <c r="R2154" s="1788"/>
      <c r="S2154" s="1786">
        <f t="shared" si="369"/>
        <v>144</v>
      </c>
      <c r="T2154" s="1786" t="str">
        <f t="shared" si="370"/>
        <v>בנק מזרחי טפחות בע"מ</v>
      </c>
      <c r="U2154" s="1786" t="str">
        <f t="shared" si="371"/>
        <v>הלמן-אלדובי קופה מרכזית לפיצויים</v>
      </c>
      <c r="V2154" s="1786" t="str">
        <f t="shared" si="372"/>
        <v>513163105</v>
      </c>
      <c r="W2154" s="1789" t="str">
        <f t="shared" si="373"/>
        <v>הלמן - אלדובי קופות גמל ופנסיה בע"מ</v>
      </c>
      <c r="AC2154" s="1759" t="s">
        <v>1586</v>
      </c>
      <c r="AD2154" s="1760">
        <v>39813</v>
      </c>
      <c r="AE2154" s="1760">
        <v>34912</v>
      </c>
      <c r="AF2154" s="1759" t="s">
        <v>1583</v>
      </c>
      <c r="AG2154" s="1759" t="s">
        <v>1583</v>
      </c>
      <c r="AH2154" s="1759" t="s">
        <v>1583</v>
      </c>
      <c r="AI2154" s="1759" t="s">
        <v>2985</v>
      </c>
      <c r="AJ2154" s="1759" t="s">
        <v>1624</v>
      </c>
      <c r="AK2154" s="1759">
        <v>144</v>
      </c>
      <c r="AL2154" s="1759" t="s">
        <v>1624</v>
      </c>
      <c r="AM2154" s="1759">
        <v>144</v>
      </c>
      <c r="AN2154" s="1759" t="s">
        <v>5370</v>
      </c>
      <c r="AO2154" s="1764"/>
      <c r="AP2154" s="1759" t="s">
        <v>5371</v>
      </c>
      <c r="AQ2154" s="1759" t="s">
        <v>5372</v>
      </c>
      <c r="AR2154" s="1759" t="s">
        <v>354</v>
      </c>
      <c r="AS2154" s="1759" t="s">
        <v>355</v>
      </c>
      <c r="AT2154" s="1759" t="s">
        <v>327</v>
      </c>
      <c r="AU2154" s="1763"/>
      <c r="AV2154" s="1763"/>
    </row>
    <row r="2155" spans="1:48" ht="25" hidden="1">
      <c r="A2155" s="1785" t="str">
        <f t="shared" si="363"/>
        <v>גמל</v>
      </c>
      <c r="B2155" s="1786">
        <f t="shared" si="364"/>
        <v>142</v>
      </c>
      <c r="C2155" s="1787">
        <v>28946</v>
      </c>
      <c r="D2155" s="1786" t="str">
        <f t="shared" si="365"/>
        <v>הלמן-אלדובי ברק</v>
      </c>
      <c r="E2155" s="1786" t="s">
        <v>3929</v>
      </c>
      <c r="F2155" s="1786" t="s">
        <v>2958</v>
      </c>
      <c r="G2155" s="1786" t="s">
        <v>2959</v>
      </c>
      <c r="H2155" s="1786" t="str">
        <f t="shared" si="366"/>
        <v>לא פעיל</v>
      </c>
      <c r="I2155" s="1788">
        <f t="shared" si="367"/>
        <v>34912</v>
      </c>
      <c r="J2155" s="1788">
        <f t="shared" si="368"/>
        <v>39813</v>
      </c>
      <c r="K2155" s="1786">
        <v>0</v>
      </c>
      <c r="L2155" s="1786" t="s">
        <v>1594</v>
      </c>
      <c r="M2155" s="1786" t="s">
        <v>1653</v>
      </c>
      <c r="N2155" s="1786" t="s">
        <v>1653</v>
      </c>
      <c r="O2155" s="1786">
        <v>0</v>
      </c>
      <c r="P2155" s="1786"/>
      <c r="Q2155" s="1786">
        <v>0</v>
      </c>
      <c r="R2155" s="1788"/>
      <c r="S2155" s="1786">
        <f t="shared" si="369"/>
        <v>142</v>
      </c>
      <c r="T2155" s="1786" t="str">
        <f t="shared" si="370"/>
        <v>בנק מזרחי טפחות בע"מ</v>
      </c>
      <c r="U2155" s="1786" t="str">
        <f t="shared" si="371"/>
        <v>הלמן-אלדובי ברק</v>
      </c>
      <c r="V2155" s="1786" t="str">
        <f t="shared" si="372"/>
        <v>513163105</v>
      </c>
      <c r="W2155" s="1789" t="str">
        <f t="shared" si="373"/>
        <v>הלמן - אלדובי קופות גמל ופנסיה בע"מ</v>
      </c>
      <c r="AC2155" s="1761" t="s">
        <v>1586</v>
      </c>
      <c r="AD2155" s="1762">
        <v>39813</v>
      </c>
      <c r="AE2155" s="1762">
        <v>34912</v>
      </c>
      <c r="AF2155" s="1761" t="s">
        <v>1583</v>
      </c>
      <c r="AG2155" s="1761" t="s">
        <v>1583</v>
      </c>
      <c r="AH2155" s="1761" t="s">
        <v>1583</v>
      </c>
      <c r="AI2155" s="1761" t="s">
        <v>1622</v>
      </c>
      <c r="AJ2155" s="1761" t="s">
        <v>1622</v>
      </c>
      <c r="AK2155" s="1761">
        <v>142</v>
      </c>
      <c r="AL2155" s="1761" t="s">
        <v>1622</v>
      </c>
      <c r="AM2155" s="1761">
        <v>142</v>
      </c>
      <c r="AN2155" s="1761" t="s">
        <v>5370</v>
      </c>
      <c r="AO2155" s="1764"/>
      <c r="AP2155" s="1761" t="s">
        <v>5371</v>
      </c>
      <c r="AQ2155" s="1761" t="s">
        <v>5372</v>
      </c>
      <c r="AR2155" s="1761" t="s">
        <v>354</v>
      </c>
      <c r="AS2155" s="1761" t="s">
        <v>355</v>
      </c>
      <c r="AT2155" s="1761" t="s">
        <v>327</v>
      </c>
      <c r="AU2155" s="1763"/>
      <c r="AV2155" s="1763"/>
    </row>
    <row r="2156" spans="1:48" ht="25" hidden="1">
      <c r="A2156" s="1785" t="str">
        <f t="shared" si="363"/>
        <v>גמל</v>
      </c>
      <c r="B2156" s="1786">
        <f t="shared" si="364"/>
        <v>140</v>
      </c>
      <c r="C2156" s="1787">
        <v>28946</v>
      </c>
      <c r="D2156" s="1786" t="str">
        <f t="shared" si="365"/>
        <v>מבטחים-מרכזית לפיצויים</v>
      </c>
      <c r="E2156" s="1786" t="s">
        <v>3929</v>
      </c>
      <c r="F2156" s="1786" t="s">
        <v>2958</v>
      </c>
      <c r="G2156" s="1786" t="s">
        <v>2959</v>
      </c>
      <c r="H2156" s="1786" t="str">
        <f t="shared" si="366"/>
        <v>לא פעיל</v>
      </c>
      <c r="I2156" s="1788">
        <f t="shared" si="367"/>
        <v>34696</v>
      </c>
      <c r="J2156" s="1788">
        <f t="shared" si="368"/>
        <v>38862.4866666667</v>
      </c>
      <c r="K2156" s="1786">
        <v>0</v>
      </c>
      <c r="L2156" s="1786" t="s">
        <v>1594</v>
      </c>
      <c r="M2156" s="1786" t="s">
        <v>1653</v>
      </c>
      <c r="N2156" s="1786" t="s">
        <v>1653</v>
      </c>
      <c r="O2156" s="1786">
        <v>0</v>
      </c>
      <c r="P2156" s="1786"/>
      <c r="Q2156" s="1786">
        <v>0</v>
      </c>
      <c r="R2156" s="1788"/>
      <c r="S2156" s="1786">
        <f t="shared" si="369"/>
        <v>140</v>
      </c>
      <c r="T2156" s="1786" t="str">
        <f t="shared" si="370"/>
        <v>מבטחים הותיקה</v>
      </c>
      <c r="U2156" s="1786" t="str">
        <f t="shared" si="371"/>
        <v>מבטחים-מרכזית לפיצויים</v>
      </c>
      <c r="V2156" s="1786">
        <f t="shared" si="372"/>
        <v>0</v>
      </c>
      <c r="W2156" s="1789" t="str">
        <f t="shared" si="373"/>
        <v>מנורה מבטחים גמל בע"מ</v>
      </c>
      <c r="AC2156" s="1759" t="s">
        <v>1586</v>
      </c>
      <c r="AD2156" s="1760">
        <v>38862.4866666667</v>
      </c>
      <c r="AE2156" s="1760">
        <v>34696</v>
      </c>
      <c r="AF2156" s="1759" t="s">
        <v>1583</v>
      </c>
      <c r="AG2156" s="1759" t="s">
        <v>1583</v>
      </c>
      <c r="AH2156" s="1759" t="s">
        <v>1583</v>
      </c>
      <c r="AI2156" s="1759" t="s">
        <v>2984</v>
      </c>
      <c r="AJ2156" s="1759" t="s">
        <v>1621</v>
      </c>
      <c r="AK2156" s="1759">
        <v>140</v>
      </c>
      <c r="AL2156" s="1759" t="s">
        <v>1621</v>
      </c>
      <c r="AM2156" s="1759">
        <v>140</v>
      </c>
      <c r="AN2156" s="1759" t="s">
        <v>5548</v>
      </c>
      <c r="AO2156" s="1764"/>
      <c r="AP2156" s="1759"/>
      <c r="AQ2156" s="1759"/>
      <c r="AR2156" s="1759" t="s">
        <v>363</v>
      </c>
      <c r="AS2156" s="1759" t="s">
        <v>364</v>
      </c>
      <c r="AT2156" s="1759" t="s">
        <v>327</v>
      </c>
      <c r="AU2156" s="1763"/>
      <c r="AV2156" s="1763"/>
    </row>
    <row r="2157" spans="1:48" ht="25" hidden="1">
      <c r="A2157" s="1785" t="str">
        <f t="shared" si="363"/>
        <v>גמל</v>
      </c>
      <c r="B2157" s="1786">
        <f t="shared" si="364"/>
        <v>139</v>
      </c>
      <c r="C2157" s="1787">
        <v>28946</v>
      </c>
      <c r="D2157" s="1786" t="str">
        <f t="shared" si="365"/>
        <v>כלל דגש ישראל קופת גמל לתגמולים ולפיצויים</v>
      </c>
      <c r="E2157" s="1786" t="s">
        <v>3929</v>
      </c>
      <c r="F2157" s="1786" t="s">
        <v>2958</v>
      </c>
      <c r="G2157" s="1786" t="s">
        <v>2959</v>
      </c>
      <c r="H2157" s="1786" t="str">
        <f t="shared" si="366"/>
        <v>לא פעיל</v>
      </c>
      <c r="I2157" s="1788">
        <f t="shared" si="367"/>
        <v>34777</v>
      </c>
      <c r="J2157" s="1788">
        <f t="shared" si="368"/>
        <v>40917.817476851902</v>
      </c>
      <c r="K2157" s="1786">
        <v>0</v>
      </c>
      <c r="L2157" s="1786" t="s">
        <v>1594</v>
      </c>
      <c r="M2157" s="1786" t="s">
        <v>1653</v>
      </c>
      <c r="N2157" s="1786" t="s">
        <v>1653</v>
      </c>
      <c r="O2157" s="1786">
        <v>0</v>
      </c>
      <c r="P2157" s="1786"/>
      <c r="Q2157" s="1786">
        <v>0</v>
      </c>
      <c r="R2157" s="1788"/>
      <c r="S2157" s="1786">
        <f t="shared" si="369"/>
        <v>139</v>
      </c>
      <c r="T2157" s="1786" t="str">
        <f t="shared" si="370"/>
        <v>ד.ס.ש ייעוץ ושירותים בע"מ</v>
      </c>
      <c r="U2157" s="1786" t="str">
        <f t="shared" si="371"/>
        <v>כלל דגש ישראל קופת גמל לתגמולים ולפיצויים</v>
      </c>
      <c r="V2157" s="1786">
        <f t="shared" si="372"/>
        <v>0</v>
      </c>
      <c r="W2157" s="1789" t="str">
        <f t="shared" si="373"/>
        <v>כלל פנסיה וגמל בע"מ</v>
      </c>
      <c r="AC2157" s="1761" t="s">
        <v>1586</v>
      </c>
      <c r="AD2157" s="1762">
        <v>40917.817476851902</v>
      </c>
      <c r="AE2157" s="1762">
        <v>34777</v>
      </c>
      <c r="AF2157" s="1761" t="s">
        <v>1583</v>
      </c>
      <c r="AG2157" s="1761" t="s">
        <v>1583</v>
      </c>
      <c r="AH2157" s="1761" t="s">
        <v>1583</v>
      </c>
      <c r="AI2157" s="1761" t="s">
        <v>2983</v>
      </c>
      <c r="AJ2157" s="1761" t="s">
        <v>1620</v>
      </c>
      <c r="AK2157" s="1761">
        <v>139</v>
      </c>
      <c r="AL2157" s="1761" t="s">
        <v>1620</v>
      </c>
      <c r="AM2157" s="1761">
        <v>139</v>
      </c>
      <c r="AN2157" s="1761" t="s">
        <v>5393</v>
      </c>
      <c r="AO2157" s="1764"/>
      <c r="AP2157" s="1761"/>
      <c r="AQ2157" s="1761"/>
      <c r="AR2157" s="1761" t="s">
        <v>378</v>
      </c>
      <c r="AS2157" s="1761" t="s">
        <v>379</v>
      </c>
      <c r="AT2157" s="1761" t="s">
        <v>327</v>
      </c>
      <c r="AU2157" s="1763"/>
      <c r="AV2157" s="1763"/>
    </row>
    <row r="2158" spans="1:48" ht="25" hidden="1">
      <c r="A2158" s="1785" t="str">
        <f t="shared" si="363"/>
        <v>גמל</v>
      </c>
      <c r="B2158" s="1786">
        <f t="shared" si="364"/>
        <v>138</v>
      </c>
      <c r="C2158" s="1787">
        <v>28946</v>
      </c>
      <c r="D2158" s="1786" t="str">
        <f t="shared" si="365"/>
        <v>דש קפיטל קופת גמל מרכזית לפיצויים</v>
      </c>
      <c r="E2158" s="1786" t="s">
        <v>3929</v>
      </c>
      <c r="F2158" s="1786" t="s">
        <v>2958</v>
      </c>
      <c r="G2158" s="1786" t="s">
        <v>2959</v>
      </c>
      <c r="H2158" s="1786" t="str">
        <f t="shared" si="366"/>
        <v>לא פעיל</v>
      </c>
      <c r="I2158" s="1788">
        <f t="shared" si="367"/>
        <v>34668</v>
      </c>
      <c r="J2158" s="1788">
        <f t="shared" si="368"/>
        <v>41863.4152777778</v>
      </c>
      <c r="K2158" s="1786">
        <v>0</v>
      </c>
      <c r="L2158" s="1786" t="s">
        <v>1594</v>
      </c>
      <c r="M2158" s="1786" t="s">
        <v>1653</v>
      </c>
      <c r="N2158" s="1786" t="s">
        <v>1653</v>
      </c>
      <c r="O2158" s="1786">
        <v>0</v>
      </c>
      <c r="P2158" s="1786"/>
      <c r="Q2158" s="1786">
        <v>0</v>
      </c>
      <c r="R2158" s="1788"/>
      <c r="S2158" s="1786">
        <f t="shared" si="369"/>
        <v>138</v>
      </c>
      <c r="T2158" s="1786" t="str">
        <f t="shared" si="370"/>
        <v>בנק מזרחי טפחות בע"מ</v>
      </c>
      <c r="U2158" s="1786" t="str">
        <f t="shared" si="371"/>
        <v>דש קפיטל קופת גמל מרכזית לפיצויים</v>
      </c>
      <c r="V2158" s="1786" t="str">
        <f t="shared" si="372"/>
        <v>520043795</v>
      </c>
      <c r="W2158" s="1789" t="str">
        <f t="shared" si="373"/>
        <v>מיטב דש גמל ופנסיה בע"מ</v>
      </c>
      <c r="AC2158" s="1759" t="s">
        <v>1586</v>
      </c>
      <c r="AD2158" s="1760">
        <v>41863.4152777778</v>
      </c>
      <c r="AE2158" s="1760">
        <v>34668</v>
      </c>
      <c r="AF2158" s="1759" t="s">
        <v>1583</v>
      </c>
      <c r="AG2158" s="1759" t="s">
        <v>1583</v>
      </c>
      <c r="AH2158" s="1759" t="s">
        <v>1583</v>
      </c>
      <c r="AI2158" s="1759" t="s">
        <v>2982</v>
      </c>
      <c r="AJ2158" s="1759" t="s">
        <v>376</v>
      </c>
      <c r="AK2158" s="1759">
        <v>138</v>
      </c>
      <c r="AL2158" s="1759" t="s">
        <v>376</v>
      </c>
      <c r="AM2158" s="1759">
        <v>138</v>
      </c>
      <c r="AN2158" s="1759" t="s">
        <v>5370</v>
      </c>
      <c r="AO2158" s="1764"/>
      <c r="AP2158" s="1759" t="s">
        <v>5373</v>
      </c>
      <c r="AQ2158" s="1759" t="s">
        <v>5374</v>
      </c>
      <c r="AR2158" s="1759" t="s">
        <v>2899</v>
      </c>
      <c r="AS2158" s="1759" t="s">
        <v>349</v>
      </c>
      <c r="AT2158" s="1759" t="s">
        <v>327</v>
      </c>
      <c r="AU2158" s="1763"/>
      <c r="AV2158" s="1763"/>
    </row>
    <row r="2159" spans="1:48" ht="25" hidden="1">
      <c r="A2159" s="1785" t="str">
        <f t="shared" si="363"/>
        <v>גמל</v>
      </c>
      <c r="B2159" s="1786">
        <f t="shared" si="364"/>
        <v>138</v>
      </c>
      <c r="C2159" s="1787">
        <v>28946</v>
      </c>
      <c r="D2159" s="1786" t="str">
        <f t="shared" si="365"/>
        <v>דש קפיטל קופת גמל מרכזית לפיצויים</v>
      </c>
      <c r="E2159" s="1786" t="s">
        <v>3929</v>
      </c>
      <c r="F2159" s="1786" t="s">
        <v>2958</v>
      </c>
      <c r="G2159" s="1786" t="s">
        <v>2959</v>
      </c>
      <c r="H2159" s="1786" t="str">
        <f t="shared" si="366"/>
        <v>לא פעיל</v>
      </c>
      <c r="I2159" s="1788">
        <f t="shared" si="367"/>
        <v>34668</v>
      </c>
      <c r="J2159" s="1788">
        <f t="shared" si="368"/>
        <v>41863.4152777778</v>
      </c>
      <c r="K2159" s="1786">
        <v>0</v>
      </c>
      <c r="L2159" s="1786" t="s">
        <v>1594</v>
      </c>
      <c r="M2159" s="1786" t="s">
        <v>1653</v>
      </c>
      <c r="N2159" s="1786" t="s">
        <v>1653</v>
      </c>
      <c r="O2159" s="1786">
        <v>0</v>
      </c>
      <c r="P2159" s="1786"/>
      <c r="Q2159" s="1786">
        <v>0</v>
      </c>
      <c r="R2159" s="1788"/>
      <c r="S2159" s="1786">
        <f t="shared" si="369"/>
        <v>138</v>
      </c>
      <c r="T2159" s="1786" t="str">
        <f t="shared" si="370"/>
        <v>בנק מזרחי טפחות בע"מ</v>
      </c>
      <c r="U2159" s="1786" t="str">
        <f t="shared" si="371"/>
        <v>דש קפיטל קופת גמל מרכזית לפיצויים</v>
      </c>
      <c r="V2159" s="1786" t="str">
        <f t="shared" si="372"/>
        <v>520043795</v>
      </c>
      <c r="W2159" s="1789" t="str">
        <f t="shared" si="373"/>
        <v>מיטב דש גמל ופנסיה בע"מ</v>
      </c>
      <c r="AC2159" s="1761" t="s">
        <v>1586</v>
      </c>
      <c r="AD2159" s="1762">
        <v>41863.4152777778</v>
      </c>
      <c r="AE2159" s="1762">
        <v>34668</v>
      </c>
      <c r="AF2159" s="1761" t="s">
        <v>1583</v>
      </c>
      <c r="AG2159" s="1761" t="s">
        <v>1583</v>
      </c>
      <c r="AH2159" s="1761" t="s">
        <v>1583</v>
      </c>
      <c r="AI2159" s="1761" t="s">
        <v>2982</v>
      </c>
      <c r="AJ2159" s="1761" t="s">
        <v>376</v>
      </c>
      <c r="AK2159" s="1761">
        <v>138</v>
      </c>
      <c r="AL2159" s="1761" t="s">
        <v>376</v>
      </c>
      <c r="AM2159" s="1761">
        <v>138</v>
      </c>
      <c r="AN2159" s="1761" t="s">
        <v>5370</v>
      </c>
      <c r="AO2159" s="1764"/>
      <c r="AP2159" s="1761" t="s">
        <v>5373</v>
      </c>
      <c r="AQ2159" s="1761" t="s">
        <v>5374</v>
      </c>
      <c r="AR2159" s="1761" t="s">
        <v>2899</v>
      </c>
      <c r="AS2159" s="1761" t="s">
        <v>349</v>
      </c>
      <c r="AT2159" s="1761" t="s">
        <v>327</v>
      </c>
      <c r="AU2159" s="1763"/>
      <c r="AV2159" s="1763"/>
    </row>
    <row r="2160" spans="1:48" ht="25" hidden="1">
      <c r="A2160" s="1785" t="str">
        <f t="shared" si="363"/>
        <v>גמל</v>
      </c>
      <c r="B2160" s="1786">
        <f t="shared" si="364"/>
        <v>137</v>
      </c>
      <c r="C2160" s="1787">
        <v>28946</v>
      </c>
      <c r="D2160" s="1786" t="str">
        <f t="shared" si="365"/>
        <v>דש קפיטל-קרן השתלמות</v>
      </c>
      <c r="E2160" s="1786" t="s">
        <v>3929</v>
      </c>
      <c r="F2160" s="1786" t="s">
        <v>2958</v>
      </c>
      <c r="G2160" s="1786" t="s">
        <v>2959</v>
      </c>
      <c r="H2160" s="1786" t="str">
        <f t="shared" si="366"/>
        <v>לא פעיל</v>
      </c>
      <c r="I2160" s="1788">
        <f t="shared" si="367"/>
        <v>34689</v>
      </c>
      <c r="J2160" s="1788">
        <f t="shared" si="368"/>
        <v>40917.787337962996</v>
      </c>
      <c r="K2160" s="1786">
        <v>0</v>
      </c>
      <c r="L2160" s="1786" t="s">
        <v>1594</v>
      </c>
      <c r="M2160" s="1786" t="s">
        <v>1653</v>
      </c>
      <c r="N2160" s="1786" t="s">
        <v>1653</v>
      </c>
      <c r="O2160" s="1786">
        <v>0</v>
      </c>
      <c r="P2160" s="1786"/>
      <c r="Q2160" s="1786">
        <v>0</v>
      </c>
      <c r="R2160" s="1788"/>
      <c r="S2160" s="1786">
        <f t="shared" si="369"/>
        <v>137</v>
      </c>
      <c r="T2160" s="1786" t="str">
        <f t="shared" si="370"/>
        <v>בנק מזרחי טפחות בע"מ</v>
      </c>
      <c r="U2160" s="1786" t="str">
        <f t="shared" si="371"/>
        <v>דש קפיטל-קרן השתלמות</v>
      </c>
      <c r="V2160" s="1786" t="str">
        <f t="shared" si="372"/>
        <v>520043795</v>
      </c>
      <c r="W2160" s="1789" t="str">
        <f t="shared" si="373"/>
        <v>מיטב דש גמל ופנסיה בע"מ</v>
      </c>
      <c r="AC2160" s="1759" t="s">
        <v>1586</v>
      </c>
      <c r="AD2160" s="1760">
        <v>40917.787337962996</v>
      </c>
      <c r="AE2160" s="1760">
        <v>34689</v>
      </c>
      <c r="AF2160" s="1759" t="s">
        <v>1583</v>
      </c>
      <c r="AG2160" s="1759" t="s">
        <v>1583</v>
      </c>
      <c r="AH2160" s="1759" t="s">
        <v>1583</v>
      </c>
      <c r="AI2160" s="1759" t="s">
        <v>2981</v>
      </c>
      <c r="AJ2160" s="1759" t="s">
        <v>1619</v>
      </c>
      <c r="AK2160" s="1759">
        <v>137</v>
      </c>
      <c r="AL2160" s="1759" t="s">
        <v>1619</v>
      </c>
      <c r="AM2160" s="1759">
        <v>137</v>
      </c>
      <c r="AN2160" s="1759" t="s">
        <v>5370</v>
      </c>
      <c r="AO2160" s="1764"/>
      <c r="AP2160" s="1759" t="s">
        <v>5373</v>
      </c>
      <c r="AQ2160" s="1759" t="s">
        <v>5374</v>
      </c>
      <c r="AR2160" s="1759" t="s">
        <v>2899</v>
      </c>
      <c r="AS2160" s="1759" t="s">
        <v>349</v>
      </c>
      <c r="AT2160" s="1759" t="s">
        <v>327</v>
      </c>
      <c r="AU2160" s="1763"/>
      <c r="AV2160" s="1763"/>
    </row>
    <row r="2161" spans="1:48" ht="25" hidden="1">
      <c r="A2161" s="1785" t="str">
        <f t="shared" si="363"/>
        <v>גמל</v>
      </c>
      <c r="B2161" s="1786">
        <f t="shared" si="364"/>
        <v>137</v>
      </c>
      <c r="C2161" s="1787">
        <v>28946</v>
      </c>
      <c r="D2161" s="1786" t="str">
        <f t="shared" si="365"/>
        <v>דש קפיטל-קרן השתלמות</v>
      </c>
      <c r="E2161" s="1786" t="s">
        <v>3929</v>
      </c>
      <c r="F2161" s="1786" t="s">
        <v>2958</v>
      </c>
      <c r="G2161" s="1786" t="s">
        <v>2959</v>
      </c>
      <c r="H2161" s="1786" t="str">
        <f t="shared" si="366"/>
        <v>לא פעיל</v>
      </c>
      <c r="I2161" s="1788">
        <f t="shared" si="367"/>
        <v>34689</v>
      </c>
      <c r="J2161" s="1788">
        <f t="shared" si="368"/>
        <v>40917.787337962996</v>
      </c>
      <c r="K2161" s="1786">
        <v>0</v>
      </c>
      <c r="L2161" s="1786" t="s">
        <v>1594</v>
      </c>
      <c r="M2161" s="1786" t="s">
        <v>1653</v>
      </c>
      <c r="N2161" s="1786" t="s">
        <v>1653</v>
      </c>
      <c r="O2161" s="1786">
        <v>0</v>
      </c>
      <c r="P2161" s="1786"/>
      <c r="Q2161" s="1786">
        <v>0</v>
      </c>
      <c r="R2161" s="1788"/>
      <c r="S2161" s="1786">
        <f t="shared" si="369"/>
        <v>137</v>
      </c>
      <c r="T2161" s="1786" t="str">
        <f t="shared" si="370"/>
        <v>בנק מזרחי טפחות בע"מ</v>
      </c>
      <c r="U2161" s="1786" t="str">
        <f t="shared" si="371"/>
        <v>דש קפיטל-קרן השתלמות</v>
      </c>
      <c r="V2161" s="1786" t="str">
        <f t="shared" si="372"/>
        <v>520043795</v>
      </c>
      <c r="W2161" s="1789" t="str">
        <f t="shared" si="373"/>
        <v>מיטב דש גמל ופנסיה בע"מ</v>
      </c>
      <c r="AC2161" s="1761" t="s">
        <v>1586</v>
      </c>
      <c r="AD2161" s="1762">
        <v>40917.787337962996</v>
      </c>
      <c r="AE2161" s="1762">
        <v>34689</v>
      </c>
      <c r="AF2161" s="1761" t="s">
        <v>1583</v>
      </c>
      <c r="AG2161" s="1761" t="s">
        <v>1583</v>
      </c>
      <c r="AH2161" s="1761" t="s">
        <v>1583</v>
      </c>
      <c r="AI2161" s="1761" t="s">
        <v>2981</v>
      </c>
      <c r="AJ2161" s="1761" t="s">
        <v>1619</v>
      </c>
      <c r="AK2161" s="1761">
        <v>137</v>
      </c>
      <c r="AL2161" s="1761" t="s">
        <v>1619</v>
      </c>
      <c r="AM2161" s="1761">
        <v>137</v>
      </c>
      <c r="AN2161" s="1761" t="s">
        <v>5370</v>
      </c>
      <c r="AO2161" s="1764"/>
      <c r="AP2161" s="1761" t="s">
        <v>5373</v>
      </c>
      <c r="AQ2161" s="1761" t="s">
        <v>5374</v>
      </c>
      <c r="AR2161" s="1761" t="s">
        <v>2899</v>
      </c>
      <c r="AS2161" s="1761" t="s">
        <v>349</v>
      </c>
      <c r="AT2161" s="1761" t="s">
        <v>327</v>
      </c>
      <c r="AU2161" s="1763"/>
      <c r="AV2161" s="1763"/>
    </row>
    <row r="2162" spans="1:48" ht="25" hidden="1">
      <c r="A2162" s="1785" t="str">
        <f t="shared" si="363"/>
        <v>גמל</v>
      </c>
      <c r="B2162" s="1786">
        <f t="shared" si="364"/>
        <v>136</v>
      </c>
      <c r="C2162" s="1787">
        <v>28946</v>
      </c>
      <c r="D2162" s="1786" t="str">
        <f t="shared" si="365"/>
        <v>דש קפיטל גמל</v>
      </c>
      <c r="E2162" s="1786" t="s">
        <v>3929</v>
      </c>
      <c r="F2162" s="1786" t="s">
        <v>2958</v>
      </c>
      <c r="G2162" s="1786" t="s">
        <v>2959</v>
      </c>
      <c r="H2162" s="1786" t="str">
        <f t="shared" si="366"/>
        <v>לא פעיל</v>
      </c>
      <c r="I2162" s="1788">
        <f t="shared" si="367"/>
        <v>25767</v>
      </c>
      <c r="J2162" s="1788">
        <f t="shared" si="368"/>
        <v>40917.769930555602</v>
      </c>
      <c r="K2162" s="1786">
        <v>0</v>
      </c>
      <c r="L2162" s="1786" t="s">
        <v>1594</v>
      </c>
      <c r="M2162" s="1786" t="s">
        <v>1653</v>
      </c>
      <c r="N2162" s="1786" t="s">
        <v>1653</v>
      </c>
      <c r="O2162" s="1786">
        <v>0</v>
      </c>
      <c r="P2162" s="1786"/>
      <c r="Q2162" s="1786">
        <v>0</v>
      </c>
      <c r="R2162" s="1788"/>
      <c r="S2162" s="1786">
        <f t="shared" si="369"/>
        <v>136</v>
      </c>
      <c r="T2162" s="1786" t="str">
        <f t="shared" si="370"/>
        <v>בנק מזרחי טפחות בע"מ</v>
      </c>
      <c r="U2162" s="1786" t="str">
        <f t="shared" si="371"/>
        <v>דש קפיטל גמל</v>
      </c>
      <c r="V2162" s="1786" t="str">
        <f t="shared" si="372"/>
        <v>520043795</v>
      </c>
      <c r="W2162" s="1789" t="str">
        <f t="shared" si="373"/>
        <v>מיטב דש גמל ופנסיה בע"מ</v>
      </c>
      <c r="AC2162" s="1759" t="s">
        <v>1586</v>
      </c>
      <c r="AD2162" s="1760">
        <v>40917.769930555602</v>
      </c>
      <c r="AE2162" s="1760">
        <v>25767</v>
      </c>
      <c r="AF2162" s="1759" t="s">
        <v>1583</v>
      </c>
      <c r="AG2162" s="1759" t="s">
        <v>1583</v>
      </c>
      <c r="AH2162" s="1759" t="s">
        <v>1583</v>
      </c>
      <c r="AI2162" s="1759" t="s">
        <v>1618</v>
      </c>
      <c r="AJ2162" s="1759" t="s">
        <v>1618</v>
      </c>
      <c r="AK2162" s="1759">
        <v>136</v>
      </c>
      <c r="AL2162" s="1759" t="s">
        <v>1618</v>
      </c>
      <c r="AM2162" s="1759">
        <v>136</v>
      </c>
      <c r="AN2162" s="1759" t="s">
        <v>5370</v>
      </c>
      <c r="AO2162" s="1764"/>
      <c r="AP2162" s="1759" t="s">
        <v>5373</v>
      </c>
      <c r="AQ2162" s="1759" t="s">
        <v>5374</v>
      </c>
      <c r="AR2162" s="1759" t="s">
        <v>2899</v>
      </c>
      <c r="AS2162" s="1759" t="s">
        <v>349</v>
      </c>
      <c r="AT2162" s="1759" t="s">
        <v>327</v>
      </c>
      <c r="AU2162" s="1763"/>
      <c r="AV2162" s="1763"/>
    </row>
    <row r="2163" spans="1:48" ht="25" hidden="1">
      <c r="A2163" s="1785" t="str">
        <f t="shared" si="363"/>
        <v>גמל</v>
      </c>
      <c r="B2163" s="1786">
        <f t="shared" si="364"/>
        <v>136</v>
      </c>
      <c r="C2163" s="1787">
        <v>28946</v>
      </c>
      <c r="D2163" s="1786" t="str">
        <f t="shared" si="365"/>
        <v>דש קפיטל גמל</v>
      </c>
      <c r="E2163" s="1786" t="s">
        <v>3929</v>
      </c>
      <c r="F2163" s="1786" t="s">
        <v>2958</v>
      </c>
      <c r="G2163" s="1786" t="s">
        <v>2959</v>
      </c>
      <c r="H2163" s="1786" t="str">
        <f t="shared" si="366"/>
        <v>לא פעיל</v>
      </c>
      <c r="I2163" s="1788">
        <f t="shared" si="367"/>
        <v>25767</v>
      </c>
      <c r="J2163" s="1788">
        <f t="shared" si="368"/>
        <v>40917.769930555602</v>
      </c>
      <c r="K2163" s="1786">
        <v>0</v>
      </c>
      <c r="L2163" s="1786" t="s">
        <v>1594</v>
      </c>
      <c r="M2163" s="1786" t="s">
        <v>1653</v>
      </c>
      <c r="N2163" s="1786" t="s">
        <v>1653</v>
      </c>
      <c r="O2163" s="1786">
        <v>0</v>
      </c>
      <c r="P2163" s="1786"/>
      <c r="Q2163" s="1786">
        <v>0</v>
      </c>
      <c r="R2163" s="1788"/>
      <c r="S2163" s="1786">
        <f t="shared" si="369"/>
        <v>136</v>
      </c>
      <c r="T2163" s="1786" t="str">
        <f t="shared" si="370"/>
        <v>בנק מזרחי טפחות בע"מ</v>
      </c>
      <c r="U2163" s="1786" t="str">
        <f t="shared" si="371"/>
        <v>דש קפיטל גמל</v>
      </c>
      <c r="V2163" s="1786" t="str">
        <f t="shared" si="372"/>
        <v>520043795</v>
      </c>
      <c r="W2163" s="1789" t="str">
        <f t="shared" si="373"/>
        <v>מיטב דש גמל ופנסיה בע"מ</v>
      </c>
      <c r="AC2163" s="1761" t="s">
        <v>1586</v>
      </c>
      <c r="AD2163" s="1762">
        <v>40917.769930555602</v>
      </c>
      <c r="AE2163" s="1762">
        <v>25767</v>
      </c>
      <c r="AF2163" s="1761" t="s">
        <v>1583</v>
      </c>
      <c r="AG2163" s="1761" t="s">
        <v>1583</v>
      </c>
      <c r="AH2163" s="1761" t="s">
        <v>1583</v>
      </c>
      <c r="AI2163" s="1761" t="s">
        <v>1618</v>
      </c>
      <c r="AJ2163" s="1761" t="s">
        <v>1618</v>
      </c>
      <c r="AK2163" s="1761">
        <v>136</v>
      </c>
      <c r="AL2163" s="1761" t="s">
        <v>1618</v>
      </c>
      <c r="AM2163" s="1761">
        <v>136</v>
      </c>
      <c r="AN2163" s="1761" t="s">
        <v>5370</v>
      </c>
      <c r="AO2163" s="1764"/>
      <c r="AP2163" s="1761" t="s">
        <v>5373</v>
      </c>
      <c r="AQ2163" s="1761" t="s">
        <v>5374</v>
      </c>
      <c r="AR2163" s="1761" t="s">
        <v>2899</v>
      </c>
      <c r="AS2163" s="1761" t="s">
        <v>349</v>
      </c>
      <c r="AT2163" s="1761" t="s">
        <v>327</v>
      </c>
      <c r="AU2163" s="1763"/>
      <c r="AV2163" s="1763"/>
    </row>
    <row r="2164" spans="1:48" ht="25" hidden="1">
      <c r="A2164" s="1785" t="str">
        <f t="shared" si="363"/>
        <v>גמל</v>
      </c>
      <c r="B2164" s="1786">
        <f t="shared" si="364"/>
        <v>135</v>
      </c>
      <c r="C2164" s="1787">
        <v>28946</v>
      </c>
      <c r="D2164" s="1786" t="str">
        <f t="shared" si="365"/>
        <v>דש קפיטל גמל זהב</v>
      </c>
      <c r="E2164" s="1786" t="s">
        <v>3929</v>
      </c>
      <c r="F2164" s="1786" t="s">
        <v>2958</v>
      </c>
      <c r="G2164" s="1786" t="s">
        <v>2959</v>
      </c>
      <c r="H2164" s="1786" t="str">
        <f t="shared" si="366"/>
        <v>לא פעיל</v>
      </c>
      <c r="I2164" s="1788">
        <f t="shared" si="367"/>
        <v>34676</v>
      </c>
      <c r="J2164" s="1788">
        <f t="shared" si="368"/>
        <v>40917.769490740699</v>
      </c>
      <c r="K2164" s="1786">
        <v>0</v>
      </c>
      <c r="L2164" s="1786" t="s">
        <v>1594</v>
      </c>
      <c r="M2164" s="1786" t="s">
        <v>1653</v>
      </c>
      <c r="N2164" s="1786" t="s">
        <v>1653</v>
      </c>
      <c r="O2164" s="1786">
        <v>0</v>
      </c>
      <c r="P2164" s="1786"/>
      <c r="Q2164" s="1786">
        <v>0</v>
      </c>
      <c r="R2164" s="1788"/>
      <c r="S2164" s="1786">
        <f t="shared" si="369"/>
        <v>135</v>
      </c>
      <c r="T2164" s="1786" t="str">
        <f t="shared" si="370"/>
        <v>בנק מזרחי טפחות בע"מ</v>
      </c>
      <c r="U2164" s="1786" t="str">
        <f t="shared" si="371"/>
        <v>דש קפיטל גמל זהב</v>
      </c>
      <c r="V2164" s="1786" t="str">
        <f t="shared" si="372"/>
        <v>520043795</v>
      </c>
      <c r="W2164" s="1789" t="str">
        <f t="shared" si="373"/>
        <v>מיטב דש גמל ופנסיה בע"מ</v>
      </c>
      <c r="AC2164" s="1759" t="s">
        <v>1586</v>
      </c>
      <c r="AD2164" s="1760">
        <v>40917.769490740699</v>
      </c>
      <c r="AE2164" s="1760">
        <v>34676</v>
      </c>
      <c r="AF2164" s="1759" t="s">
        <v>1583</v>
      </c>
      <c r="AG2164" s="1759" t="s">
        <v>1583</v>
      </c>
      <c r="AH2164" s="1759" t="s">
        <v>1583</v>
      </c>
      <c r="AI2164" s="1759" t="s">
        <v>1617</v>
      </c>
      <c r="AJ2164" s="1759" t="s">
        <v>1617</v>
      </c>
      <c r="AK2164" s="1759">
        <v>135</v>
      </c>
      <c r="AL2164" s="1759" t="s">
        <v>1617</v>
      </c>
      <c r="AM2164" s="1759">
        <v>135</v>
      </c>
      <c r="AN2164" s="1759" t="s">
        <v>5370</v>
      </c>
      <c r="AO2164" s="1764"/>
      <c r="AP2164" s="1759" t="s">
        <v>5373</v>
      </c>
      <c r="AQ2164" s="1759" t="s">
        <v>5374</v>
      </c>
      <c r="AR2164" s="1759" t="s">
        <v>2899</v>
      </c>
      <c r="AS2164" s="1759" t="s">
        <v>349</v>
      </c>
      <c r="AT2164" s="1759" t="s">
        <v>327</v>
      </c>
      <c r="AU2164" s="1763"/>
      <c r="AV2164" s="1763"/>
    </row>
    <row r="2165" spans="1:48" ht="25" hidden="1">
      <c r="A2165" s="1785" t="str">
        <f t="shared" si="363"/>
        <v>גמל</v>
      </c>
      <c r="B2165" s="1786">
        <f t="shared" si="364"/>
        <v>135</v>
      </c>
      <c r="C2165" s="1787">
        <v>28946</v>
      </c>
      <c r="D2165" s="1786" t="str">
        <f t="shared" si="365"/>
        <v>דש קפיטל גמל זהב</v>
      </c>
      <c r="E2165" s="1786" t="s">
        <v>3929</v>
      </c>
      <c r="F2165" s="1786" t="s">
        <v>2958</v>
      </c>
      <c r="G2165" s="1786" t="s">
        <v>2959</v>
      </c>
      <c r="H2165" s="1786" t="str">
        <f t="shared" si="366"/>
        <v>לא פעיל</v>
      </c>
      <c r="I2165" s="1788">
        <f t="shared" si="367"/>
        <v>34676</v>
      </c>
      <c r="J2165" s="1788">
        <f t="shared" si="368"/>
        <v>40917.769490740699</v>
      </c>
      <c r="K2165" s="1786">
        <v>0</v>
      </c>
      <c r="L2165" s="1786" t="s">
        <v>1594</v>
      </c>
      <c r="M2165" s="1786" t="s">
        <v>1653</v>
      </c>
      <c r="N2165" s="1786" t="s">
        <v>1653</v>
      </c>
      <c r="O2165" s="1786">
        <v>0</v>
      </c>
      <c r="P2165" s="1786"/>
      <c r="Q2165" s="1786">
        <v>0</v>
      </c>
      <c r="R2165" s="1788"/>
      <c r="S2165" s="1786">
        <f t="shared" si="369"/>
        <v>135</v>
      </c>
      <c r="T2165" s="1786" t="str">
        <f t="shared" si="370"/>
        <v>בנק מזרחי טפחות בע"מ</v>
      </c>
      <c r="U2165" s="1786" t="str">
        <f t="shared" si="371"/>
        <v>דש קפיטל גמל זהב</v>
      </c>
      <c r="V2165" s="1786" t="str">
        <f t="shared" si="372"/>
        <v>520043795</v>
      </c>
      <c r="W2165" s="1789" t="str">
        <f t="shared" si="373"/>
        <v>מיטב דש גמל ופנסיה בע"מ</v>
      </c>
      <c r="AC2165" s="1761" t="s">
        <v>1586</v>
      </c>
      <c r="AD2165" s="1762">
        <v>40917.769490740699</v>
      </c>
      <c r="AE2165" s="1762">
        <v>34676</v>
      </c>
      <c r="AF2165" s="1761" t="s">
        <v>1583</v>
      </c>
      <c r="AG2165" s="1761" t="s">
        <v>1583</v>
      </c>
      <c r="AH2165" s="1761" t="s">
        <v>1583</v>
      </c>
      <c r="AI2165" s="1761" t="s">
        <v>1617</v>
      </c>
      <c r="AJ2165" s="1761" t="s">
        <v>1617</v>
      </c>
      <c r="AK2165" s="1761">
        <v>135</v>
      </c>
      <c r="AL2165" s="1761" t="s">
        <v>1617</v>
      </c>
      <c r="AM2165" s="1761">
        <v>135</v>
      </c>
      <c r="AN2165" s="1761" t="s">
        <v>5370</v>
      </c>
      <c r="AO2165" s="1764"/>
      <c r="AP2165" s="1761" t="s">
        <v>5373</v>
      </c>
      <c r="AQ2165" s="1761" t="s">
        <v>5374</v>
      </c>
      <c r="AR2165" s="1761" t="s">
        <v>2899</v>
      </c>
      <c r="AS2165" s="1761" t="s">
        <v>349</v>
      </c>
      <c r="AT2165" s="1761" t="s">
        <v>327</v>
      </c>
      <c r="AU2165" s="1763"/>
      <c r="AV2165" s="1763"/>
    </row>
    <row r="2166" spans="1:48" ht="37.5" hidden="1">
      <c r="A2166" s="1785" t="str">
        <f t="shared" si="363"/>
        <v>גמל</v>
      </c>
      <c r="B2166" s="1786">
        <f t="shared" si="364"/>
        <v>133</v>
      </c>
      <c r="C2166" s="1787">
        <v>28946</v>
      </c>
      <c r="D2166" s="1786" t="str">
        <f t="shared" si="365"/>
        <v>ישיר מניפה- קופת גמל לתגמולים של עובדי בנק ישראל</v>
      </c>
      <c r="E2166" s="1786" t="s">
        <v>3929</v>
      </c>
      <c r="F2166" s="1786" t="s">
        <v>2958</v>
      </c>
      <c r="G2166" s="1786" t="s">
        <v>2959</v>
      </c>
      <c r="H2166" s="1786" t="str">
        <f t="shared" si="366"/>
        <v>לא פעיל</v>
      </c>
      <c r="I2166" s="1788">
        <f t="shared" si="367"/>
        <v>34803</v>
      </c>
      <c r="J2166" s="1788">
        <f t="shared" si="368"/>
        <v>40542</v>
      </c>
      <c r="K2166" s="1786">
        <v>0</v>
      </c>
      <c r="L2166" s="1786" t="s">
        <v>1594</v>
      </c>
      <c r="M2166" s="1786" t="s">
        <v>1653</v>
      </c>
      <c r="N2166" s="1786" t="s">
        <v>1653</v>
      </c>
      <c r="O2166" s="1786">
        <v>0</v>
      </c>
      <c r="P2166" s="1786"/>
      <c r="Q2166" s="1786">
        <v>0</v>
      </c>
      <c r="R2166" s="1788"/>
      <c r="S2166" s="1786">
        <f t="shared" si="369"/>
        <v>133</v>
      </c>
      <c r="T2166" s="1786" t="str">
        <f t="shared" si="370"/>
        <v>הבנק הבינלאומי הראשון</v>
      </c>
      <c r="U2166" s="1786" t="str">
        <f t="shared" si="371"/>
        <v>ישיר מניפה- קופת גמל לתגמולים של עובדי בנק ישראל</v>
      </c>
      <c r="V2166" s="1786">
        <f t="shared" si="372"/>
        <v>0</v>
      </c>
      <c r="W2166" s="1789" t="str">
        <f t="shared" si="373"/>
        <v>מיטב ישיר גמל בע"מ</v>
      </c>
      <c r="AC2166" s="1759" t="s">
        <v>1586</v>
      </c>
      <c r="AD2166" s="1760">
        <v>40542</v>
      </c>
      <c r="AE2166" s="1760">
        <v>34803</v>
      </c>
      <c r="AF2166" s="1759" t="s">
        <v>1583</v>
      </c>
      <c r="AG2166" s="1759" t="s">
        <v>1583</v>
      </c>
      <c r="AH2166" s="1759" t="s">
        <v>1583</v>
      </c>
      <c r="AI2166" s="1759" t="s">
        <v>2980</v>
      </c>
      <c r="AJ2166" s="1759" t="s">
        <v>1616</v>
      </c>
      <c r="AK2166" s="1759">
        <v>133</v>
      </c>
      <c r="AL2166" s="1759" t="s">
        <v>1616</v>
      </c>
      <c r="AM2166" s="1759">
        <v>133</v>
      </c>
      <c r="AN2166" s="1759" t="s">
        <v>5384</v>
      </c>
      <c r="AO2166" s="1764"/>
      <c r="AP2166" s="1759"/>
      <c r="AQ2166" s="1759"/>
      <c r="AR2166" s="1759" t="s">
        <v>1589</v>
      </c>
      <c r="AS2166" s="1759" t="s">
        <v>1588</v>
      </c>
      <c r="AT2166" s="1759" t="s">
        <v>327</v>
      </c>
      <c r="AU2166" s="1763"/>
      <c r="AV2166" s="1763"/>
    </row>
    <row r="2167" spans="1:48" ht="25">
      <c r="A2167" s="1785" t="str">
        <f t="shared" si="363"/>
        <v>פנסיה</v>
      </c>
      <c r="B2167" s="1786">
        <f t="shared" si="364"/>
        <v>1969</v>
      </c>
      <c r="C2167" s="1787">
        <v>28946</v>
      </c>
      <c r="D2167" s="1786" t="str">
        <f t="shared" si="365"/>
        <v>איילון-פיסגה קרן פנסיה פנסיונרים בסיסי</v>
      </c>
      <c r="E2167" s="1786" t="s">
        <v>3929</v>
      </c>
      <c r="F2167" s="1786" t="s">
        <v>2958</v>
      </c>
      <c r="G2167" s="1786" t="s">
        <v>2959</v>
      </c>
      <c r="H2167" s="1786" t="str">
        <f t="shared" si="366"/>
        <v>לא פעיל</v>
      </c>
      <c r="I2167" s="1788">
        <f t="shared" si="367"/>
        <v>34700</v>
      </c>
      <c r="J2167" s="1788">
        <f t="shared" si="368"/>
        <v>42744.712581018503</v>
      </c>
      <c r="K2167" s="1786">
        <v>0</v>
      </c>
      <c r="L2167" s="1786" t="s">
        <v>1594</v>
      </c>
      <c r="M2167" s="1786" t="s">
        <v>1653</v>
      </c>
      <c r="N2167" s="1786" t="s">
        <v>1653</v>
      </c>
      <c r="O2167" s="1786">
        <v>0</v>
      </c>
      <c r="P2167" s="1786"/>
      <c r="Q2167" s="1786">
        <v>0</v>
      </c>
      <c r="R2167" s="1788"/>
      <c r="S2167" s="1786">
        <f t="shared" si="369"/>
        <v>131</v>
      </c>
      <c r="T2167" s="1786">
        <f t="shared" si="370"/>
        <v>0</v>
      </c>
      <c r="U2167" s="1786" t="str">
        <f t="shared" si="371"/>
        <v>איילון-פיסגה קרן פנסיה</v>
      </c>
      <c r="V2167" s="1786" t="str">
        <f t="shared" si="372"/>
        <v>520030677</v>
      </c>
      <c r="W2167" s="1789" t="str">
        <f t="shared" si="373"/>
        <v>איילון פנסיה וגמל בע"מ</v>
      </c>
      <c r="AC2167" s="1761" t="s">
        <v>1586</v>
      </c>
      <c r="AD2167" s="1762">
        <v>42744.712581018503</v>
      </c>
      <c r="AE2167" s="1762">
        <v>34700</v>
      </c>
      <c r="AF2167" s="1761" t="s">
        <v>4160</v>
      </c>
      <c r="AG2167" s="1761" t="s">
        <v>2614</v>
      </c>
      <c r="AH2167" s="1761" t="s">
        <v>3658</v>
      </c>
      <c r="AI2167" s="1761" t="s">
        <v>4629</v>
      </c>
      <c r="AJ2167" s="1761" t="s">
        <v>4628</v>
      </c>
      <c r="AK2167" s="1761">
        <v>1969</v>
      </c>
      <c r="AL2167" s="1761" t="s">
        <v>372</v>
      </c>
      <c r="AM2167" s="1761">
        <v>131</v>
      </c>
      <c r="AN2167" s="1761"/>
      <c r="AO2167" s="1764"/>
      <c r="AP2167" s="1761" t="s">
        <v>5385</v>
      </c>
      <c r="AQ2167" s="1761" t="s">
        <v>5386</v>
      </c>
      <c r="AR2167" s="1761" t="s">
        <v>2780</v>
      </c>
      <c r="AS2167" s="1761" t="s">
        <v>426</v>
      </c>
      <c r="AT2167" s="1761" t="s">
        <v>328</v>
      </c>
      <c r="AU2167" s="1763"/>
      <c r="AV2167" s="1763"/>
    </row>
    <row r="2168" spans="1:48" ht="25">
      <c r="A2168" s="1785" t="str">
        <f t="shared" si="363"/>
        <v>פנסיה</v>
      </c>
      <c r="B2168" s="1786">
        <f t="shared" si="364"/>
        <v>9672</v>
      </c>
      <c r="C2168" s="1787">
        <v>28946</v>
      </c>
      <c r="D2168" s="1786" t="str">
        <f t="shared" si="365"/>
        <v>איילון-פיסגה קרן פנסיה עד 50</v>
      </c>
      <c r="E2168" s="1786" t="s">
        <v>3929</v>
      </c>
      <c r="F2168" s="1786" t="s">
        <v>2958</v>
      </c>
      <c r="G2168" s="1786" t="s">
        <v>2959</v>
      </c>
      <c r="H2168" s="1786" t="str">
        <f t="shared" si="366"/>
        <v>לא פעיל</v>
      </c>
      <c r="I2168" s="1788">
        <f t="shared" si="367"/>
        <v>34700</v>
      </c>
      <c r="J2168" s="1788">
        <f t="shared" si="368"/>
        <v>42744.712581018503</v>
      </c>
      <c r="K2168" s="1786">
        <v>0</v>
      </c>
      <c r="L2168" s="1786" t="s">
        <v>1594</v>
      </c>
      <c r="M2168" s="1786" t="s">
        <v>1653</v>
      </c>
      <c r="N2168" s="1786" t="s">
        <v>1653</v>
      </c>
      <c r="O2168" s="1786">
        <v>0</v>
      </c>
      <c r="P2168" s="1786"/>
      <c r="Q2168" s="1786">
        <v>0</v>
      </c>
      <c r="R2168" s="1788"/>
      <c r="S2168" s="1786">
        <f t="shared" si="369"/>
        <v>131</v>
      </c>
      <c r="T2168" s="1786">
        <f t="shared" si="370"/>
        <v>0</v>
      </c>
      <c r="U2168" s="1786" t="str">
        <f t="shared" si="371"/>
        <v>איילון-פיסגה קרן פנסיה</v>
      </c>
      <c r="V2168" s="1786" t="str">
        <f t="shared" si="372"/>
        <v>520030677</v>
      </c>
      <c r="W2168" s="1789" t="str">
        <f t="shared" si="373"/>
        <v>איילון פנסיה וגמל בע"מ</v>
      </c>
      <c r="AC2168" s="1759" t="s">
        <v>1586</v>
      </c>
      <c r="AD2168" s="1760">
        <v>42744.712581018503</v>
      </c>
      <c r="AE2168" s="1760">
        <v>34700</v>
      </c>
      <c r="AF2168" s="1759" t="s">
        <v>4151</v>
      </c>
      <c r="AG2168" s="1759" t="s">
        <v>3931</v>
      </c>
      <c r="AH2168" s="1759" t="s">
        <v>3658</v>
      </c>
      <c r="AI2168" s="1759" t="s">
        <v>4316</v>
      </c>
      <c r="AJ2168" s="1759" t="s">
        <v>4315</v>
      </c>
      <c r="AK2168" s="1759">
        <v>9672</v>
      </c>
      <c r="AL2168" s="1759" t="s">
        <v>372</v>
      </c>
      <c r="AM2168" s="1759">
        <v>131</v>
      </c>
      <c r="AN2168" s="1759"/>
      <c r="AO2168" s="1764"/>
      <c r="AP2168" s="1759" t="s">
        <v>5385</v>
      </c>
      <c r="AQ2168" s="1759" t="s">
        <v>5386</v>
      </c>
      <c r="AR2168" s="1759" t="s">
        <v>2780</v>
      </c>
      <c r="AS2168" s="1759" t="s">
        <v>426</v>
      </c>
      <c r="AT2168" s="1759" t="s">
        <v>328</v>
      </c>
      <c r="AU2168" s="1763"/>
      <c r="AV2168" s="1763"/>
    </row>
    <row r="2169" spans="1:48" ht="25">
      <c r="A2169" s="1785" t="str">
        <f t="shared" si="363"/>
        <v>פנסיה</v>
      </c>
      <c r="B2169" s="1786">
        <f t="shared" si="364"/>
        <v>9673</v>
      </c>
      <c r="C2169" s="1787">
        <v>28946</v>
      </c>
      <c r="D2169" s="1786" t="str">
        <f t="shared" si="365"/>
        <v>איילון-פיסגה קרן פנסיה 50-60</v>
      </c>
      <c r="E2169" s="1786" t="s">
        <v>3929</v>
      </c>
      <c r="F2169" s="1786" t="s">
        <v>2958</v>
      </c>
      <c r="G2169" s="1786" t="s">
        <v>2959</v>
      </c>
      <c r="H2169" s="1786" t="str">
        <f t="shared" si="366"/>
        <v>לא פעיל</v>
      </c>
      <c r="I2169" s="1788">
        <f t="shared" si="367"/>
        <v>34700</v>
      </c>
      <c r="J2169" s="1788">
        <f t="shared" si="368"/>
        <v>42744.712581018503</v>
      </c>
      <c r="K2169" s="1786">
        <v>0</v>
      </c>
      <c r="L2169" s="1786" t="s">
        <v>1594</v>
      </c>
      <c r="M2169" s="1786" t="s">
        <v>1653</v>
      </c>
      <c r="N2169" s="1786" t="s">
        <v>1653</v>
      </c>
      <c r="O2169" s="1786">
        <v>0</v>
      </c>
      <c r="P2169" s="1786"/>
      <c r="Q2169" s="1786">
        <v>0</v>
      </c>
      <c r="R2169" s="1788"/>
      <c r="S2169" s="1786">
        <f t="shared" si="369"/>
        <v>131</v>
      </c>
      <c r="T2169" s="1786">
        <f t="shared" si="370"/>
        <v>0</v>
      </c>
      <c r="U2169" s="1786" t="str">
        <f t="shared" si="371"/>
        <v>איילון-פיסגה קרן פנסיה</v>
      </c>
      <c r="V2169" s="1786" t="str">
        <f t="shared" si="372"/>
        <v>520030677</v>
      </c>
      <c r="W2169" s="1789" t="str">
        <f t="shared" si="373"/>
        <v>איילון פנסיה וגמל בע"מ</v>
      </c>
      <c r="AC2169" s="1761" t="s">
        <v>1586</v>
      </c>
      <c r="AD2169" s="1762">
        <v>42744.712581018503</v>
      </c>
      <c r="AE2169" s="1762">
        <v>34700</v>
      </c>
      <c r="AF2169" s="1761" t="s">
        <v>3932</v>
      </c>
      <c r="AG2169" s="1761" t="s">
        <v>3931</v>
      </c>
      <c r="AH2169" s="1761" t="s">
        <v>3658</v>
      </c>
      <c r="AI2169" s="1761" t="s">
        <v>4318</v>
      </c>
      <c r="AJ2169" s="1761" t="s">
        <v>4317</v>
      </c>
      <c r="AK2169" s="1761">
        <v>9673</v>
      </c>
      <c r="AL2169" s="1761" t="s">
        <v>372</v>
      </c>
      <c r="AM2169" s="1761">
        <v>131</v>
      </c>
      <c r="AN2169" s="1761"/>
      <c r="AO2169" s="1764"/>
      <c r="AP2169" s="1761" t="s">
        <v>5385</v>
      </c>
      <c r="AQ2169" s="1761" t="s">
        <v>5386</v>
      </c>
      <c r="AR2169" s="1761" t="s">
        <v>2780</v>
      </c>
      <c r="AS2169" s="1761" t="s">
        <v>426</v>
      </c>
      <c r="AT2169" s="1761" t="s">
        <v>328</v>
      </c>
      <c r="AU2169" s="1763"/>
      <c r="AV2169" s="1763"/>
    </row>
    <row r="2170" spans="1:48" ht="25">
      <c r="A2170" s="1785" t="str">
        <f t="shared" si="363"/>
        <v>פנסיה</v>
      </c>
      <c r="B2170" s="1786">
        <f t="shared" si="364"/>
        <v>9674</v>
      </c>
      <c r="C2170" s="1787">
        <v>28946</v>
      </c>
      <c r="D2170" s="1786" t="str">
        <f t="shared" si="365"/>
        <v>איילון-פיסגה קרן פנסיה 60 ומעלה</v>
      </c>
      <c r="E2170" s="1786" t="s">
        <v>3929</v>
      </c>
      <c r="F2170" s="1786" t="s">
        <v>2958</v>
      </c>
      <c r="G2170" s="1786" t="s">
        <v>2959</v>
      </c>
      <c r="H2170" s="1786" t="str">
        <f t="shared" si="366"/>
        <v>לא פעיל</v>
      </c>
      <c r="I2170" s="1788">
        <f t="shared" si="367"/>
        <v>34700</v>
      </c>
      <c r="J2170" s="1788">
        <f t="shared" si="368"/>
        <v>42744.712581018503</v>
      </c>
      <c r="K2170" s="1786">
        <v>0</v>
      </c>
      <c r="L2170" s="1786" t="s">
        <v>1594</v>
      </c>
      <c r="M2170" s="1786" t="s">
        <v>1653</v>
      </c>
      <c r="N2170" s="1786" t="s">
        <v>1653</v>
      </c>
      <c r="O2170" s="1786">
        <v>0</v>
      </c>
      <c r="P2170" s="1786"/>
      <c r="Q2170" s="1786">
        <v>0</v>
      </c>
      <c r="R2170" s="1788"/>
      <c r="S2170" s="1786">
        <f t="shared" si="369"/>
        <v>131</v>
      </c>
      <c r="T2170" s="1786">
        <f t="shared" si="370"/>
        <v>0</v>
      </c>
      <c r="U2170" s="1786" t="str">
        <f t="shared" si="371"/>
        <v>איילון-פיסגה קרן פנסיה</v>
      </c>
      <c r="V2170" s="1786" t="str">
        <f t="shared" si="372"/>
        <v>520030677</v>
      </c>
      <c r="W2170" s="1789" t="str">
        <f t="shared" si="373"/>
        <v>איילון פנסיה וגמל בע"מ</v>
      </c>
      <c r="AC2170" s="1759" t="s">
        <v>1586</v>
      </c>
      <c r="AD2170" s="1760">
        <v>42744.712581018503</v>
      </c>
      <c r="AE2170" s="1760">
        <v>34700</v>
      </c>
      <c r="AF2170" s="1759" t="s">
        <v>3963</v>
      </c>
      <c r="AG2170" s="1759" t="s">
        <v>3931</v>
      </c>
      <c r="AH2170" s="1759" t="s">
        <v>3658</v>
      </c>
      <c r="AI2170" s="1759" t="s">
        <v>4320</v>
      </c>
      <c r="AJ2170" s="1759" t="s">
        <v>4319</v>
      </c>
      <c r="AK2170" s="1759">
        <v>9674</v>
      </c>
      <c r="AL2170" s="1759" t="s">
        <v>372</v>
      </c>
      <c r="AM2170" s="1759">
        <v>131</v>
      </c>
      <c r="AN2170" s="1759"/>
      <c r="AO2170" s="1764"/>
      <c r="AP2170" s="1759" t="s">
        <v>5385</v>
      </c>
      <c r="AQ2170" s="1759" t="s">
        <v>5386</v>
      </c>
      <c r="AR2170" s="1759" t="s">
        <v>2780</v>
      </c>
      <c r="AS2170" s="1759" t="s">
        <v>426</v>
      </c>
      <c r="AT2170" s="1759" t="s">
        <v>328</v>
      </c>
      <c r="AU2170" s="1763"/>
      <c r="AV2170" s="1763"/>
    </row>
    <row r="2171" spans="1:48" ht="25">
      <c r="A2171" s="1785" t="str">
        <f t="shared" si="363"/>
        <v>פנסיה</v>
      </c>
      <c r="B2171" s="1786">
        <f t="shared" si="364"/>
        <v>2195</v>
      </c>
      <c r="C2171" s="1787">
        <v>28946</v>
      </c>
      <c r="D2171" s="1786" t="str">
        <f t="shared" si="365"/>
        <v>איילון-פיסגה קרן פנסיה - זכאים קיימים</v>
      </c>
      <c r="E2171" s="1786" t="s">
        <v>3929</v>
      </c>
      <c r="F2171" s="1786" t="s">
        <v>2958</v>
      </c>
      <c r="G2171" s="1786" t="s">
        <v>2959</v>
      </c>
      <c r="H2171" s="1786" t="str">
        <f t="shared" si="366"/>
        <v>לא פעיל</v>
      </c>
      <c r="I2171" s="1788">
        <f t="shared" si="367"/>
        <v>34700</v>
      </c>
      <c r="J2171" s="1788">
        <f t="shared" si="368"/>
        <v>42744.712581018503</v>
      </c>
      <c r="K2171" s="1786">
        <v>0</v>
      </c>
      <c r="L2171" s="1786" t="s">
        <v>1594</v>
      </c>
      <c r="M2171" s="1786" t="s">
        <v>1653</v>
      </c>
      <c r="N2171" s="1786" t="s">
        <v>1653</v>
      </c>
      <c r="O2171" s="1786">
        <v>0</v>
      </c>
      <c r="P2171" s="1786"/>
      <c r="Q2171" s="1786">
        <v>0</v>
      </c>
      <c r="R2171" s="1788"/>
      <c r="S2171" s="1786">
        <f t="shared" si="369"/>
        <v>131</v>
      </c>
      <c r="T2171" s="1786">
        <f t="shared" si="370"/>
        <v>0</v>
      </c>
      <c r="U2171" s="1786" t="str">
        <f t="shared" si="371"/>
        <v>איילון-פיסגה קרן פנסיה</v>
      </c>
      <c r="V2171" s="1786" t="str">
        <f t="shared" si="372"/>
        <v>520030677</v>
      </c>
      <c r="W2171" s="1789" t="str">
        <f t="shared" si="373"/>
        <v>איילון פנסיה וגמל בע"מ</v>
      </c>
      <c r="AC2171" s="1761" t="s">
        <v>1586</v>
      </c>
      <c r="AD2171" s="1762">
        <v>42744.712581018503</v>
      </c>
      <c r="AE2171" s="1762">
        <v>34700</v>
      </c>
      <c r="AF2171" s="1761" t="s">
        <v>1583</v>
      </c>
      <c r="AG2171" s="1761" t="s">
        <v>1583</v>
      </c>
      <c r="AH2171" s="1761" t="s">
        <v>1583</v>
      </c>
      <c r="AI2171" s="1761" t="s">
        <v>3707</v>
      </c>
      <c r="AJ2171" s="1761" t="s">
        <v>3707</v>
      </c>
      <c r="AK2171" s="1761">
        <v>2195</v>
      </c>
      <c r="AL2171" s="1761" t="s">
        <v>372</v>
      </c>
      <c r="AM2171" s="1761">
        <v>131</v>
      </c>
      <c r="AN2171" s="1761"/>
      <c r="AO2171" s="1764"/>
      <c r="AP2171" s="1761" t="s">
        <v>5385</v>
      </c>
      <c r="AQ2171" s="1761" t="s">
        <v>5386</v>
      </c>
      <c r="AR2171" s="1761" t="s">
        <v>2780</v>
      </c>
      <c r="AS2171" s="1761" t="s">
        <v>426</v>
      </c>
      <c r="AT2171" s="1761" t="s">
        <v>328</v>
      </c>
      <c r="AU2171" s="1763"/>
      <c r="AV2171" s="1763"/>
    </row>
    <row r="2172" spans="1:48" ht="25">
      <c r="A2172" s="1785" t="str">
        <f t="shared" si="363"/>
        <v>פנסיה</v>
      </c>
      <c r="B2172" s="1786">
        <f t="shared" si="364"/>
        <v>2076</v>
      </c>
      <c r="C2172" s="1787">
        <v>28946</v>
      </c>
      <c r="D2172" s="1786" t="str">
        <f t="shared" si="365"/>
        <v>איילון-פיסגה - "כהלכה"</v>
      </c>
      <c r="E2172" s="1786" t="s">
        <v>3929</v>
      </c>
      <c r="F2172" s="1786" t="s">
        <v>2958</v>
      </c>
      <c r="G2172" s="1786" t="s">
        <v>2959</v>
      </c>
      <c r="H2172" s="1786" t="str">
        <f t="shared" si="366"/>
        <v>לא פעיל</v>
      </c>
      <c r="I2172" s="1788">
        <f t="shared" si="367"/>
        <v>34700</v>
      </c>
      <c r="J2172" s="1788">
        <f t="shared" si="368"/>
        <v>42744.712581018503</v>
      </c>
      <c r="K2172" s="1786">
        <v>0</v>
      </c>
      <c r="L2172" s="1786" t="s">
        <v>1594</v>
      </c>
      <c r="M2172" s="1786" t="s">
        <v>1653</v>
      </c>
      <c r="N2172" s="1786" t="s">
        <v>1653</v>
      </c>
      <c r="O2172" s="1786">
        <v>0</v>
      </c>
      <c r="P2172" s="1786"/>
      <c r="Q2172" s="1786">
        <v>0</v>
      </c>
      <c r="R2172" s="1788"/>
      <c r="S2172" s="1786">
        <f t="shared" si="369"/>
        <v>131</v>
      </c>
      <c r="T2172" s="1786">
        <f t="shared" si="370"/>
        <v>0</v>
      </c>
      <c r="U2172" s="1786" t="str">
        <f t="shared" si="371"/>
        <v>איילון-פיסגה קרן פנסיה</v>
      </c>
      <c r="V2172" s="1786" t="str">
        <f t="shared" si="372"/>
        <v>520030677</v>
      </c>
      <c r="W2172" s="1789" t="str">
        <f t="shared" si="373"/>
        <v>איילון פנסיה וגמל בע"מ</v>
      </c>
      <c r="AC2172" s="1759" t="s">
        <v>1586</v>
      </c>
      <c r="AD2172" s="1760">
        <v>42744.712581018503</v>
      </c>
      <c r="AE2172" s="1760">
        <v>34700</v>
      </c>
      <c r="AF2172" s="1759" t="s">
        <v>4603</v>
      </c>
      <c r="AG2172" s="1759" t="s">
        <v>2029</v>
      </c>
      <c r="AH2172" s="1759" t="s">
        <v>2028</v>
      </c>
      <c r="AI2172" s="1759" t="s">
        <v>2542</v>
      </c>
      <c r="AJ2172" s="1759" t="s">
        <v>2542</v>
      </c>
      <c r="AK2172" s="1759">
        <v>2076</v>
      </c>
      <c r="AL2172" s="1759" t="s">
        <v>372</v>
      </c>
      <c r="AM2172" s="1759">
        <v>131</v>
      </c>
      <c r="AN2172" s="1759"/>
      <c r="AO2172" s="1764"/>
      <c r="AP2172" s="1759" t="s">
        <v>5385</v>
      </c>
      <c r="AQ2172" s="1759" t="s">
        <v>5386</v>
      </c>
      <c r="AR2172" s="1759" t="s">
        <v>2780</v>
      </c>
      <c r="AS2172" s="1759" t="s">
        <v>426</v>
      </c>
      <c r="AT2172" s="1759" t="s">
        <v>328</v>
      </c>
      <c r="AU2172" s="1763"/>
      <c r="AV2172" s="1763"/>
    </row>
    <row r="2173" spans="1:48" ht="25">
      <c r="A2173" s="1785" t="str">
        <f t="shared" si="363"/>
        <v>פנסיה</v>
      </c>
      <c r="B2173" s="1786">
        <f t="shared" si="364"/>
        <v>2077</v>
      </c>
      <c r="C2173" s="1787">
        <v>28946</v>
      </c>
      <c r="D2173" s="1786" t="str">
        <f t="shared" si="365"/>
        <v>איילון-פיסגה - פסגות איילון</v>
      </c>
      <c r="E2173" s="1786" t="s">
        <v>3929</v>
      </c>
      <c r="F2173" s="1786" t="s">
        <v>2958</v>
      </c>
      <c r="G2173" s="1786" t="s">
        <v>2959</v>
      </c>
      <c r="H2173" s="1786" t="str">
        <f t="shared" si="366"/>
        <v>לא פעיל</v>
      </c>
      <c r="I2173" s="1788">
        <f t="shared" si="367"/>
        <v>34700</v>
      </c>
      <c r="J2173" s="1788">
        <f t="shared" si="368"/>
        <v>42744.712581018503</v>
      </c>
      <c r="K2173" s="1786">
        <v>0</v>
      </c>
      <c r="L2173" s="1786" t="s">
        <v>1594</v>
      </c>
      <c r="M2173" s="1786" t="s">
        <v>1653</v>
      </c>
      <c r="N2173" s="1786" t="s">
        <v>1653</v>
      </c>
      <c r="O2173" s="1786">
        <v>0</v>
      </c>
      <c r="P2173" s="1786"/>
      <c r="Q2173" s="1786">
        <v>0</v>
      </c>
      <c r="R2173" s="1788"/>
      <c r="S2173" s="1786">
        <f t="shared" si="369"/>
        <v>131</v>
      </c>
      <c r="T2173" s="1786">
        <f t="shared" si="370"/>
        <v>0</v>
      </c>
      <c r="U2173" s="1786" t="str">
        <f t="shared" si="371"/>
        <v>איילון-פיסגה קרן פנסיה</v>
      </c>
      <c r="V2173" s="1786" t="str">
        <f t="shared" si="372"/>
        <v>520030677</v>
      </c>
      <c r="W2173" s="1789" t="str">
        <f t="shared" si="373"/>
        <v>איילון פנסיה וגמל בע"מ</v>
      </c>
      <c r="AC2173" s="1761" t="s">
        <v>1586</v>
      </c>
      <c r="AD2173" s="1762">
        <v>42744.712581018503</v>
      </c>
      <c r="AE2173" s="1762">
        <v>34700</v>
      </c>
      <c r="AF2173" s="1761" t="s">
        <v>1583</v>
      </c>
      <c r="AG2173" s="1761" t="s">
        <v>1583</v>
      </c>
      <c r="AH2173" s="1761" t="s">
        <v>1583</v>
      </c>
      <c r="AI2173" s="1761" t="s">
        <v>2543</v>
      </c>
      <c r="AJ2173" s="1761" t="s">
        <v>2543</v>
      </c>
      <c r="AK2173" s="1761">
        <v>2077</v>
      </c>
      <c r="AL2173" s="1761" t="s">
        <v>372</v>
      </c>
      <c r="AM2173" s="1761">
        <v>131</v>
      </c>
      <c r="AN2173" s="1761"/>
      <c r="AO2173" s="1764"/>
      <c r="AP2173" s="1761" t="s">
        <v>5385</v>
      </c>
      <c r="AQ2173" s="1761" t="s">
        <v>5386</v>
      </c>
      <c r="AR2173" s="1761" t="s">
        <v>2780</v>
      </c>
      <c r="AS2173" s="1761" t="s">
        <v>426</v>
      </c>
      <c r="AT2173" s="1761" t="s">
        <v>328</v>
      </c>
      <c r="AU2173" s="1763"/>
      <c r="AV2173" s="1763"/>
    </row>
    <row r="2174" spans="1:48" ht="25">
      <c r="A2174" s="1785" t="str">
        <f t="shared" si="363"/>
        <v>פנסיה</v>
      </c>
      <c r="B2174" s="1786">
        <f t="shared" si="364"/>
        <v>2078</v>
      </c>
      <c r="C2174" s="1787">
        <v>28946</v>
      </c>
      <c r="D2174" s="1786" t="str">
        <f t="shared" si="365"/>
        <v xml:space="preserve">איילון-פיסגה - הדס איילון </v>
      </c>
      <c r="E2174" s="1786" t="s">
        <v>3929</v>
      </c>
      <c r="F2174" s="1786" t="s">
        <v>2958</v>
      </c>
      <c r="G2174" s="1786" t="s">
        <v>2959</v>
      </c>
      <c r="H2174" s="1786" t="str">
        <f t="shared" si="366"/>
        <v>לא פעיל</v>
      </c>
      <c r="I2174" s="1788">
        <f t="shared" si="367"/>
        <v>34700</v>
      </c>
      <c r="J2174" s="1788">
        <f t="shared" si="368"/>
        <v>42744.712581018503</v>
      </c>
      <c r="K2174" s="1786">
        <v>0</v>
      </c>
      <c r="L2174" s="1786" t="s">
        <v>1594</v>
      </c>
      <c r="M2174" s="1786" t="s">
        <v>1653</v>
      </c>
      <c r="N2174" s="1786" t="s">
        <v>1653</v>
      </c>
      <c r="O2174" s="1786">
        <v>0</v>
      </c>
      <c r="P2174" s="1786"/>
      <c r="Q2174" s="1786">
        <v>0</v>
      </c>
      <c r="R2174" s="1788"/>
      <c r="S2174" s="1786">
        <f t="shared" si="369"/>
        <v>131</v>
      </c>
      <c r="T2174" s="1786">
        <f t="shared" si="370"/>
        <v>0</v>
      </c>
      <c r="U2174" s="1786" t="str">
        <f t="shared" si="371"/>
        <v>איילון-פיסגה קרן פנסיה</v>
      </c>
      <c r="V2174" s="1786" t="str">
        <f t="shared" si="372"/>
        <v>520030677</v>
      </c>
      <c r="W2174" s="1789" t="str">
        <f t="shared" si="373"/>
        <v>איילון פנסיה וגמל בע"מ</v>
      </c>
      <c r="AC2174" s="1759" t="s">
        <v>1586</v>
      </c>
      <c r="AD2174" s="1760">
        <v>42744.712581018503</v>
      </c>
      <c r="AE2174" s="1760">
        <v>34700</v>
      </c>
      <c r="AF2174" s="1759" t="s">
        <v>1583</v>
      </c>
      <c r="AG2174" s="1759" t="s">
        <v>1583</v>
      </c>
      <c r="AH2174" s="1759" t="s">
        <v>1583</v>
      </c>
      <c r="AI2174" s="1759" t="s">
        <v>2544</v>
      </c>
      <c r="AJ2174" s="1759" t="s">
        <v>2544</v>
      </c>
      <c r="AK2174" s="1759">
        <v>2078</v>
      </c>
      <c r="AL2174" s="1759" t="s">
        <v>372</v>
      </c>
      <c r="AM2174" s="1759">
        <v>131</v>
      </c>
      <c r="AN2174" s="1759"/>
      <c r="AO2174" s="1764"/>
      <c r="AP2174" s="1759" t="s">
        <v>5385</v>
      </c>
      <c r="AQ2174" s="1759" t="s">
        <v>5386</v>
      </c>
      <c r="AR2174" s="1759" t="s">
        <v>2780</v>
      </c>
      <c r="AS2174" s="1759" t="s">
        <v>426</v>
      </c>
      <c r="AT2174" s="1759" t="s">
        <v>328</v>
      </c>
      <c r="AU2174" s="1763"/>
      <c r="AV2174" s="1763"/>
    </row>
    <row r="2175" spans="1:48" ht="25">
      <c r="A2175" s="1785" t="str">
        <f t="shared" si="363"/>
        <v>פנסיה</v>
      </c>
      <c r="B2175" s="1786">
        <f t="shared" si="364"/>
        <v>2075</v>
      </c>
      <c r="C2175" s="1787">
        <v>28946</v>
      </c>
      <c r="D2175" s="1786" t="str">
        <f t="shared" si="365"/>
        <v>איילון-פיסגה - כללי</v>
      </c>
      <c r="E2175" s="1786" t="s">
        <v>3929</v>
      </c>
      <c r="F2175" s="1786" t="s">
        <v>2958</v>
      </c>
      <c r="G2175" s="1786" t="s">
        <v>2959</v>
      </c>
      <c r="H2175" s="1786" t="str">
        <f t="shared" si="366"/>
        <v>לא פעיל</v>
      </c>
      <c r="I2175" s="1788">
        <f t="shared" si="367"/>
        <v>34700</v>
      </c>
      <c r="J2175" s="1788">
        <f t="shared" si="368"/>
        <v>42744.712581018503</v>
      </c>
      <c r="K2175" s="1786">
        <v>0</v>
      </c>
      <c r="L2175" s="1786" t="s">
        <v>1594</v>
      </c>
      <c r="M2175" s="1786" t="s">
        <v>1653</v>
      </c>
      <c r="N2175" s="1786" t="s">
        <v>1653</v>
      </c>
      <c r="O2175" s="1786">
        <v>0</v>
      </c>
      <c r="P2175" s="1786"/>
      <c r="Q2175" s="1786">
        <v>0</v>
      </c>
      <c r="R2175" s="1788"/>
      <c r="S2175" s="1786">
        <f t="shared" si="369"/>
        <v>131</v>
      </c>
      <c r="T2175" s="1786">
        <f t="shared" si="370"/>
        <v>0</v>
      </c>
      <c r="U2175" s="1786" t="str">
        <f t="shared" si="371"/>
        <v>איילון-פיסגה קרן פנסיה</v>
      </c>
      <c r="V2175" s="1786" t="str">
        <f t="shared" si="372"/>
        <v>520030677</v>
      </c>
      <c r="W2175" s="1789" t="str">
        <f t="shared" si="373"/>
        <v>איילון פנסיה וגמל בע"מ</v>
      </c>
      <c r="AC2175" s="1761" t="s">
        <v>1586</v>
      </c>
      <c r="AD2175" s="1762">
        <v>42744.712581018503</v>
      </c>
      <c r="AE2175" s="1762">
        <v>34700</v>
      </c>
      <c r="AF2175" s="1761" t="s">
        <v>1583</v>
      </c>
      <c r="AG2175" s="1761" t="s">
        <v>1583</v>
      </c>
      <c r="AH2175" s="1761" t="s">
        <v>1583</v>
      </c>
      <c r="AI2175" s="1761" t="s">
        <v>2541</v>
      </c>
      <c r="AJ2175" s="1761" t="s">
        <v>2541</v>
      </c>
      <c r="AK2175" s="1761">
        <v>2075</v>
      </c>
      <c r="AL2175" s="1761" t="s">
        <v>372</v>
      </c>
      <c r="AM2175" s="1761">
        <v>131</v>
      </c>
      <c r="AN2175" s="1761"/>
      <c r="AO2175" s="1764"/>
      <c r="AP2175" s="1761" t="s">
        <v>5385</v>
      </c>
      <c r="AQ2175" s="1761" t="s">
        <v>5386</v>
      </c>
      <c r="AR2175" s="1761" t="s">
        <v>2780</v>
      </c>
      <c r="AS2175" s="1761" t="s">
        <v>426</v>
      </c>
      <c r="AT2175" s="1761" t="s">
        <v>328</v>
      </c>
      <c r="AU2175" s="1763"/>
      <c r="AV2175" s="1763"/>
    </row>
    <row r="2176" spans="1:48" ht="37.5" hidden="1">
      <c r="A2176" s="1785" t="str">
        <f t="shared" si="363"/>
        <v>גמל</v>
      </c>
      <c r="B2176" s="1786">
        <f t="shared" si="364"/>
        <v>9805</v>
      </c>
      <c r="C2176" s="1787">
        <v>28946</v>
      </c>
      <c r="D2176" s="1786" t="str">
        <f t="shared" si="365"/>
        <v>שובל -  קופת גמל ענפית עד 50</v>
      </c>
      <c r="E2176" s="1786" t="s">
        <v>3929</v>
      </c>
      <c r="F2176" s="1786" t="s">
        <v>2958</v>
      </c>
      <c r="G2176" s="1786" t="s">
        <v>2959</v>
      </c>
      <c r="H2176" s="1786" t="str">
        <f t="shared" si="366"/>
        <v>פעיל</v>
      </c>
      <c r="I2176" s="1788">
        <f t="shared" si="367"/>
        <v>30317</v>
      </c>
      <c r="J2176" s="1788" t="str">
        <f t="shared" si="368"/>
        <v/>
      </c>
      <c r="K2176" s="1786">
        <v>0</v>
      </c>
      <c r="L2176" s="1786" t="s">
        <v>1594</v>
      </c>
      <c r="M2176" s="1786" t="s">
        <v>1653</v>
      </c>
      <c r="N2176" s="1786" t="s">
        <v>1653</v>
      </c>
      <c r="O2176" s="1786">
        <v>0</v>
      </c>
      <c r="P2176" s="1786"/>
      <c r="Q2176" s="1786">
        <v>0</v>
      </c>
      <c r="R2176" s="1788"/>
      <c r="S2176" s="1786">
        <f t="shared" si="369"/>
        <v>130</v>
      </c>
      <c r="T2176" s="1786" t="str">
        <f t="shared" si="370"/>
        <v>הבנק הבינלאומי הראשון</v>
      </c>
      <c r="U2176" s="1786" t="str">
        <f t="shared" si="371"/>
        <v>קופת גמל שובל</v>
      </c>
      <c r="V2176" s="1786">
        <f t="shared" si="372"/>
        <v>0</v>
      </c>
      <c r="W2176" s="1789" t="str">
        <f t="shared" si="373"/>
        <v>הנדסאים וטכנאים - חברה לניהול קופות גמל בע"מ</v>
      </c>
      <c r="AC2176" s="1759" t="s">
        <v>346</v>
      </c>
      <c r="AD2176" s="1759"/>
      <c r="AE2176" s="1760">
        <v>30317</v>
      </c>
      <c r="AF2176" s="1759" t="s">
        <v>4151</v>
      </c>
      <c r="AG2176" s="1759" t="s">
        <v>3931</v>
      </c>
      <c r="AH2176" s="1759" t="s">
        <v>3658</v>
      </c>
      <c r="AI2176" s="1759" t="s">
        <v>4382</v>
      </c>
      <c r="AJ2176" s="1759" t="s">
        <v>4381</v>
      </c>
      <c r="AK2176" s="1759">
        <v>9805</v>
      </c>
      <c r="AL2176" s="1759" t="s">
        <v>5788</v>
      </c>
      <c r="AM2176" s="1759">
        <v>130</v>
      </c>
      <c r="AN2176" s="1759" t="s">
        <v>5384</v>
      </c>
      <c r="AO2176" s="1764"/>
      <c r="AP2176" s="1759" t="s">
        <v>5787</v>
      </c>
      <c r="AQ2176" s="1759"/>
      <c r="AR2176" s="1759" t="s">
        <v>381</v>
      </c>
      <c r="AS2176" s="1759" t="s">
        <v>382</v>
      </c>
      <c r="AT2176" s="1759" t="s">
        <v>327</v>
      </c>
      <c r="AU2176" s="1763"/>
      <c r="AV2176" s="1763"/>
    </row>
    <row r="2177" spans="1:48" ht="37.5" hidden="1">
      <c r="A2177" s="1785" t="str">
        <f t="shared" si="363"/>
        <v>גמל</v>
      </c>
      <c r="B2177" s="1786">
        <f t="shared" si="364"/>
        <v>130</v>
      </c>
      <c r="C2177" s="1787">
        <v>28946</v>
      </c>
      <c r="D2177" s="1786" t="str">
        <f t="shared" si="365"/>
        <v>שובל -  קופת גמל ענפית</v>
      </c>
      <c r="E2177" s="1786" t="s">
        <v>3929</v>
      </c>
      <c r="F2177" s="1786" t="s">
        <v>2958</v>
      </c>
      <c r="G2177" s="1786" t="s">
        <v>2959</v>
      </c>
      <c r="H2177" s="1786" t="str">
        <f t="shared" si="366"/>
        <v>פעיל</v>
      </c>
      <c r="I2177" s="1788">
        <f t="shared" si="367"/>
        <v>30317</v>
      </c>
      <c r="J2177" s="1788" t="str">
        <f t="shared" si="368"/>
        <v/>
      </c>
      <c r="K2177" s="1786">
        <v>0</v>
      </c>
      <c r="L2177" s="1786" t="s">
        <v>1594</v>
      </c>
      <c r="M2177" s="1786" t="s">
        <v>1653</v>
      </c>
      <c r="N2177" s="1786" t="s">
        <v>1653</v>
      </c>
      <c r="O2177" s="1786">
        <v>0</v>
      </c>
      <c r="P2177" s="1786"/>
      <c r="Q2177" s="1786">
        <v>0</v>
      </c>
      <c r="R2177" s="1788"/>
      <c r="S2177" s="1786">
        <f t="shared" si="369"/>
        <v>130</v>
      </c>
      <c r="T2177" s="1786" t="str">
        <f t="shared" si="370"/>
        <v>הבנק הבינלאומי הראשון</v>
      </c>
      <c r="U2177" s="1786" t="str">
        <f t="shared" si="371"/>
        <v>קופת גמל שובל</v>
      </c>
      <c r="V2177" s="1786">
        <f t="shared" si="372"/>
        <v>0</v>
      </c>
      <c r="W2177" s="1789" t="str">
        <f t="shared" si="373"/>
        <v>הנדסאים וטכנאים - חברה לניהול קופות גמל בע"מ</v>
      </c>
      <c r="AC2177" s="1761" t="s">
        <v>346</v>
      </c>
      <c r="AD2177" s="1759"/>
      <c r="AE2177" s="1762">
        <v>30317</v>
      </c>
      <c r="AF2177" s="1761" t="s">
        <v>1583</v>
      </c>
      <c r="AG2177" s="1761" t="s">
        <v>1583</v>
      </c>
      <c r="AH2177" s="1761" t="s">
        <v>1583</v>
      </c>
      <c r="AI2177" s="1761" t="s">
        <v>2978</v>
      </c>
      <c r="AJ2177" s="1761" t="s">
        <v>370</v>
      </c>
      <c r="AK2177" s="1761">
        <v>130</v>
      </c>
      <c r="AL2177" s="1761" t="s">
        <v>5788</v>
      </c>
      <c r="AM2177" s="1761">
        <v>130</v>
      </c>
      <c r="AN2177" s="1761" t="s">
        <v>5384</v>
      </c>
      <c r="AO2177" s="1764"/>
      <c r="AP2177" s="1761" t="s">
        <v>5787</v>
      </c>
      <c r="AQ2177" s="1761"/>
      <c r="AR2177" s="1761" t="s">
        <v>381</v>
      </c>
      <c r="AS2177" s="1761" t="s">
        <v>382</v>
      </c>
      <c r="AT2177" s="1761" t="s">
        <v>327</v>
      </c>
      <c r="AU2177" s="1763"/>
      <c r="AV2177" s="1763"/>
    </row>
    <row r="2178" spans="1:48" ht="37.5" hidden="1">
      <c r="A2178" s="1785" t="str">
        <f t="shared" si="363"/>
        <v>גמל</v>
      </c>
      <c r="B2178" s="1786">
        <f t="shared" si="364"/>
        <v>9807</v>
      </c>
      <c r="C2178" s="1787">
        <v>28946</v>
      </c>
      <c r="D2178" s="1786" t="str">
        <f t="shared" si="365"/>
        <v>שובל -  קופת גמל ענפית 60 ומעלה</v>
      </c>
      <c r="E2178" s="1786" t="s">
        <v>3929</v>
      </c>
      <c r="F2178" s="1786" t="s">
        <v>2958</v>
      </c>
      <c r="G2178" s="1786" t="s">
        <v>2959</v>
      </c>
      <c r="H2178" s="1786" t="str">
        <f t="shared" si="366"/>
        <v>פעיל</v>
      </c>
      <c r="I2178" s="1788">
        <f t="shared" si="367"/>
        <v>30317</v>
      </c>
      <c r="J2178" s="1788" t="str">
        <f t="shared" si="368"/>
        <v/>
      </c>
      <c r="K2178" s="1786">
        <v>0</v>
      </c>
      <c r="L2178" s="1786" t="s">
        <v>1594</v>
      </c>
      <c r="M2178" s="1786" t="s">
        <v>1653</v>
      </c>
      <c r="N2178" s="1786" t="s">
        <v>1653</v>
      </c>
      <c r="O2178" s="1786">
        <v>0</v>
      </c>
      <c r="P2178" s="1786"/>
      <c r="Q2178" s="1786">
        <v>0</v>
      </c>
      <c r="R2178" s="1788"/>
      <c r="S2178" s="1786">
        <f t="shared" si="369"/>
        <v>130</v>
      </c>
      <c r="T2178" s="1786" t="str">
        <f t="shared" si="370"/>
        <v>הבנק הבינלאומי הראשון</v>
      </c>
      <c r="U2178" s="1786" t="str">
        <f t="shared" si="371"/>
        <v>קופת גמל שובל</v>
      </c>
      <c r="V2178" s="1786">
        <f t="shared" si="372"/>
        <v>0</v>
      </c>
      <c r="W2178" s="1789" t="str">
        <f t="shared" si="373"/>
        <v>הנדסאים וטכנאים - חברה לניהול קופות גמל בע"מ</v>
      </c>
      <c r="AC2178" s="1759" t="s">
        <v>346</v>
      </c>
      <c r="AD2178" s="1759"/>
      <c r="AE2178" s="1760">
        <v>30317</v>
      </c>
      <c r="AF2178" s="1759" t="s">
        <v>3963</v>
      </c>
      <c r="AG2178" s="1759" t="s">
        <v>3931</v>
      </c>
      <c r="AH2178" s="1759" t="s">
        <v>3658</v>
      </c>
      <c r="AI2178" s="1759" t="s">
        <v>4386</v>
      </c>
      <c r="AJ2178" s="1759" t="s">
        <v>4385</v>
      </c>
      <c r="AK2178" s="1759">
        <v>9807</v>
      </c>
      <c r="AL2178" s="1759" t="s">
        <v>5788</v>
      </c>
      <c r="AM2178" s="1759">
        <v>130</v>
      </c>
      <c r="AN2178" s="1759" t="s">
        <v>5384</v>
      </c>
      <c r="AO2178" s="1764"/>
      <c r="AP2178" s="1759" t="s">
        <v>5787</v>
      </c>
      <c r="AQ2178" s="1759"/>
      <c r="AR2178" s="1759" t="s">
        <v>381</v>
      </c>
      <c r="AS2178" s="1759" t="s">
        <v>382</v>
      </c>
      <c r="AT2178" s="1759" t="s">
        <v>327</v>
      </c>
      <c r="AU2178" s="1763"/>
      <c r="AV2178" s="1763"/>
    </row>
    <row r="2179" spans="1:48" ht="37.5" hidden="1">
      <c r="A2179" s="1785" t="str">
        <f t="shared" si="363"/>
        <v>גמל</v>
      </c>
      <c r="B2179" s="1786">
        <f t="shared" si="364"/>
        <v>9806</v>
      </c>
      <c r="C2179" s="1787">
        <v>28946</v>
      </c>
      <c r="D2179" s="1786" t="str">
        <f t="shared" si="365"/>
        <v>שובל -  קופת גמל ענפית 50-60</v>
      </c>
      <c r="E2179" s="1786" t="s">
        <v>3929</v>
      </c>
      <c r="F2179" s="1786" t="s">
        <v>2958</v>
      </c>
      <c r="G2179" s="1786" t="s">
        <v>2959</v>
      </c>
      <c r="H2179" s="1786" t="str">
        <f t="shared" si="366"/>
        <v>פעיל</v>
      </c>
      <c r="I2179" s="1788">
        <f t="shared" si="367"/>
        <v>30317</v>
      </c>
      <c r="J2179" s="1788" t="str">
        <f t="shared" si="368"/>
        <v/>
      </c>
      <c r="K2179" s="1786">
        <v>0</v>
      </c>
      <c r="L2179" s="1786" t="s">
        <v>1594</v>
      </c>
      <c r="M2179" s="1786" t="s">
        <v>1653</v>
      </c>
      <c r="N2179" s="1786" t="s">
        <v>1653</v>
      </c>
      <c r="O2179" s="1786">
        <v>0</v>
      </c>
      <c r="P2179" s="1786"/>
      <c r="Q2179" s="1786">
        <v>0</v>
      </c>
      <c r="R2179" s="1788"/>
      <c r="S2179" s="1786">
        <f t="shared" si="369"/>
        <v>130</v>
      </c>
      <c r="T2179" s="1786" t="str">
        <f t="shared" si="370"/>
        <v>הבנק הבינלאומי הראשון</v>
      </c>
      <c r="U2179" s="1786" t="str">
        <f t="shared" si="371"/>
        <v>קופת גמל שובל</v>
      </c>
      <c r="V2179" s="1786">
        <f t="shared" si="372"/>
        <v>0</v>
      </c>
      <c r="W2179" s="1789" t="str">
        <f t="shared" si="373"/>
        <v>הנדסאים וטכנאים - חברה לניהול קופות גמל בע"מ</v>
      </c>
      <c r="AC2179" s="1761" t="s">
        <v>346</v>
      </c>
      <c r="AD2179" s="1761"/>
      <c r="AE2179" s="1762">
        <v>30317</v>
      </c>
      <c r="AF2179" s="1761" t="s">
        <v>3932</v>
      </c>
      <c r="AG2179" s="1761" t="s">
        <v>3931</v>
      </c>
      <c r="AH2179" s="1761" t="s">
        <v>3658</v>
      </c>
      <c r="AI2179" s="1761" t="s">
        <v>4384</v>
      </c>
      <c r="AJ2179" s="1761" t="s">
        <v>4383</v>
      </c>
      <c r="AK2179" s="1761">
        <v>9806</v>
      </c>
      <c r="AL2179" s="1761" t="s">
        <v>5788</v>
      </c>
      <c r="AM2179" s="1761">
        <v>130</v>
      </c>
      <c r="AN2179" s="1761" t="s">
        <v>5384</v>
      </c>
      <c r="AO2179" s="1764"/>
      <c r="AP2179" s="1761" t="s">
        <v>5787</v>
      </c>
      <c r="AQ2179" s="1761"/>
      <c r="AR2179" s="1761" t="s">
        <v>381</v>
      </c>
      <c r="AS2179" s="1761" t="s">
        <v>382</v>
      </c>
      <c r="AT2179" s="1761" t="s">
        <v>327</v>
      </c>
      <c r="AU2179" s="1763"/>
      <c r="AV2179" s="1763"/>
    </row>
    <row r="2180" spans="1:48" ht="25" hidden="1">
      <c r="A2180" s="1785" t="str">
        <f t="shared" si="363"/>
        <v>גמל</v>
      </c>
      <c r="B2180" s="1786">
        <f t="shared" si="364"/>
        <v>129</v>
      </c>
      <c r="C2180" s="1787">
        <v>28946</v>
      </c>
      <c r="D2180" s="1786" t="str">
        <f t="shared" si="365"/>
        <v>יבול - קופת גמל לחברי קיבוץ</v>
      </c>
      <c r="E2180" s="1786" t="s">
        <v>3929</v>
      </c>
      <c r="F2180" s="1786" t="s">
        <v>2958</v>
      </c>
      <c r="G2180" s="1786" t="s">
        <v>2959</v>
      </c>
      <c r="H2180" s="1786" t="str">
        <f t="shared" si="366"/>
        <v>לא פעיל</v>
      </c>
      <c r="I2180" s="1788">
        <f t="shared" si="367"/>
        <v>34644</v>
      </c>
      <c r="J2180" s="1788">
        <f t="shared" si="368"/>
        <v>40918.553229166697</v>
      </c>
      <c r="K2180" s="1786">
        <v>0</v>
      </c>
      <c r="L2180" s="1786" t="s">
        <v>1594</v>
      </c>
      <c r="M2180" s="1786" t="s">
        <v>1653</v>
      </c>
      <c r="N2180" s="1786" t="s">
        <v>1653</v>
      </c>
      <c r="O2180" s="1786">
        <v>0</v>
      </c>
      <c r="P2180" s="1786"/>
      <c r="Q2180" s="1786">
        <v>0</v>
      </c>
      <c r="R2180" s="1788"/>
      <c r="S2180" s="1786">
        <f t="shared" si="369"/>
        <v>129</v>
      </c>
      <c r="T2180" s="1786" t="str">
        <f t="shared" si="370"/>
        <v>בנק דיסקונט לישראל בע"מ</v>
      </c>
      <c r="U2180" s="1786" t="str">
        <f t="shared" si="371"/>
        <v>יבול - קופת גמל לחברי קיבוץ</v>
      </c>
      <c r="V2180" s="1786">
        <f t="shared" si="372"/>
        <v>0</v>
      </c>
      <c r="W2180" s="1789" t="str">
        <f t="shared" si="373"/>
        <v>הדס ארזים קופות גמל בע"מ</v>
      </c>
      <c r="AC2180" s="1759" t="s">
        <v>1586</v>
      </c>
      <c r="AD2180" s="1760">
        <v>40918.553229166697</v>
      </c>
      <c r="AE2180" s="1760">
        <v>34644</v>
      </c>
      <c r="AF2180" s="1759" t="s">
        <v>1583</v>
      </c>
      <c r="AG2180" s="1759" t="s">
        <v>1583</v>
      </c>
      <c r="AH2180" s="1759" t="s">
        <v>1583</v>
      </c>
      <c r="AI2180" s="1759" t="s">
        <v>2977</v>
      </c>
      <c r="AJ2180" s="1759" t="s">
        <v>1615</v>
      </c>
      <c r="AK2180" s="1759">
        <v>129</v>
      </c>
      <c r="AL2180" s="1759" t="s">
        <v>1615</v>
      </c>
      <c r="AM2180" s="1759">
        <v>129</v>
      </c>
      <c r="AN2180" s="1759" t="s">
        <v>5535</v>
      </c>
      <c r="AO2180" s="1764"/>
      <c r="AP2180" s="1759"/>
      <c r="AQ2180" s="1759"/>
      <c r="AR2180" s="1759" t="s">
        <v>373</v>
      </c>
      <c r="AS2180" s="1759" t="s">
        <v>374</v>
      </c>
      <c r="AT2180" s="1759" t="s">
        <v>327</v>
      </c>
      <c r="AU2180" s="1763"/>
      <c r="AV2180" s="1763"/>
    </row>
    <row r="2181" spans="1:48" ht="25" hidden="1">
      <c r="A2181" s="1785" t="str">
        <f t="shared" si="363"/>
        <v>גמל</v>
      </c>
      <c r="B2181" s="1786">
        <f t="shared" si="364"/>
        <v>125</v>
      </c>
      <c r="C2181" s="1787">
        <v>28946</v>
      </c>
      <c r="D2181" s="1786" t="str">
        <f t="shared" si="365"/>
        <v>אשכולות קופת תגמולים כללי</v>
      </c>
      <c r="E2181" s="1786" t="s">
        <v>3929</v>
      </c>
      <c r="F2181" s="1786" t="s">
        <v>2958</v>
      </c>
      <c r="G2181" s="1786" t="s">
        <v>2959</v>
      </c>
      <c r="H2181" s="1786" t="str">
        <f t="shared" si="366"/>
        <v>לא פעיל</v>
      </c>
      <c r="I2181" s="1788">
        <f t="shared" si="367"/>
        <v>34618</v>
      </c>
      <c r="J2181" s="1788">
        <f t="shared" si="368"/>
        <v>40917.814988425896</v>
      </c>
      <c r="K2181" s="1786">
        <v>0</v>
      </c>
      <c r="L2181" s="1786" t="s">
        <v>1594</v>
      </c>
      <c r="M2181" s="1786" t="s">
        <v>1653</v>
      </c>
      <c r="N2181" s="1786" t="s">
        <v>1653</v>
      </c>
      <c r="O2181" s="1786">
        <v>0</v>
      </c>
      <c r="P2181" s="1786"/>
      <c r="Q2181" s="1786">
        <v>0</v>
      </c>
      <c r="R2181" s="1788"/>
      <c r="S2181" s="1786">
        <f t="shared" si="369"/>
        <v>124</v>
      </c>
      <c r="T2181" s="1786" t="str">
        <f t="shared" si="370"/>
        <v>בנק דיסקונט לישראל בע"מ</v>
      </c>
      <c r="U2181" s="1786" t="str">
        <f t="shared" si="371"/>
        <v>אשכולות קופת תגמולים מדד</v>
      </c>
      <c r="V2181" s="1786">
        <f t="shared" si="372"/>
        <v>0</v>
      </c>
      <c r="W2181" s="1789" t="str">
        <f t="shared" si="373"/>
        <v>כלל פנסיה וגמל בע"מ</v>
      </c>
      <c r="AC2181" s="1761" t="s">
        <v>1586</v>
      </c>
      <c r="AD2181" s="1762">
        <v>40917.814988425896</v>
      </c>
      <c r="AE2181" s="1762">
        <v>34618</v>
      </c>
      <c r="AF2181" s="1761" t="s">
        <v>1583</v>
      </c>
      <c r="AG2181" s="1761" t="s">
        <v>1583</v>
      </c>
      <c r="AH2181" s="1761" t="s">
        <v>1583</v>
      </c>
      <c r="AI2181" s="1761" t="s">
        <v>2976</v>
      </c>
      <c r="AJ2181" s="1761" t="s">
        <v>1608</v>
      </c>
      <c r="AK2181" s="1761">
        <v>125</v>
      </c>
      <c r="AL2181" s="1761" t="s">
        <v>1609</v>
      </c>
      <c r="AM2181" s="1761">
        <v>124</v>
      </c>
      <c r="AN2181" s="1761" t="s">
        <v>5535</v>
      </c>
      <c r="AO2181" s="1764"/>
      <c r="AP2181" s="1761"/>
      <c r="AQ2181" s="1761"/>
      <c r="AR2181" s="1761" t="s">
        <v>378</v>
      </c>
      <c r="AS2181" s="1761" t="s">
        <v>379</v>
      </c>
      <c r="AT2181" s="1761" t="s">
        <v>327</v>
      </c>
      <c r="AU2181" s="1763"/>
      <c r="AV2181" s="1763"/>
    </row>
    <row r="2182" spans="1:48" ht="25" hidden="1">
      <c r="A2182" s="1785" t="str">
        <f t="shared" si="363"/>
        <v>גמל</v>
      </c>
      <c r="B2182" s="1786">
        <f t="shared" si="364"/>
        <v>123</v>
      </c>
      <c r="C2182" s="1787">
        <v>28946</v>
      </c>
      <c r="D2182" s="1786" t="str">
        <f t="shared" si="365"/>
        <v>אקסלנס גמולה</v>
      </c>
      <c r="E2182" s="1786" t="s">
        <v>3929</v>
      </c>
      <c r="F2182" s="1786" t="s">
        <v>2958</v>
      </c>
      <c r="G2182" s="1786" t="s">
        <v>2959</v>
      </c>
      <c r="H2182" s="1786" t="str">
        <f t="shared" si="366"/>
        <v>לא פעיל</v>
      </c>
      <c r="I2182" s="1788">
        <f t="shared" si="367"/>
        <v>27089</v>
      </c>
      <c r="J2182" s="1788">
        <f t="shared" si="368"/>
        <v>40917.716990740701</v>
      </c>
      <c r="K2182" s="1786">
        <v>0</v>
      </c>
      <c r="L2182" s="1786" t="s">
        <v>1594</v>
      </c>
      <c r="M2182" s="1786" t="s">
        <v>1653</v>
      </c>
      <c r="N2182" s="1786" t="s">
        <v>1653</v>
      </c>
      <c r="O2182" s="1786">
        <v>0</v>
      </c>
      <c r="P2182" s="1786"/>
      <c r="Q2182" s="1786">
        <v>0</v>
      </c>
      <c r="R2182" s="1788"/>
      <c r="S2182" s="1786">
        <f t="shared" si="369"/>
        <v>123</v>
      </c>
      <c r="T2182" s="1786" t="str">
        <f t="shared" si="370"/>
        <v>בנק מזרחי טפחות בע"מ</v>
      </c>
      <c r="U2182" s="1786" t="str">
        <f t="shared" si="371"/>
        <v>אקסלנס גמולה</v>
      </c>
      <c r="V2182" s="1786" t="str">
        <f t="shared" si="372"/>
        <v>520017450</v>
      </c>
      <c r="W2182" s="1789" t="str">
        <f t="shared" si="373"/>
        <v xml:space="preserve">הפניקס אקסלנס פנסיה וגמל בע"מ </v>
      </c>
      <c r="AC2182" s="1759" t="s">
        <v>1586</v>
      </c>
      <c r="AD2182" s="1760">
        <v>40917.716990740701</v>
      </c>
      <c r="AE2182" s="1760">
        <v>27089</v>
      </c>
      <c r="AF2182" s="1759" t="s">
        <v>1583</v>
      </c>
      <c r="AG2182" s="1759" t="s">
        <v>1583</v>
      </c>
      <c r="AH2182" s="1759" t="s">
        <v>1583</v>
      </c>
      <c r="AI2182" s="1759" t="s">
        <v>367</v>
      </c>
      <c r="AJ2182" s="1759" t="s">
        <v>367</v>
      </c>
      <c r="AK2182" s="1759">
        <v>123</v>
      </c>
      <c r="AL2182" s="1759" t="s">
        <v>367</v>
      </c>
      <c r="AM2182" s="1759">
        <v>123</v>
      </c>
      <c r="AN2182" s="1759" t="s">
        <v>5370</v>
      </c>
      <c r="AO2182" s="1764"/>
      <c r="AP2182" s="1759" t="s">
        <v>5379</v>
      </c>
      <c r="AQ2182" s="1759" t="s">
        <v>5380</v>
      </c>
      <c r="AR2182" s="1759" t="s">
        <v>5381</v>
      </c>
      <c r="AS2182" s="1759" t="s">
        <v>347</v>
      </c>
      <c r="AT2182" s="1759" t="s">
        <v>327</v>
      </c>
      <c r="AU2182" s="1763"/>
      <c r="AV2182" s="1763"/>
    </row>
    <row r="2183" spans="1:48" ht="25" hidden="1">
      <c r="A2183" s="1785" t="str">
        <f t="shared" si="363"/>
        <v>גמל</v>
      </c>
      <c r="B2183" s="1786">
        <f t="shared" si="364"/>
        <v>528</v>
      </c>
      <c r="C2183" s="1787">
        <v>28946</v>
      </c>
      <c r="D2183" s="1786" t="str">
        <f t="shared" si="365"/>
        <v>אקסלנס גמולה מבטיחת תשואה</v>
      </c>
      <c r="E2183" s="1786" t="s">
        <v>3929</v>
      </c>
      <c r="F2183" s="1786" t="s">
        <v>2958</v>
      </c>
      <c r="G2183" s="1786" t="s">
        <v>2959</v>
      </c>
      <c r="H2183" s="1786" t="str">
        <f t="shared" si="366"/>
        <v>פעיל</v>
      </c>
      <c r="I2183" s="1788">
        <f t="shared" si="367"/>
        <v>27089</v>
      </c>
      <c r="J2183" s="1788" t="str">
        <f t="shared" si="368"/>
        <v/>
      </c>
      <c r="K2183" s="1786">
        <v>0</v>
      </c>
      <c r="L2183" s="1786" t="s">
        <v>1594</v>
      </c>
      <c r="M2183" s="1786" t="s">
        <v>1653</v>
      </c>
      <c r="N2183" s="1786" t="s">
        <v>1653</v>
      </c>
      <c r="O2183" s="1786">
        <v>0</v>
      </c>
      <c r="P2183" s="1786"/>
      <c r="Q2183" s="1786">
        <v>0</v>
      </c>
      <c r="R2183" s="1788"/>
      <c r="S2183" s="1786">
        <f t="shared" si="369"/>
        <v>123</v>
      </c>
      <c r="T2183" s="1786" t="str">
        <f t="shared" si="370"/>
        <v>בנק מזרחי טפחות בע"מ</v>
      </c>
      <c r="U2183" s="1786" t="str">
        <f t="shared" si="371"/>
        <v>אקסלנס גמולה</v>
      </c>
      <c r="V2183" s="1786" t="str">
        <f t="shared" si="372"/>
        <v>520017450</v>
      </c>
      <c r="W2183" s="1789" t="str">
        <f t="shared" si="373"/>
        <v xml:space="preserve">הפניקס אקסלנס פנסיה וגמל בע"מ </v>
      </c>
      <c r="AC2183" s="1761" t="s">
        <v>346</v>
      </c>
      <c r="AD2183" s="1761"/>
      <c r="AE2183" s="1762">
        <v>27089</v>
      </c>
      <c r="AF2183" s="1761" t="s">
        <v>2973</v>
      </c>
      <c r="AG2183" s="1761" t="s">
        <v>2973</v>
      </c>
      <c r="AH2183" s="1761" t="s">
        <v>2973</v>
      </c>
      <c r="AI2183" s="1761" t="s">
        <v>1859</v>
      </c>
      <c r="AJ2183" s="1761" t="s">
        <v>1859</v>
      </c>
      <c r="AK2183" s="1761">
        <v>528</v>
      </c>
      <c r="AL2183" s="1761" t="s">
        <v>367</v>
      </c>
      <c r="AM2183" s="1761">
        <v>123</v>
      </c>
      <c r="AN2183" s="1761" t="s">
        <v>5370</v>
      </c>
      <c r="AO2183" s="1764"/>
      <c r="AP2183" s="1761" t="s">
        <v>5379</v>
      </c>
      <c r="AQ2183" s="1761" t="s">
        <v>5380</v>
      </c>
      <c r="AR2183" s="1761" t="s">
        <v>5381</v>
      </c>
      <c r="AS2183" s="1761" t="s">
        <v>347</v>
      </c>
      <c r="AT2183" s="1761" t="s">
        <v>327</v>
      </c>
      <c r="AU2183" s="1763"/>
      <c r="AV2183" s="1763"/>
    </row>
    <row r="2184" spans="1:48" ht="25" hidden="1">
      <c r="A2184" s="1785" t="str">
        <f t="shared" si="363"/>
        <v>גמל</v>
      </c>
      <c r="B2184" s="1786">
        <f t="shared" si="364"/>
        <v>122</v>
      </c>
      <c r="C2184" s="1787">
        <v>28946</v>
      </c>
      <c r="D2184" s="1786" t="str">
        <f t="shared" si="365"/>
        <v>מנורה גמל פלס</v>
      </c>
      <c r="E2184" s="1786" t="s">
        <v>3929</v>
      </c>
      <c r="F2184" s="1786" t="s">
        <v>2958</v>
      </c>
      <c r="G2184" s="1786" t="s">
        <v>2959</v>
      </c>
      <c r="H2184" s="1786" t="str">
        <f t="shared" si="366"/>
        <v>לא פעיל</v>
      </c>
      <c r="I2184" s="1788">
        <f t="shared" si="367"/>
        <v>27066</v>
      </c>
      <c r="J2184" s="1788">
        <f t="shared" si="368"/>
        <v>40178</v>
      </c>
      <c r="K2184" s="1786">
        <v>0</v>
      </c>
      <c r="L2184" s="1786" t="s">
        <v>1594</v>
      </c>
      <c r="M2184" s="1786" t="s">
        <v>1653</v>
      </c>
      <c r="N2184" s="1786" t="s">
        <v>1653</v>
      </c>
      <c r="O2184" s="1786">
        <v>0</v>
      </c>
      <c r="P2184" s="1786"/>
      <c r="Q2184" s="1786">
        <v>0</v>
      </c>
      <c r="R2184" s="1788"/>
      <c r="S2184" s="1786">
        <f t="shared" si="369"/>
        <v>122</v>
      </c>
      <c r="T2184" s="1786" t="str">
        <f t="shared" si="370"/>
        <v>בנק הפועלים בע"מ</v>
      </c>
      <c r="U2184" s="1786" t="str">
        <f t="shared" si="371"/>
        <v>מנורה גמל פלס</v>
      </c>
      <c r="V2184" s="1786">
        <f t="shared" si="372"/>
        <v>0</v>
      </c>
      <c r="W2184" s="1789" t="str">
        <f t="shared" si="373"/>
        <v>מנורה מבטחים גמל בע"מ</v>
      </c>
      <c r="AC2184" s="1759" t="s">
        <v>1586</v>
      </c>
      <c r="AD2184" s="1760">
        <v>40178</v>
      </c>
      <c r="AE2184" s="1760">
        <v>27066</v>
      </c>
      <c r="AF2184" s="1759" t="s">
        <v>1583</v>
      </c>
      <c r="AG2184" s="1759" t="s">
        <v>1583</v>
      </c>
      <c r="AH2184" s="1759" t="s">
        <v>1583</v>
      </c>
      <c r="AI2184" s="1759" t="s">
        <v>1606</v>
      </c>
      <c r="AJ2184" s="1759" t="s">
        <v>1606</v>
      </c>
      <c r="AK2184" s="1759">
        <v>122</v>
      </c>
      <c r="AL2184" s="1759" t="s">
        <v>1606</v>
      </c>
      <c r="AM2184" s="1759">
        <v>122</v>
      </c>
      <c r="AN2184" s="1759" t="s">
        <v>1695</v>
      </c>
      <c r="AO2184" s="1764"/>
      <c r="AP2184" s="1759"/>
      <c r="AQ2184" s="1759"/>
      <c r="AR2184" s="1759" t="s">
        <v>363</v>
      </c>
      <c r="AS2184" s="1759" t="s">
        <v>364</v>
      </c>
      <c r="AT2184" s="1759" t="s">
        <v>327</v>
      </c>
      <c r="AU2184" s="1763"/>
      <c r="AV2184" s="1763"/>
    </row>
    <row r="2185" spans="1:48" ht="25" hidden="1">
      <c r="A2185" s="1785" t="str">
        <f t="shared" si="363"/>
        <v>גמל</v>
      </c>
      <c r="B2185" s="1786">
        <f t="shared" si="364"/>
        <v>534</v>
      </c>
      <c r="C2185" s="1787">
        <v>28946</v>
      </c>
      <c r="D2185" s="1786" t="str">
        <f t="shared" si="365"/>
        <v>מנורה גמל פלס ב - מבטיח תשואה בשיעור 5.5 אחוז לשנה</v>
      </c>
      <c r="E2185" s="1786" t="s">
        <v>3929</v>
      </c>
      <c r="F2185" s="1786" t="s">
        <v>2958</v>
      </c>
      <c r="G2185" s="1786" t="s">
        <v>2959</v>
      </c>
      <c r="H2185" s="1786" t="str">
        <f t="shared" si="366"/>
        <v>לא פעיל</v>
      </c>
      <c r="I2185" s="1788">
        <f t="shared" si="367"/>
        <v>27066</v>
      </c>
      <c r="J2185" s="1788">
        <f t="shared" si="368"/>
        <v>40178</v>
      </c>
      <c r="K2185" s="1786">
        <v>0</v>
      </c>
      <c r="L2185" s="1786" t="s">
        <v>1594</v>
      </c>
      <c r="M2185" s="1786" t="s">
        <v>1653</v>
      </c>
      <c r="N2185" s="1786" t="s">
        <v>1653</v>
      </c>
      <c r="O2185" s="1786">
        <v>0</v>
      </c>
      <c r="P2185" s="1786"/>
      <c r="Q2185" s="1786">
        <v>0</v>
      </c>
      <c r="R2185" s="1788"/>
      <c r="S2185" s="1786">
        <f t="shared" si="369"/>
        <v>122</v>
      </c>
      <c r="T2185" s="1786" t="str">
        <f t="shared" si="370"/>
        <v>בנק הפועלים בע"מ</v>
      </c>
      <c r="U2185" s="1786" t="str">
        <f t="shared" si="371"/>
        <v>מנורה גמל פלס</v>
      </c>
      <c r="V2185" s="1786">
        <f t="shared" si="372"/>
        <v>0</v>
      </c>
      <c r="W2185" s="1789" t="str">
        <f t="shared" si="373"/>
        <v>מנורה מבטחים גמל בע"מ</v>
      </c>
      <c r="AC2185" s="1761" t="s">
        <v>1586</v>
      </c>
      <c r="AD2185" s="1762">
        <v>40178</v>
      </c>
      <c r="AE2185" s="1762">
        <v>27066</v>
      </c>
      <c r="AF2185" s="1761" t="s">
        <v>2973</v>
      </c>
      <c r="AG2185" s="1761" t="s">
        <v>2973</v>
      </c>
      <c r="AH2185" s="1761" t="s">
        <v>2973</v>
      </c>
      <c r="AI2185" s="1761" t="s">
        <v>3170</v>
      </c>
      <c r="AJ2185" s="1761" t="s">
        <v>1861</v>
      </c>
      <c r="AK2185" s="1761">
        <v>534</v>
      </c>
      <c r="AL2185" s="1761" t="s">
        <v>1606</v>
      </c>
      <c r="AM2185" s="1761">
        <v>122</v>
      </c>
      <c r="AN2185" s="1761" t="s">
        <v>1695</v>
      </c>
      <c r="AO2185" s="1764"/>
      <c r="AP2185" s="1761"/>
      <c r="AQ2185" s="1761"/>
      <c r="AR2185" s="1761" t="s">
        <v>363</v>
      </c>
      <c r="AS2185" s="1761" t="s">
        <v>364</v>
      </c>
      <c r="AT2185" s="1761" t="s">
        <v>327</v>
      </c>
      <c r="AU2185" s="1763"/>
      <c r="AV2185" s="1763"/>
    </row>
    <row r="2186" spans="1:48" ht="37.5" hidden="1">
      <c r="A2186" s="1785" t="str">
        <f t="shared" si="363"/>
        <v>גמל</v>
      </c>
      <c r="B2186" s="1786">
        <f t="shared" si="364"/>
        <v>121</v>
      </c>
      <c r="C2186" s="1787">
        <v>28946</v>
      </c>
      <c r="D2186" s="1786" t="str">
        <f t="shared" si="365"/>
        <v>ישיר תוחלת קופה לתגמולים ופיצויים מקבוצת ביטוח ישיר</v>
      </c>
      <c r="E2186" s="1786" t="s">
        <v>3929</v>
      </c>
      <c r="F2186" s="1786" t="s">
        <v>2958</v>
      </c>
      <c r="G2186" s="1786" t="s">
        <v>2959</v>
      </c>
      <c r="H2186" s="1786" t="str">
        <f t="shared" si="366"/>
        <v>לא פעיל</v>
      </c>
      <c r="I2186" s="1788">
        <f t="shared" si="367"/>
        <v>26864</v>
      </c>
      <c r="J2186" s="1788">
        <f t="shared" si="368"/>
        <v>40542</v>
      </c>
      <c r="K2186" s="1786">
        <v>0</v>
      </c>
      <c r="L2186" s="1786" t="s">
        <v>1594</v>
      </c>
      <c r="M2186" s="1786" t="s">
        <v>1653</v>
      </c>
      <c r="N2186" s="1786" t="s">
        <v>1653</v>
      </c>
      <c r="O2186" s="1786">
        <v>0</v>
      </c>
      <c r="P2186" s="1786"/>
      <c r="Q2186" s="1786">
        <v>0</v>
      </c>
      <c r="R2186" s="1788"/>
      <c r="S2186" s="1786">
        <f t="shared" si="369"/>
        <v>121</v>
      </c>
      <c r="T2186" s="1786" t="str">
        <f t="shared" si="370"/>
        <v>הבנק הבינלאומי הראשון</v>
      </c>
      <c r="U2186" s="1786" t="str">
        <f t="shared" si="371"/>
        <v>ישיר תוחלת קופה לתגמולים ופיצויים מקבוצת ביטוח ישיר</v>
      </c>
      <c r="V2186" s="1786">
        <f t="shared" si="372"/>
        <v>0</v>
      </c>
      <c r="W2186" s="1789" t="str">
        <f t="shared" si="373"/>
        <v>מיטב ישיר גמל בע"מ</v>
      </c>
      <c r="AC2186" s="1759" t="s">
        <v>1586</v>
      </c>
      <c r="AD2186" s="1760">
        <v>40542</v>
      </c>
      <c r="AE2186" s="1760">
        <v>26864</v>
      </c>
      <c r="AF2186" s="1759" t="s">
        <v>1583</v>
      </c>
      <c r="AG2186" s="1759" t="s">
        <v>1583</v>
      </c>
      <c r="AH2186" s="1759" t="s">
        <v>1583</v>
      </c>
      <c r="AI2186" s="1759" t="s">
        <v>2975</v>
      </c>
      <c r="AJ2186" s="1759" t="s">
        <v>1605</v>
      </c>
      <c r="AK2186" s="1759">
        <v>121</v>
      </c>
      <c r="AL2186" s="1759" t="s">
        <v>1605</v>
      </c>
      <c r="AM2186" s="1759">
        <v>121</v>
      </c>
      <c r="AN2186" s="1759" t="s">
        <v>5384</v>
      </c>
      <c r="AO2186" s="1764"/>
      <c r="AP2186" s="1759"/>
      <c r="AQ2186" s="1759"/>
      <c r="AR2186" s="1759" t="s">
        <v>1589</v>
      </c>
      <c r="AS2186" s="1759" t="s">
        <v>1588</v>
      </c>
      <c r="AT2186" s="1759" t="s">
        <v>327</v>
      </c>
      <c r="AU2186" s="1763"/>
      <c r="AV2186" s="1763"/>
    </row>
    <row r="2187" spans="1:48" ht="25" hidden="1">
      <c r="A2187" s="1785" t="str">
        <f t="shared" si="363"/>
        <v>גמל</v>
      </c>
      <c r="B2187" s="1786">
        <f t="shared" si="364"/>
        <v>529</v>
      </c>
      <c r="C2187" s="1787">
        <v>28946</v>
      </c>
      <c r="D2187" s="1786" t="str">
        <f t="shared" si="365"/>
        <v>מיטב דש ביטחון מבטיח תשואה 5.5%</v>
      </c>
      <c r="E2187" s="1786" t="s">
        <v>3929</v>
      </c>
      <c r="F2187" s="1786" t="s">
        <v>2958</v>
      </c>
      <c r="G2187" s="1786" t="s">
        <v>2959</v>
      </c>
      <c r="H2187" s="1786" t="str">
        <f t="shared" si="366"/>
        <v>פעיל</v>
      </c>
      <c r="I2187" s="1788">
        <f t="shared" si="367"/>
        <v>26724</v>
      </c>
      <c r="J2187" s="1788" t="str">
        <f t="shared" si="368"/>
        <v/>
      </c>
      <c r="K2187" s="1786">
        <v>0</v>
      </c>
      <c r="L2187" s="1786" t="s">
        <v>1594</v>
      </c>
      <c r="M2187" s="1786" t="s">
        <v>1653</v>
      </c>
      <c r="N2187" s="1786" t="s">
        <v>1653</v>
      </c>
      <c r="O2187" s="1786">
        <v>0</v>
      </c>
      <c r="P2187" s="1786"/>
      <c r="Q2187" s="1786">
        <v>0</v>
      </c>
      <c r="R2187" s="1788"/>
      <c r="S2187" s="1786">
        <f t="shared" si="369"/>
        <v>120</v>
      </c>
      <c r="T2187" s="1786" t="str">
        <f t="shared" si="370"/>
        <v>בנק מזרחי טפחות בע"מ</v>
      </c>
      <c r="U2187" s="1786" t="str">
        <f t="shared" si="371"/>
        <v xml:space="preserve">מיטב דש ביטחון </v>
      </c>
      <c r="V2187" s="1786" t="str">
        <f t="shared" si="372"/>
        <v>520043795</v>
      </c>
      <c r="W2187" s="1789" t="str">
        <f t="shared" si="373"/>
        <v>מיטב דש גמל ופנסיה בע"מ</v>
      </c>
      <c r="AC2187" s="1761" t="s">
        <v>346</v>
      </c>
      <c r="AD2187" s="1761"/>
      <c r="AE2187" s="1762">
        <v>26724</v>
      </c>
      <c r="AF2187" s="1761" t="s">
        <v>2973</v>
      </c>
      <c r="AG2187" s="1761" t="s">
        <v>2973</v>
      </c>
      <c r="AH2187" s="1761" t="s">
        <v>2973</v>
      </c>
      <c r="AI2187" s="1761" t="s">
        <v>3163</v>
      </c>
      <c r="AJ2187" s="1761" t="s">
        <v>3163</v>
      </c>
      <c r="AK2187" s="1761">
        <v>529</v>
      </c>
      <c r="AL2187" s="1761" t="s">
        <v>2974</v>
      </c>
      <c r="AM2187" s="1761">
        <v>120</v>
      </c>
      <c r="AN2187" s="1761" t="s">
        <v>5370</v>
      </c>
      <c r="AO2187" s="1764"/>
      <c r="AP2187" s="1761" t="s">
        <v>5373</v>
      </c>
      <c r="AQ2187" s="1761" t="s">
        <v>5374</v>
      </c>
      <c r="AR2187" s="1761" t="s">
        <v>2899</v>
      </c>
      <c r="AS2187" s="1761" t="s">
        <v>349</v>
      </c>
      <c r="AT2187" s="1761" t="s">
        <v>327</v>
      </c>
      <c r="AU2187" s="1763"/>
      <c r="AV2187" s="1763"/>
    </row>
    <row r="2188" spans="1:48" ht="25" hidden="1">
      <c r="A2188" s="1785" t="str">
        <f t="shared" si="363"/>
        <v>גמל</v>
      </c>
      <c r="B2188" s="1786">
        <f t="shared" si="364"/>
        <v>529</v>
      </c>
      <c r="C2188" s="1787">
        <v>28946</v>
      </c>
      <c r="D2188" s="1786" t="str">
        <f t="shared" si="365"/>
        <v>מיטב דש ביטחון מבטיח תשואה 5.5%</v>
      </c>
      <c r="E2188" s="1786" t="s">
        <v>3929</v>
      </c>
      <c r="F2188" s="1786" t="s">
        <v>2958</v>
      </c>
      <c r="G2188" s="1786" t="s">
        <v>2959</v>
      </c>
      <c r="H2188" s="1786" t="str">
        <f t="shared" si="366"/>
        <v>פעיל</v>
      </c>
      <c r="I2188" s="1788">
        <f t="shared" si="367"/>
        <v>26724</v>
      </c>
      <c r="J2188" s="1788" t="str">
        <f t="shared" si="368"/>
        <v/>
      </c>
      <c r="K2188" s="1786">
        <v>0</v>
      </c>
      <c r="L2188" s="1786" t="s">
        <v>1594</v>
      </c>
      <c r="M2188" s="1786" t="s">
        <v>1653</v>
      </c>
      <c r="N2188" s="1786" t="s">
        <v>1653</v>
      </c>
      <c r="O2188" s="1786">
        <v>0</v>
      </c>
      <c r="P2188" s="1786"/>
      <c r="Q2188" s="1786">
        <v>0</v>
      </c>
      <c r="R2188" s="1788"/>
      <c r="S2188" s="1786">
        <f t="shared" si="369"/>
        <v>120</v>
      </c>
      <c r="T2188" s="1786" t="str">
        <f t="shared" si="370"/>
        <v>בנק מזרחי טפחות בע"מ</v>
      </c>
      <c r="U2188" s="1786" t="str">
        <f t="shared" si="371"/>
        <v xml:space="preserve">מיטב דש ביטחון </v>
      </c>
      <c r="V2188" s="1786" t="str">
        <f t="shared" si="372"/>
        <v>520043795</v>
      </c>
      <c r="W2188" s="1789" t="str">
        <f t="shared" si="373"/>
        <v>מיטב דש גמל ופנסיה בע"מ</v>
      </c>
      <c r="AC2188" s="1759" t="s">
        <v>346</v>
      </c>
      <c r="AD2188" s="1759"/>
      <c r="AE2188" s="1760">
        <v>26724</v>
      </c>
      <c r="AF2188" s="1759" t="s">
        <v>2973</v>
      </c>
      <c r="AG2188" s="1759" t="s">
        <v>2973</v>
      </c>
      <c r="AH2188" s="1759" t="s">
        <v>2973</v>
      </c>
      <c r="AI2188" s="1759" t="s">
        <v>3163</v>
      </c>
      <c r="AJ2188" s="1759" t="s">
        <v>3163</v>
      </c>
      <c r="AK2188" s="1759">
        <v>529</v>
      </c>
      <c r="AL2188" s="1759" t="s">
        <v>2974</v>
      </c>
      <c r="AM2188" s="1759">
        <v>120</v>
      </c>
      <c r="AN2188" s="1759" t="s">
        <v>5370</v>
      </c>
      <c r="AO2188" s="1764"/>
      <c r="AP2188" s="1759" t="s">
        <v>5373</v>
      </c>
      <c r="AQ2188" s="1759" t="s">
        <v>5374</v>
      </c>
      <c r="AR2188" s="1759" t="s">
        <v>2899</v>
      </c>
      <c r="AS2188" s="1759" t="s">
        <v>349</v>
      </c>
      <c r="AT2188" s="1759" t="s">
        <v>327</v>
      </c>
      <c r="AU2188" s="1763"/>
      <c r="AV2188" s="1763"/>
    </row>
    <row r="2189" spans="1:48" ht="25" hidden="1">
      <c r="A2189" s="1785" t="str">
        <f t="shared" si="363"/>
        <v>גמל</v>
      </c>
      <c r="B2189" s="1786">
        <f t="shared" si="364"/>
        <v>120</v>
      </c>
      <c r="C2189" s="1787">
        <v>28946</v>
      </c>
      <c r="D2189" s="1786" t="str">
        <f t="shared" si="365"/>
        <v>מיטב דש ביטחון מבטיח תשואה 4.5%</v>
      </c>
      <c r="E2189" s="1786" t="s">
        <v>3929</v>
      </c>
      <c r="F2189" s="1786" t="s">
        <v>2958</v>
      </c>
      <c r="G2189" s="1786" t="s">
        <v>2959</v>
      </c>
      <c r="H2189" s="1786" t="str">
        <f t="shared" si="366"/>
        <v>פעיל</v>
      </c>
      <c r="I2189" s="1788">
        <f t="shared" si="367"/>
        <v>26724</v>
      </c>
      <c r="J2189" s="1788" t="str">
        <f t="shared" si="368"/>
        <v/>
      </c>
      <c r="K2189" s="1786">
        <v>0</v>
      </c>
      <c r="L2189" s="1786" t="s">
        <v>1594</v>
      </c>
      <c r="M2189" s="1786" t="s">
        <v>1653</v>
      </c>
      <c r="N2189" s="1786" t="s">
        <v>1653</v>
      </c>
      <c r="O2189" s="1786">
        <v>0</v>
      </c>
      <c r="P2189" s="1786"/>
      <c r="Q2189" s="1786">
        <v>0</v>
      </c>
      <c r="R2189" s="1788"/>
      <c r="S2189" s="1786">
        <f t="shared" si="369"/>
        <v>120</v>
      </c>
      <c r="T2189" s="1786" t="str">
        <f t="shared" si="370"/>
        <v>בנק מזרחי טפחות בע"מ</v>
      </c>
      <c r="U2189" s="1786" t="str">
        <f t="shared" si="371"/>
        <v xml:space="preserve">מיטב דש ביטחון </v>
      </c>
      <c r="V2189" s="1786" t="str">
        <f t="shared" si="372"/>
        <v>520043795</v>
      </c>
      <c r="W2189" s="1789" t="str">
        <f t="shared" si="373"/>
        <v>מיטב דש גמל ופנסיה בע"מ</v>
      </c>
      <c r="AC2189" s="1761" t="s">
        <v>346</v>
      </c>
      <c r="AD2189" s="1761"/>
      <c r="AE2189" s="1762">
        <v>26724</v>
      </c>
      <c r="AF2189" s="1761" t="s">
        <v>2973</v>
      </c>
      <c r="AG2189" s="1761" t="s">
        <v>2973</v>
      </c>
      <c r="AH2189" s="1761" t="s">
        <v>2973</v>
      </c>
      <c r="AI2189" s="1761" t="s">
        <v>2972</v>
      </c>
      <c r="AJ2189" s="1761" t="s">
        <v>2972</v>
      </c>
      <c r="AK2189" s="1761">
        <v>120</v>
      </c>
      <c r="AL2189" s="1761" t="s">
        <v>2974</v>
      </c>
      <c r="AM2189" s="1761">
        <v>120</v>
      </c>
      <c r="AN2189" s="1761" t="s">
        <v>5370</v>
      </c>
      <c r="AO2189" s="1764"/>
      <c r="AP2189" s="1761" t="s">
        <v>5373</v>
      </c>
      <c r="AQ2189" s="1761" t="s">
        <v>5374</v>
      </c>
      <c r="AR2189" s="1761" t="s">
        <v>2899</v>
      </c>
      <c r="AS2189" s="1761" t="s">
        <v>349</v>
      </c>
      <c r="AT2189" s="1761" t="s">
        <v>327</v>
      </c>
      <c r="AU2189" s="1763"/>
      <c r="AV2189" s="1763"/>
    </row>
    <row r="2190" spans="1:48" ht="25" hidden="1">
      <c r="A2190" s="1785" t="str">
        <f t="shared" si="363"/>
        <v>גמל</v>
      </c>
      <c r="B2190" s="1786">
        <f t="shared" si="364"/>
        <v>923</v>
      </c>
      <c r="C2190" s="1787">
        <v>28946</v>
      </c>
      <c r="D2190" s="1786" t="str">
        <f t="shared" si="365"/>
        <v>מיטב דש בטחון</v>
      </c>
      <c r="E2190" s="1786" t="s">
        <v>3929</v>
      </c>
      <c r="F2190" s="1786" t="s">
        <v>2958</v>
      </c>
      <c r="G2190" s="1786" t="s">
        <v>2959</v>
      </c>
      <c r="H2190" s="1786" t="str">
        <f t="shared" si="366"/>
        <v>פעיל</v>
      </c>
      <c r="I2190" s="1788">
        <f t="shared" si="367"/>
        <v>26724</v>
      </c>
      <c r="J2190" s="1788" t="str">
        <f t="shared" si="368"/>
        <v/>
      </c>
      <c r="K2190" s="1786">
        <v>0</v>
      </c>
      <c r="L2190" s="1786" t="s">
        <v>1594</v>
      </c>
      <c r="M2190" s="1786" t="s">
        <v>1653</v>
      </c>
      <c r="N2190" s="1786" t="s">
        <v>1653</v>
      </c>
      <c r="O2190" s="1786">
        <v>0</v>
      </c>
      <c r="P2190" s="1786"/>
      <c r="Q2190" s="1786">
        <v>0</v>
      </c>
      <c r="R2190" s="1788"/>
      <c r="S2190" s="1786">
        <f t="shared" si="369"/>
        <v>120</v>
      </c>
      <c r="T2190" s="1786" t="str">
        <f t="shared" si="370"/>
        <v>בנק מזרחי טפחות בע"מ</v>
      </c>
      <c r="U2190" s="1786" t="str">
        <f t="shared" si="371"/>
        <v xml:space="preserve">מיטב דש ביטחון </v>
      </c>
      <c r="V2190" s="1786" t="str">
        <f t="shared" si="372"/>
        <v>520043795</v>
      </c>
      <c r="W2190" s="1789" t="str">
        <f t="shared" si="373"/>
        <v>מיטב דש גמל ופנסיה בע"מ</v>
      </c>
      <c r="AC2190" s="1759" t="s">
        <v>346</v>
      </c>
      <c r="AD2190" s="1759"/>
      <c r="AE2190" s="1760">
        <v>26724</v>
      </c>
      <c r="AF2190" s="1759" t="s">
        <v>1583</v>
      </c>
      <c r="AG2190" s="1759" t="s">
        <v>1583</v>
      </c>
      <c r="AH2190" s="1759" t="s">
        <v>1583</v>
      </c>
      <c r="AI2190" s="1759" t="s">
        <v>3406</v>
      </c>
      <c r="AJ2190" s="1759" t="s">
        <v>3406</v>
      </c>
      <c r="AK2190" s="1759">
        <v>923</v>
      </c>
      <c r="AL2190" s="1759" t="s">
        <v>2974</v>
      </c>
      <c r="AM2190" s="1759">
        <v>120</v>
      </c>
      <c r="AN2190" s="1759" t="s">
        <v>5370</v>
      </c>
      <c r="AO2190" s="1764"/>
      <c r="AP2190" s="1759" t="s">
        <v>5373</v>
      </c>
      <c r="AQ2190" s="1759" t="s">
        <v>5374</v>
      </c>
      <c r="AR2190" s="1759" t="s">
        <v>2899</v>
      </c>
      <c r="AS2190" s="1759" t="s">
        <v>349</v>
      </c>
      <c r="AT2190" s="1759" t="s">
        <v>327</v>
      </c>
      <c r="AU2190" s="1763"/>
      <c r="AV2190" s="1763"/>
    </row>
    <row r="2191" spans="1:48" ht="25" hidden="1">
      <c r="A2191" s="1785" t="str">
        <f t="shared" si="363"/>
        <v>גמל</v>
      </c>
      <c r="B2191" s="1786">
        <f t="shared" si="364"/>
        <v>120</v>
      </c>
      <c r="C2191" s="1787">
        <v>28946</v>
      </c>
      <c r="D2191" s="1786" t="str">
        <f t="shared" si="365"/>
        <v>מיטב דש ביטחון מבטיח תשואה 4.5%</v>
      </c>
      <c r="E2191" s="1786" t="s">
        <v>3929</v>
      </c>
      <c r="F2191" s="1786" t="s">
        <v>2958</v>
      </c>
      <c r="G2191" s="1786" t="s">
        <v>2959</v>
      </c>
      <c r="H2191" s="1786" t="str">
        <f t="shared" si="366"/>
        <v>פעיל</v>
      </c>
      <c r="I2191" s="1788">
        <f t="shared" si="367"/>
        <v>26724</v>
      </c>
      <c r="J2191" s="1788" t="str">
        <f t="shared" si="368"/>
        <v/>
      </c>
      <c r="K2191" s="1786">
        <v>0</v>
      </c>
      <c r="L2191" s="1786" t="s">
        <v>1594</v>
      </c>
      <c r="M2191" s="1786" t="s">
        <v>1653</v>
      </c>
      <c r="N2191" s="1786" t="s">
        <v>1653</v>
      </c>
      <c r="O2191" s="1786">
        <v>0</v>
      </c>
      <c r="P2191" s="1786"/>
      <c r="Q2191" s="1786">
        <v>0</v>
      </c>
      <c r="R2191" s="1788"/>
      <c r="S2191" s="1786">
        <f t="shared" si="369"/>
        <v>120</v>
      </c>
      <c r="T2191" s="1786" t="str">
        <f t="shared" si="370"/>
        <v>בנק מזרחי טפחות בע"מ</v>
      </c>
      <c r="U2191" s="1786" t="str">
        <f t="shared" si="371"/>
        <v xml:space="preserve">מיטב דש ביטחון </v>
      </c>
      <c r="V2191" s="1786" t="str">
        <f t="shared" si="372"/>
        <v>520043795</v>
      </c>
      <c r="W2191" s="1789" t="str">
        <f t="shared" si="373"/>
        <v>מיטב דש גמל ופנסיה בע"מ</v>
      </c>
      <c r="AC2191" s="1761" t="s">
        <v>346</v>
      </c>
      <c r="AD2191" s="1761"/>
      <c r="AE2191" s="1762">
        <v>26724</v>
      </c>
      <c r="AF2191" s="1761" t="s">
        <v>2973</v>
      </c>
      <c r="AG2191" s="1761" t="s">
        <v>2973</v>
      </c>
      <c r="AH2191" s="1761" t="s">
        <v>2973</v>
      </c>
      <c r="AI2191" s="1761" t="s">
        <v>2972</v>
      </c>
      <c r="AJ2191" s="1761" t="s">
        <v>2972</v>
      </c>
      <c r="AK2191" s="1761">
        <v>120</v>
      </c>
      <c r="AL2191" s="1761" t="s">
        <v>2974</v>
      </c>
      <c r="AM2191" s="1761">
        <v>120</v>
      </c>
      <c r="AN2191" s="1761" t="s">
        <v>5370</v>
      </c>
      <c r="AO2191" s="1764"/>
      <c r="AP2191" s="1761" t="s">
        <v>5373</v>
      </c>
      <c r="AQ2191" s="1761" t="s">
        <v>5374</v>
      </c>
      <c r="AR2191" s="1761" t="s">
        <v>2899</v>
      </c>
      <c r="AS2191" s="1761" t="s">
        <v>349</v>
      </c>
      <c r="AT2191" s="1761" t="s">
        <v>327</v>
      </c>
      <c r="AU2191" s="1763"/>
      <c r="AV2191" s="1763"/>
    </row>
    <row r="2192" spans="1:48" ht="25" hidden="1">
      <c r="A2192" s="1785" t="str">
        <f t="shared" si="363"/>
        <v>גמל</v>
      </c>
      <c r="B2192" s="1786">
        <f t="shared" si="364"/>
        <v>923</v>
      </c>
      <c r="C2192" s="1787">
        <v>28946</v>
      </c>
      <c r="D2192" s="1786" t="str">
        <f t="shared" si="365"/>
        <v>מיטב דש בטחון</v>
      </c>
      <c r="E2192" s="1786" t="s">
        <v>3929</v>
      </c>
      <c r="F2192" s="1786" t="s">
        <v>2958</v>
      </c>
      <c r="G2192" s="1786" t="s">
        <v>2959</v>
      </c>
      <c r="H2192" s="1786" t="str">
        <f t="shared" si="366"/>
        <v>פעיל</v>
      </c>
      <c r="I2192" s="1788">
        <f t="shared" si="367"/>
        <v>26724</v>
      </c>
      <c r="J2192" s="1788" t="str">
        <f t="shared" si="368"/>
        <v/>
      </c>
      <c r="K2192" s="1786">
        <v>0</v>
      </c>
      <c r="L2192" s="1786" t="s">
        <v>1594</v>
      </c>
      <c r="M2192" s="1786" t="s">
        <v>1653</v>
      </c>
      <c r="N2192" s="1786" t="s">
        <v>1653</v>
      </c>
      <c r="O2192" s="1786">
        <v>0</v>
      </c>
      <c r="P2192" s="1786"/>
      <c r="Q2192" s="1786">
        <v>0</v>
      </c>
      <c r="R2192" s="1788"/>
      <c r="S2192" s="1786">
        <f t="shared" si="369"/>
        <v>120</v>
      </c>
      <c r="T2192" s="1786" t="str">
        <f t="shared" si="370"/>
        <v>בנק מזרחי טפחות בע"מ</v>
      </c>
      <c r="U2192" s="1786" t="str">
        <f t="shared" si="371"/>
        <v xml:space="preserve">מיטב דש ביטחון </v>
      </c>
      <c r="V2192" s="1786" t="str">
        <f t="shared" si="372"/>
        <v>520043795</v>
      </c>
      <c r="W2192" s="1789" t="str">
        <f t="shared" si="373"/>
        <v>מיטב דש גמל ופנסיה בע"מ</v>
      </c>
      <c r="AC2192" s="1759" t="s">
        <v>346</v>
      </c>
      <c r="AD2192" s="1759"/>
      <c r="AE2192" s="1760">
        <v>26724</v>
      </c>
      <c r="AF2192" s="1759" t="s">
        <v>1583</v>
      </c>
      <c r="AG2192" s="1759" t="s">
        <v>1583</v>
      </c>
      <c r="AH2192" s="1759" t="s">
        <v>1583</v>
      </c>
      <c r="AI2192" s="1759" t="s">
        <v>3406</v>
      </c>
      <c r="AJ2192" s="1759" t="s">
        <v>3406</v>
      </c>
      <c r="AK2192" s="1759">
        <v>923</v>
      </c>
      <c r="AL2192" s="1759" t="s">
        <v>2974</v>
      </c>
      <c r="AM2192" s="1759">
        <v>120</v>
      </c>
      <c r="AN2192" s="1759" t="s">
        <v>5370</v>
      </c>
      <c r="AO2192" s="1764"/>
      <c r="AP2192" s="1759" t="s">
        <v>5373</v>
      </c>
      <c r="AQ2192" s="1759" t="s">
        <v>5374</v>
      </c>
      <c r="AR2192" s="1759" t="s">
        <v>2899</v>
      </c>
      <c r="AS2192" s="1759" t="s">
        <v>349</v>
      </c>
      <c r="AT2192" s="1759" t="s">
        <v>327</v>
      </c>
      <c r="AU2192" s="1763"/>
      <c r="AV2192" s="1763"/>
    </row>
    <row r="2193" spans="1:48" ht="25" hidden="1">
      <c r="A2193" s="1785" t="str">
        <f t="shared" si="363"/>
        <v>גמל</v>
      </c>
      <c r="B2193" s="1786">
        <f t="shared" si="364"/>
        <v>530</v>
      </c>
      <c r="C2193" s="1787">
        <v>28946</v>
      </c>
      <c r="D2193" s="1786" t="str">
        <f t="shared" si="365"/>
        <v>מנורה מבטחים יותר מסלול א'</v>
      </c>
      <c r="E2193" s="1786" t="s">
        <v>3929</v>
      </c>
      <c r="F2193" s="1786" t="s">
        <v>2958</v>
      </c>
      <c r="G2193" s="1786" t="s">
        <v>2959</v>
      </c>
      <c r="H2193" s="1786" t="str">
        <f t="shared" si="366"/>
        <v>פעיל</v>
      </c>
      <c r="I2193" s="1788">
        <f t="shared" si="367"/>
        <v>26478</v>
      </c>
      <c r="J2193" s="1788" t="str">
        <f t="shared" si="368"/>
        <v/>
      </c>
      <c r="K2193" s="1786">
        <v>0</v>
      </c>
      <c r="L2193" s="1786" t="s">
        <v>1594</v>
      </c>
      <c r="M2193" s="1786" t="s">
        <v>1653</v>
      </c>
      <c r="N2193" s="1786" t="s">
        <v>1653</v>
      </c>
      <c r="O2193" s="1786">
        <v>0</v>
      </c>
      <c r="P2193" s="1786"/>
      <c r="Q2193" s="1786">
        <v>0</v>
      </c>
      <c r="R2193" s="1788"/>
      <c r="S2193" s="1786">
        <f t="shared" si="369"/>
        <v>119</v>
      </c>
      <c r="T2193" s="1786" t="str">
        <f t="shared" si="370"/>
        <v>לאומי</v>
      </c>
      <c r="U2193" s="1786" t="str">
        <f t="shared" si="371"/>
        <v>מנורה מבטחים יותר מסלול ד'</v>
      </c>
      <c r="V2193" s="1786" t="str">
        <f t="shared" si="372"/>
        <v>520007469</v>
      </c>
      <c r="W2193" s="1789" t="str">
        <f t="shared" si="373"/>
        <v>מנורה מבטחים פנסיה וגמל בע"מ</v>
      </c>
      <c r="AC2193" s="1761" t="s">
        <v>346</v>
      </c>
      <c r="AD2193" s="1761"/>
      <c r="AE2193" s="1762">
        <v>26478</v>
      </c>
      <c r="AF2193" s="1761" t="s">
        <v>2973</v>
      </c>
      <c r="AG2193" s="1761" t="s">
        <v>2973</v>
      </c>
      <c r="AH2193" s="1761" t="s">
        <v>2973</v>
      </c>
      <c r="AI2193" s="1761" t="s">
        <v>3165</v>
      </c>
      <c r="AJ2193" s="1761" t="s">
        <v>3164</v>
      </c>
      <c r="AK2193" s="1761">
        <v>530</v>
      </c>
      <c r="AL2193" s="1761" t="s">
        <v>2969</v>
      </c>
      <c r="AM2193" s="1761">
        <v>119</v>
      </c>
      <c r="AN2193" s="1761" t="s">
        <v>5305</v>
      </c>
      <c r="AO2193" s="1764"/>
      <c r="AP2193" s="1761" t="s">
        <v>5377</v>
      </c>
      <c r="AQ2193" s="1761" t="s">
        <v>5378</v>
      </c>
      <c r="AR2193" s="1761" t="s">
        <v>2971</v>
      </c>
      <c r="AS2193" s="1761" t="s">
        <v>396</v>
      </c>
      <c r="AT2193" s="1761" t="s">
        <v>327</v>
      </c>
      <c r="AU2193" s="1763"/>
      <c r="AV2193" s="1763"/>
    </row>
    <row r="2194" spans="1:48" ht="25" hidden="1">
      <c r="A2194" s="1785" t="str">
        <f t="shared" si="363"/>
        <v>גמל</v>
      </c>
      <c r="B2194" s="1786">
        <f t="shared" si="364"/>
        <v>119</v>
      </c>
      <c r="C2194" s="1787">
        <v>28946</v>
      </c>
      <c r="D2194" s="1786" t="str">
        <f t="shared" si="365"/>
        <v>מנורה מבטחים יותר מסלול ד'</v>
      </c>
      <c r="E2194" s="1786" t="s">
        <v>3929</v>
      </c>
      <c r="F2194" s="1786" t="s">
        <v>2958</v>
      </c>
      <c r="G2194" s="1786" t="s">
        <v>2959</v>
      </c>
      <c r="H2194" s="1786" t="str">
        <f t="shared" si="366"/>
        <v>פעיל</v>
      </c>
      <c r="I2194" s="1788">
        <f t="shared" si="367"/>
        <v>26478</v>
      </c>
      <c r="J2194" s="1788" t="str">
        <f t="shared" si="368"/>
        <v/>
      </c>
      <c r="K2194" s="1786">
        <v>0</v>
      </c>
      <c r="L2194" s="1786" t="s">
        <v>1594</v>
      </c>
      <c r="M2194" s="1786" t="s">
        <v>1653</v>
      </c>
      <c r="N2194" s="1786" t="s">
        <v>1653</v>
      </c>
      <c r="O2194" s="1786">
        <v>0</v>
      </c>
      <c r="P2194" s="1786"/>
      <c r="Q2194" s="1786">
        <v>0</v>
      </c>
      <c r="R2194" s="1788"/>
      <c r="S2194" s="1786">
        <f t="shared" si="369"/>
        <v>119</v>
      </c>
      <c r="T2194" s="1786" t="str">
        <f t="shared" si="370"/>
        <v>לאומי</v>
      </c>
      <c r="U2194" s="1786" t="str">
        <f t="shared" si="371"/>
        <v>מנורה מבטחים יותר מסלול ד'</v>
      </c>
      <c r="V2194" s="1786" t="str">
        <f t="shared" si="372"/>
        <v>520007469</v>
      </c>
      <c r="W2194" s="1789" t="str">
        <f t="shared" si="373"/>
        <v>מנורה מבטחים פנסיה וגמל בע"מ</v>
      </c>
      <c r="AC2194" s="1759" t="s">
        <v>346</v>
      </c>
      <c r="AD2194" s="1759"/>
      <c r="AE2194" s="1760">
        <v>26478</v>
      </c>
      <c r="AF2194" s="1759" t="s">
        <v>1583</v>
      </c>
      <c r="AG2194" s="1759" t="s">
        <v>1583</v>
      </c>
      <c r="AH2194" s="1759" t="s">
        <v>1583</v>
      </c>
      <c r="AI2194" s="1759" t="s">
        <v>2970</v>
      </c>
      <c r="AJ2194" s="1759" t="s">
        <v>2969</v>
      </c>
      <c r="AK2194" s="1759">
        <v>119</v>
      </c>
      <c r="AL2194" s="1759" t="s">
        <v>2969</v>
      </c>
      <c r="AM2194" s="1759">
        <v>119</v>
      </c>
      <c r="AN2194" s="1759" t="s">
        <v>5305</v>
      </c>
      <c r="AO2194" s="1764"/>
      <c r="AP2194" s="1759" t="s">
        <v>5377</v>
      </c>
      <c r="AQ2194" s="1759" t="s">
        <v>5378</v>
      </c>
      <c r="AR2194" s="1759" t="s">
        <v>2971</v>
      </c>
      <c r="AS2194" s="1759" t="s">
        <v>396</v>
      </c>
      <c r="AT2194" s="1759" t="s">
        <v>327</v>
      </c>
      <c r="AU2194" s="1763"/>
      <c r="AV2194" s="1763"/>
    </row>
    <row r="2195" spans="1:48" ht="25" hidden="1">
      <c r="A2195" s="1785" t="str">
        <f t="shared" si="363"/>
        <v>גמל</v>
      </c>
      <c r="B2195" s="1786">
        <f t="shared" si="364"/>
        <v>532</v>
      </c>
      <c r="C2195" s="1787">
        <v>28946</v>
      </c>
      <c r="D2195" s="1786" t="str">
        <f t="shared" si="365"/>
        <v>מנורה מבטחים יותר מסלול ג'</v>
      </c>
      <c r="E2195" s="1786" t="s">
        <v>3929</v>
      </c>
      <c r="F2195" s="1786" t="s">
        <v>2958</v>
      </c>
      <c r="G2195" s="1786" t="s">
        <v>2959</v>
      </c>
      <c r="H2195" s="1786" t="str">
        <f t="shared" si="366"/>
        <v>פעיל</v>
      </c>
      <c r="I2195" s="1788">
        <f t="shared" si="367"/>
        <v>26478</v>
      </c>
      <c r="J2195" s="1788" t="str">
        <f t="shared" si="368"/>
        <v/>
      </c>
      <c r="K2195" s="1786">
        <v>0</v>
      </c>
      <c r="L2195" s="1786" t="s">
        <v>1594</v>
      </c>
      <c r="M2195" s="1786" t="s">
        <v>1653</v>
      </c>
      <c r="N2195" s="1786" t="s">
        <v>1653</v>
      </c>
      <c r="O2195" s="1786">
        <v>0</v>
      </c>
      <c r="P2195" s="1786"/>
      <c r="Q2195" s="1786">
        <v>0</v>
      </c>
      <c r="R2195" s="1788"/>
      <c r="S2195" s="1786">
        <f t="shared" si="369"/>
        <v>119</v>
      </c>
      <c r="T2195" s="1786" t="str">
        <f t="shared" si="370"/>
        <v>לאומי</v>
      </c>
      <c r="U2195" s="1786" t="str">
        <f t="shared" si="371"/>
        <v>מנורה מבטחים יותר מסלול ד'</v>
      </c>
      <c r="V2195" s="1786" t="str">
        <f t="shared" si="372"/>
        <v>520007469</v>
      </c>
      <c r="W2195" s="1789" t="str">
        <f t="shared" si="373"/>
        <v>מנורה מבטחים פנסיה וגמל בע"מ</v>
      </c>
      <c r="AC2195" s="1761" t="s">
        <v>346</v>
      </c>
      <c r="AD2195" s="1761"/>
      <c r="AE2195" s="1762">
        <v>26478</v>
      </c>
      <c r="AF2195" s="1761" t="s">
        <v>2973</v>
      </c>
      <c r="AG2195" s="1761" t="s">
        <v>2973</v>
      </c>
      <c r="AH2195" s="1761" t="s">
        <v>2973</v>
      </c>
      <c r="AI2195" s="1761" t="s">
        <v>3169</v>
      </c>
      <c r="AJ2195" s="1761" t="s">
        <v>3168</v>
      </c>
      <c r="AK2195" s="1761">
        <v>532</v>
      </c>
      <c r="AL2195" s="1761" t="s">
        <v>2969</v>
      </c>
      <c r="AM2195" s="1761">
        <v>119</v>
      </c>
      <c r="AN2195" s="1761" t="s">
        <v>5305</v>
      </c>
      <c r="AO2195" s="1764"/>
      <c r="AP2195" s="1761" t="s">
        <v>5377</v>
      </c>
      <c r="AQ2195" s="1761" t="s">
        <v>5378</v>
      </c>
      <c r="AR2195" s="1761" t="s">
        <v>2971</v>
      </c>
      <c r="AS2195" s="1761" t="s">
        <v>396</v>
      </c>
      <c r="AT2195" s="1761" t="s">
        <v>327</v>
      </c>
      <c r="AU2195" s="1763"/>
      <c r="AV2195" s="1763"/>
    </row>
    <row r="2196" spans="1:48" ht="25" hidden="1">
      <c r="A2196" s="1785" t="str">
        <f t="shared" si="363"/>
        <v>גמל</v>
      </c>
      <c r="B2196" s="1786">
        <f t="shared" si="364"/>
        <v>531</v>
      </c>
      <c r="C2196" s="1787">
        <v>28946</v>
      </c>
      <c r="D2196" s="1786" t="str">
        <f t="shared" si="365"/>
        <v>מנורה מבטחים יותר מסלול ב'</v>
      </c>
      <c r="E2196" s="1786" t="s">
        <v>3929</v>
      </c>
      <c r="F2196" s="1786" t="s">
        <v>2958</v>
      </c>
      <c r="G2196" s="1786" t="s">
        <v>2959</v>
      </c>
      <c r="H2196" s="1786" t="str">
        <f t="shared" si="366"/>
        <v>פעיל</v>
      </c>
      <c r="I2196" s="1788">
        <f t="shared" si="367"/>
        <v>26478</v>
      </c>
      <c r="J2196" s="1788" t="str">
        <f t="shared" si="368"/>
        <v/>
      </c>
      <c r="K2196" s="1786">
        <v>0</v>
      </c>
      <c r="L2196" s="1786" t="s">
        <v>1594</v>
      </c>
      <c r="M2196" s="1786" t="s">
        <v>1653</v>
      </c>
      <c r="N2196" s="1786" t="s">
        <v>1653</v>
      </c>
      <c r="O2196" s="1786">
        <v>0</v>
      </c>
      <c r="P2196" s="1786"/>
      <c r="Q2196" s="1786">
        <v>0</v>
      </c>
      <c r="R2196" s="1788"/>
      <c r="S2196" s="1786">
        <f t="shared" si="369"/>
        <v>119</v>
      </c>
      <c r="T2196" s="1786" t="str">
        <f t="shared" si="370"/>
        <v>לאומי</v>
      </c>
      <c r="U2196" s="1786" t="str">
        <f t="shared" si="371"/>
        <v>מנורה מבטחים יותר מסלול ד'</v>
      </c>
      <c r="V2196" s="1786" t="str">
        <f t="shared" si="372"/>
        <v>520007469</v>
      </c>
      <c r="W2196" s="1789" t="str">
        <f t="shared" si="373"/>
        <v>מנורה מבטחים פנסיה וגמל בע"מ</v>
      </c>
      <c r="AC2196" s="1759" t="s">
        <v>346</v>
      </c>
      <c r="AD2196" s="1759"/>
      <c r="AE2196" s="1760">
        <v>26478</v>
      </c>
      <c r="AF2196" s="1759" t="s">
        <v>2973</v>
      </c>
      <c r="AG2196" s="1759" t="s">
        <v>2973</v>
      </c>
      <c r="AH2196" s="1759" t="s">
        <v>2973</v>
      </c>
      <c r="AI2196" s="1759" t="s">
        <v>3167</v>
      </c>
      <c r="AJ2196" s="1759" t="s">
        <v>3166</v>
      </c>
      <c r="AK2196" s="1759">
        <v>531</v>
      </c>
      <c r="AL2196" s="1759" t="s">
        <v>2969</v>
      </c>
      <c r="AM2196" s="1759">
        <v>119</v>
      </c>
      <c r="AN2196" s="1759" t="s">
        <v>5305</v>
      </c>
      <c r="AO2196" s="1764"/>
      <c r="AP2196" s="1759" t="s">
        <v>5377</v>
      </c>
      <c r="AQ2196" s="1759" t="s">
        <v>5378</v>
      </c>
      <c r="AR2196" s="1759" t="s">
        <v>2971</v>
      </c>
      <c r="AS2196" s="1759" t="s">
        <v>396</v>
      </c>
      <c r="AT2196" s="1759" t="s">
        <v>327</v>
      </c>
      <c r="AU2196" s="1763"/>
      <c r="AV2196" s="1763"/>
    </row>
    <row r="2197" spans="1:48" ht="37.5" hidden="1">
      <c r="A2197" s="1785" t="str">
        <f t="shared" si="363"/>
        <v>גמל</v>
      </c>
      <c r="B2197" s="1786">
        <f t="shared" si="364"/>
        <v>2086</v>
      </c>
      <c r="C2197" s="1787">
        <v>28946</v>
      </c>
      <c r="D2197" s="1786" t="str">
        <f t="shared" si="365"/>
        <v>אנליסט קופה מרכזית לפיצויים מסלול עד 10% במניות</v>
      </c>
      <c r="E2197" s="1786" t="s">
        <v>3929</v>
      </c>
      <c r="F2197" s="1786" t="s">
        <v>2958</v>
      </c>
      <c r="G2197" s="1786" t="s">
        <v>2959</v>
      </c>
      <c r="H2197" s="1786" t="str">
        <f t="shared" si="366"/>
        <v>פעיל</v>
      </c>
      <c r="I2197" s="1788">
        <f t="shared" si="367"/>
        <v>34646</v>
      </c>
      <c r="J2197" s="1788" t="str">
        <f t="shared" si="368"/>
        <v/>
      </c>
      <c r="K2197" s="1786">
        <v>0</v>
      </c>
      <c r="L2197" s="1786" t="s">
        <v>1594</v>
      </c>
      <c r="M2197" s="1786" t="s">
        <v>1653</v>
      </c>
      <c r="N2197" s="1786" t="s">
        <v>1653</v>
      </c>
      <c r="O2197" s="1786">
        <v>0</v>
      </c>
      <c r="P2197" s="1786"/>
      <c r="Q2197" s="1786">
        <v>0</v>
      </c>
      <c r="R2197" s="1788"/>
      <c r="S2197" s="1786">
        <f t="shared" si="369"/>
        <v>118</v>
      </c>
      <c r="T2197" s="1786" t="str">
        <f t="shared" si="370"/>
        <v>הבנק הבינלאומי הראשון</v>
      </c>
      <c r="U2197" s="1786" t="str">
        <f t="shared" si="371"/>
        <v>אנליסט קופה מרכזית לפיצויים מסלול כללי</v>
      </c>
      <c r="V2197" s="1786" t="str">
        <f t="shared" si="372"/>
        <v>520041963</v>
      </c>
      <c r="W2197" s="1789" t="str">
        <f t="shared" si="373"/>
        <v>אנליסט קופות גמל בע"מ</v>
      </c>
      <c r="AC2197" s="1761" t="s">
        <v>346</v>
      </c>
      <c r="AD2197" s="1761"/>
      <c r="AE2197" s="1762">
        <v>34646</v>
      </c>
      <c r="AF2197" s="1761" t="s">
        <v>2025</v>
      </c>
      <c r="AG2197" s="1761" t="s">
        <v>1583</v>
      </c>
      <c r="AH2197" s="1761" t="s">
        <v>1583</v>
      </c>
      <c r="AI2197" s="1761" t="s">
        <v>2548</v>
      </c>
      <c r="AJ2197" s="1761" t="s">
        <v>2548</v>
      </c>
      <c r="AK2197" s="1761">
        <v>2086</v>
      </c>
      <c r="AL2197" s="1761" t="s">
        <v>362</v>
      </c>
      <c r="AM2197" s="1761">
        <v>118</v>
      </c>
      <c r="AN2197" s="1761" t="s">
        <v>5384</v>
      </c>
      <c r="AO2197" s="1764"/>
      <c r="AP2197" s="1761" t="s">
        <v>5387</v>
      </c>
      <c r="AQ2197" s="1761" t="s">
        <v>5388</v>
      </c>
      <c r="AR2197" s="1761" t="s">
        <v>360</v>
      </c>
      <c r="AS2197" s="1761" t="s">
        <v>361</v>
      </c>
      <c r="AT2197" s="1761" t="s">
        <v>327</v>
      </c>
      <c r="AU2197" s="1763"/>
      <c r="AV2197" s="1763"/>
    </row>
    <row r="2198" spans="1:48" ht="37.5" hidden="1">
      <c r="A2198" s="1785" t="str">
        <f t="shared" si="363"/>
        <v>גמל</v>
      </c>
      <c r="B2198" s="1786">
        <f t="shared" si="364"/>
        <v>118</v>
      </c>
      <c r="C2198" s="1787">
        <v>28946</v>
      </c>
      <c r="D2198" s="1786" t="str">
        <f t="shared" si="365"/>
        <v>אנליסט קופה מרכזית לפיצויים מסלול כללי</v>
      </c>
      <c r="E2198" s="1786" t="s">
        <v>3929</v>
      </c>
      <c r="F2198" s="1786" t="s">
        <v>2958</v>
      </c>
      <c r="G2198" s="1786" t="s">
        <v>2959</v>
      </c>
      <c r="H2198" s="1786" t="str">
        <f t="shared" si="366"/>
        <v>פעיל</v>
      </c>
      <c r="I2198" s="1788">
        <f t="shared" si="367"/>
        <v>34646</v>
      </c>
      <c r="J2198" s="1788" t="str">
        <f t="shared" si="368"/>
        <v/>
      </c>
      <c r="K2198" s="1786">
        <v>0</v>
      </c>
      <c r="L2198" s="1786" t="s">
        <v>1594</v>
      </c>
      <c r="M2198" s="1786" t="s">
        <v>1653</v>
      </c>
      <c r="N2198" s="1786" t="s">
        <v>1653</v>
      </c>
      <c r="O2198" s="1786">
        <v>0</v>
      </c>
      <c r="P2198" s="1786"/>
      <c r="Q2198" s="1786">
        <v>0</v>
      </c>
      <c r="R2198" s="1788"/>
      <c r="S2198" s="1786">
        <f t="shared" si="369"/>
        <v>118</v>
      </c>
      <c r="T2198" s="1786" t="str">
        <f t="shared" si="370"/>
        <v>הבנק הבינלאומי הראשון</v>
      </c>
      <c r="U2198" s="1786" t="str">
        <f t="shared" si="371"/>
        <v>אנליסט קופה מרכזית לפיצויים מסלול כללי</v>
      </c>
      <c r="V2198" s="1786" t="str">
        <f t="shared" si="372"/>
        <v>520041963</v>
      </c>
      <c r="W2198" s="1789" t="str">
        <f t="shared" si="373"/>
        <v>אנליסט קופות גמל בע"מ</v>
      </c>
      <c r="AC2198" s="1759" t="s">
        <v>346</v>
      </c>
      <c r="AD2198" s="1759"/>
      <c r="AE2198" s="1760">
        <v>34646</v>
      </c>
      <c r="AF2198" s="1759" t="s">
        <v>1583</v>
      </c>
      <c r="AG2198" s="1759" t="s">
        <v>1583</v>
      </c>
      <c r="AH2198" s="1759" t="s">
        <v>1583</v>
      </c>
      <c r="AI2198" s="1759" t="s">
        <v>362</v>
      </c>
      <c r="AJ2198" s="1759" t="s">
        <v>362</v>
      </c>
      <c r="AK2198" s="1759">
        <v>118</v>
      </c>
      <c r="AL2198" s="1759" t="s">
        <v>362</v>
      </c>
      <c r="AM2198" s="1759">
        <v>118</v>
      </c>
      <c r="AN2198" s="1759" t="s">
        <v>5384</v>
      </c>
      <c r="AO2198" s="1764"/>
      <c r="AP2198" s="1759" t="s">
        <v>5387</v>
      </c>
      <c r="AQ2198" s="1759" t="s">
        <v>5388</v>
      </c>
      <c r="AR2198" s="1759" t="s">
        <v>360</v>
      </c>
      <c r="AS2198" s="1759" t="s">
        <v>361</v>
      </c>
      <c r="AT2198" s="1759" t="s">
        <v>327</v>
      </c>
      <c r="AU2198" s="1763"/>
      <c r="AV2198" s="1763"/>
    </row>
    <row r="2199" spans="1:48" ht="37.5" hidden="1">
      <c r="A2199" s="1785" t="str">
        <f t="shared" ref="A2199:A2262" si="374">AT2199</f>
        <v>גמל</v>
      </c>
      <c r="B2199" s="1786">
        <f t="shared" ref="B2199:B2262" si="375">AK2199</f>
        <v>1413</v>
      </c>
      <c r="C2199" s="1787">
        <v>28946</v>
      </c>
      <c r="D2199" s="1786" t="str">
        <f t="shared" ref="D2199:D2262" si="376">AJ2199</f>
        <v>אנליסט קופה מרכזית לפיצויים מסלול  ממשלתי</v>
      </c>
      <c r="E2199" s="1786" t="s">
        <v>3929</v>
      </c>
      <c r="F2199" s="1786" t="s">
        <v>2958</v>
      </c>
      <c r="G2199" s="1786" t="s">
        <v>2959</v>
      </c>
      <c r="H2199" s="1786" t="str">
        <f t="shared" ref="H2199:H2262" si="377">AC2199</f>
        <v>פעיל</v>
      </c>
      <c r="I2199" s="1788">
        <f t="shared" ref="I2199:I2262" si="378">IF(AE2199="","",AE2199)</f>
        <v>34646</v>
      </c>
      <c r="J2199" s="1788" t="str">
        <f t="shared" ref="J2199:J2262" si="379">IF(AD2199="","",AD2199)</f>
        <v/>
      </c>
      <c r="K2199" s="1786">
        <v>0</v>
      </c>
      <c r="L2199" s="1786" t="s">
        <v>1594</v>
      </c>
      <c r="M2199" s="1786" t="s">
        <v>1653</v>
      </c>
      <c r="N2199" s="1786" t="s">
        <v>1653</v>
      </c>
      <c r="O2199" s="1786">
        <v>0</v>
      </c>
      <c r="P2199" s="1786"/>
      <c r="Q2199" s="1786">
        <v>0</v>
      </c>
      <c r="R2199" s="1788"/>
      <c r="S2199" s="1786">
        <f t="shared" ref="S2199:S2262" si="380">AM2199</f>
        <v>118</v>
      </c>
      <c r="T2199" s="1786" t="str">
        <f t="shared" ref="T2199:T2262" si="381">AN2199</f>
        <v>הבנק הבינלאומי הראשון</v>
      </c>
      <c r="U2199" s="1786" t="str">
        <f t="shared" ref="U2199:U2262" si="382">AL2199</f>
        <v>אנליסט קופה מרכזית לפיצויים מסלול כללי</v>
      </c>
      <c r="V2199" s="1786" t="str">
        <f t="shared" ref="V2199:V2262" si="383">AQ2199</f>
        <v>520041963</v>
      </c>
      <c r="W2199" s="1789" t="str">
        <f t="shared" ref="W2199:W2262" si="384">AR2199</f>
        <v>אנליסט קופות גמל בע"מ</v>
      </c>
      <c r="AC2199" s="1761" t="s">
        <v>346</v>
      </c>
      <c r="AD2199" s="1761"/>
      <c r="AE2199" s="1762">
        <v>34646</v>
      </c>
      <c r="AF2199" s="1761" t="s">
        <v>2009</v>
      </c>
      <c r="AG2199" s="1761" t="s">
        <v>1583</v>
      </c>
      <c r="AH2199" s="1761" t="s">
        <v>1583</v>
      </c>
      <c r="AI2199" s="1761" t="s">
        <v>2450</v>
      </c>
      <c r="AJ2199" s="1761" t="s">
        <v>2450</v>
      </c>
      <c r="AK2199" s="1761">
        <v>1413</v>
      </c>
      <c r="AL2199" s="1761" t="s">
        <v>362</v>
      </c>
      <c r="AM2199" s="1761">
        <v>118</v>
      </c>
      <c r="AN2199" s="1761" t="s">
        <v>5384</v>
      </c>
      <c r="AO2199" s="1764"/>
      <c r="AP2199" s="1761" t="s">
        <v>5387</v>
      </c>
      <c r="AQ2199" s="1761" t="s">
        <v>5388</v>
      </c>
      <c r="AR2199" s="1761" t="s">
        <v>360</v>
      </c>
      <c r="AS2199" s="1761" t="s">
        <v>361</v>
      </c>
      <c r="AT2199" s="1761" t="s">
        <v>327</v>
      </c>
      <c r="AU2199" s="1763"/>
      <c r="AV2199" s="1763"/>
    </row>
    <row r="2200" spans="1:48" ht="25" hidden="1">
      <c r="A2200" s="1785" t="str">
        <f t="shared" si="374"/>
        <v>גמל</v>
      </c>
      <c r="B2200" s="1786">
        <f t="shared" si="375"/>
        <v>116</v>
      </c>
      <c r="C2200" s="1787">
        <v>28946</v>
      </c>
      <c r="D2200" s="1786" t="str">
        <f t="shared" si="376"/>
        <v>סוכני הבטוח בישראל א.ש. קופת גמל בע"מ</v>
      </c>
      <c r="E2200" s="1786" t="s">
        <v>3929</v>
      </c>
      <c r="F2200" s="1786" t="s">
        <v>2958</v>
      </c>
      <c r="G2200" s="1786" t="s">
        <v>2959</v>
      </c>
      <c r="H2200" s="1786" t="str">
        <f t="shared" si="377"/>
        <v>לא פעיל</v>
      </c>
      <c r="I2200" s="1788">
        <f t="shared" si="378"/>
        <v>24210</v>
      </c>
      <c r="J2200" s="1788">
        <f t="shared" si="379"/>
        <v>38974.402349536998</v>
      </c>
      <c r="K2200" s="1786">
        <v>0</v>
      </c>
      <c r="L2200" s="1786" t="s">
        <v>1594</v>
      </c>
      <c r="M2200" s="1786" t="s">
        <v>1653</v>
      </c>
      <c r="N2200" s="1786" t="s">
        <v>1653</v>
      </c>
      <c r="O2200" s="1786">
        <v>0</v>
      </c>
      <c r="P2200" s="1786"/>
      <c r="Q2200" s="1786">
        <v>0</v>
      </c>
      <c r="R2200" s="1788"/>
      <c r="S2200" s="1786">
        <f t="shared" si="380"/>
        <v>116</v>
      </c>
      <c r="T2200" s="1786" t="str">
        <f t="shared" si="381"/>
        <v>אמן בע"מ</v>
      </c>
      <c r="U2200" s="1786" t="str">
        <f t="shared" si="382"/>
        <v>סוכני הבטוח בישראל א.ש. קופת גמל בע"מ</v>
      </c>
      <c r="V2200" s="1786">
        <f t="shared" si="383"/>
        <v>0</v>
      </c>
      <c r="W2200" s="1789" t="str">
        <f t="shared" si="384"/>
        <v>סוכני הבטוח בישראל א.ש. קופת גמל בע"מ</v>
      </c>
      <c r="AC2200" s="1759" t="s">
        <v>1586</v>
      </c>
      <c r="AD2200" s="1760">
        <v>38974.402349536998</v>
      </c>
      <c r="AE2200" s="1760">
        <v>24210</v>
      </c>
      <c r="AF2200" s="1759" t="s">
        <v>1583</v>
      </c>
      <c r="AG2200" s="1759" t="s">
        <v>1583</v>
      </c>
      <c r="AH2200" s="1759" t="s">
        <v>1583</v>
      </c>
      <c r="AI2200" s="1759" t="s">
        <v>2968</v>
      </c>
      <c r="AJ2200" s="1759" t="s">
        <v>1603</v>
      </c>
      <c r="AK2200" s="1759">
        <v>116</v>
      </c>
      <c r="AL2200" s="1759" t="s">
        <v>1603</v>
      </c>
      <c r="AM2200" s="1759">
        <v>116</v>
      </c>
      <c r="AN2200" s="1759" t="s">
        <v>5549</v>
      </c>
      <c r="AO2200" s="1764"/>
      <c r="AP2200" s="1759"/>
      <c r="AQ2200" s="1759"/>
      <c r="AR2200" s="1759" t="s">
        <v>1603</v>
      </c>
      <c r="AS2200" s="1759" t="s">
        <v>1604</v>
      </c>
      <c r="AT2200" s="1759" t="s">
        <v>327</v>
      </c>
      <c r="AU2200" s="1763"/>
      <c r="AV2200" s="1763"/>
    </row>
    <row r="2201" spans="1:48" ht="37.5" hidden="1">
      <c r="A2201" s="1785" t="str">
        <f t="shared" si="374"/>
        <v>גמל</v>
      </c>
      <c r="B2201" s="1786">
        <f t="shared" si="375"/>
        <v>9924</v>
      </c>
      <c r="C2201" s="1787">
        <v>28946</v>
      </c>
      <c r="D2201" s="1786" t="str">
        <f t="shared" si="376"/>
        <v>קופת גמל הגומל לבני 50 ומטה</v>
      </c>
      <c r="E2201" s="1786" t="s">
        <v>3929</v>
      </c>
      <c r="F2201" s="1786" t="s">
        <v>2958</v>
      </c>
      <c r="G2201" s="1786" t="s">
        <v>2959</v>
      </c>
      <c r="H2201" s="1786" t="str">
        <f t="shared" si="377"/>
        <v>פעיל</v>
      </c>
      <c r="I2201" s="1788">
        <f t="shared" si="378"/>
        <v>24777</v>
      </c>
      <c r="J2201" s="1788" t="str">
        <f t="shared" si="379"/>
        <v/>
      </c>
      <c r="K2201" s="1786">
        <v>0</v>
      </c>
      <c r="L2201" s="1786" t="s">
        <v>1594</v>
      </c>
      <c r="M2201" s="1786" t="s">
        <v>1653</v>
      </c>
      <c r="N2201" s="1786" t="s">
        <v>1653</v>
      </c>
      <c r="O2201" s="1786">
        <v>0</v>
      </c>
      <c r="P2201" s="1786"/>
      <c r="Q2201" s="1786">
        <v>0</v>
      </c>
      <c r="R2201" s="1788"/>
      <c r="S2201" s="1786">
        <f t="shared" si="380"/>
        <v>115</v>
      </c>
      <c r="T2201" s="1786" t="str">
        <f t="shared" si="381"/>
        <v>הבנק הבינלאומי הראשון</v>
      </c>
      <c r="U2201" s="1786" t="str">
        <f t="shared" si="382"/>
        <v>קופת גמל הגומל</v>
      </c>
      <c r="V2201" s="1786">
        <f t="shared" si="383"/>
        <v>0</v>
      </c>
      <c r="W2201" s="1789" t="str">
        <f t="shared" si="384"/>
        <v>גל -ניהול קופות גמל לעובדי הוראה בע"מ</v>
      </c>
      <c r="AC2201" s="1761" t="s">
        <v>346</v>
      </c>
      <c r="AD2201" s="1761"/>
      <c r="AE2201" s="1762">
        <v>24777</v>
      </c>
      <c r="AF2201" s="1761" t="s">
        <v>4151</v>
      </c>
      <c r="AG2201" s="1761" t="s">
        <v>3931</v>
      </c>
      <c r="AH2201" s="1761" t="s">
        <v>3658</v>
      </c>
      <c r="AI2201" s="1761" t="s">
        <v>5789</v>
      </c>
      <c r="AJ2201" s="1761" t="s">
        <v>5790</v>
      </c>
      <c r="AK2201" s="1761">
        <v>9924</v>
      </c>
      <c r="AL2201" s="1761" t="s">
        <v>5791</v>
      </c>
      <c r="AM2201" s="1761">
        <v>115</v>
      </c>
      <c r="AN2201" s="1761" t="s">
        <v>5384</v>
      </c>
      <c r="AO2201" s="1764"/>
      <c r="AP2201" s="1761" t="s">
        <v>5516</v>
      </c>
      <c r="AQ2201" s="1761"/>
      <c r="AR2201" s="1761" t="s">
        <v>3225</v>
      </c>
      <c r="AS2201" s="1761" t="s">
        <v>590</v>
      </c>
      <c r="AT2201" s="1761" t="s">
        <v>327</v>
      </c>
      <c r="AU2201" s="1763"/>
      <c r="AV2201" s="1763"/>
    </row>
    <row r="2202" spans="1:48" ht="37.5" hidden="1">
      <c r="A2202" s="1785" t="str">
        <f t="shared" si="374"/>
        <v>גמל</v>
      </c>
      <c r="B2202" s="1786">
        <f t="shared" si="375"/>
        <v>9925</v>
      </c>
      <c r="C2202" s="1787">
        <v>28946</v>
      </c>
      <c r="D2202" s="1786" t="str">
        <f t="shared" si="376"/>
        <v>קופת גמל הגומל לבני 50 עד 60</v>
      </c>
      <c r="E2202" s="1786" t="s">
        <v>3929</v>
      </c>
      <c r="F2202" s="1786" t="s">
        <v>2958</v>
      </c>
      <c r="G2202" s="1786" t="s">
        <v>2959</v>
      </c>
      <c r="H2202" s="1786" t="str">
        <f t="shared" si="377"/>
        <v>פעיל</v>
      </c>
      <c r="I2202" s="1788">
        <f t="shared" si="378"/>
        <v>24777</v>
      </c>
      <c r="J2202" s="1788" t="str">
        <f t="shared" si="379"/>
        <v/>
      </c>
      <c r="K2202" s="1786">
        <v>0</v>
      </c>
      <c r="L2202" s="1786" t="s">
        <v>1594</v>
      </c>
      <c r="M2202" s="1786" t="s">
        <v>1653</v>
      </c>
      <c r="N2202" s="1786" t="s">
        <v>1653</v>
      </c>
      <c r="O2202" s="1786">
        <v>0</v>
      </c>
      <c r="P2202" s="1786"/>
      <c r="Q2202" s="1786">
        <v>0</v>
      </c>
      <c r="R2202" s="1788"/>
      <c r="S2202" s="1786">
        <f t="shared" si="380"/>
        <v>115</v>
      </c>
      <c r="T2202" s="1786" t="str">
        <f t="shared" si="381"/>
        <v>הבנק הבינלאומי הראשון</v>
      </c>
      <c r="U2202" s="1786" t="str">
        <f t="shared" si="382"/>
        <v>קופת גמל הגומל</v>
      </c>
      <c r="V2202" s="1786">
        <f t="shared" si="383"/>
        <v>0</v>
      </c>
      <c r="W2202" s="1789" t="str">
        <f t="shared" si="384"/>
        <v>גל -ניהול קופות גמל לעובדי הוראה בע"מ</v>
      </c>
      <c r="AC2202" s="1759" t="s">
        <v>346</v>
      </c>
      <c r="AD2202" s="1759"/>
      <c r="AE2202" s="1760">
        <v>24777</v>
      </c>
      <c r="AF2202" s="1759" t="s">
        <v>3932</v>
      </c>
      <c r="AG2202" s="1759" t="s">
        <v>3931</v>
      </c>
      <c r="AH2202" s="1759" t="s">
        <v>3658</v>
      </c>
      <c r="AI2202" s="1759" t="s">
        <v>5792</v>
      </c>
      <c r="AJ2202" s="1759" t="s">
        <v>5793</v>
      </c>
      <c r="AK2202" s="1759">
        <v>9925</v>
      </c>
      <c r="AL2202" s="1759" t="s">
        <v>5791</v>
      </c>
      <c r="AM2202" s="1759">
        <v>115</v>
      </c>
      <c r="AN2202" s="1759" t="s">
        <v>5384</v>
      </c>
      <c r="AO2202" s="1764"/>
      <c r="AP2202" s="1759" t="s">
        <v>5516</v>
      </c>
      <c r="AQ2202" s="1759"/>
      <c r="AR2202" s="1759" t="s">
        <v>3225</v>
      </c>
      <c r="AS2202" s="1759" t="s">
        <v>590</v>
      </c>
      <c r="AT2202" s="1759" t="s">
        <v>327</v>
      </c>
      <c r="AU2202" s="1763"/>
      <c r="AV2202" s="1763"/>
    </row>
    <row r="2203" spans="1:48" ht="37.5" hidden="1">
      <c r="A2203" s="1785" t="str">
        <f t="shared" si="374"/>
        <v>גמל</v>
      </c>
      <c r="B2203" s="1786">
        <f t="shared" si="375"/>
        <v>115</v>
      </c>
      <c r="C2203" s="1787">
        <v>28946</v>
      </c>
      <c r="D2203" s="1786" t="str">
        <f t="shared" si="376"/>
        <v>קופת גמל הגומל מסלול כללי</v>
      </c>
      <c r="E2203" s="1786" t="s">
        <v>3929</v>
      </c>
      <c r="F2203" s="1786" t="s">
        <v>2958</v>
      </c>
      <c r="G2203" s="1786" t="s">
        <v>2959</v>
      </c>
      <c r="H2203" s="1786" t="str">
        <f t="shared" si="377"/>
        <v>לא פעיל</v>
      </c>
      <c r="I2203" s="1788">
        <f t="shared" si="378"/>
        <v>24777</v>
      </c>
      <c r="J2203" s="1788">
        <f t="shared" si="379"/>
        <v>42373.462476851899</v>
      </c>
      <c r="K2203" s="1786">
        <v>0</v>
      </c>
      <c r="L2203" s="1786" t="s">
        <v>1594</v>
      </c>
      <c r="M2203" s="1786" t="s">
        <v>1653</v>
      </c>
      <c r="N2203" s="1786" t="s">
        <v>1653</v>
      </c>
      <c r="O2203" s="1786">
        <v>0</v>
      </c>
      <c r="P2203" s="1786"/>
      <c r="Q2203" s="1786">
        <v>0</v>
      </c>
      <c r="R2203" s="1788"/>
      <c r="S2203" s="1786">
        <f t="shared" si="380"/>
        <v>115</v>
      </c>
      <c r="T2203" s="1786" t="str">
        <f t="shared" si="381"/>
        <v>הבנק הבינלאומי הראשון</v>
      </c>
      <c r="U2203" s="1786" t="str">
        <f t="shared" si="382"/>
        <v>הגומל גמל</v>
      </c>
      <c r="V2203" s="1786">
        <f t="shared" si="383"/>
        <v>0</v>
      </c>
      <c r="W2203" s="1789" t="str">
        <f t="shared" si="384"/>
        <v>גל -ניהול קופות גמל לעובדי הוראה בע"מ</v>
      </c>
      <c r="AC2203" s="1761" t="s">
        <v>1586</v>
      </c>
      <c r="AD2203" s="1762">
        <v>42373.462476851899</v>
      </c>
      <c r="AE2203" s="1762">
        <v>24777</v>
      </c>
      <c r="AF2203" s="1761" t="s">
        <v>1583</v>
      </c>
      <c r="AG2203" s="1761" t="s">
        <v>1583</v>
      </c>
      <c r="AH2203" s="1761" t="s">
        <v>1583</v>
      </c>
      <c r="AI2203" s="1761" t="s">
        <v>2967</v>
      </c>
      <c r="AJ2203" s="1761" t="s">
        <v>359</v>
      </c>
      <c r="AK2203" s="1761">
        <v>115</v>
      </c>
      <c r="AL2203" s="1761" t="s">
        <v>4451</v>
      </c>
      <c r="AM2203" s="1761">
        <v>115</v>
      </c>
      <c r="AN2203" s="1761" t="s">
        <v>5384</v>
      </c>
      <c r="AO2203" s="1764"/>
      <c r="AP2203" s="1761" t="s">
        <v>5516</v>
      </c>
      <c r="AQ2203" s="1761"/>
      <c r="AR2203" s="1761" t="s">
        <v>3225</v>
      </c>
      <c r="AS2203" s="1761" t="s">
        <v>590</v>
      </c>
      <c r="AT2203" s="1761" t="s">
        <v>327</v>
      </c>
      <c r="AU2203" s="1763"/>
      <c r="AV2203" s="1763"/>
    </row>
    <row r="2204" spans="1:48" ht="37.5" hidden="1">
      <c r="A2204" s="1785" t="str">
        <f t="shared" si="374"/>
        <v>גמל</v>
      </c>
      <c r="B2204" s="1786">
        <f t="shared" si="375"/>
        <v>1453</v>
      </c>
      <c r="C2204" s="1787">
        <v>28946</v>
      </c>
      <c r="D2204" s="1786" t="str">
        <f t="shared" si="376"/>
        <v>קופת גמל הגומל מסלול אג"ח ממשלתי ללא מניות</v>
      </c>
      <c r="E2204" s="1786" t="s">
        <v>3929</v>
      </c>
      <c r="F2204" s="1786" t="s">
        <v>2958</v>
      </c>
      <c r="G2204" s="1786" t="s">
        <v>2959</v>
      </c>
      <c r="H2204" s="1786" t="str">
        <f t="shared" si="377"/>
        <v>לא פעיל</v>
      </c>
      <c r="I2204" s="1788">
        <f t="shared" si="378"/>
        <v>24777</v>
      </c>
      <c r="J2204" s="1788">
        <f t="shared" si="379"/>
        <v>42373.462476851899</v>
      </c>
      <c r="K2204" s="1786">
        <v>0</v>
      </c>
      <c r="L2204" s="1786" t="s">
        <v>1594</v>
      </c>
      <c r="M2204" s="1786" t="s">
        <v>1653</v>
      </c>
      <c r="N2204" s="1786" t="s">
        <v>1653</v>
      </c>
      <c r="O2204" s="1786">
        <v>0</v>
      </c>
      <c r="P2204" s="1786"/>
      <c r="Q2204" s="1786">
        <v>0</v>
      </c>
      <c r="R2204" s="1788"/>
      <c r="S2204" s="1786">
        <f t="shared" si="380"/>
        <v>115</v>
      </c>
      <c r="T2204" s="1786" t="str">
        <f t="shared" si="381"/>
        <v>הבנק הבינלאומי הראשון</v>
      </c>
      <c r="U2204" s="1786" t="str">
        <f t="shared" si="382"/>
        <v>הגומל גמל</v>
      </c>
      <c r="V2204" s="1786">
        <f t="shared" si="383"/>
        <v>0</v>
      </c>
      <c r="W2204" s="1789" t="str">
        <f t="shared" si="384"/>
        <v>גל -ניהול קופות גמל לעובדי הוראה בע"מ</v>
      </c>
      <c r="AC2204" s="1759" t="s">
        <v>1586</v>
      </c>
      <c r="AD2204" s="1760">
        <v>42373.462476851899</v>
      </c>
      <c r="AE2204" s="1760">
        <v>24777</v>
      </c>
      <c r="AF2204" s="1759" t="s">
        <v>2009</v>
      </c>
      <c r="AG2204" s="1759" t="s">
        <v>1653</v>
      </c>
      <c r="AH2204" s="1759" t="s">
        <v>1594</v>
      </c>
      <c r="AI2204" s="1759" t="s">
        <v>3640</v>
      </c>
      <c r="AJ2204" s="1759" t="s">
        <v>2476</v>
      </c>
      <c r="AK2204" s="1759">
        <v>1453</v>
      </c>
      <c r="AL2204" s="1759" t="s">
        <v>4451</v>
      </c>
      <c r="AM2204" s="1759">
        <v>115</v>
      </c>
      <c r="AN2204" s="1759" t="s">
        <v>5384</v>
      </c>
      <c r="AO2204" s="1764"/>
      <c r="AP2204" s="1759" t="s">
        <v>5516</v>
      </c>
      <c r="AQ2204" s="1759"/>
      <c r="AR2204" s="1759" t="s">
        <v>3225</v>
      </c>
      <c r="AS2204" s="1759" t="s">
        <v>590</v>
      </c>
      <c r="AT2204" s="1759" t="s">
        <v>327</v>
      </c>
      <c r="AU2204" s="1763"/>
      <c r="AV2204" s="1763"/>
    </row>
    <row r="2205" spans="1:48" ht="37.5" hidden="1">
      <c r="A2205" s="1785" t="str">
        <f t="shared" si="374"/>
        <v>גמל</v>
      </c>
      <c r="B2205" s="1786">
        <f t="shared" si="375"/>
        <v>9926</v>
      </c>
      <c r="C2205" s="1787">
        <v>28946</v>
      </c>
      <c r="D2205" s="1786" t="str">
        <f t="shared" si="376"/>
        <v>קופת גמל הגומל לבני 60 ומעלה</v>
      </c>
      <c r="E2205" s="1786" t="s">
        <v>3929</v>
      </c>
      <c r="F2205" s="1786" t="s">
        <v>2958</v>
      </c>
      <c r="G2205" s="1786" t="s">
        <v>2959</v>
      </c>
      <c r="H2205" s="1786" t="str">
        <f t="shared" si="377"/>
        <v>פעיל</v>
      </c>
      <c r="I2205" s="1788">
        <f t="shared" si="378"/>
        <v>24777</v>
      </c>
      <c r="J2205" s="1788" t="str">
        <f t="shared" si="379"/>
        <v/>
      </c>
      <c r="K2205" s="1786">
        <v>0</v>
      </c>
      <c r="L2205" s="1786" t="s">
        <v>1594</v>
      </c>
      <c r="M2205" s="1786" t="s">
        <v>1653</v>
      </c>
      <c r="N2205" s="1786" t="s">
        <v>1653</v>
      </c>
      <c r="O2205" s="1786">
        <v>0</v>
      </c>
      <c r="P2205" s="1786"/>
      <c r="Q2205" s="1786">
        <v>0</v>
      </c>
      <c r="R2205" s="1788"/>
      <c r="S2205" s="1786">
        <f t="shared" si="380"/>
        <v>115</v>
      </c>
      <c r="T2205" s="1786" t="str">
        <f t="shared" si="381"/>
        <v>הבנק הבינלאומי הראשון</v>
      </c>
      <c r="U2205" s="1786" t="str">
        <f t="shared" si="382"/>
        <v>קופת גמל הגומל</v>
      </c>
      <c r="V2205" s="1786">
        <f t="shared" si="383"/>
        <v>0</v>
      </c>
      <c r="W2205" s="1789" t="str">
        <f t="shared" si="384"/>
        <v>גל -ניהול קופות גמל לעובדי הוראה בע"מ</v>
      </c>
      <c r="AC2205" s="1761" t="s">
        <v>346</v>
      </c>
      <c r="AD2205" s="1761"/>
      <c r="AE2205" s="1762">
        <v>24777</v>
      </c>
      <c r="AF2205" s="1761" t="s">
        <v>3963</v>
      </c>
      <c r="AG2205" s="1761" t="s">
        <v>3931</v>
      </c>
      <c r="AH2205" s="1761" t="s">
        <v>3658</v>
      </c>
      <c r="AI2205" s="1761" t="s">
        <v>5794</v>
      </c>
      <c r="AJ2205" s="1761" t="s">
        <v>5795</v>
      </c>
      <c r="AK2205" s="1761">
        <v>9926</v>
      </c>
      <c r="AL2205" s="1761" t="s">
        <v>5791</v>
      </c>
      <c r="AM2205" s="1761">
        <v>115</v>
      </c>
      <c r="AN2205" s="1761" t="s">
        <v>5384</v>
      </c>
      <c r="AO2205" s="1764"/>
      <c r="AP2205" s="1761" t="s">
        <v>5516</v>
      </c>
      <c r="AQ2205" s="1761"/>
      <c r="AR2205" s="1761" t="s">
        <v>3225</v>
      </c>
      <c r="AS2205" s="1761" t="s">
        <v>590</v>
      </c>
      <c r="AT2205" s="1761" t="s">
        <v>327</v>
      </c>
      <c r="AU2205" s="1763"/>
      <c r="AV2205" s="1763"/>
    </row>
    <row r="2206" spans="1:48" ht="37.5" hidden="1">
      <c r="A2206" s="1785" t="str">
        <f t="shared" si="374"/>
        <v>גמל</v>
      </c>
      <c r="B2206" s="1786">
        <f t="shared" si="375"/>
        <v>114</v>
      </c>
      <c r="C2206" s="1787">
        <v>28946</v>
      </c>
      <c r="D2206" s="1786" t="str">
        <f t="shared" si="376"/>
        <v>אי.בי.אי שחר תגמולים ופיצויים</v>
      </c>
      <c r="E2206" s="1786" t="s">
        <v>3929</v>
      </c>
      <c r="F2206" s="1786" t="s">
        <v>2958</v>
      </c>
      <c r="G2206" s="1786" t="s">
        <v>2959</v>
      </c>
      <c r="H2206" s="1786" t="str">
        <f t="shared" si="377"/>
        <v>לא פעיל</v>
      </c>
      <c r="I2206" s="1788">
        <f t="shared" si="378"/>
        <v>24970</v>
      </c>
      <c r="J2206" s="1788">
        <f t="shared" si="379"/>
        <v>40792.5936574074</v>
      </c>
      <c r="K2206" s="1786">
        <v>0</v>
      </c>
      <c r="L2206" s="1786" t="s">
        <v>1594</v>
      </c>
      <c r="M2206" s="1786" t="s">
        <v>1653</v>
      </c>
      <c r="N2206" s="1786" t="s">
        <v>1653</v>
      </c>
      <c r="O2206" s="1786">
        <v>0</v>
      </c>
      <c r="P2206" s="1786"/>
      <c r="Q2206" s="1786">
        <v>0</v>
      </c>
      <c r="R2206" s="1788"/>
      <c r="S2206" s="1786">
        <f t="shared" si="380"/>
        <v>114</v>
      </c>
      <c r="T2206" s="1786" t="str">
        <f t="shared" si="381"/>
        <v>בנק הפועלים בע"מ</v>
      </c>
      <c r="U2206" s="1786" t="str">
        <f t="shared" si="382"/>
        <v>אי.בי.אי שחר תגמולים ופיצויים</v>
      </c>
      <c r="V2206" s="1786">
        <f t="shared" si="383"/>
        <v>0</v>
      </c>
      <c r="W2206" s="1789" t="str">
        <f t="shared" si="384"/>
        <v xml:space="preserve">אי.בי.אי. חברת ניהול קופות גמל וקרנות השתלמות בע"מ </v>
      </c>
      <c r="AC2206" s="1759" t="s">
        <v>1586</v>
      </c>
      <c r="AD2206" s="1760">
        <v>40792.5936574074</v>
      </c>
      <c r="AE2206" s="1760">
        <v>24970</v>
      </c>
      <c r="AF2206" s="1759" t="s">
        <v>1583</v>
      </c>
      <c r="AG2206" s="1759" t="s">
        <v>1583</v>
      </c>
      <c r="AH2206" s="1759" t="s">
        <v>1583</v>
      </c>
      <c r="AI2206" s="1759" t="s">
        <v>2966</v>
      </c>
      <c r="AJ2206" s="1759" t="s">
        <v>1602</v>
      </c>
      <c r="AK2206" s="1759">
        <v>114</v>
      </c>
      <c r="AL2206" s="1759" t="s">
        <v>1602</v>
      </c>
      <c r="AM2206" s="1759">
        <v>114</v>
      </c>
      <c r="AN2206" s="1759" t="s">
        <v>1695</v>
      </c>
      <c r="AO2206" s="1764"/>
      <c r="AP2206" s="1759"/>
      <c r="AQ2206" s="1759"/>
      <c r="AR2206" s="1759" t="s">
        <v>5395</v>
      </c>
      <c r="AS2206" s="1759" t="s">
        <v>677</v>
      </c>
      <c r="AT2206" s="1759" t="s">
        <v>327</v>
      </c>
      <c r="AU2206" s="1763"/>
      <c r="AV2206" s="1763"/>
    </row>
    <row r="2207" spans="1:48" ht="25" hidden="1">
      <c r="A2207" s="1785" t="str">
        <f t="shared" si="374"/>
        <v>גמל</v>
      </c>
      <c r="B2207" s="1786">
        <f t="shared" si="375"/>
        <v>113</v>
      </c>
      <c r="C2207" s="1787">
        <v>28946</v>
      </c>
      <c r="D2207" s="1786" t="str">
        <f t="shared" si="376"/>
        <v>פסגות קרן אור</v>
      </c>
      <c r="E2207" s="1786" t="s">
        <v>3929</v>
      </c>
      <c r="F2207" s="1786" t="s">
        <v>2958</v>
      </c>
      <c r="G2207" s="1786" t="s">
        <v>2959</v>
      </c>
      <c r="H2207" s="1786" t="str">
        <f t="shared" si="377"/>
        <v>לא פעיל</v>
      </c>
      <c r="I2207" s="1788">
        <f t="shared" si="378"/>
        <v>22370</v>
      </c>
      <c r="J2207" s="1788">
        <f t="shared" si="379"/>
        <v>40917.840960648202</v>
      </c>
      <c r="K2207" s="1786">
        <v>0</v>
      </c>
      <c r="L2207" s="1786" t="s">
        <v>1594</v>
      </c>
      <c r="M2207" s="1786" t="s">
        <v>1653</v>
      </c>
      <c r="N2207" s="1786" t="s">
        <v>1653</v>
      </c>
      <c r="O2207" s="1786">
        <v>0</v>
      </c>
      <c r="P2207" s="1786"/>
      <c r="Q2207" s="1786">
        <v>0</v>
      </c>
      <c r="R2207" s="1788"/>
      <c r="S2207" s="1786">
        <f t="shared" si="380"/>
        <v>113</v>
      </c>
      <c r="T2207" s="1786" t="str">
        <f t="shared" si="381"/>
        <v>בנק הפועלים בע"מ</v>
      </c>
      <c r="U2207" s="1786" t="str">
        <f t="shared" si="382"/>
        <v>פסגות קרן אור</v>
      </c>
      <c r="V2207" s="1786" t="str">
        <f t="shared" si="383"/>
        <v>513767079</v>
      </c>
      <c r="W2207" s="1789" t="str">
        <f t="shared" si="384"/>
        <v>פסגות קופות גמל ופנסיה בע"מ</v>
      </c>
      <c r="AC2207" s="1761" t="s">
        <v>1586</v>
      </c>
      <c r="AD2207" s="1762">
        <v>40917.840960648202</v>
      </c>
      <c r="AE2207" s="1762">
        <v>22370</v>
      </c>
      <c r="AF2207" s="1761" t="s">
        <v>1583</v>
      </c>
      <c r="AG2207" s="1761" t="s">
        <v>1583</v>
      </c>
      <c r="AH2207" s="1761" t="s">
        <v>1583</v>
      </c>
      <c r="AI2207" s="1761" t="s">
        <v>1601</v>
      </c>
      <c r="AJ2207" s="1761" t="s">
        <v>1601</v>
      </c>
      <c r="AK2207" s="1761">
        <v>113</v>
      </c>
      <c r="AL2207" s="1761" t="s">
        <v>1601</v>
      </c>
      <c r="AM2207" s="1761">
        <v>113</v>
      </c>
      <c r="AN2207" s="1761" t="s">
        <v>1695</v>
      </c>
      <c r="AO2207" s="1764"/>
      <c r="AP2207" s="1761" t="s">
        <v>5365</v>
      </c>
      <c r="AQ2207" s="1761" t="s">
        <v>5366</v>
      </c>
      <c r="AR2207" s="1761" t="s">
        <v>351</v>
      </c>
      <c r="AS2207" s="1761" t="s">
        <v>352</v>
      </c>
      <c r="AT2207" s="1761" t="s">
        <v>327</v>
      </c>
      <c r="AU2207" s="1763"/>
      <c r="AV2207" s="1763"/>
    </row>
    <row r="2208" spans="1:48" ht="25" hidden="1">
      <c r="A2208" s="1785" t="str">
        <f t="shared" si="374"/>
        <v>גמל</v>
      </c>
      <c r="B2208" s="1786">
        <f t="shared" si="375"/>
        <v>112</v>
      </c>
      <c r="C2208" s="1787">
        <v>28946</v>
      </c>
      <c r="D2208" s="1786" t="str">
        <f t="shared" si="376"/>
        <v>הראל - רימון</v>
      </c>
      <c r="E2208" s="1786" t="s">
        <v>3929</v>
      </c>
      <c r="F2208" s="1786" t="s">
        <v>2958</v>
      </c>
      <c r="G2208" s="1786" t="s">
        <v>2959</v>
      </c>
      <c r="H2208" s="1786" t="str">
        <f t="shared" si="377"/>
        <v>לא פעיל</v>
      </c>
      <c r="I2208" s="1788">
        <f t="shared" si="378"/>
        <v>22289</v>
      </c>
      <c r="J2208" s="1788">
        <f t="shared" si="379"/>
        <v>39832.495451388902</v>
      </c>
      <c r="K2208" s="1786">
        <v>0</v>
      </c>
      <c r="L2208" s="1786" t="s">
        <v>1594</v>
      </c>
      <c r="M2208" s="1786" t="s">
        <v>1653</v>
      </c>
      <c r="N2208" s="1786" t="s">
        <v>1653</v>
      </c>
      <c r="O2208" s="1786">
        <v>0</v>
      </c>
      <c r="P2208" s="1786"/>
      <c r="Q2208" s="1786">
        <v>0</v>
      </c>
      <c r="R2208" s="1788"/>
      <c r="S2208" s="1786">
        <f t="shared" si="380"/>
        <v>112</v>
      </c>
      <c r="T2208" s="1786" t="str">
        <f t="shared" si="381"/>
        <v>בנק לאומי בע"מ</v>
      </c>
      <c r="U2208" s="1786" t="str">
        <f t="shared" si="382"/>
        <v>הראל - רימון</v>
      </c>
      <c r="V2208" s="1786">
        <f t="shared" si="383"/>
        <v>0</v>
      </c>
      <c r="W2208" s="1789" t="str">
        <f t="shared" si="384"/>
        <v>הראל גמל והשתלמות בע"מ</v>
      </c>
      <c r="AC2208" s="1759" t="s">
        <v>1586</v>
      </c>
      <c r="AD2208" s="1760">
        <v>39832.495451388902</v>
      </c>
      <c r="AE2208" s="1760">
        <v>22289</v>
      </c>
      <c r="AF2208" s="1759" t="s">
        <v>1583</v>
      </c>
      <c r="AG2208" s="1759" t="s">
        <v>1583</v>
      </c>
      <c r="AH2208" s="1759" t="s">
        <v>1583</v>
      </c>
      <c r="AI2208" s="1759" t="s">
        <v>2965</v>
      </c>
      <c r="AJ2208" s="1759" t="s">
        <v>1600</v>
      </c>
      <c r="AK2208" s="1759">
        <v>112</v>
      </c>
      <c r="AL2208" s="1759" t="s">
        <v>1600</v>
      </c>
      <c r="AM2208" s="1759">
        <v>112</v>
      </c>
      <c r="AN2208" s="1759" t="s">
        <v>5470</v>
      </c>
      <c r="AO2208" s="1764"/>
      <c r="AP2208" s="1759"/>
      <c r="AQ2208" s="1759"/>
      <c r="AR2208" s="1759" t="s">
        <v>344</v>
      </c>
      <c r="AS2208" s="1759" t="s">
        <v>345</v>
      </c>
      <c r="AT2208" s="1759" t="s">
        <v>327</v>
      </c>
      <c r="AU2208" s="1763"/>
      <c r="AV2208" s="1763"/>
    </row>
    <row r="2209" spans="1:48" ht="37.5" hidden="1">
      <c r="A2209" s="1785" t="str">
        <f t="shared" si="374"/>
        <v>גמל</v>
      </c>
      <c r="B2209" s="1786">
        <f t="shared" si="375"/>
        <v>110</v>
      </c>
      <c r="C2209" s="1787">
        <v>28946</v>
      </c>
      <c r="D2209" s="1786" t="str">
        <f t="shared" si="376"/>
        <v>כפר ויתקין  - קופת התגמולים - אגודה שיתופית בע"מ תאגיד מס' 1239</v>
      </c>
      <c r="E2209" s="1786" t="s">
        <v>3929</v>
      </c>
      <c r="F2209" s="1786" t="s">
        <v>2958</v>
      </c>
      <c r="G2209" s="1786" t="s">
        <v>2959</v>
      </c>
      <c r="H2209" s="1786" t="str">
        <f t="shared" si="377"/>
        <v>לא פעיל</v>
      </c>
      <c r="I2209" s="1788">
        <f t="shared" si="378"/>
        <v>21227</v>
      </c>
      <c r="J2209" s="1788">
        <f t="shared" si="379"/>
        <v>39076</v>
      </c>
      <c r="K2209" s="1786">
        <v>0</v>
      </c>
      <c r="L2209" s="1786" t="s">
        <v>1594</v>
      </c>
      <c r="M2209" s="1786" t="s">
        <v>1653</v>
      </c>
      <c r="N2209" s="1786" t="s">
        <v>1653</v>
      </c>
      <c r="O2209" s="1786">
        <v>0</v>
      </c>
      <c r="P2209" s="1786"/>
      <c r="Q2209" s="1786">
        <v>0</v>
      </c>
      <c r="R2209" s="1788"/>
      <c r="S2209" s="1786">
        <f t="shared" si="380"/>
        <v>110</v>
      </c>
      <c r="T2209" s="1786" t="str">
        <f t="shared" si="381"/>
        <v>בנק לאומי בע"מ</v>
      </c>
      <c r="U2209" s="1786" t="str">
        <f t="shared" si="382"/>
        <v>כפר ויתקין  - קופת התגמולים - אגודה שיתופית בע"מ תאגיד מס' 1239</v>
      </c>
      <c r="V2209" s="1786">
        <f t="shared" si="383"/>
        <v>0</v>
      </c>
      <c r="W2209" s="1789" t="str">
        <f t="shared" si="384"/>
        <v>כפר ויתקין - אגודה שיתופית בע"מ</v>
      </c>
      <c r="AC2209" s="1761" t="s">
        <v>1586</v>
      </c>
      <c r="AD2209" s="1762">
        <v>39076</v>
      </c>
      <c r="AE2209" s="1762">
        <v>21227</v>
      </c>
      <c r="AF2209" s="1761" t="s">
        <v>1583</v>
      </c>
      <c r="AG2209" s="1761" t="s">
        <v>1583</v>
      </c>
      <c r="AH2209" s="1761" t="s">
        <v>1583</v>
      </c>
      <c r="AI2209" s="1761" t="s">
        <v>2964</v>
      </c>
      <c r="AJ2209" s="1761" t="s">
        <v>1596</v>
      </c>
      <c r="AK2209" s="1761">
        <v>110</v>
      </c>
      <c r="AL2209" s="1761" t="s">
        <v>1596</v>
      </c>
      <c r="AM2209" s="1761">
        <v>110</v>
      </c>
      <c r="AN2209" s="1761" t="s">
        <v>5470</v>
      </c>
      <c r="AO2209" s="1764"/>
      <c r="AP2209" s="1761"/>
      <c r="AQ2209" s="1761"/>
      <c r="AR2209" s="1761" t="s">
        <v>1598</v>
      </c>
      <c r="AS2209" s="1761" t="s">
        <v>1597</v>
      </c>
      <c r="AT2209" s="1761" t="s">
        <v>327</v>
      </c>
      <c r="AU2209" s="1763"/>
      <c r="AV2209" s="1763"/>
    </row>
    <row r="2210" spans="1:48" ht="75" hidden="1">
      <c r="A2210" s="1785" t="str">
        <f t="shared" si="374"/>
        <v>גמל</v>
      </c>
      <c r="B2210" s="1786">
        <f t="shared" si="375"/>
        <v>108</v>
      </c>
      <c r="C2210" s="1787">
        <v>28946</v>
      </c>
      <c r="D2210" s="1786" t="str">
        <f t="shared" si="376"/>
        <v>נדבכים קופות גמל של המהנדסים האדריכלים והאקדמאים במקצועות הטכנולוגים</v>
      </c>
      <c r="E2210" s="1786" t="s">
        <v>3929</v>
      </c>
      <c r="F2210" s="1786" t="s">
        <v>2958</v>
      </c>
      <c r="G2210" s="1786" t="s">
        <v>2959</v>
      </c>
      <c r="H2210" s="1786" t="str">
        <f t="shared" si="377"/>
        <v>לא פעיל</v>
      </c>
      <c r="I2210" s="1788">
        <f t="shared" si="378"/>
        <v>23745</v>
      </c>
      <c r="J2210" s="1788">
        <f t="shared" si="379"/>
        <v>38785.575243055602</v>
      </c>
      <c r="K2210" s="1786">
        <v>0</v>
      </c>
      <c r="L2210" s="1786" t="s">
        <v>1594</v>
      </c>
      <c r="M2210" s="1786" t="s">
        <v>1653</v>
      </c>
      <c r="N2210" s="1786" t="s">
        <v>1653</v>
      </c>
      <c r="O2210" s="1786">
        <v>0</v>
      </c>
      <c r="P2210" s="1786"/>
      <c r="Q2210" s="1786">
        <v>0</v>
      </c>
      <c r="R2210" s="1788"/>
      <c r="S2210" s="1786">
        <f t="shared" si="380"/>
        <v>108</v>
      </c>
      <c r="T2210" s="1786" t="str">
        <f t="shared" si="381"/>
        <v>בנק לאומי בע"מ</v>
      </c>
      <c r="U2210" s="1786" t="str">
        <f t="shared" si="382"/>
        <v>נדבכים קופות גמל של המהנדסים האדריכלים והאקדמאים במקצועות הטכנולוגים</v>
      </c>
      <c r="V2210" s="1786">
        <f t="shared" si="383"/>
        <v>0</v>
      </c>
      <c r="W2210" s="1789" t="str">
        <f t="shared" si="384"/>
        <v>נדבכים קופות גמל של המהנדסים האדריכלים והאקדמאיים במקצועות הטכנולוגיים</v>
      </c>
      <c r="AC2210" s="1759" t="s">
        <v>1586</v>
      </c>
      <c r="AD2210" s="1760">
        <v>38785.575243055602</v>
      </c>
      <c r="AE2210" s="1760">
        <v>23745</v>
      </c>
      <c r="AF2210" s="1759" t="s">
        <v>1583</v>
      </c>
      <c r="AG2210" s="1759" t="s">
        <v>1583</v>
      </c>
      <c r="AH2210" s="1759" t="s">
        <v>1583</v>
      </c>
      <c r="AI2210" s="1759" t="s">
        <v>2961</v>
      </c>
      <c r="AJ2210" s="1759" t="s">
        <v>1590</v>
      </c>
      <c r="AK2210" s="1759">
        <v>108</v>
      </c>
      <c r="AL2210" s="1759" t="s">
        <v>1590</v>
      </c>
      <c r="AM2210" s="1759">
        <v>108</v>
      </c>
      <c r="AN2210" s="1759" t="s">
        <v>5470</v>
      </c>
      <c r="AO2210" s="1764"/>
      <c r="AP2210" s="1759"/>
      <c r="AQ2210" s="1759"/>
      <c r="AR2210" s="1759" t="s">
        <v>1592</v>
      </c>
      <c r="AS2210" s="1759" t="s">
        <v>1591</v>
      </c>
      <c r="AT2210" s="1759" t="s">
        <v>327</v>
      </c>
      <c r="AU2210" s="1763"/>
      <c r="AV2210" s="1763"/>
    </row>
    <row r="2211" spans="1:48" ht="25" hidden="1">
      <c r="A2211" s="1785" t="str">
        <f t="shared" si="374"/>
        <v>גמל</v>
      </c>
      <c r="B2211" s="1786">
        <f t="shared" si="375"/>
        <v>594</v>
      </c>
      <c r="C2211" s="1787">
        <v>28946</v>
      </c>
      <c r="D2211" s="1786" t="str">
        <f t="shared" si="376"/>
        <v>תגב - מדדי טווח בינוני</v>
      </c>
      <c r="E2211" s="1786" t="s">
        <v>3929</v>
      </c>
      <c r="F2211" s="1786" t="s">
        <v>2958</v>
      </c>
      <c r="G2211" s="1786" t="s">
        <v>2959</v>
      </c>
      <c r="H2211" s="1786" t="str">
        <f t="shared" si="377"/>
        <v>לא פעיל</v>
      </c>
      <c r="I2211" s="1788">
        <f t="shared" si="378"/>
        <v>21186</v>
      </c>
      <c r="J2211" s="1788">
        <f t="shared" si="379"/>
        <v>41645.471145833297</v>
      </c>
      <c r="K2211" s="1786">
        <v>0</v>
      </c>
      <c r="L2211" s="1786" t="s">
        <v>1594</v>
      </c>
      <c r="M2211" s="1786" t="s">
        <v>1653</v>
      </c>
      <c r="N2211" s="1786" t="s">
        <v>1653</v>
      </c>
      <c r="O2211" s="1786">
        <v>0</v>
      </c>
      <c r="P2211" s="1786"/>
      <c r="Q2211" s="1786">
        <v>0</v>
      </c>
      <c r="R2211" s="1788"/>
      <c r="S2211" s="1786">
        <f t="shared" si="380"/>
        <v>107</v>
      </c>
      <c r="T2211" s="1786" t="str">
        <f t="shared" si="381"/>
        <v>לאומי</v>
      </c>
      <c r="U2211" s="1786" t="str">
        <f t="shared" si="382"/>
        <v>תגב - כללי</v>
      </c>
      <c r="V2211" s="1786" t="str">
        <f t="shared" si="383"/>
        <v>513163105</v>
      </c>
      <c r="W2211" s="1789" t="str">
        <f t="shared" si="384"/>
        <v>הלמן - אלדובי קופות גמל ופנסיה בע"מ</v>
      </c>
      <c r="AC2211" s="1761" t="s">
        <v>1586</v>
      </c>
      <c r="AD2211" s="1762">
        <v>41645.471145833297</v>
      </c>
      <c r="AE2211" s="1762">
        <v>21186</v>
      </c>
      <c r="AF2211" s="1761" t="s">
        <v>1094</v>
      </c>
      <c r="AG2211" s="1761" t="s">
        <v>1094</v>
      </c>
      <c r="AH2211" s="1761" t="s">
        <v>1594</v>
      </c>
      <c r="AI2211" s="1761" t="s">
        <v>1908</v>
      </c>
      <c r="AJ2211" s="1761" t="s">
        <v>1908</v>
      </c>
      <c r="AK2211" s="1761">
        <v>594</v>
      </c>
      <c r="AL2211" s="1761" t="s">
        <v>356</v>
      </c>
      <c r="AM2211" s="1761">
        <v>107</v>
      </c>
      <c r="AN2211" s="1761" t="s">
        <v>5305</v>
      </c>
      <c r="AO2211" s="1764"/>
      <c r="AP2211" s="1761" t="s">
        <v>5371</v>
      </c>
      <c r="AQ2211" s="1761" t="s">
        <v>5372</v>
      </c>
      <c r="AR2211" s="1761" t="s">
        <v>354</v>
      </c>
      <c r="AS2211" s="1761" t="s">
        <v>355</v>
      </c>
      <c r="AT2211" s="1761" t="s">
        <v>327</v>
      </c>
      <c r="AU2211" s="1763"/>
      <c r="AV2211" s="1763"/>
    </row>
    <row r="2212" spans="1:48" ht="25" hidden="1">
      <c r="A2212" s="1785" t="str">
        <f t="shared" si="374"/>
        <v>גמל</v>
      </c>
      <c r="B2212" s="1786">
        <f t="shared" si="375"/>
        <v>595</v>
      </c>
      <c r="C2212" s="1787">
        <v>28946</v>
      </c>
      <c r="D2212" s="1786" t="str">
        <f t="shared" si="376"/>
        <v>תגב - מנייתי</v>
      </c>
      <c r="E2212" s="1786" t="s">
        <v>3929</v>
      </c>
      <c r="F2212" s="1786" t="s">
        <v>2958</v>
      </c>
      <c r="G2212" s="1786" t="s">
        <v>2959</v>
      </c>
      <c r="H2212" s="1786" t="str">
        <f t="shared" si="377"/>
        <v>לא פעיל</v>
      </c>
      <c r="I2212" s="1788">
        <f t="shared" si="378"/>
        <v>21186</v>
      </c>
      <c r="J2212" s="1788">
        <f t="shared" si="379"/>
        <v>41645.471145833297</v>
      </c>
      <c r="K2212" s="1786">
        <v>0</v>
      </c>
      <c r="L2212" s="1786" t="s">
        <v>1594</v>
      </c>
      <c r="M2212" s="1786" t="s">
        <v>1653</v>
      </c>
      <c r="N2212" s="1786" t="s">
        <v>1653</v>
      </c>
      <c r="O2212" s="1786">
        <v>0</v>
      </c>
      <c r="P2212" s="1786"/>
      <c r="Q2212" s="1786">
        <v>0</v>
      </c>
      <c r="R2212" s="1788"/>
      <c r="S2212" s="1786">
        <f t="shared" si="380"/>
        <v>107</v>
      </c>
      <c r="T2212" s="1786" t="str">
        <f t="shared" si="381"/>
        <v>לאומי</v>
      </c>
      <c r="U2212" s="1786" t="str">
        <f t="shared" si="382"/>
        <v>תגב - כללי</v>
      </c>
      <c r="V2212" s="1786" t="str">
        <f t="shared" si="383"/>
        <v>513163105</v>
      </c>
      <c r="W2212" s="1789" t="str">
        <f t="shared" si="384"/>
        <v>הלמן - אלדובי קופות גמל ופנסיה בע"מ</v>
      </c>
      <c r="AC2212" s="1759" t="s">
        <v>1586</v>
      </c>
      <c r="AD2212" s="1760">
        <v>41645.471145833297</v>
      </c>
      <c r="AE2212" s="1760">
        <v>21186</v>
      </c>
      <c r="AF2212" s="1759" t="s">
        <v>1595</v>
      </c>
      <c r="AG2212" s="1759" t="s">
        <v>75</v>
      </c>
      <c r="AH2212" s="1759" t="s">
        <v>1594</v>
      </c>
      <c r="AI2212" s="1759" t="s">
        <v>1909</v>
      </c>
      <c r="AJ2212" s="1759" t="s">
        <v>1909</v>
      </c>
      <c r="AK2212" s="1759">
        <v>595</v>
      </c>
      <c r="AL2212" s="1759" t="s">
        <v>356</v>
      </c>
      <c r="AM2212" s="1759">
        <v>107</v>
      </c>
      <c r="AN2212" s="1759" t="s">
        <v>5305</v>
      </c>
      <c r="AO2212" s="1764"/>
      <c r="AP2212" s="1759" t="s">
        <v>5371</v>
      </c>
      <c r="AQ2212" s="1759" t="s">
        <v>5372</v>
      </c>
      <c r="AR2212" s="1759" t="s">
        <v>354</v>
      </c>
      <c r="AS2212" s="1759" t="s">
        <v>355</v>
      </c>
      <c r="AT2212" s="1759" t="s">
        <v>327</v>
      </c>
      <c r="AU2212" s="1763"/>
      <c r="AV2212" s="1763"/>
    </row>
    <row r="2213" spans="1:48" ht="37.5" hidden="1">
      <c r="A2213" s="1785" t="str">
        <f t="shared" si="374"/>
        <v>גמל</v>
      </c>
      <c r="B2213" s="1786">
        <f t="shared" si="375"/>
        <v>596</v>
      </c>
      <c r="C2213" s="1787">
        <v>28946</v>
      </c>
      <c r="D2213" s="1786" t="str">
        <f t="shared" si="376"/>
        <v>הלמן-אלדובי תגמולים במושבים לשעבר- מסלול מדדי טווח ארוך</v>
      </c>
      <c r="E2213" s="1786" t="s">
        <v>3929</v>
      </c>
      <c r="F2213" s="1786" t="s">
        <v>2958</v>
      </c>
      <c r="G2213" s="1786" t="s">
        <v>2959</v>
      </c>
      <c r="H2213" s="1786" t="str">
        <f t="shared" si="377"/>
        <v>לא פעיל</v>
      </c>
      <c r="I2213" s="1788">
        <f t="shared" si="378"/>
        <v>21186</v>
      </c>
      <c r="J2213" s="1788">
        <f t="shared" si="379"/>
        <v>39867.487997685203</v>
      </c>
      <c r="K2213" s="1786">
        <v>0</v>
      </c>
      <c r="L2213" s="1786" t="s">
        <v>1594</v>
      </c>
      <c r="M2213" s="1786" t="s">
        <v>1653</v>
      </c>
      <c r="N2213" s="1786" t="s">
        <v>1653</v>
      </c>
      <c r="O2213" s="1786">
        <v>0</v>
      </c>
      <c r="P2213" s="1786"/>
      <c r="Q2213" s="1786">
        <v>0</v>
      </c>
      <c r="R2213" s="1788"/>
      <c r="S2213" s="1786">
        <f t="shared" si="380"/>
        <v>107</v>
      </c>
      <c r="T2213" s="1786" t="str">
        <f t="shared" si="381"/>
        <v>הבנק הבינלאומי הראשון</v>
      </c>
      <c r="U2213" s="1786" t="str">
        <f t="shared" si="382"/>
        <v>הלמן-אלדובי תגמולים במושבים לשעבר- מסלול כללי</v>
      </c>
      <c r="V2213" s="1786" t="str">
        <f t="shared" si="383"/>
        <v>513163105</v>
      </c>
      <c r="W2213" s="1789" t="str">
        <f t="shared" si="384"/>
        <v>הלמן - אלדובי קופות גמל ופנסיה בע"מ</v>
      </c>
      <c r="AC2213" s="1761" t="s">
        <v>1586</v>
      </c>
      <c r="AD2213" s="1762">
        <v>39867.487997685203</v>
      </c>
      <c r="AE2213" s="1762">
        <v>21186</v>
      </c>
      <c r="AF2213" s="1761" t="s">
        <v>1871</v>
      </c>
      <c r="AG2213" s="1761" t="s">
        <v>1094</v>
      </c>
      <c r="AH2213" s="1761" t="s">
        <v>1594</v>
      </c>
      <c r="AI2213" s="1761" t="s">
        <v>3208</v>
      </c>
      <c r="AJ2213" s="1761" t="s">
        <v>1910</v>
      </c>
      <c r="AK2213" s="1761">
        <v>596</v>
      </c>
      <c r="AL2213" s="1761" t="s">
        <v>3209</v>
      </c>
      <c r="AM2213" s="1761">
        <v>107</v>
      </c>
      <c r="AN2213" s="1761" t="s">
        <v>5384</v>
      </c>
      <c r="AO2213" s="1764"/>
      <c r="AP2213" s="1761" t="s">
        <v>5371</v>
      </c>
      <c r="AQ2213" s="1761" t="s">
        <v>5372</v>
      </c>
      <c r="AR2213" s="1761" t="s">
        <v>354</v>
      </c>
      <c r="AS2213" s="1761" t="s">
        <v>355</v>
      </c>
      <c r="AT2213" s="1761" t="s">
        <v>327</v>
      </c>
      <c r="AU2213" s="1763"/>
      <c r="AV2213" s="1763"/>
    </row>
    <row r="2214" spans="1:48" ht="37.5" hidden="1">
      <c r="A2214" s="1785" t="str">
        <f t="shared" si="374"/>
        <v>גמל</v>
      </c>
      <c r="B2214" s="1786">
        <f t="shared" si="375"/>
        <v>597</v>
      </c>
      <c r="C2214" s="1787">
        <v>28946</v>
      </c>
      <c r="D2214" s="1786" t="str">
        <f t="shared" si="376"/>
        <v>תגמולים במושבים - מסלול מדדי</v>
      </c>
      <c r="E2214" s="1786" t="s">
        <v>3929</v>
      </c>
      <c r="F2214" s="1786" t="s">
        <v>2958</v>
      </c>
      <c r="G2214" s="1786" t="s">
        <v>2959</v>
      </c>
      <c r="H2214" s="1786" t="str">
        <f t="shared" si="377"/>
        <v>לא פעיל</v>
      </c>
      <c r="I2214" s="1788">
        <f t="shared" si="378"/>
        <v>21186</v>
      </c>
      <c r="J2214" s="1788">
        <f t="shared" si="379"/>
        <v>39083</v>
      </c>
      <c r="K2214" s="1786">
        <v>0</v>
      </c>
      <c r="L2214" s="1786" t="s">
        <v>1594</v>
      </c>
      <c r="M2214" s="1786" t="s">
        <v>1653</v>
      </c>
      <c r="N2214" s="1786" t="s">
        <v>1653</v>
      </c>
      <c r="O2214" s="1786">
        <v>0</v>
      </c>
      <c r="P2214" s="1786"/>
      <c r="Q2214" s="1786">
        <v>0</v>
      </c>
      <c r="R2214" s="1788"/>
      <c r="S2214" s="1786">
        <f t="shared" si="380"/>
        <v>107</v>
      </c>
      <c r="T2214" s="1786" t="str">
        <f t="shared" si="381"/>
        <v>ד.ס.ש ייעוץ ושירותים בע"מ</v>
      </c>
      <c r="U2214" s="1786" t="str">
        <f t="shared" si="382"/>
        <v>הלמן-אלדובי תגמולים במושבים לשעבר- מסלול כללי</v>
      </c>
      <c r="V2214" s="1786">
        <f t="shared" si="383"/>
        <v>0</v>
      </c>
      <c r="W2214" s="1789" t="str">
        <f t="shared" si="384"/>
        <v>תגמולים במושבים בע"מ</v>
      </c>
      <c r="AC2214" s="1759" t="s">
        <v>1586</v>
      </c>
      <c r="AD2214" s="1760">
        <v>39083</v>
      </c>
      <c r="AE2214" s="1760">
        <v>21186</v>
      </c>
      <c r="AF2214" s="1759" t="s">
        <v>1094</v>
      </c>
      <c r="AG2214" s="1759" t="s">
        <v>1094</v>
      </c>
      <c r="AH2214" s="1759" t="s">
        <v>1594</v>
      </c>
      <c r="AI2214" s="1759" t="s">
        <v>3210</v>
      </c>
      <c r="AJ2214" s="1759" t="s">
        <v>1911</v>
      </c>
      <c r="AK2214" s="1759">
        <v>597</v>
      </c>
      <c r="AL2214" s="1759" t="s">
        <v>3209</v>
      </c>
      <c r="AM2214" s="1759">
        <v>107</v>
      </c>
      <c r="AN2214" s="1759" t="s">
        <v>5393</v>
      </c>
      <c r="AO2214" s="1764"/>
      <c r="AP2214" s="1759"/>
      <c r="AQ2214" s="1759"/>
      <c r="AR2214" s="1759" t="s">
        <v>3212</v>
      </c>
      <c r="AS2214" s="1759" t="s">
        <v>3211</v>
      </c>
      <c r="AT2214" s="1759" t="s">
        <v>327</v>
      </c>
      <c r="AU2214" s="1763"/>
      <c r="AV2214" s="1763"/>
    </row>
    <row r="2215" spans="1:48" ht="37.5" hidden="1">
      <c r="A2215" s="1785" t="str">
        <f t="shared" si="374"/>
        <v>גמל</v>
      </c>
      <c r="B2215" s="1786">
        <f t="shared" si="375"/>
        <v>713</v>
      </c>
      <c r="C2215" s="1787">
        <v>28946</v>
      </c>
      <c r="D2215" s="1786" t="str">
        <f t="shared" si="376"/>
        <v>תגמולים במושבים - מסלול מט"ח יורו</v>
      </c>
      <c r="E2215" s="1786" t="s">
        <v>3929</v>
      </c>
      <c r="F2215" s="1786" t="s">
        <v>2958</v>
      </c>
      <c r="G2215" s="1786" t="s">
        <v>2959</v>
      </c>
      <c r="H2215" s="1786" t="str">
        <f t="shared" si="377"/>
        <v>לא פעיל</v>
      </c>
      <c r="I2215" s="1788">
        <f t="shared" si="378"/>
        <v>21186</v>
      </c>
      <c r="J2215" s="1788">
        <f t="shared" si="379"/>
        <v>39083</v>
      </c>
      <c r="K2215" s="1786">
        <v>0</v>
      </c>
      <c r="L2215" s="1786" t="s">
        <v>1594</v>
      </c>
      <c r="M2215" s="1786" t="s">
        <v>1653</v>
      </c>
      <c r="N2215" s="1786" t="s">
        <v>1653</v>
      </c>
      <c r="O2215" s="1786">
        <v>0</v>
      </c>
      <c r="P2215" s="1786"/>
      <c r="Q2215" s="1786">
        <v>0</v>
      </c>
      <c r="R2215" s="1788"/>
      <c r="S2215" s="1786">
        <f t="shared" si="380"/>
        <v>107</v>
      </c>
      <c r="T2215" s="1786" t="str">
        <f t="shared" si="381"/>
        <v>ד.ס.ש ייעוץ ושירותים בע"מ</v>
      </c>
      <c r="U2215" s="1786" t="str">
        <f t="shared" si="382"/>
        <v>הלמן-אלדובי תגמולים במושבים לשעבר- מסלול כללי</v>
      </c>
      <c r="V2215" s="1786">
        <f t="shared" si="383"/>
        <v>0</v>
      </c>
      <c r="W2215" s="1789" t="str">
        <f t="shared" si="384"/>
        <v>תגמולים במושבים בע"מ</v>
      </c>
      <c r="AC2215" s="1761" t="s">
        <v>1586</v>
      </c>
      <c r="AD2215" s="1762">
        <v>39083</v>
      </c>
      <c r="AE2215" s="1762">
        <v>21186</v>
      </c>
      <c r="AF2215" s="1761" t="s">
        <v>3268</v>
      </c>
      <c r="AG2215" s="1761" t="s">
        <v>1611</v>
      </c>
      <c r="AH2215" s="1761" t="s">
        <v>1594</v>
      </c>
      <c r="AI2215" s="1761" t="s">
        <v>3267</v>
      </c>
      <c r="AJ2215" s="1761" t="s">
        <v>1996</v>
      </c>
      <c r="AK2215" s="1761">
        <v>713</v>
      </c>
      <c r="AL2215" s="1761" t="s">
        <v>3209</v>
      </c>
      <c r="AM2215" s="1761">
        <v>107</v>
      </c>
      <c r="AN2215" s="1761" t="s">
        <v>5393</v>
      </c>
      <c r="AO2215" s="1764"/>
      <c r="AP2215" s="1761"/>
      <c r="AQ2215" s="1761"/>
      <c r="AR2215" s="1761" t="s">
        <v>3212</v>
      </c>
      <c r="AS2215" s="1761" t="s">
        <v>3211</v>
      </c>
      <c r="AT2215" s="1761" t="s">
        <v>327</v>
      </c>
      <c r="AU2215" s="1763"/>
      <c r="AV2215" s="1763"/>
    </row>
    <row r="2216" spans="1:48" ht="25" hidden="1">
      <c r="A2216" s="1785" t="str">
        <f t="shared" si="374"/>
        <v>גמל</v>
      </c>
      <c r="B2216" s="1786">
        <f t="shared" si="375"/>
        <v>710</v>
      </c>
      <c r="C2216" s="1787">
        <v>28946</v>
      </c>
      <c r="D2216" s="1786" t="str">
        <f t="shared" si="376"/>
        <v>תגב - שקלי קצר</v>
      </c>
      <c r="E2216" s="1786" t="s">
        <v>3929</v>
      </c>
      <c r="F2216" s="1786" t="s">
        <v>2958</v>
      </c>
      <c r="G2216" s="1786" t="s">
        <v>2959</v>
      </c>
      <c r="H2216" s="1786" t="str">
        <f t="shared" si="377"/>
        <v>לא פעיל</v>
      </c>
      <c r="I2216" s="1788">
        <f t="shared" si="378"/>
        <v>21186</v>
      </c>
      <c r="J2216" s="1788">
        <f t="shared" si="379"/>
        <v>41645.471145833297</v>
      </c>
      <c r="K2216" s="1786">
        <v>0</v>
      </c>
      <c r="L2216" s="1786" t="s">
        <v>1594</v>
      </c>
      <c r="M2216" s="1786" t="s">
        <v>1653</v>
      </c>
      <c r="N2216" s="1786" t="s">
        <v>1653</v>
      </c>
      <c r="O2216" s="1786">
        <v>0</v>
      </c>
      <c r="P2216" s="1786"/>
      <c r="Q2216" s="1786">
        <v>0</v>
      </c>
      <c r="R2216" s="1788"/>
      <c r="S2216" s="1786">
        <f t="shared" si="380"/>
        <v>107</v>
      </c>
      <c r="T2216" s="1786" t="str">
        <f t="shared" si="381"/>
        <v>לאומי</v>
      </c>
      <c r="U2216" s="1786" t="str">
        <f t="shared" si="382"/>
        <v>תגב - כללי</v>
      </c>
      <c r="V2216" s="1786" t="str">
        <f t="shared" si="383"/>
        <v>513163105</v>
      </c>
      <c r="W2216" s="1789" t="str">
        <f t="shared" si="384"/>
        <v>הלמן - אלדובי קופות גמל ופנסיה בע"מ</v>
      </c>
      <c r="AC2216" s="1759" t="s">
        <v>1586</v>
      </c>
      <c r="AD2216" s="1760">
        <v>41645.471145833297</v>
      </c>
      <c r="AE2216" s="1760">
        <v>21186</v>
      </c>
      <c r="AF2216" s="1759" t="s">
        <v>1076</v>
      </c>
      <c r="AG2216" s="1759" t="s">
        <v>1614</v>
      </c>
      <c r="AH2216" s="1759" t="s">
        <v>1594</v>
      </c>
      <c r="AI2216" s="1759" t="s">
        <v>1993</v>
      </c>
      <c r="AJ2216" s="1759" t="s">
        <v>1993</v>
      </c>
      <c r="AK2216" s="1759">
        <v>710</v>
      </c>
      <c r="AL2216" s="1759" t="s">
        <v>356</v>
      </c>
      <c r="AM2216" s="1759">
        <v>107</v>
      </c>
      <c r="AN2216" s="1759" t="s">
        <v>5305</v>
      </c>
      <c r="AO2216" s="1764"/>
      <c r="AP2216" s="1759" t="s">
        <v>5371</v>
      </c>
      <c r="AQ2216" s="1759" t="s">
        <v>5372</v>
      </c>
      <c r="AR2216" s="1759" t="s">
        <v>354</v>
      </c>
      <c r="AS2216" s="1759" t="s">
        <v>355</v>
      </c>
      <c r="AT2216" s="1759" t="s">
        <v>327</v>
      </c>
      <c r="AU2216" s="1763"/>
      <c r="AV2216" s="1763"/>
    </row>
    <row r="2217" spans="1:48" ht="37.5" hidden="1">
      <c r="A2217" s="1785" t="str">
        <f t="shared" si="374"/>
        <v>גמל</v>
      </c>
      <c r="B2217" s="1786">
        <f t="shared" si="375"/>
        <v>711</v>
      </c>
      <c r="C2217" s="1787">
        <v>28946</v>
      </c>
      <c r="D2217" s="1786" t="str">
        <f t="shared" si="376"/>
        <v>תגמולים במושבים - מסלול אג"ח שקלי שחר</v>
      </c>
      <c r="E2217" s="1786" t="s">
        <v>3929</v>
      </c>
      <c r="F2217" s="1786" t="s">
        <v>2958</v>
      </c>
      <c r="G2217" s="1786" t="s">
        <v>2959</v>
      </c>
      <c r="H2217" s="1786" t="str">
        <f t="shared" si="377"/>
        <v>לא פעיל</v>
      </c>
      <c r="I2217" s="1788">
        <f t="shared" si="378"/>
        <v>21186</v>
      </c>
      <c r="J2217" s="1788">
        <f t="shared" si="379"/>
        <v>39590.617106481499</v>
      </c>
      <c r="K2217" s="1786">
        <v>0</v>
      </c>
      <c r="L2217" s="1786" t="s">
        <v>1594</v>
      </c>
      <c r="M2217" s="1786" t="s">
        <v>1653</v>
      </c>
      <c r="N2217" s="1786" t="s">
        <v>1653</v>
      </c>
      <c r="O2217" s="1786">
        <v>0</v>
      </c>
      <c r="P2217" s="1786"/>
      <c r="Q2217" s="1786">
        <v>0</v>
      </c>
      <c r="R2217" s="1788"/>
      <c r="S2217" s="1786">
        <f t="shared" si="380"/>
        <v>107</v>
      </c>
      <c r="T2217" s="1786" t="str">
        <f t="shared" si="381"/>
        <v>ד.ס.ש ייעוץ ושירותים בע"מ</v>
      </c>
      <c r="U2217" s="1786" t="str">
        <f t="shared" si="382"/>
        <v>הלמן-אלדובי תגמולים במושבים לשעבר- מסלול כללי</v>
      </c>
      <c r="V2217" s="1786" t="str">
        <f t="shared" si="383"/>
        <v>513163105</v>
      </c>
      <c r="W2217" s="1789" t="str">
        <f t="shared" si="384"/>
        <v>הלמן - אלדובי קופות גמל ופנסיה בע"מ</v>
      </c>
      <c r="AC2217" s="1761" t="s">
        <v>1586</v>
      </c>
      <c r="AD2217" s="1762">
        <v>39590.617106481499</v>
      </c>
      <c r="AE2217" s="1762">
        <v>21186</v>
      </c>
      <c r="AF2217" s="1761" t="s">
        <v>1076</v>
      </c>
      <c r="AG2217" s="1761" t="s">
        <v>1614</v>
      </c>
      <c r="AH2217" s="1761" t="s">
        <v>1594</v>
      </c>
      <c r="AI2217" s="1761" t="s">
        <v>3265</v>
      </c>
      <c r="AJ2217" s="1761" t="s">
        <v>1994</v>
      </c>
      <c r="AK2217" s="1761">
        <v>711</v>
      </c>
      <c r="AL2217" s="1761" t="s">
        <v>3209</v>
      </c>
      <c r="AM2217" s="1761">
        <v>107</v>
      </c>
      <c r="AN2217" s="1761" t="s">
        <v>5393</v>
      </c>
      <c r="AO2217" s="1764"/>
      <c r="AP2217" s="1761" t="s">
        <v>5371</v>
      </c>
      <c r="AQ2217" s="1761" t="s">
        <v>5372</v>
      </c>
      <c r="AR2217" s="1761" t="s">
        <v>354</v>
      </c>
      <c r="AS2217" s="1761" t="s">
        <v>355</v>
      </c>
      <c r="AT2217" s="1761" t="s">
        <v>327</v>
      </c>
      <c r="AU2217" s="1763"/>
      <c r="AV2217" s="1763"/>
    </row>
    <row r="2218" spans="1:48" ht="37.5" hidden="1">
      <c r="A2218" s="1785" t="str">
        <f t="shared" si="374"/>
        <v>גמל</v>
      </c>
      <c r="B2218" s="1786">
        <f t="shared" si="375"/>
        <v>712</v>
      </c>
      <c r="C2218" s="1787">
        <v>28946</v>
      </c>
      <c r="D2218" s="1786" t="str">
        <f t="shared" si="376"/>
        <v>תגמולים במושבים - מסלול מדדי אג"ח גליל</v>
      </c>
      <c r="E2218" s="1786" t="s">
        <v>3929</v>
      </c>
      <c r="F2218" s="1786" t="s">
        <v>2958</v>
      </c>
      <c r="G2218" s="1786" t="s">
        <v>2959</v>
      </c>
      <c r="H2218" s="1786" t="str">
        <f t="shared" si="377"/>
        <v>לא פעיל</v>
      </c>
      <c r="I2218" s="1788">
        <f t="shared" si="378"/>
        <v>21186</v>
      </c>
      <c r="J2218" s="1788">
        <f t="shared" si="379"/>
        <v>39083</v>
      </c>
      <c r="K2218" s="1786">
        <v>0</v>
      </c>
      <c r="L2218" s="1786" t="s">
        <v>1594</v>
      </c>
      <c r="M2218" s="1786" t="s">
        <v>1653</v>
      </c>
      <c r="N2218" s="1786" t="s">
        <v>1653</v>
      </c>
      <c r="O2218" s="1786">
        <v>0</v>
      </c>
      <c r="P2218" s="1786"/>
      <c r="Q2218" s="1786">
        <v>0</v>
      </c>
      <c r="R2218" s="1788"/>
      <c r="S2218" s="1786">
        <f t="shared" si="380"/>
        <v>107</v>
      </c>
      <c r="T2218" s="1786" t="str">
        <f t="shared" si="381"/>
        <v>ד.ס.ש ייעוץ ושירותים בע"מ</v>
      </c>
      <c r="U2218" s="1786" t="str">
        <f t="shared" si="382"/>
        <v>הלמן-אלדובי תגמולים במושבים לשעבר- מסלול כללי</v>
      </c>
      <c r="V2218" s="1786">
        <f t="shared" si="383"/>
        <v>0</v>
      </c>
      <c r="W2218" s="1789" t="str">
        <f t="shared" si="384"/>
        <v>תגמולים במושבים בע"מ</v>
      </c>
      <c r="AC2218" s="1759" t="s">
        <v>1586</v>
      </c>
      <c r="AD2218" s="1760">
        <v>39083</v>
      </c>
      <c r="AE2218" s="1760">
        <v>21186</v>
      </c>
      <c r="AF2218" s="1759" t="s">
        <v>1094</v>
      </c>
      <c r="AG2218" s="1759" t="s">
        <v>1094</v>
      </c>
      <c r="AH2218" s="1759" t="s">
        <v>1594</v>
      </c>
      <c r="AI2218" s="1759" t="s">
        <v>3266</v>
      </c>
      <c r="AJ2218" s="1759" t="s">
        <v>1995</v>
      </c>
      <c r="AK2218" s="1759">
        <v>712</v>
      </c>
      <c r="AL2218" s="1759" t="s">
        <v>3209</v>
      </c>
      <c r="AM2218" s="1759">
        <v>107</v>
      </c>
      <c r="AN2218" s="1759" t="s">
        <v>5393</v>
      </c>
      <c r="AO2218" s="1764"/>
      <c r="AP2218" s="1759"/>
      <c r="AQ2218" s="1759"/>
      <c r="AR2218" s="1759" t="s">
        <v>3212</v>
      </c>
      <c r="AS2218" s="1759" t="s">
        <v>3211</v>
      </c>
      <c r="AT2218" s="1759" t="s">
        <v>327</v>
      </c>
      <c r="AU2218" s="1763"/>
      <c r="AV2218" s="1763"/>
    </row>
    <row r="2219" spans="1:48" ht="25" hidden="1">
      <c r="A2219" s="1785" t="str">
        <f t="shared" si="374"/>
        <v>גמל</v>
      </c>
      <c r="B2219" s="1786">
        <f t="shared" si="375"/>
        <v>598</v>
      </c>
      <c r="C2219" s="1787">
        <v>28946</v>
      </c>
      <c r="D2219" s="1786" t="str">
        <f t="shared" si="376"/>
        <v>תגב - מט"ח דולרי</v>
      </c>
      <c r="E2219" s="1786" t="s">
        <v>3929</v>
      </c>
      <c r="F2219" s="1786" t="s">
        <v>2958</v>
      </c>
      <c r="G2219" s="1786" t="s">
        <v>2959</v>
      </c>
      <c r="H2219" s="1786" t="str">
        <f t="shared" si="377"/>
        <v>לא פעיל</v>
      </c>
      <c r="I2219" s="1788">
        <f t="shared" si="378"/>
        <v>21186</v>
      </c>
      <c r="J2219" s="1788">
        <f t="shared" si="379"/>
        <v>41589.6258564815</v>
      </c>
      <c r="K2219" s="1786">
        <v>0</v>
      </c>
      <c r="L2219" s="1786" t="s">
        <v>1594</v>
      </c>
      <c r="M2219" s="1786" t="s">
        <v>1653</v>
      </c>
      <c r="N2219" s="1786" t="s">
        <v>1653</v>
      </c>
      <c r="O2219" s="1786">
        <v>0</v>
      </c>
      <c r="P2219" s="1786"/>
      <c r="Q2219" s="1786">
        <v>0</v>
      </c>
      <c r="R2219" s="1788"/>
      <c r="S2219" s="1786">
        <f t="shared" si="380"/>
        <v>107</v>
      </c>
      <c r="T2219" s="1786" t="str">
        <f t="shared" si="381"/>
        <v>לאומי</v>
      </c>
      <c r="U2219" s="1786" t="str">
        <f t="shared" si="382"/>
        <v>תגב - כללי</v>
      </c>
      <c r="V2219" s="1786" t="str">
        <f t="shared" si="383"/>
        <v>513163105</v>
      </c>
      <c r="W2219" s="1789" t="str">
        <f t="shared" si="384"/>
        <v>הלמן - אלדובי קופות גמל ופנסיה בע"מ</v>
      </c>
      <c r="AC2219" s="1761" t="s">
        <v>1586</v>
      </c>
      <c r="AD2219" s="1762">
        <v>41589.6258564815</v>
      </c>
      <c r="AE2219" s="1762">
        <v>21186</v>
      </c>
      <c r="AF2219" s="1761" t="s">
        <v>3213</v>
      </c>
      <c r="AG2219" s="1761" t="s">
        <v>1611</v>
      </c>
      <c r="AH2219" s="1761" t="s">
        <v>1594</v>
      </c>
      <c r="AI2219" s="1761" t="s">
        <v>1912</v>
      </c>
      <c r="AJ2219" s="1761" t="s">
        <v>1912</v>
      </c>
      <c r="AK2219" s="1761">
        <v>598</v>
      </c>
      <c r="AL2219" s="1761" t="s">
        <v>356</v>
      </c>
      <c r="AM2219" s="1761">
        <v>107</v>
      </c>
      <c r="AN2219" s="1761" t="s">
        <v>5305</v>
      </c>
      <c r="AO2219" s="1764"/>
      <c r="AP2219" s="1761" t="s">
        <v>5371</v>
      </c>
      <c r="AQ2219" s="1761" t="s">
        <v>5372</v>
      </c>
      <c r="AR2219" s="1761" t="s">
        <v>354</v>
      </c>
      <c r="AS2219" s="1761" t="s">
        <v>355</v>
      </c>
      <c r="AT2219" s="1761" t="s">
        <v>327</v>
      </c>
      <c r="AU2219" s="1763"/>
      <c r="AV2219" s="1763"/>
    </row>
    <row r="2220" spans="1:48" ht="25" hidden="1">
      <c r="A2220" s="1785" t="str">
        <f t="shared" si="374"/>
        <v>גמל</v>
      </c>
      <c r="B2220" s="1786">
        <f t="shared" si="375"/>
        <v>9889</v>
      </c>
      <c r="C2220" s="1787">
        <v>28946</v>
      </c>
      <c r="D2220" s="1786" t="str">
        <f t="shared" si="376"/>
        <v>פסגות גדיש לבני 50  ומטה</v>
      </c>
      <c r="E2220" s="1786" t="s">
        <v>3929</v>
      </c>
      <c r="F2220" s="1786" t="s">
        <v>2958</v>
      </c>
      <c r="G2220" s="1786" t="s">
        <v>2959</v>
      </c>
      <c r="H2220" s="1786" t="str">
        <f t="shared" si="377"/>
        <v>פעיל</v>
      </c>
      <c r="I2220" s="1788">
        <f t="shared" si="378"/>
        <v>27792</v>
      </c>
      <c r="J2220" s="1788" t="str">
        <f t="shared" si="379"/>
        <v/>
      </c>
      <c r="K2220" s="1786">
        <v>0</v>
      </c>
      <c r="L2220" s="1786" t="s">
        <v>1594</v>
      </c>
      <c r="M2220" s="1786" t="s">
        <v>1653</v>
      </c>
      <c r="N2220" s="1786" t="s">
        <v>1653</v>
      </c>
      <c r="O2220" s="1786">
        <v>0</v>
      </c>
      <c r="P2220" s="1786"/>
      <c r="Q2220" s="1786">
        <v>0</v>
      </c>
      <c r="R2220" s="1788"/>
      <c r="S2220" s="1786">
        <f t="shared" si="380"/>
        <v>106</v>
      </c>
      <c r="T2220" s="1786" t="str">
        <f t="shared" si="381"/>
        <v>בנק הפועלים בע"מ</v>
      </c>
      <c r="U2220" s="1786" t="str">
        <f t="shared" si="382"/>
        <v>פסגות גדיש</v>
      </c>
      <c r="V2220" s="1786" t="str">
        <f t="shared" si="383"/>
        <v>513767079</v>
      </c>
      <c r="W2220" s="1789" t="str">
        <f t="shared" si="384"/>
        <v>פסגות קופות גמל ופנסיה בע"מ</v>
      </c>
      <c r="AC2220" s="1759" t="s">
        <v>346</v>
      </c>
      <c r="AD2220" s="1759"/>
      <c r="AE2220" s="1760">
        <v>27792</v>
      </c>
      <c r="AF2220" s="1759" t="s">
        <v>4151</v>
      </c>
      <c r="AG2220" s="1759" t="s">
        <v>3931</v>
      </c>
      <c r="AH2220" s="1759" t="s">
        <v>3658</v>
      </c>
      <c r="AI2220" s="1759" t="s">
        <v>4425</v>
      </c>
      <c r="AJ2220" s="1759" t="s">
        <v>4424</v>
      </c>
      <c r="AK2220" s="1759">
        <v>9889</v>
      </c>
      <c r="AL2220" s="1759" t="s">
        <v>3939</v>
      </c>
      <c r="AM2220" s="1759">
        <v>106</v>
      </c>
      <c r="AN2220" s="1759" t="s">
        <v>1695</v>
      </c>
      <c r="AO2220" s="1764"/>
      <c r="AP2220" s="1759" t="s">
        <v>5365</v>
      </c>
      <c r="AQ2220" s="1759" t="s">
        <v>5366</v>
      </c>
      <c r="AR2220" s="1759" t="s">
        <v>351</v>
      </c>
      <c r="AS2220" s="1759" t="s">
        <v>352</v>
      </c>
      <c r="AT2220" s="1759" t="s">
        <v>327</v>
      </c>
      <c r="AU2220" s="1763"/>
      <c r="AV2220" s="1763"/>
    </row>
    <row r="2221" spans="1:48" ht="25" hidden="1">
      <c r="A2221" s="1785" t="str">
        <f t="shared" si="374"/>
        <v>גמל</v>
      </c>
      <c r="B2221" s="1786">
        <f t="shared" si="375"/>
        <v>208</v>
      </c>
      <c r="C2221" s="1787">
        <v>28946</v>
      </c>
      <c r="D2221" s="1786" t="str">
        <f t="shared" si="376"/>
        <v>פסגות גדיש אג"ח קונצרני</v>
      </c>
      <c r="E2221" s="1786" t="s">
        <v>3929</v>
      </c>
      <c r="F2221" s="1786" t="s">
        <v>2958</v>
      </c>
      <c r="G2221" s="1786" t="s">
        <v>2959</v>
      </c>
      <c r="H2221" s="1786" t="str">
        <f t="shared" si="377"/>
        <v>לא פעיל</v>
      </c>
      <c r="I2221" s="1788">
        <f t="shared" si="378"/>
        <v>27792</v>
      </c>
      <c r="J2221" s="1788">
        <f t="shared" si="379"/>
        <v>42375.364594907398</v>
      </c>
      <c r="K2221" s="1786">
        <v>0</v>
      </c>
      <c r="L2221" s="1786" t="s">
        <v>1594</v>
      </c>
      <c r="M2221" s="1786" t="s">
        <v>1653</v>
      </c>
      <c r="N2221" s="1786" t="s">
        <v>1653</v>
      </c>
      <c r="O2221" s="1786">
        <v>0</v>
      </c>
      <c r="P2221" s="1786"/>
      <c r="Q2221" s="1786">
        <v>0</v>
      </c>
      <c r="R2221" s="1788"/>
      <c r="S2221" s="1786">
        <f t="shared" si="380"/>
        <v>106</v>
      </c>
      <c r="T2221" s="1786" t="str">
        <f t="shared" si="381"/>
        <v>בנק הפועלים בע"מ</v>
      </c>
      <c r="U2221" s="1786" t="str">
        <f t="shared" si="382"/>
        <v>פסגות גדיש</v>
      </c>
      <c r="V2221" s="1786" t="str">
        <f t="shared" si="383"/>
        <v>513767079</v>
      </c>
      <c r="W2221" s="1789" t="str">
        <f t="shared" si="384"/>
        <v>פסגות קופות גמל ופנסיה בע"מ</v>
      </c>
      <c r="AC2221" s="1761" t="s">
        <v>1586</v>
      </c>
      <c r="AD2221" s="1762">
        <v>42375.364594907398</v>
      </c>
      <c r="AE2221" s="1762">
        <v>27792</v>
      </c>
      <c r="AF2221" s="1761" t="s">
        <v>3010</v>
      </c>
      <c r="AG2221" s="1761" t="s">
        <v>1653</v>
      </c>
      <c r="AH2221" s="1761" t="s">
        <v>1594</v>
      </c>
      <c r="AI2221" s="1761" t="s">
        <v>1665</v>
      </c>
      <c r="AJ2221" s="1761" t="s">
        <v>1665</v>
      </c>
      <c r="AK2221" s="1761">
        <v>208</v>
      </c>
      <c r="AL2221" s="1761" t="s">
        <v>3939</v>
      </c>
      <c r="AM2221" s="1761">
        <v>106</v>
      </c>
      <c r="AN2221" s="1761" t="s">
        <v>1695</v>
      </c>
      <c r="AO2221" s="1764"/>
      <c r="AP2221" s="1761" t="s">
        <v>5365</v>
      </c>
      <c r="AQ2221" s="1761" t="s">
        <v>5366</v>
      </c>
      <c r="AR2221" s="1761" t="s">
        <v>351</v>
      </c>
      <c r="AS2221" s="1761" t="s">
        <v>352</v>
      </c>
      <c r="AT2221" s="1761" t="s">
        <v>327</v>
      </c>
      <c r="AU2221" s="1763"/>
      <c r="AV2221" s="1763"/>
    </row>
    <row r="2222" spans="1:48" ht="25" hidden="1">
      <c r="A2222" s="1785" t="str">
        <f t="shared" si="374"/>
        <v>גמל</v>
      </c>
      <c r="B2222" s="1786">
        <f t="shared" si="375"/>
        <v>9891</v>
      </c>
      <c r="C2222" s="1787">
        <v>28946</v>
      </c>
      <c r="D2222" s="1786" t="str">
        <f t="shared" si="376"/>
        <v>פסגות גדיש לבני 60 ומעלה</v>
      </c>
      <c r="E2222" s="1786" t="s">
        <v>3929</v>
      </c>
      <c r="F2222" s="1786" t="s">
        <v>2958</v>
      </c>
      <c r="G2222" s="1786" t="s">
        <v>2959</v>
      </c>
      <c r="H2222" s="1786" t="str">
        <f t="shared" si="377"/>
        <v>פעיל</v>
      </c>
      <c r="I2222" s="1788">
        <f t="shared" si="378"/>
        <v>27792</v>
      </c>
      <c r="J2222" s="1788" t="str">
        <f t="shared" si="379"/>
        <v/>
      </c>
      <c r="K2222" s="1786">
        <v>0</v>
      </c>
      <c r="L2222" s="1786" t="s">
        <v>1594</v>
      </c>
      <c r="M2222" s="1786" t="s">
        <v>1653</v>
      </c>
      <c r="N2222" s="1786" t="s">
        <v>1653</v>
      </c>
      <c r="O2222" s="1786">
        <v>0</v>
      </c>
      <c r="P2222" s="1786"/>
      <c r="Q2222" s="1786">
        <v>0</v>
      </c>
      <c r="R2222" s="1788"/>
      <c r="S2222" s="1786">
        <f t="shared" si="380"/>
        <v>106</v>
      </c>
      <c r="T2222" s="1786" t="str">
        <f t="shared" si="381"/>
        <v>בנק הפועלים בע"מ</v>
      </c>
      <c r="U2222" s="1786" t="str">
        <f t="shared" si="382"/>
        <v>פסגות גדיש</v>
      </c>
      <c r="V2222" s="1786" t="str">
        <f t="shared" si="383"/>
        <v>513767079</v>
      </c>
      <c r="W2222" s="1789" t="str">
        <f t="shared" si="384"/>
        <v>פסגות קופות גמל ופנסיה בע"מ</v>
      </c>
      <c r="AC2222" s="1759" t="s">
        <v>346</v>
      </c>
      <c r="AD2222" s="1759"/>
      <c r="AE2222" s="1760">
        <v>27792</v>
      </c>
      <c r="AF2222" s="1759" t="s">
        <v>3963</v>
      </c>
      <c r="AG2222" s="1759" t="s">
        <v>3931</v>
      </c>
      <c r="AH2222" s="1759" t="s">
        <v>3658</v>
      </c>
      <c r="AI2222" s="1759" t="s">
        <v>4429</v>
      </c>
      <c r="AJ2222" s="1759" t="s">
        <v>4428</v>
      </c>
      <c r="AK2222" s="1759">
        <v>9891</v>
      </c>
      <c r="AL2222" s="1759" t="s">
        <v>3939</v>
      </c>
      <c r="AM2222" s="1759">
        <v>106</v>
      </c>
      <c r="AN2222" s="1759" t="s">
        <v>1695</v>
      </c>
      <c r="AO2222" s="1764"/>
      <c r="AP2222" s="1759" t="s">
        <v>5365</v>
      </c>
      <c r="AQ2222" s="1759" t="s">
        <v>5366</v>
      </c>
      <c r="AR2222" s="1759" t="s">
        <v>351</v>
      </c>
      <c r="AS2222" s="1759" t="s">
        <v>352</v>
      </c>
      <c r="AT2222" s="1759" t="s">
        <v>327</v>
      </c>
      <c r="AU2222" s="1763"/>
      <c r="AV2222" s="1763"/>
    </row>
    <row r="2223" spans="1:48" ht="25" hidden="1">
      <c r="A2223" s="1785" t="str">
        <f t="shared" si="374"/>
        <v>גמל</v>
      </c>
      <c r="B2223" s="1786">
        <f t="shared" si="375"/>
        <v>2017</v>
      </c>
      <c r="C2223" s="1787">
        <v>28946</v>
      </c>
      <c r="D2223" s="1786" t="str">
        <f t="shared" si="376"/>
        <v>פסגות גדיש הלכה</v>
      </c>
      <c r="E2223" s="1786" t="s">
        <v>3929</v>
      </c>
      <c r="F2223" s="1786" t="s">
        <v>2958</v>
      </c>
      <c r="G2223" s="1786" t="s">
        <v>2959</v>
      </c>
      <c r="H2223" s="1786" t="str">
        <f t="shared" si="377"/>
        <v>פעיל</v>
      </c>
      <c r="I2223" s="1788">
        <f t="shared" si="378"/>
        <v>27792</v>
      </c>
      <c r="J2223" s="1788" t="str">
        <f t="shared" si="379"/>
        <v/>
      </c>
      <c r="K2223" s="1786">
        <v>0</v>
      </c>
      <c r="L2223" s="1786" t="s">
        <v>1594</v>
      </c>
      <c r="M2223" s="1786" t="s">
        <v>1653</v>
      </c>
      <c r="N2223" s="1786" t="s">
        <v>1653</v>
      </c>
      <c r="O2223" s="1786">
        <v>0</v>
      </c>
      <c r="P2223" s="1786"/>
      <c r="Q2223" s="1786">
        <v>0</v>
      </c>
      <c r="R2223" s="1788"/>
      <c r="S2223" s="1786">
        <f t="shared" si="380"/>
        <v>106</v>
      </c>
      <c r="T2223" s="1786" t="str">
        <f t="shared" si="381"/>
        <v>בנק הפועלים בע"מ</v>
      </c>
      <c r="U2223" s="1786" t="str">
        <f t="shared" si="382"/>
        <v>פסגות גדיש</v>
      </c>
      <c r="V2223" s="1786" t="str">
        <f t="shared" si="383"/>
        <v>513767079</v>
      </c>
      <c r="W2223" s="1789" t="str">
        <f t="shared" si="384"/>
        <v>פסגות קופות גמל ופנסיה בע"מ</v>
      </c>
      <c r="AC2223" s="1761" t="s">
        <v>346</v>
      </c>
      <c r="AD2223" s="1759"/>
      <c r="AE2223" s="1762">
        <v>27792</v>
      </c>
      <c r="AF2223" s="1761" t="s">
        <v>4603</v>
      </c>
      <c r="AG2223" s="1761" t="s">
        <v>2029</v>
      </c>
      <c r="AH2223" s="1761" t="s">
        <v>2028</v>
      </c>
      <c r="AI2223" s="1761" t="s">
        <v>4137</v>
      </c>
      <c r="AJ2223" s="1761" t="s">
        <v>4137</v>
      </c>
      <c r="AK2223" s="1761">
        <v>2017</v>
      </c>
      <c r="AL2223" s="1761" t="s">
        <v>3939</v>
      </c>
      <c r="AM2223" s="1761">
        <v>106</v>
      </c>
      <c r="AN2223" s="1761" t="s">
        <v>1695</v>
      </c>
      <c r="AO2223" s="1764"/>
      <c r="AP2223" s="1761" t="s">
        <v>5365</v>
      </c>
      <c r="AQ2223" s="1761" t="s">
        <v>5366</v>
      </c>
      <c r="AR2223" s="1761" t="s">
        <v>351</v>
      </c>
      <c r="AS2223" s="1761" t="s">
        <v>352</v>
      </c>
      <c r="AT2223" s="1761" t="s">
        <v>327</v>
      </c>
      <c r="AU2223" s="1763"/>
      <c r="AV2223" s="1763"/>
    </row>
    <row r="2224" spans="1:48" ht="25" hidden="1">
      <c r="A2224" s="1785" t="str">
        <f t="shared" si="374"/>
        <v>גמל</v>
      </c>
      <c r="B2224" s="1786">
        <f t="shared" si="375"/>
        <v>270</v>
      </c>
      <c r="C2224" s="1787">
        <v>28946</v>
      </c>
      <c r="D2224" s="1786" t="str">
        <f t="shared" si="376"/>
        <v>פסגות גדיש אגח עד 20% מניות</v>
      </c>
      <c r="E2224" s="1786" t="s">
        <v>3929</v>
      </c>
      <c r="F2224" s="1786" t="s">
        <v>2958</v>
      </c>
      <c r="G2224" s="1786" t="s">
        <v>2959</v>
      </c>
      <c r="H2224" s="1786" t="str">
        <f t="shared" si="377"/>
        <v>פעיל</v>
      </c>
      <c r="I2224" s="1788">
        <f t="shared" si="378"/>
        <v>27792</v>
      </c>
      <c r="J2224" s="1788" t="str">
        <f t="shared" si="379"/>
        <v/>
      </c>
      <c r="K2224" s="1786">
        <v>0</v>
      </c>
      <c r="L2224" s="1786" t="s">
        <v>1594</v>
      </c>
      <c r="M2224" s="1786" t="s">
        <v>1653</v>
      </c>
      <c r="N2224" s="1786" t="s">
        <v>1653</v>
      </c>
      <c r="O2224" s="1786">
        <v>0</v>
      </c>
      <c r="P2224" s="1786"/>
      <c r="Q2224" s="1786">
        <v>0</v>
      </c>
      <c r="R2224" s="1788"/>
      <c r="S2224" s="1786">
        <f t="shared" si="380"/>
        <v>106</v>
      </c>
      <c r="T2224" s="1786" t="str">
        <f t="shared" si="381"/>
        <v>בנק הפועלים בע"מ</v>
      </c>
      <c r="U2224" s="1786" t="str">
        <f t="shared" si="382"/>
        <v>פסגות גדיש</v>
      </c>
      <c r="V2224" s="1786" t="str">
        <f t="shared" si="383"/>
        <v>513767079</v>
      </c>
      <c r="W2224" s="1789" t="str">
        <f t="shared" si="384"/>
        <v>פסגות קופות גמל ופנסיה בע"מ</v>
      </c>
      <c r="AC2224" s="1759" t="s">
        <v>346</v>
      </c>
      <c r="AD2224" s="1759"/>
      <c r="AE2224" s="1760">
        <v>27792</v>
      </c>
      <c r="AF2224" s="1759" t="s">
        <v>3934</v>
      </c>
      <c r="AG2224" s="1759" t="s">
        <v>1653</v>
      </c>
      <c r="AH2224" s="1759" t="s">
        <v>1594</v>
      </c>
      <c r="AI2224" s="1759" t="s">
        <v>3941</v>
      </c>
      <c r="AJ2224" s="1759" t="s">
        <v>3941</v>
      </c>
      <c r="AK2224" s="1759">
        <v>270</v>
      </c>
      <c r="AL2224" s="1759" t="s">
        <v>3939</v>
      </c>
      <c r="AM2224" s="1759">
        <v>106</v>
      </c>
      <c r="AN2224" s="1759" t="s">
        <v>1695</v>
      </c>
      <c r="AO2224" s="1764"/>
      <c r="AP2224" s="1759" t="s">
        <v>5365</v>
      </c>
      <c r="AQ2224" s="1759" t="s">
        <v>5366</v>
      </c>
      <c r="AR2224" s="1759" t="s">
        <v>351</v>
      </c>
      <c r="AS2224" s="1759" t="s">
        <v>352</v>
      </c>
      <c r="AT2224" s="1759" t="s">
        <v>327</v>
      </c>
      <c r="AU2224" s="1763"/>
      <c r="AV2224" s="1763"/>
    </row>
    <row r="2225" spans="1:48" ht="25" hidden="1">
      <c r="A2225" s="1785" t="str">
        <f t="shared" si="374"/>
        <v>גמל</v>
      </c>
      <c r="B2225" s="1786">
        <f t="shared" si="375"/>
        <v>450</v>
      </c>
      <c r="C2225" s="1787">
        <v>28946</v>
      </c>
      <c r="D2225" s="1786" t="str">
        <f t="shared" si="376"/>
        <v>פסגות גדיש בטא</v>
      </c>
      <c r="E2225" s="1786" t="s">
        <v>3929</v>
      </c>
      <c r="F2225" s="1786" t="s">
        <v>2958</v>
      </c>
      <c r="G2225" s="1786" t="s">
        <v>2959</v>
      </c>
      <c r="H2225" s="1786" t="str">
        <f t="shared" si="377"/>
        <v>לא פעיל</v>
      </c>
      <c r="I2225" s="1788">
        <f t="shared" si="378"/>
        <v>27792</v>
      </c>
      <c r="J2225" s="1788">
        <f t="shared" si="379"/>
        <v>42370.806539351899</v>
      </c>
      <c r="K2225" s="1786">
        <v>0</v>
      </c>
      <c r="L2225" s="1786" t="s">
        <v>1594</v>
      </c>
      <c r="M2225" s="1786" t="s">
        <v>1653</v>
      </c>
      <c r="N2225" s="1786" t="s">
        <v>1653</v>
      </c>
      <c r="O2225" s="1786">
        <v>0</v>
      </c>
      <c r="P2225" s="1786"/>
      <c r="Q2225" s="1786">
        <v>0</v>
      </c>
      <c r="R2225" s="1788"/>
      <c r="S2225" s="1786">
        <f t="shared" si="380"/>
        <v>106</v>
      </c>
      <c r="T2225" s="1786" t="str">
        <f t="shared" si="381"/>
        <v>בנק הפועלים בע"מ</v>
      </c>
      <c r="U2225" s="1786" t="str">
        <f t="shared" si="382"/>
        <v>פסגות גדיש</v>
      </c>
      <c r="V2225" s="1786" t="str">
        <f t="shared" si="383"/>
        <v>513767079</v>
      </c>
      <c r="W2225" s="1789" t="str">
        <f t="shared" si="384"/>
        <v>פסגות קופות גמל ופנסיה בע"מ</v>
      </c>
      <c r="AC2225" s="1761" t="s">
        <v>1586</v>
      </c>
      <c r="AD2225" s="1762">
        <v>42370.806539351899</v>
      </c>
      <c r="AE2225" s="1762">
        <v>27792</v>
      </c>
      <c r="AF2225" s="1761" t="s">
        <v>1583</v>
      </c>
      <c r="AG2225" s="1761" t="s">
        <v>1583</v>
      </c>
      <c r="AH2225" s="1761" t="s">
        <v>1583</v>
      </c>
      <c r="AI2225" s="1761" t="s">
        <v>1829</v>
      </c>
      <c r="AJ2225" s="1761" t="s">
        <v>1829</v>
      </c>
      <c r="AK2225" s="1761">
        <v>450</v>
      </c>
      <c r="AL2225" s="1761" t="s">
        <v>3939</v>
      </c>
      <c r="AM2225" s="1761">
        <v>106</v>
      </c>
      <c r="AN2225" s="1761" t="s">
        <v>1695</v>
      </c>
      <c r="AO2225" s="1764"/>
      <c r="AP2225" s="1761" t="s">
        <v>5365</v>
      </c>
      <c r="AQ2225" s="1761" t="s">
        <v>5366</v>
      </c>
      <c r="AR2225" s="1761" t="s">
        <v>351</v>
      </c>
      <c r="AS2225" s="1761" t="s">
        <v>352</v>
      </c>
      <c r="AT2225" s="1761" t="s">
        <v>327</v>
      </c>
      <c r="AU2225" s="1763"/>
      <c r="AV2225" s="1763"/>
    </row>
    <row r="2226" spans="1:48" ht="25" hidden="1">
      <c r="A2226" s="1785" t="str">
        <f t="shared" si="374"/>
        <v>גמל</v>
      </c>
      <c r="B2226" s="1786">
        <f t="shared" si="375"/>
        <v>548</v>
      </c>
      <c r="C2226" s="1787">
        <v>28946</v>
      </c>
      <c r="D2226" s="1786" t="str">
        <f t="shared" si="376"/>
        <v>פסגות גדיש אג"ח חו"ל</v>
      </c>
      <c r="E2226" s="1786" t="s">
        <v>3929</v>
      </c>
      <c r="F2226" s="1786" t="s">
        <v>2958</v>
      </c>
      <c r="G2226" s="1786" t="s">
        <v>2959</v>
      </c>
      <c r="H2226" s="1786" t="str">
        <f t="shared" si="377"/>
        <v>לא פעיל</v>
      </c>
      <c r="I2226" s="1788">
        <f t="shared" si="378"/>
        <v>27792</v>
      </c>
      <c r="J2226" s="1788">
        <f t="shared" si="379"/>
        <v>42375.364594907398</v>
      </c>
      <c r="K2226" s="1786">
        <v>0</v>
      </c>
      <c r="L2226" s="1786" t="s">
        <v>1594</v>
      </c>
      <c r="M2226" s="1786" t="s">
        <v>1653</v>
      </c>
      <c r="N2226" s="1786" t="s">
        <v>1653</v>
      </c>
      <c r="O2226" s="1786">
        <v>0</v>
      </c>
      <c r="P2226" s="1786"/>
      <c r="Q2226" s="1786">
        <v>0</v>
      </c>
      <c r="R2226" s="1788"/>
      <c r="S2226" s="1786">
        <f t="shared" si="380"/>
        <v>106</v>
      </c>
      <c r="T2226" s="1786" t="str">
        <f t="shared" si="381"/>
        <v>בנק הפועלים בע"מ</v>
      </c>
      <c r="U2226" s="1786" t="str">
        <f t="shared" si="382"/>
        <v>פסגות גדיש</v>
      </c>
      <c r="V2226" s="1786" t="str">
        <f t="shared" si="383"/>
        <v>513767079</v>
      </c>
      <c r="W2226" s="1789" t="str">
        <f t="shared" si="384"/>
        <v>פסגות קופות גמל ופנסיה בע"מ</v>
      </c>
      <c r="AC2226" s="1759" t="s">
        <v>1586</v>
      </c>
      <c r="AD2226" s="1760">
        <v>42375.364594907398</v>
      </c>
      <c r="AE2226" s="1760">
        <v>27792</v>
      </c>
      <c r="AF2226" s="1759" t="s">
        <v>1948</v>
      </c>
      <c r="AG2226" s="1759" t="s">
        <v>1947</v>
      </c>
      <c r="AH2226" s="1759" t="s">
        <v>1594</v>
      </c>
      <c r="AI2226" s="1759" t="s">
        <v>3181</v>
      </c>
      <c r="AJ2226" s="1759" t="s">
        <v>3181</v>
      </c>
      <c r="AK2226" s="1759">
        <v>548</v>
      </c>
      <c r="AL2226" s="1759" t="s">
        <v>3939</v>
      </c>
      <c r="AM2226" s="1759">
        <v>106</v>
      </c>
      <c r="AN2226" s="1759" t="s">
        <v>1695</v>
      </c>
      <c r="AO2226" s="1764"/>
      <c r="AP2226" s="1759" t="s">
        <v>5365</v>
      </c>
      <c r="AQ2226" s="1759" t="s">
        <v>5366</v>
      </c>
      <c r="AR2226" s="1759" t="s">
        <v>351</v>
      </c>
      <c r="AS2226" s="1759" t="s">
        <v>352</v>
      </c>
      <c r="AT2226" s="1759" t="s">
        <v>327</v>
      </c>
      <c r="AU2226" s="1763"/>
      <c r="AV2226" s="1763"/>
    </row>
    <row r="2227" spans="1:48" ht="25" hidden="1">
      <c r="A2227" s="1785" t="str">
        <f t="shared" si="374"/>
        <v>גמל</v>
      </c>
      <c r="B2227" s="1786">
        <f t="shared" si="375"/>
        <v>550</v>
      </c>
      <c r="C2227" s="1787">
        <v>28946</v>
      </c>
      <c r="D2227" s="1786" t="str">
        <f t="shared" si="376"/>
        <v>פסגות גדיש שקלית</v>
      </c>
      <c r="E2227" s="1786" t="s">
        <v>3929</v>
      </c>
      <c r="F2227" s="1786" t="s">
        <v>2958</v>
      </c>
      <c r="G2227" s="1786" t="s">
        <v>2959</v>
      </c>
      <c r="H2227" s="1786" t="str">
        <f t="shared" si="377"/>
        <v>לא פעיל</v>
      </c>
      <c r="I2227" s="1788">
        <f t="shared" si="378"/>
        <v>27792</v>
      </c>
      <c r="J2227" s="1788">
        <f t="shared" si="379"/>
        <v>42370.806539351899</v>
      </c>
      <c r="K2227" s="1786">
        <v>0</v>
      </c>
      <c r="L2227" s="1786" t="s">
        <v>1594</v>
      </c>
      <c r="M2227" s="1786" t="s">
        <v>1653</v>
      </c>
      <c r="N2227" s="1786" t="s">
        <v>1653</v>
      </c>
      <c r="O2227" s="1786">
        <v>0</v>
      </c>
      <c r="P2227" s="1786"/>
      <c r="Q2227" s="1786">
        <v>0</v>
      </c>
      <c r="R2227" s="1788"/>
      <c r="S2227" s="1786">
        <f t="shared" si="380"/>
        <v>106</v>
      </c>
      <c r="T2227" s="1786" t="str">
        <f t="shared" si="381"/>
        <v>בנק הפועלים בע"מ</v>
      </c>
      <c r="U2227" s="1786" t="str">
        <f t="shared" si="382"/>
        <v>פסגות גדיש</v>
      </c>
      <c r="V2227" s="1786" t="str">
        <f t="shared" si="383"/>
        <v>513767079</v>
      </c>
      <c r="W2227" s="1789" t="str">
        <f t="shared" si="384"/>
        <v>פסגות קופות גמל ופנסיה בע"מ</v>
      </c>
      <c r="AC2227" s="1761" t="s">
        <v>1586</v>
      </c>
      <c r="AD2227" s="1762">
        <v>42370.806539351899</v>
      </c>
      <c r="AE2227" s="1762">
        <v>27792</v>
      </c>
      <c r="AF2227" s="1761" t="s">
        <v>1076</v>
      </c>
      <c r="AG2227" s="1761" t="s">
        <v>1614</v>
      </c>
      <c r="AH2227" s="1761" t="s">
        <v>1594</v>
      </c>
      <c r="AI2227" s="1761" t="s">
        <v>3182</v>
      </c>
      <c r="AJ2227" s="1761" t="s">
        <v>3182</v>
      </c>
      <c r="AK2227" s="1761">
        <v>550</v>
      </c>
      <c r="AL2227" s="1761" t="s">
        <v>3939</v>
      </c>
      <c r="AM2227" s="1761">
        <v>106</v>
      </c>
      <c r="AN2227" s="1761" t="s">
        <v>1695</v>
      </c>
      <c r="AO2227" s="1764"/>
      <c r="AP2227" s="1761" t="s">
        <v>5365</v>
      </c>
      <c r="AQ2227" s="1761" t="s">
        <v>5366</v>
      </c>
      <c r="AR2227" s="1761" t="s">
        <v>351</v>
      </c>
      <c r="AS2227" s="1761" t="s">
        <v>352</v>
      </c>
      <c r="AT2227" s="1761" t="s">
        <v>327</v>
      </c>
      <c r="AU2227" s="1763"/>
      <c r="AV2227" s="1763"/>
    </row>
    <row r="2228" spans="1:48" ht="25" hidden="1">
      <c r="A2228" s="1785" t="str">
        <f t="shared" si="374"/>
        <v>גמל</v>
      </c>
      <c r="B2228" s="1786">
        <f t="shared" si="375"/>
        <v>835</v>
      </c>
      <c r="C2228" s="1787">
        <v>28946</v>
      </c>
      <c r="D2228" s="1786" t="str">
        <f t="shared" si="376"/>
        <v>פסגות גדיש אגח צמוד מדד</v>
      </c>
      <c r="E2228" s="1786" t="s">
        <v>3929</v>
      </c>
      <c r="F2228" s="1786" t="s">
        <v>2958</v>
      </c>
      <c r="G2228" s="1786" t="s">
        <v>2959</v>
      </c>
      <c r="H2228" s="1786" t="str">
        <f t="shared" si="377"/>
        <v>פעיל</v>
      </c>
      <c r="I2228" s="1788">
        <f t="shared" si="378"/>
        <v>27792</v>
      </c>
      <c r="J2228" s="1788" t="str">
        <f t="shared" si="379"/>
        <v/>
      </c>
      <c r="K2228" s="1786">
        <v>0</v>
      </c>
      <c r="L2228" s="1786" t="s">
        <v>1594</v>
      </c>
      <c r="M2228" s="1786" t="s">
        <v>1653</v>
      </c>
      <c r="N2228" s="1786" t="s">
        <v>1653</v>
      </c>
      <c r="O2228" s="1786">
        <v>0</v>
      </c>
      <c r="P2228" s="1786"/>
      <c r="Q2228" s="1786">
        <v>0</v>
      </c>
      <c r="R2228" s="1788"/>
      <c r="S2228" s="1786">
        <f t="shared" si="380"/>
        <v>106</v>
      </c>
      <c r="T2228" s="1786" t="str">
        <f t="shared" si="381"/>
        <v>בנק הפועלים בע"מ</v>
      </c>
      <c r="U2228" s="1786" t="str">
        <f t="shared" si="382"/>
        <v>פסגות גדיש</v>
      </c>
      <c r="V2228" s="1786" t="str">
        <f t="shared" si="383"/>
        <v>513767079</v>
      </c>
      <c r="W2228" s="1789" t="str">
        <f t="shared" si="384"/>
        <v>פסגות קופות גמל ופנסיה בע"מ</v>
      </c>
      <c r="AC2228" s="1759" t="s">
        <v>346</v>
      </c>
      <c r="AD2228" s="1759"/>
      <c r="AE2228" s="1760">
        <v>27792</v>
      </c>
      <c r="AF2228" s="1759" t="s">
        <v>71</v>
      </c>
      <c r="AG2228" s="1759" t="s">
        <v>1653</v>
      </c>
      <c r="AH2228" s="1759" t="s">
        <v>1594</v>
      </c>
      <c r="AI2228" s="1759" t="s">
        <v>3998</v>
      </c>
      <c r="AJ2228" s="1759" t="s">
        <v>3998</v>
      </c>
      <c r="AK2228" s="1759">
        <v>835</v>
      </c>
      <c r="AL2228" s="1759" t="s">
        <v>3939</v>
      </c>
      <c r="AM2228" s="1759">
        <v>106</v>
      </c>
      <c r="AN2228" s="1759" t="s">
        <v>1695</v>
      </c>
      <c r="AO2228" s="1764"/>
      <c r="AP2228" s="1759" t="s">
        <v>5365</v>
      </c>
      <c r="AQ2228" s="1759" t="s">
        <v>5366</v>
      </c>
      <c r="AR2228" s="1759" t="s">
        <v>351</v>
      </c>
      <c r="AS2228" s="1759" t="s">
        <v>352</v>
      </c>
      <c r="AT2228" s="1759" t="s">
        <v>327</v>
      </c>
      <c r="AU2228" s="1763"/>
      <c r="AV2228" s="1763"/>
    </row>
    <row r="2229" spans="1:48" ht="25" hidden="1">
      <c r="A2229" s="1785" t="str">
        <f t="shared" si="374"/>
        <v>גמל</v>
      </c>
      <c r="B2229" s="1786">
        <f t="shared" si="375"/>
        <v>989</v>
      </c>
      <c r="C2229" s="1787">
        <v>28946</v>
      </c>
      <c r="D2229" s="1786" t="str">
        <f t="shared" si="376"/>
        <v>פסגות גדיש פאסיבי- מדדי מניות</v>
      </c>
      <c r="E2229" s="1786" t="s">
        <v>3929</v>
      </c>
      <c r="F2229" s="1786" t="s">
        <v>2958</v>
      </c>
      <c r="G2229" s="1786" t="s">
        <v>2959</v>
      </c>
      <c r="H2229" s="1786" t="str">
        <f t="shared" si="377"/>
        <v>פעיל</v>
      </c>
      <c r="I2229" s="1788">
        <f t="shared" si="378"/>
        <v>27792</v>
      </c>
      <c r="J2229" s="1788" t="str">
        <f t="shared" si="379"/>
        <v/>
      </c>
      <c r="K2229" s="1786">
        <v>0</v>
      </c>
      <c r="L2229" s="1786" t="s">
        <v>1594</v>
      </c>
      <c r="M2229" s="1786" t="s">
        <v>1653</v>
      </c>
      <c r="N2229" s="1786" t="s">
        <v>1653</v>
      </c>
      <c r="O2229" s="1786">
        <v>0</v>
      </c>
      <c r="P2229" s="1786"/>
      <c r="Q2229" s="1786">
        <v>0</v>
      </c>
      <c r="R2229" s="1788"/>
      <c r="S2229" s="1786">
        <f t="shared" si="380"/>
        <v>106</v>
      </c>
      <c r="T2229" s="1786" t="str">
        <f t="shared" si="381"/>
        <v>בנק הפועלים בע"מ</v>
      </c>
      <c r="U2229" s="1786" t="str">
        <f t="shared" si="382"/>
        <v>פסגות גדיש</v>
      </c>
      <c r="V2229" s="1786" t="str">
        <f t="shared" si="383"/>
        <v>513767079</v>
      </c>
      <c r="W2229" s="1789" t="str">
        <f t="shared" si="384"/>
        <v>פסגות קופות גמל ופנסיה בע"מ</v>
      </c>
      <c r="AC2229" s="1761" t="s">
        <v>346</v>
      </c>
      <c r="AD2229" s="1759"/>
      <c r="AE2229" s="1762">
        <v>27792</v>
      </c>
      <c r="AF2229" s="1761" t="s">
        <v>3959</v>
      </c>
      <c r="AG2229" s="1761" t="s">
        <v>75</v>
      </c>
      <c r="AH2229" s="1761" t="s">
        <v>1594</v>
      </c>
      <c r="AI2229" s="1761" t="s">
        <v>4018</v>
      </c>
      <c r="AJ2229" s="1761" t="s">
        <v>4018</v>
      </c>
      <c r="AK2229" s="1761">
        <v>989</v>
      </c>
      <c r="AL2229" s="1761" t="s">
        <v>3939</v>
      </c>
      <c r="AM2229" s="1761">
        <v>106</v>
      </c>
      <c r="AN2229" s="1761" t="s">
        <v>1695</v>
      </c>
      <c r="AO2229" s="1764"/>
      <c r="AP2229" s="1761" t="s">
        <v>5365</v>
      </c>
      <c r="AQ2229" s="1761" t="s">
        <v>5366</v>
      </c>
      <c r="AR2229" s="1761" t="s">
        <v>351</v>
      </c>
      <c r="AS2229" s="1761" t="s">
        <v>352</v>
      </c>
      <c r="AT2229" s="1761" t="s">
        <v>327</v>
      </c>
      <c r="AU2229" s="1763"/>
      <c r="AV2229" s="1763"/>
    </row>
    <row r="2230" spans="1:48" ht="25" hidden="1">
      <c r="A2230" s="1785" t="str">
        <f t="shared" si="374"/>
        <v>גמל</v>
      </c>
      <c r="B2230" s="1786">
        <f t="shared" si="375"/>
        <v>1330</v>
      </c>
      <c r="C2230" s="1787">
        <v>28946</v>
      </c>
      <c r="D2230" s="1786" t="str">
        <f t="shared" si="376"/>
        <v>פסגות גדיש מניות</v>
      </c>
      <c r="E2230" s="1786" t="s">
        <v>3929</v>
      </c>
      <c r="F2230" s="1786" t="s">
        <v>2958</v>
      </c>
      <c r="G2230" s="1786" t="s">
        <v>2959</v>
      </c>
      <c r="H2230" s="1786" t="str">
        <f t="shared" si="377"/>
        <v>פעיל</v>
      </c>
      <c r="I2230" s="1788">
        <f t="shared" si="378"/>
        <v>27792</v>
      </c>
      <c r="J2230" s="1788" t="str">
        <f t="shared" si="379"/>
        <v/>
      </c>
      <c r="K2230" s="1786">
        <v>0</v>
      </c>
      <c r="L2230" s="1786" t="s">
        <v>1594</v>
      </c>
      <c r="M2230" s="1786" t="s">
        <v>1653</v>
      </c>
      <c r="N2230" s="1786" t="s">
        <v>1653</v>
      </c>
      <c r="O2230" s="1786">
        <v>0</v>
      </c>
      <c r="P2230" s="1786"/>
      <c r="Q2230" s="1786">
        <v>0</v>
      </c>
      <c r="R2230" s="1788"/>
      <c r="S2230" s="1786">
        <f t="shared" si="380"/>
        <v>106</v>
      </c>
      <c r="T2230" s="1786" t="str">
        <f t="shared" si="381"/>
        <v>בנק הפועלים בע"מ</v>
      </c>
      <c r="U2230" s="1786" t="str">
        <f t="shared" si="382"/>
        <v>פסגות גדיש</v>
      </c>
      <c r="V2230" s="1786" t="str">
        <f t="shared" si="383"/>
        <v>513767079</v>
      </c>
      <c r="W2230" s="1789" t="str">
        <f t="shared" si="384"/>
        <v>פסגות קופות גמל ופנסיה בע"מ</v>
      </c>
      <c r="AC2230" s="1759" t="s">
        <v>346</v>
      </c>
      <c r="AD2230" s="1759"/>
      <c r="AE2230" s="1760">
        <v>27792</v>
      </c>
      <c r="AF2230" s="1759" t="s">
        <v>1595</v>
      </c>
      <c r="AG2230" s="1759" t="s">
        <v>75</v>
      </c>
      <c r="AH2230" s="1759" t="s">
        <v>1594</v>
      </c>
      <c r="AI2230" s="1759" t="s">
        <v>2407</v>
      </c>
      <c r="AJ2230" s="1759" t="s">
        <v>2407</v>
      </c>
      <c r="AK2230" s="1759">
        <v>1330</v>
      </c>
      <c r="AL2230" s="1759" t="s">
        <v>3939</v>
      </c>
      <c r="AM2230" s="1759">
        <v>106</v>
      </c>
      <c r="AN2230" s="1759" t="s">
        <v>1695</v>
      </c>
      <c r="AO2230" s="1764"/>
      <c r="AP2230" s="1759" t="s">
        <v>5365</v>
      </c>
      <c r="AQ2230" s="1759" t="s">
        <v>5366</v>
      </c>
      <c r="AR2230" s="1759" t="s">
        <v>351</v>
      </c>
      <c r="AS2230" s="1759" t="s">
        <v>352</v>
      </c>
      <c r="AT2230" s="1759" t="s">
        <v>327</v>
      </c>
      <c r="AU2230" s="1763"/>
      <c r="AV2230" s="1763"/>
    </row>
    <row r="2231" spans="1:48" ht="25" hidden="1">
      <c r="A2231" s="1785" t="str">
        <f t="shared" si="374"/>
        <v>גמל</v>
      </c>
      <c r="B2231" s="1786">
        <f t="shared" si="375"/>
        <v>1331</v>
      </c>
      <c r="C2231" s="1787">
        <v>28946</v>
      </c>
      <c r="D2231" s="1786" t="str">
        <f t="shared" si="376"/>
        <v>פסגות גדיש אגח עד 10% מניות</v>
      </c>
      <c r="E2231" s="1786" t="s">
        <v>3929</v>
      </c>
      <c r="F2231" s="1786" t="s">
        <v>2958</v>
      </c>
      <c r="G2231" s="1786" t="s">
        <v>2959</v>
      </c>
      <c r="H2231" s="1786" t="str">
        <f t="shared" si="377"/>
        <v>פעיל</v>
      </c>
      <c r="I2231" s="1788">
        <f t="shared" si="378"/>
        <v>27792</v>
      </c>
      <c r="J2231" s="1788" t="str">
        <f t="shared" si="379"/>
        <v/>
      </c>
      <c r="K2231" s="1786">
        <v>0</v>
      </c>
      <c r="L2231" s="1786" t="s">
        <v>1594</v>
      </c>
      <c r="M2231" s="1786" t="s">
        <v>1653</v>
      </c>
      <c r="N2231" s="1786" t="s">
        <v>1653</v>
      </c>
      <c r="O2231" s="1786">
        <v>0</v>
      </c>
      <c r="P2231" s="1786"/>
      <c r="Q2231" s="1786">
        <v>0</v>
      </c>
      <c r="R2231" s="1788"/>
      <c r="S2231" s="1786">
        <f t="shared" si="380"/>
        <v>106</v>
      </c>
      <c r="T2231" s="1786" t="str">
        <f t="shared" si="381"/>
        <v>בנק הפועלים בע"מ</v>
      </c>
      <c r="U2231" s="1786" t="str">
        <f t="shared" si="382"/>
        <v>פסגות גדיש</v>
      </c>
      <c r="V2231" s="1786" t="str">
        <f t="shared" si="383"/>
        <v>513767079</v>
      </c>
      <c r="W2231" s="1789" t="str">
        <f t="shared" si="384"/>
        <v>פסגות קופות גמל ופנסיה בע"מ</v>
      </c>
      <c r="AC2231" s="1761" t="s">
        <v>346</v>
      </c>
      <c r="AD2231" s="1761"/>
      <c r="AE2231" s="1762">
        <v>27792</v>
      </c>
      <c r="AF2231" s="1761" t="s">
        <v>3934</v>
      </c>
      <c r="AG2231" s="1761" t="s">
        <v>1653</v>
      </c>
      <c r="AH2231" s="1761" t="s">
        <v>1594</v>
      </c>
      <c r="AI2231" s="1761" t="s">
        <v>4058</v>
      </c>
      <c r="AJ2231" s="1761" t="s">
        <v>4058</v>
      </c>
      <c r="AK2231" s="1761">
        <v>1331</v>
      </c>
      <c r="AL2231" s="1761" t="s">
        <v>3939</v>
      </c>
      <c r="AM2231" s="1761">
        <v>106</v>
      </c>
      <c r="AN2231" s="1761" t="s">
        <v>1695</v>
      </c>
      <c r="AO2231" s="1764"/>
      <c r="AP2231" s="1761" t="s">
        <v>5365</v>
      </c>
      <c r="AQ2231" s="1761" t="s">
        <v>5366</v>
      </c>
      <c r="AR2231" s="1761" t="s">
        <v>351</v>
      </c>
      <c r="AS2231" s="1761" t="s">
        <v>352</v>
      </c>
      <c r="AT2231" s="1761" t="s">
        <v>327</v>
      </c>
      <c r="AU2231" s="1763"/>
      <c r="AV2231" s="1763"/>
    </row>
    <row r="2232" spans="1:48" ht="25" hidden="1">
      <c r="A2232" s="1785" t="str">
        <f t="shared" si="374"/>
        <v>גמל</v>
      </c>
      <c r="B2232" s="1786">
        <f t="shared" si="375"/>
        <v>1332</v>
      </c>
      <c r="C2232" s="1787">
        <v>28946</v>
      </c>
      <c r="D2232" s="1786" t="str">
        <f t="shared" si="376"/>
        <v>פסגות גדיש אג"ח</v>
      </c>
      <c r="E2232" s="1786" t="s">
        <v>3929</v>
      </c>
      <c r="F2232" s="1786" t="s">
        <v>2958</v>
      </c>
      <c r="G2232" s="1786" t="s">
        <v>2959</v>
      </c>
      <c r="H2232" s="1786" t="str">
        <f t="shared" si="377"/>
        <v>פעיל</v>
      </c>
      <c r="I2232" s="1788">
        <f t="shared" si="378"/>
        <v>27792</v>
      </c>
      <c r="J2232" s="1788" t="str">
        <f t="shared" si="379"/>
        <v/>
      </c>
      <c r="K2232" s="1786">
        <v>0</v>
      </c>
      <c r="L2232" s="1786" t="s">
        <v>1594</v>
      </c>
      <c r="M2232" s="1786" t="s">
        <v>1653</v>
      </c>
      <c r="N2232" s="1786" t="s">
        <v>1653</v>
      </c>
      <c r="O2232" s="1786">
        <v>0</v>
      </c>
      <c r="P2232" s="1786"/>
      <c r="Q2232" s="1786">
        <v>0</v>
      </c>
      <c r="R2232" s="1788"/>
      <c r="S2232" s="1786">
        <f t="shared" si="380"/>
        <v>106</v>
      </c>
      <c r="T2232" s="1786" t="str">
        <f t="shared" si="381"/>
        <v>בנק הפועלים בע"מ</v>
      </c>
      <c r="U2232" s="1786" t="str">
        <f t="shared" si="382"/>
        <v>פסגות גדיש</v>
      </c>
      <c r="V2232" s="1786" t="str">
        <f t="shared" si="383"/>
        <v>513767079</v>
      </c>
      <c r="W2232" s="1789" t="str">
        <f t="shared" si="384"/>
        <v>פסגות קופות גמל ופנסיה בע"מ</v>
      </c>
      <c r="AC2232" s="1759" t="s">
        <v>346</v>
      </c>
      <c r="AD2232" s="1759"/>
      <c r="AE2232" s="1760">
        <v>27792</v>
      </c>
      <c r="AF2232" s="1759" t="s">
        <v>1653</v>
      </c>
      <c r="AG2232" s="1759" t="s">
        <v>1653</v>
      </c>
      <c r="AH2232" s="1759" t="s">
        <v>1594</v>
      </c>
      <c r="AI2232" s="1759" t="s">
        <v>2408</v>
      </c>
      <c r="AJ2232" s="1759" t="s">
        <v>2408</v>
      </c>
      <c r="AK2232" s="1759">
        <v>1332</v>
      </c>
      <c r="AL2232" s="1759" t="s">
        <v>3939</v>
      </c>
      <c r="AM2232" s="1759">
        <v>106</v>
      </c>
      <c r="AN2232" s="1759" t="s">
        <v>1695</v>
      </c>
      <c r="AO2232" s="1764"/>
      <c r="AP2232" s="1759" t="s">
        <v>5365</v>
      </c>
      <c r="AQ2232" s="1759" t="s">
        <v>5366</v>
      </c>
      <c r="AR2232" s="1759" t="s">
        <v>351</v>
      </c>
      <c r="AS2232" s="1759" t="s">
        <v>352</v>
      </c>
      <c r="AT2232" s="1759" t="s">
        <v>327</v>
      </c>
      <c r="AU2232" s="1763"/>
      <c r="AV2232" s="1763"/>
    </row>
    <row r="2233" spans="1:48" ht="25" hidden="1">
      <c r="A2233" s="1785" t="str">
        <f t="shared" si="374"/>
        <v>גמל</v>
      </c>
      <c r="B2233" s="1786">
        <f t="shared" si="375"/>
        <v>1333</v>
      </c>
      <c r="C2233" s="1787">
        <v>28946</v>
      </c>
      <c r="D2233" s="1786" t="str">
        <f t="shared" si="376"/>
        <v>פסגות גדיש כספי</v>
      </c>
      <c r="E2233" s="1786" t="s">
        <v>3929</v>
      </c>
      <c r="F2233" s="1786" t="s">
        <v>2958</v>
      </c>
      <c r="G2233" s="1786" t="s">
        <v>2959</v>
      </c>
      <c r="H2233" s="1786" t="str">
        <f t="shared" si="377"/>
        <v>פעיל</v>
      </c>
      <c r="I2233" s="1788">
        <f t="shared" si="378"/>
        <v>27792</v>
      </c>
      <c r="J2233" s="1788" t="str">
        <f t="shared" si="379"/>
        <v/>
      </c>
      <c r="K2233" s="1786">
        <v>0</v>
      </c>
      <c r="L2233" s="1786" t="s">
        <v>1594</v>
      </c>
      <c r="M2233" s="1786" t="s">
        <v>1653</v>
      </c>
      <c r="N2233" s="1786" t="s">
        <v>1653</v>
      </c>
      <c r="O2233" s="1786">
        <v>0</v>
      </c>
      <c r="P2233" s="1786"/>
      <c r="Q2233" s="1786">
        <v>0</v>
      </c>
      <c r="R2233" s="1788"/>
      <c r="S2233" s="1786">
        <f t="shared" si="380"/>
        <v>106</v>
      </c>
      <c r="T2233" s="1786" t="str">
        <f t="shared" si="381"/>
        <v>בנק הפועלים בע"מ</v>
      </c>
      <c r="U2233" s="1786" t="str">
        <f t="shared" si="382"/>
        <v>פסגות גדיש</v>
      </c>
      <c r="V2233" s="1786" t="str">
        <f t="shared" si="383"/>
        <v>513767079</v>
      </c>
      <c r="W2233" s="1789" t="str">
        <f t="shared" si="384"/>
        <v>פסגות קופות גמל ופנסיה בע"מ</v>
      </c>
      <c r="AC2233" s="1761" t="s">
        <v>346</v>
      </c>
      <c r="AD2233" s="1761"/>
      <c r="AE2233" s="1762">
        <v>27792</v>
      </c>
      <c r="AF2233" s="1761" t="s">
        <v>2409</v>
      </c>
      <c r="AG2233" s="1761" t="s">
        <v>1614</v>
      </c>
      <c r="AH2233" s="1761" t="s">
        <v>1594</v>
      </c>
      <c r="AI2233" s="1761" t="s">
        <v>4059</v>
      </c>
      <c r="AJ2233" s="1761" t="s">
        <v>4059</v>
      </c>
      <c r="AK2233" s="1761">
        <v>1333</v>
      </c>
      <c r="AL2233" s="1761" t="s">
        <v>3939</v>
      </c>
      <c r="AM2233" s="1761">
        <v>106</v>
      </c>
      <c r="AN2233" s="1761" t="s">
        <v>1695</v>
      </c>
      <c r="AO2233" s="1764"/>
      <c r="AP2233" s="1761" t="s">
        <v>5365</v>
      </c>
      <c r="AQ2233" s="1761" t="s">
        <v>5366</v>
      </c>
      <c r="AR2233" s="1761" t="s">
        <v>351</v>
      </c>
      <c r="AS2233" s="1761" t="s">
        <v>352</v>
      </c>
      <c r="AT2233" s="1761" t="s">
        <v>327</v>
      </c>
      <c r="AU2233" s="1763"/>
      <c r="AV2233" s="1763"/>
    </row>
    <row r="2234" spans="1:48" ht="25" hidden="1">
      <c r="A2234" s="1785" t="str">
        <f t="shared" si="374"/>
        <v>גמל</v>
      </c>
      <c r="B2234" s="1786">
        <f t="shared" si="375"/>
        <v>1431</v>
      </c>
      <c r="C2234" s="1787">
        <v>28946</v>
      </c>
      <c r="D2234" s="1786" t="str">
        <f t="shared" si="376"/>
        <v>פסגות גדיש אג"ח ממשלת ישראל</v>
      </c>
      <c r="E2234" s="1786" t="s">
        <v>3929</v>
      </c>
      <c r="F2234" s="1786" t="s">
        <v>2958</v>
      </c>
      <c r="G2234" s="1786" t="s">
        <v>2959</v>
      </c>
      <c r="H2234" s="1786" t="str">
        <f t="shared" si="377"/>
        <v>פעיל</v>
      </c>
      <c r="I2234" s="1788">
        <f t="shared" si="378"/>
        <v>27792</v>
      </c>
      <c r="J2234" s="1788" t="str">
        <f t="shared" si="379"/>
        <v/>
      </c>
      <c r="K2234" s="1786">
        <v>0</v>
      </c>
      <c r="L2234" s="1786" t="s">
        <v>1594</v>
      </c>
      <c r="M2234" s="1786" t="s">
        <v>1653</v>
      </c>
      <c r="N2234" s="1786" t="s">
        <v>1653</v>
      </c>
      <c r="O2234" s="1786">
        <v>0</v>
      </c>
      <c r="P2234" s="1786"/>
      <c r="Q2234" s="1786">
        <v>0</v>
      </c>
      <c r="R2234" s="1788"/>
      <c r="S2234" s="1786">
        <f t="shared" si="380"/>
        <v>106</v>
      </c>
      <c r="T2234" s="1786" t="str">
        <f t="shared" si="381"/>
        <v>בנק הפועלים בע"מ</v>
      </c>
      <c r="U2234" s="1786" t="str">
        <f t="shared" si="382"/>
        <v>פסגות גדיש</v>
      </c>
      <c r="V2234" s="1786" t="str">
        <f t="shared" si="383"/>
        <v>513767079</v>
      </c>
      <c r="W2234" s="1789" t="str">
        <f t="shared" si="384"/>
        <v>פסגות קופות גמל ופנסיה בע"מ</v>
      </c>
      <c r="AC2234" s="1759" t="s">
        <v>346</v>
      </c>
      <c r="AD2234" s="1759"/>
      <c r="AE2234" s="1760">
        <v>27792</v>
      </c>
      <c r="AF2234" s="1759" t="s">
        <v>2009</v>
      </c>
      <c r="AG2234" s="1759" t="s">
        <v>1653</v>
      </c>
      <c r="AH2234" s="1759" t="s">
        <v>1594</v>
      </c>
      <c r="AI2234" s="1759" t="s">
        <v>4098</v>
      </c>
      <c r="AJ2234" s="1759" t="s">
        <v>4098</v>
      </c>
      <c r="AK2234" s="1759">
        <v>1431</v>
      </c>
      <c r="AL2234" s="1759" t="s">
        <v>3939</v>
      </c>
      <c r="AM2234" s="1759">
        <v>106</v>
      </c>
      <c r="AN2234" s="1759" t="s">
        <v>1695</v>
      </c>
      <c r="AO2234" s="1764"/>
      <c r="AP2234" s="1759" t="s">
        <v>5365</v>
      </c>
      <c r="AQ2234" s="1759" t="s">
        <v>5366</v>
      </c>
      <c r="AR2234" s="1759" t="s">
        <v>351</v>
      </c>
      <c r="AS2234" s="1759" t="s">
        <v>352</v>
      </c>
      <c r="AT2234" s="1759" t="s">
        <v>327</v>
      </c>
      <c r="AU2234" s="1763"/>
      <c r="AV2234" s="1763"/>
    </row>
    <row r="2235" spans="1:48" ht="25" hidden="1">
      <c r="A2235" s="1785" t="str">
        <f t="shared" si="374"/>
        <v>גמל</v>
      </c>
      <c r="B2235" s="1786">
        <f t="shared" si="375"/>
        <v>106</v>
      </c>
      <c r="C2235" s="1787">
        <v>28946</v>
      </c>
      <c r="D2235" s="1786" t="str">
        <f t="shared" si="376"/>
        <v>פסגות גדיש כללי</v>
      </c>
      <c r="E2235" s="1786" t="s">
        <v>3929</v>
      </c>
      <c r="F2235" s="1786" t="s">
        <v>2958</v>
      </c>
      <c r="G2235" s="1786" t="s">
        <v>2959</v>
      </c>
      <c r="H2235" s="1786" t="str">
        <f t="shared" si="377"/>
        <v>לא פעיל</v>
      </c>
      <c r="I2235" s="1788">
        <f t="shared" si="378"/>
        <v>27792</v>
      </c>
      <c r="J2235" s="1788">
        <f t="shared" si="379"/>
        <v>42370.806539351899</v>
      </c>
      <c r="K2235" s="1786">
        <v>0</v>
      </c>
      <c r="L2235" s="1786" t="s">
        <v>1594</v>
      </c>
      <c r="M2235" s="1786" t="s">
        <v>1653</v>
      </c>
      <c r="N2235" s="1786" t="s">
        <v>1653</v>
      </c>
      <c r="O2235" s="1786">
        <v>0</v>
      </c>
      <c r="P2235" s="1786"/>
      <c r="Q2235" s="1786">
        <v>0</v>
      </c>
      <c r="R2235" s="1788"/>
      <c r="S2235" s="1786">
        <f t="shared" si="380"/>
        <v>106</v>
      </c>
      <c r="T2235" s="1786" t="str">
        <f t="shared" si="381"/>
        <v>בנק הפועלים בע"מ</v>
      </c>
      <c r="U2235" s="1786" t="str">
        <f t="shared" si="382"/>
        <v>פסגות גדיש</v>
      </c>
      <c r="V2235" s="1786" t="str">
        <f t="shared" si="383"/>
        <v>513767079</v>
      </c>
      <c r="W2235" s="1789" t="str">
        <f t="shared" si="384"/>
        <v>פסגות קופות גמל ופנסיה בע"מ</v>
      </c>
      <c r="AC2235" s="1761" t="s">
        <v>1586</v>
      </c>
      <c r="AD2235" s="1762">
        <v>42370.806539351899</v>
      </c>
      <c r="AE2235" s="1762">
        <v>27792</v>
      </c>
      <c r="AF2235" s="1761" t="s">
        <v>1583</v>
      </c>
      <c r="AG2235" s="1761" t="s">
        <v>1583</v>
      </c>
      <c r="AH2235" s="1761" t="s">
        <v>1583</v>
      </c>
      <c r="AI2235" s="1761" t="s">
        <v>353</v>
      </c>
      <c r="AJ2235" s="1761" t="s">
        <v>353</v>
      </c>
      <c r="AK2235" s="1761">
        <v>106</v>
      </c>
      <c r="AL2235" s="1761" t="s">
        <v>3939</v>
      </c>
      <c r="AM2235" s="1761">
        <v>106</v>
      </c>
      <c r="AN2235" s="1761" t="s">
        <v>1695</v>
      </c>
      <c r="AO2235" s="1764"/>
      <c r="AP2235" s="1761" t="s">
        <v>5365</v>
      </c>
      <c r="AQ2235" s="1761" t="s">
        <v>5366</v>
      </c>
      <c r="AR2235" s="1761" t="s">
        <v>351</v>
      </c>
      <c r="AS2235" s="1761" t="s">
        <v>352</v>
      </c>
      <c r="AT2235" s="1761" t="s">
        <v>327</v>
      </c>
      <c r="AU2235" s="1763"/>
      <c r="AV2235" s="1763"/>
    </row>
    <row r="2236" spans="1:48" ht="25" hidden="1">
      <c r="A2236" s="1785" t="str">
        <f t="shared" si="374"/>
        <v>גמל</v>
      </c>
      <c r="B2236" s="1786">
        <f t="shared" si="375"/>
        <v>205</v>
      </c>
      <c r="C2236" s="1787">
        <v>28946</v>
      </c>
      <c r="D2236" s="1786" t="str">
        <f t="shared" si="376"/>
        <v>פסגות גדיש חו"ל</v>
      </c>
      <c r="E2236" s="1786" t="s">
        <v>3929</v>
      </c>
      <c r="F2236" s="1786" t="s">
        <v>2958</v>
      </c>
      <c r="G2236" s="1786" t="s">
        <v>2959</v>
      </c>
      <c r="H2236" s="1786" t="str">
        <f t="shared" si="377"/>
        <v>פעיל</v>
      </c>
      <c r="I2236" s="1788">
        <f t="shared" si="378"/>
        <v>27792</v>
      </c>
      <c r="J2236" s="1788" t="str">
        <f t="shared" si="379"/>
        <v/>
      </c>
      <c r="K2236" s="1786">
        <v>0</v>
      </c>
      <c r="L2236" s="1786" t="s">
        <v>1594</v>
      </c>
      <c r="M2236" s="1786" t="s">
        <v>1653</v>
      </c>
      <c r="N2236" s="1786" t="s">
        <v>1653</v>
      </c>
      <c r="O2236" s="1786">
        <v>0</v>
      </c>
      <c r="P2236" s="1786"/>
      <c r="Q2236" s="1786">
        <v>0</v>
      </c>
      <c r="R2236" s="1788"/>
      <c r="S2236" s="1786">
        <f t="shared" si="380"/>
        <v>106</v>
      </c>
      <c r="T2236" s="1786" t="str">
        <f t="shared" si="381"/>
        <v>בנק הפועלים בע"מ</v>
      </c>
      <c r="U2236" s="1786" t="str">
        <f t="shared" si="382"/>
        <v>פסגות גדיש</v>
      </c>
      <c r="V2236" s="1786" t="str">
        <f t="shared" si="383"/>
        <v>513767079</v>
      </c>
      <c r="W2236" s="1789" t="str">
        <f t="shared" si="384"/>
        <v>פסגות קופות גמל ופנסיה בע"מ</v>
      </c>
      <c r="AC2236" s="1759" t="s">
        <v>346</v>
      </c>
      <c r="AD2236" s="1759"/>
      <c r="AE2236" s="1760">
        <v>27792</v>
      </c>
      <c r="AF2236" s="1759" t="s">
        <v>1948</v>
      </c>
      <c r="AG2236" s="1759" t="s">
        <v>1947</v>
      </c>
      <c r="AH2236" s="1759" t="s">
        <v>1594</v>
      </c>
      <c r="AI2236" s="1759" t="s">
        <v>1663</v>
      </c>
      <c r="AJ2236" s="1759" t="s">
        <v>1663</v>
      </c>
      <c r="AK2236" s="1759">
        <v>205</v>
      </c>
      <c r="AL2236" s="1759" t="s">
        <v>3939</v>
      </c>
      <c r="AM2236" s="1759">
        <v>106</v>
      </c>
      <c r="AN2236" s="1759" t="s">
        <v>1695</v>
      </c>
      <c r="AO2236" s="1764"/>
      <c r="AP2236" s="1759" t="s">
        <v>5365</v>
      </c>
      <c r="AQ2236" s="1759" t="s">
        <v>5366</v>
      </c>
      <c r="AR2236" s="1759" t="s">
        <v>351</v>
      </c>
      <c r="AS2236" s="1759" t="s">
        <v>352</v>
      </c>
      <c r="AT2236" s="1759" t="s">
        <v>327</v>
      </c>
      <c r="AU2236" s="1763"/>
      <c r="AV2236" s="1763"/>
    </row>
    <row r="2237" spans="1:48" ht="25" hidden="1">
      <c r="A2237" s="1785" t="str">
        <f t="shared" si="374"/>
        <v>גמל</v>
      </c>
      <c r="B2237" s="1786">
        <f t="shared" si="375"/>
        <v>9890</v>
      </c>
      <c r="C2237" s="1787">
        <v>28946</v>
      </c>
      <c r="D2237" s="1786" t="str">
        <f t="shared" si="376"/>
        <v>פסגות גדיש לבני 50-60</v>
      </c>
      <c r="E2237" s="1786" t="s">
        <v>3929</v>
      </c>
      <c r="F2237" s="1786" t="s">
        <v>2958</v>
      </c>
      <c r="G2237" s="1786" t="s">
        <v>2959</v>
      </c>
      <c r="H2237" s="1786" t="str">
        <f t="shared" si="377"/>
        <v>פעיל</v>
      </c>
      <c r="I2237" s="1788">
        <f t="shared" si="378"/>
        <v>27792</v>
      </c>
      <c r="J2237" s="1788" t="str">
        <f t="shared" si="379"/>
        <v/>
      </c>
      <c r="K2237" s="1786">
        <v>0</v>
      </c>
      <c r="L2237" s="1786" t="s">
        <v>1594</v>
      </c>
      <c r="M2237" s="1786" t="s">
        <v>1653</v>
      </c>
      <c r="N2237" s="1786" t="s">
        <v>1653</v>
      </c>
      <c r="O2237" s="1786">
        <v>0</v>
      </c>
      <c r="P2237" s="1786"/>
      <c r="Q2237" s="1786">
        <v>0</v>
      </c>
      <c r="R2237" s="1788"/>
      <c r="S2237" s="1786">
        <f t="shared" si="380"/>
        <v>106</v>
      </c>
      <c r="T2237" s="1786" t="str">
        <f t="shared" si="381"/>
        <v>בנק הפועלים בע"מ</v>
      </c>
      <c r="U2237" s="1786" t="str">
        <f t="shared" si="382"/>
        <v>פסגות גדיש</v>
      </c>
      <c r="V2237" s="1786" t="str">
        <f t="shared" si="383"/>
        <v>513767079</v>
      </c>
      <c r="W2237" s="1789" t="str">
        <f t="shared" si="384"/>
        <v>פסגות קופות גמל ופנסיה בע"מ</v>
      </c>
      <c r="AC2237" s="1761" t="s">
        <v>346</v>
      </c>
      <c r="AD2237" s="1759"/>
      <c r="AE2237" s="1762">
        <v>27792</v>
      </c>
      <c r="AF2237" s="1761" t="s">
        <v>3932</v>
      </c>
      <c r="AG2237" s="1761" t="s">
        <v>3931</v>
      </c>
      <c r="AH2237" s="1761" t="s">
        <v>3658</v>
      </c>
      <c r="AI2237" s="1761" t="s">
        <v>4427</v>
      </c>
      <c r="AJ2237" s="1761" t="s">
        <v>4426</v>
      </c>
      <c r="AK2237" s="1761">
        <v>9890</v>
      </c>
      <c r="AL2237" s="1761" t="s">
        <v>3939</v>
      </c>
      <c r="AM2237" s="1761">
        <v>106</v>
      </c>
      <c r="AN2237" s="1761" t="s">
        <v>1695</v>
      </c>
      <c r="AO2237" s="1764"/>
      <c r="AP2237" s="1761" t="s">
        <v>5365</v>
      </c>
      <c r="AQ2237" s="1761" t="s">
        <v>5366</v>
      </c>
      <c r="AR2237" s="1761" t="s">
        <v>351</v>
      </c>
      <c r="AS2237" s="1761" t="s">
        <v>352</v>
      </c>
      <c r="AT2237" s="1761" t="s">
        <v>327</v>
      </c>
      <c r="AU2237" s="1763"/>
      <c r="AV2237" s="1763"/>
    </row>
    <row r="2238" spans="1:48" ht="37.5" hidden="1">
      <c r="A2238" s="1785" t="str">
        <f t="shared" si="374"/>
        <v>גמל</v>
      </c>
      <c r="B2238" s="1786">
        <f t="shared" si="375"/>
        <v>105</v>
      </c>
      <c r="C2238" s="1787">
        <v>28946</v>
      </c>
      <c r="D2238" s="1786" t="str">
        <f t="shared" si="376"/>
        <v>ישיר המלאכה קופת תגמולים ופיצויים מקבוצת ביטוח ישיר</v>
      </c>
      <c r="E2238" s="1786" t="s">
        <v>3929</v>
      </c>
      <c r="F2238" s="1786" t="s">
        <v>2958</v>
      </c>
      <c r="G2238" s="1786" t="s">
        <v>2959</v>
      </c>
      <c r="H2238" s="1786" t="str">
        <f t="shared" si="377"/>
        <v>לא פעיל</v>
      </c>
      <c r="I2238" s="1788">
        <f t="shared" si="378"/>
        <v>23078</v>
      </c>
      <c r="J2238" s="1788">
        <f t="shared" si="379"/>
        <v>40542</v>
      </c>
      <c r="K2238" s="1786">
        <v>0</v>
      </c>
      <c r="L2238" s="1786" t="s">
        <v>1594</v>
      </c>
      <c r="M2238" s="1786" t="s">
        <v>1653</v>
      </c>
      <c r="N2238" s="1786" t="s">
        <v>1653</v>
      </c>
      <c r="O2238" s="1786">
        <v>0</v>
      </c>
      <c r="P2238" s="1786"/>
      <c r="Q2238" s="1786">
        <v>0</v>
      </c>
      <c r="R2238" s="1788"/>
      <c r="S2238" s="1786">
        <f t="shared" si="380"/>
        <v>105</v>
      </c>
      <c r="T2238" s="1786" t="str">
        <f t="shared" si="381"/>
        <v>הבנק הבינלאומי הראשון</v>
      </c>
      <c r="U2238" s="1786" t="str">
        <f t="shared" si="382"/>
        <v>ישיר המלאכה קופת תגמולים ופיצויים מקבוצת ביטוח ישיר</v>
      </c>
      <c r="V2238" s="1786">
        <f t="shared" si="383"/>
        <v>0</v>
      </c>
      <c r="W2238" s="1789" t="str">
        <f t="shared" si="384"/>
        <v>מיטב ישיר גמל בע"מ</v>
      </c>
      <c r="AC2238" s="1759" t="s">
        <v>1586</v>
      </c>
      <c r="AD2238" s="1760">
        <v>40542</v>
      </c>
      <c r="AE2238" s="1760">
        <v>23078</v>
      </c>
      <c r="AF2238" s="1759" t="s">
        <v>1583</v>
      </c>
      <c r="AG2238" s="1759" t="s">
        <v>1583</v>
      </c>
      <c r="AH2238" s="1759" t="s">
        <v>1583</v>
      </c>
      <c r="AI2238" s="1759" t="s">
        <v>2960</v>
      </c>
      <c r="AJ2238" s="1759" t="s">
        <v>1587</v>
      </c>
      <c r="AK2238" s="1759">
        <v>105</v>
      </c>
      <c r="AL2238" s="1759" t="s">
        <v>1587</v>
      </c>
      <c r="AM2238" s="1759">
        <v>105</v>
      </c>
      <c r="AN2238" s="1759" t="s">
        <v>5384</v>
      </c>
      <c r="AO2238" s="1764"/>
      <c r="AP2238" s="1759"/>
      <c r="AQ2238" s="1759"/>
      <c r="AR2238" s="1759" t="s">
        <v>1589</v>
      </c>
      <c r="AS2238" s="1759" t="s">
        <v>1588</v>
      </c>
      <c r="AT2238" s="1759" t="s">
        <v>327</v>
      </c>
      <c r="AU2238" s="1763"/>
      <c r="AV2238" s="1763"/>
    </row>
    <row r="2239" spans="1:48" ht="25" hidden="1">
      <c r="A2239" s="1785" t="str">
        <f t="shared" si="374"/>
        <v>גמל</v>
      </c>
      <c r="B2239" s="1786">
        <f t="shared" si="375"/>
        <v>104</v>
      </c>
      <c r="C2239" s="1787">
        <v>28946</v>
      </c>
      <c r="D2239" s="1786" t="str">
        <f t="shared" si="376"/>
        <v>פסגות צור</v>
      </c>
      <c r="E2239" s="1786" t="s">
        <v>3929</v>
      </c>
      <c r="F2239" s="1786" t="s">
        <v>2958</v>
      </c>
      <c r="G2239" s="1786" t="s">
        <v>2959</v>
      </c>
      <c r="H2239" s="1786" t="str">
        <f t="shared" si="377"/>
        <v>לא פעיל</v>
      </c>
      <c r="I2239" s="1788">
        <f t="shared" si="378"/>
        <v>29056</v>
      </c>
      <c r="J2239" s="1788">
        <f t="shared" si="379"/>
        <v>40063</v>
      </c>
      <c r="K2239" s="1786">
        <v>0</v>
      </c>
      <c r="L2239" s="1786" t="s">
        <v>1594</v>
      </c>
      <c r="M2239" s="1786" t="s">
        <v>1653</v>
      </c>
      <c r="N2239" s="1786" t="s">
        <v>1653</v>
      </c>
      <c r="O2239" s="1786">
        <v>0</v>
      </c>
      <c r="P2239" s="1786"/>
      <c r="Q2239" s="1786">
        <v>0</v>
      </c>
      <c r="R2239" s="1788"/>
      <c r="S2239" s="1786">
        <f t="shared" si="380"/>
        <v>104</v>
      </c>
      <c r="T2239" s="1786" t="str">
        <f t="shared" si="381"/>
        <v>בנק לאומי בע"מ</v>
      </c>
      <c r="U2239" s="1786" t="str">
        <f t="shared" si="382"/>
        <v>פסגות צור</v>
      </c>
      <c r="V2239" s="1786" t="str">
        <f t="shared" si="383"/>
        <v>513767079</v>
      </c>
      <c r="W2239" s="1789" t="str">
        <f t="shared" si="384"/>
        <v>פסגות קופות גמל ופנסיה בע"מ</v>
      </c>
      <c r="AC2239" s="1761" t="s">
        <v>1586</v>
      </c>
      <c r="AD2239" s="1762">
        <v>40063</v>
      </c>
      <c r="AE2239" s="1762">
        <v>29056</v>
      </c>
      <c r="AF2239" s="1761" t="s">
        <v>1583</v>
      </c>
      <c r="AG2239" s="1761" t="s">
        <v>1583</v>
      </c>
      <c r="AH2239" s="1761" t="s">
        <v>1583</v>
      </c>
      <c r="AI2239" s="1761" t="s">
        <v>1585</v>
      </c>
      <c r="AJ2239" s="1761" t="s">
        <v>1585</v>
      </c>
      <c r="AK2239" s="1761">
        <v>104</v>
      </c>
      <c r="AL2239" s="1761" t="s">
        <v>1585</v>
      </c>
      <c r="AM2239" s="1761">
        <v>104</v>
      </c>
      <c r="AN2239" s="1761" t="s">
        <v>5470</v>
      </c>
      <c r="AO2239" s="1764"/>
      <c r="AP2239" s="1761" t="s">
        <v>5365</v>
      </c>
      <c r="AQ2239" s="1761" t="s">
        <v>5366</v>
      </c>
      <c r="AR2239" s="1761" t="s">
        <v>351</v>
      </c>
      <c r="AS2239" s="1761" t="s">
        <v>352</v>
      </c>
      <c r="AT2239" s="1761" t="s">
        <v>327</v>
      </c>
      <c r="AU2239" s="1763"/>
      <c r="AV2239" s="1763"/>
    </row>
    <row r="2240" spans="1:48" ht="25" hidden="1">
      <c r="A2240" s="1785" t="str">
        <f t="shared" si="374"/>
        <v>גמל</v>
      </c>
      <c r="B2240" s="1786">
        <f t="shared" si="375"/>
        <v>2026</v>
      </c>
      <c r="C2240" s="1787">
        <v>28946</v>
      </c>
      <c r="D2240" s="1786" t="str">
        <f t="shared" si="376"/>
        <v>דש תגמולים אג"ח כללי</v>
      </c>
      <c r="E2240" s="1786" t="s">
        <v>3929</v>
      </c>
      <c r="F2240" s="1786" t="s">
        <v>2958</v>
      </c>
      <c r="G2240" s="1786" t="s">
        <v>2959</v>
      </c>
      <c r="H2240" s="1786" t="str">
        <f t="shared" si="377"/>
        <v>לא פעיל</v>
      </c>
      <c r="I2240" s="1788">
        <f t="shared" si="378"/>
        <v>22369</v>
      </c>
      <c r="J2240" s="1788">
        <f t="shared" si="379"/>
        <v>41828.516956018502</v>
      </c>
      <c r="K2240" s="1786">
        <v>0</v>
      </c>
      <c r="L2240" s="1786" t="s">
        <v>1594</v>
      </c>
      <c r="M2240" s="1786" t="s">
        <v>1653</v>
      </c>
      <c r="N2240" s="1786" t="s">
        <v>1653</v>
      </c>
      <c r="O2240" s="1786">
        <v>0</v>
      </c>
      <c r="P2240" s="1786"/>
      <c r="Q2240" s="1786">
        <v>0</v>
      </c>
      <c r="R2240" s="1788"/>
      <c r="S2240" s="1786">
        <f t="shared" si="380"/>
        <v>103</v>
      </c>
      <c r="T2240" s="1786" t="str">
        <f t="shared" si="381"/>
        <v>בנק הפועלים בע"מ</v>
      </c>
      <c r="U2240" s="1786" t="str">
        <f t="shared" si="382"/>
        <v>דש תגמולים</v>
      </c>
      <c r="V2240" s="1786" t="str">
        <f t="shared" si="383"/>
        <v>520043795</v>
      </c>
      <c r="W2240" s="1789" t="str">
        <f t="shared" si="384"/>
        <v>מיטב דש גמל ופנסיה בע"מ</v>
      </c>
      <c r="AC2240" s="1759" t="s">
        <v>1586</v>
      </c>
      <c r="AD2240" s="1760">
        <v>41828.516956018502</v>
      </c>
      <c r="AE2240" s="1760">
        <v>22369</v>
      </c>
      <c r="AF2240" s="1759" t="s">
        <v>1653</v>
      </c>
      <c r="AG2240" s="1759" t="s">
        <v>1653</v>
      </c>
      <c r="AH2240" s="1759" t="s">
        <v>1594</v>
      </c>
      <c r="AI2240" s="1759" t="s">
        <v>2515</v>
      </c>
      <c r="AJ2240" s="1759" t="s">
        <v>2515</v>
      </c>
      <c r="AK2240" s="1759">
        <v>2026</v>
      </c>
      <c r="AL2240" s="1759" t="s">
        <v>350</v>
      </c>
      <c r="AM2240" s="1759">
        <v>103</v>
      </c>
      <c r="AN2240" s="1759" t="s">
        <v>1695</v>
      </c>
      <c r="AO2240" s="1764"/>
      <c r="AP2240" s="1759" t="s">
        <v>5373</v>
      </c>
      <c r="AQ2240" s="1759" t="s">
        <v>5374</v>
      </c>
      <c r="AR2240" s="1759" t="s">
        <v>2899</v>
      </c>
      <c r="AS2240" s="1759" t="s">
        <v>349</v>
      </c>
      <c r="AT2240" s="1759" t="s">
        <v>327</v>
      </c>
      <c r="AU2240" s="1763"/>
      <c r="AV2240" s="1763"/>
    </row>
    <row r="2241" spans="1:48" ht="25" hidden="1">
      <c r="A2241" s="1785" t="str">
        <f t="shared" si="374"/>
        <v>גמל</v>
      </c>
      <c r="B2241" s="1786">
        <f t="shared" si="375"/>
        <v>2026</v>
      </c>
      <c r="C2241" s="1787">
        <v>28946</v>
      </c>
      <c r="D2241" s="1786" t="str">
        <f t="shared" si="376"/>
        <v>דש תגמולים אג"ח כללי</v>
      </c>
      <c r="E2241" s="1786" t="s">
        <v>3929</v>
      </c>
      <c r="F2241" s="1786" t="s">
        <v>2958</v>
      </c>
      <c r="G2241" s="1786" t="s">
        <v>2959</v>
      </c>
      <c r="H2241" s="1786" t="str">
        <f t="shared" si="377"/>
        <v>לא פעיל</v>
      </c>
      <c r="I2241" s="1788">
        <f t="shared" si="378"/>
        <v>22369</v>
      </c>
      <c r="J2241" s="1788">
        <f t="shared" si="379"/>
        <v>41828.516956018502</v>
      </c>
      <c r="K2241" s="1786">
        <v>0</v>
      </c>
      <c r="L2241" s="1786" t="s">
        <v>1594</v>
      </c>
      <c r="M2241" s="1786" t="s">
        <v>1653</v>
      </c>
      <c r="N2241" s="1786" t="s">
        <v>1653</v>
      </c>
      <c r="O2241" s="1786">
        <v>0</v>
      </c>
      <c r="P2241" s="1786"/>
      <c r="Q2241" s="1786">
        <v>0</v>
      </c>
      <c r="R2241" s="1788"/>
      <c r="S2241" s="1786">
        <f t="shared" si="380"/>
        <v>103</v>
      </c>
      <c r="T2241" s="1786" t="str">
        <f t="shared" si="381"/>
        <v>בנק הפועלים בע"מ</v>
      </c>
      <c r="U2241" s="1786" t="str">
        <f t="shared" si="382"/>
        <v>דש תגמולים</v>
      </c>
      <c r="V2241" s="1786" t="str">
        <f t="shared" si="383"/>
        <v>520043795</v>
      </c>
      <c r="W2241" s="1789" t="str">
        <f t="shared" si="384"/>
        <v>מיטב דש גמל ופנסיה בע"מ</v>
      </c>
      <c r="AC2241" s="1761" t="s">
        <v>1586</v>
      </c>
      <c r="AD2241" s="1762">
        <v>41828.516956018502</v>
      </c>
      <c r="AE2241" s="1762">
        <v>22369</v>
      </c>
      <c r="AF2241" s="1761" t="s">
        <v>1653</v>
      </c>
      <c r="AG2241" s="1761" t="s">
        <v>1653</v>
      </c>
      <c r="AH2241" s="1761" t="s">
        <v>1594</v>
      </c>
      <c r="AI2241" s="1761" t="s">
        <v>2515</v>
      </c>
      <c r="AJ2241" s="1761" t="s">
        <v>2515</v>
      </c>
      <c r="AK2241" s="1761">
        <v>2026</v>
      </c>
      <c r="AL2241" s="1761" t="s">
        <v>350</v>
      </c>
      <c r="AM2241" s="1761">
        <v>103</v>
      </c>
      <c r="AN2241" s="1761" t="s">
        <v>1695</v>
      </c>
      <c r="AO2241" s="1764"/>
      <c r="AP2241" s="1761" t="s">
        <v>5373</v>
      </c>
      <c r="AQ2241" s="1761" t="s">
        <v>5374</v>
      </c>
      <c r="AR2241" s="1761" t="s">
        <v>2899</v>
      </c>
      <c r="AS2241" s="1761" t="s">
        <v>349</v>
      </c>
      <c r="AT2241" s="1761" t="s">
        <v>327</v>
      </c>
      <c r="AU2241" s="1763"/>
      <c r="AV2241" s="1763"/>
    </row>
    <row r="2242" spans="1:48" ht="25" hidden="1">
      <c r="A2242" s="1785" t="str">
        <f t="shared" si="374"/>
        <v>גמל</v>
      </c>
      <c r="B2242" s="1786">
        <f t="shared" si="375"/>
        <v>2027</v>
      </c>
      <c r="C2242" s="1787">
        <v>28946</v>
      </c>
      <c r="D2242" s="1786" t="str">
        <f t="shared" si="376"/>
        <v>דש תגמולים מניות</v>
      </c>
      <c r="E2242" s="1786" t="s">
        <v>3929</v>
      </c>
      <c r="F2242" s="1786" t="s">
        <v>2958</v>
      </c>
      <c r="G2242" s="1786" t="s">
        <v>2959</v>
      </c>
      <c r="H2242" s="1786" t="str">
        <f t="shared" si="377"/>
        <v>לא פעיל</v>
      </c>
      <c r="I2242" s="1788">
        <f t="shared" si="378"/>
        <v>22369</v>
      </c>
      <c r="J2242" s="1788">
        <f t="shared" si="379"/>
        <v>41828.512442129599</v>
      </c>
      <c r="K2242" s="1786">
        <v>0</v>
      </c>
      <c r="L2242" s="1786" t="s">
        <v>1594</v>
      </c>
      <c r="M2242" s="1786" t="s">
        <v>1653</v>
      </c>
      <c r="N2242" s="1786" t="s">
        <v>1653</v>
      </c>
      <c r="O2242" s="1786">
        <v>0</v>
      </c>
      <c r="P2242" s="1786"/>
      <c r="Q2242" s="1786">
        <v>0</v>
      </c>
      <c r="R2242" s="1788"/>
      <c r="S2242" s="1786">
        <f t="shared" si="380"/>
        <v>103</v>
      </c>
      <c r="T2242" s="1786" t="str">
        <f t="shared" si="381"/>
        <v>בנק הפועלים בע"מ</v>
      </c>
      <c r="U2242" s="1786" t="str">
        <f t="shared" si="382"/>
        <v>דש תגמולים</v>
      </c>
      <c r="V2242" s="1786" t="str">
        <f t="shared" si="383"/>
        <v>520043795</v>
      </c>
      <c r="W2242" s="1789" t="str">
        <f t="shared" si="384"/>
        <v>מיטב דש גמל ופנסיה בע"מ</v>
      </c>
      <c r="AC2242" s="1759" t="s">
        <v>1586</v>
      </c>
      <c r="AD2242" s="1760">
        <v>41828.512442129599</v>
      </c>
      <c r="AE2242" s="1760">
        <v>22369</v>
      </c>
      <c r="AF2242" s="1759" t="s">
        <v>1595</v>
      </c>
      <c r="AG2242" s="1759" t="s">
        <v>75</v>
      </c>
      <c r="AH2242" s="1759" t="s">
        <v>1594</v>
      </c>
      <c r="AI2242" s="1759" t="s">
        <v>2516</v>
      </c>
      <c r="AJ2242" s="1759" t="s">
        <v>2516</v>
      </c>
      <c r="AK2242" s="1759">
        <v>2027</v>
      </c>
      <c r="AL2242" s="1759" t="s">
        <v>350</v>
      </c>
      <c r="AM2242" s="1759">
        <v>103</v>
      </c>
      <c r="AN2242" s="1759" t="s">
        <v>1695</v>
      </c>
      <c r="AO2242" s="1764"/>
      <c r="AP2242" s="1759" t="s">
        <v>5373</v>
      </c>
      <c r="AQ2242" s="1759" t="s">
        <v>5374</v>
      </c>
      <c r="AR2242" s="1759" t="s">
        <v>2899</v>
      </c>
      <c r="AS2242" s="1759" t="s">
        <v>349</v>
      </c>
      <c r="AT2242" s="1759" t="s">
        <v>327</v>
      </c>
      <c r="AU2242" s="1763"/>
      <c r="AV2242" s="1763"/>
    </row>
    <row r="2243" spans="1:48" ht="25" hidden="1">
      <c r="A2243" s="1785" t="str">
        <f t="shared" si="374"/>
        <v>גמל</v>
      </c>
      <c r="B2243" s="1786">
        <f t="shared" si="375"/>
        <v>2053</v>
      </c>
      <c r="C2243" s="1787">
        <v>28946</v>
      </c>
      <c r="D2243" s="1786" t="str">
        <f t="shared" si="376"/>
        <v>דש תגמולים חו"ל</v>
      </c>
      <c r="E2243" s="1786" t="s">
        <v>3929</v>
      </c>
      <c r="F2243" s="1786" t="s">
        <v>2958</v>
      </c>
      <c r="G2243" s="1786" t="s">
        <v>2959</v>
      </c>
      <c r="H2243" s="1786" t="str">
        <f t="shared" si="377"/>
        <v>לא פעיל</v>
      </c>
      <c r="I2243" s="1788">
        <f t="shared" si="378"/>
        <v>22369</v>
      </c>
      <c r="J2243" s="1788">
        <f t="shared" si="379"/>
        <v>41828.515659722201</v>
      </c>
      <c r="K2243" s="1786">
        <v>0</v>
      </c>
      <c r="L2243" s="1786" t="s">
        <v>1594</v>
      </c>
      <c r="M2243" s="1786" t="s">
        <v>1653</v>
      </c>
      <c r="N2243" s="1786" t="s">
        <v>1653</v>
      </c>
      <c r="O2243" s="1786">
        <v>0</v>
      </c>
      <c r="P2243" s="1786"/>
      <c r="Q2243" s="1786">
        <v>0</v>
      </c>
      <c r="R2243" s="1788"/>
      <c r="S2243" s="1786">
        <f t="shared" si="380"/>
        <v>103</v>
      </c>
      <c r="T2243" s="1786" t="str">
        <f t="shared" si="381"/>
        <v>בנק הפועלים בע"מ</v>
      </c>
      <c r="U2243" s="1786" t="str">
        <f t="shared" si="382"/>
        <v>דש תגמולים</v>
      </c>
      <c r="V2243" s="1786" t="str">
        <f t="shared" si="383"/>
        <v>520043795</v>
      </c>
      <c r="W2243" s="1789" t="str">
        <f t="shared" si="384"/>
        <v>מיטב דש גמל ופנסיה בע"מ</v>
      </c>
      <c r="AC2243" s="1761" t="s">
        <v>1586</v>
      </c>
      <c r="AD2243" s="1762">
        <v>41828.515659722201</v>
      </c>
      <c r="AE2243" s="1762">
        <v>22369</v>
      </c>
      <c r="AF2243" s="1761" t="s">
        <v>1948</v>
      </c>
      <c r="AG2243" s="1761" t="s">
        <v>1947</v>
      </c>
      <c r="AH2243" s="1761" t="s">
        <v>1594</v>
      </c>
      <c r="AI2243" s="1761" t="s">
        <v>2533</v>
      </c>
      <c r="AJ2243" s="1761" t="s">
        <v>2533</v>
      </c>
      <c r="AK2243" s="1761">
        <v>2053</v>
      </c>
      <c r="AL2243" s="1761" t="s">
        <v>350</v>
      </c>
      <c r="AM2243" s="1761">
        <v>103</v>
      </c>
      <c r="AN2243" s="1761" t="s">
        <v>1695</v>
      </c>
      <c r="AO2243" s="1764"/>
      <c r="AP2243" s="1761" t="s">
        <v>5373</v>
      </c>
      <c r="AQ2243" s="1761" t="s">
        <v>5374</v>
      </c>
      <c r="AR2243" s="1761" t="s">
        <v>2899</v>
      </c>
      <c r="AS2243" s="1761" t="s">
        <v>349</v>
      </c>
      <c r="AT2243" s="1761" t="s">
        <v>327</v>
      </c>
      <c r="AU2243" s="1763"/>
      <c r="AV2243" s="1763"/>
    </row>
    <row r="2244" spans="1:48" ht="25" hidden="1">
      <c r="A2244" s="1785" t="str">
        <f t="shared" si="374"/>
        <v>גמל</v>
      </c>
      <c r="B2244" s="1786">
        <f t="shared" si="375"/>
        <v>2052</v>
      </c>
      <c r="C2244" s="1787">
        <v>28946</v>
      </c>
      <c r="D2244" s="1786" t="str">
        <f t="shared" si="376"/>
        <v>דש תגמולים שקלי קצר</v>
      </c>
      <c r="E2244" s="1786" t="s">
        <v>3929</v>
      </c>
      <c r="F2244" s="1786" t="s">
        <v>2958</v>
      </c>
      <c r="G2244" s="1786" t="s">
        <v>2959</v>
      </c>
      <c r="H2244" s="1786" t="str">
        <f t="shared" si="377"/>
        <v>לא פעיל</v>
      </c>
      <c r="I2244" s="1788">
        <f t="shared" si="378"/>
        <v>22369</v>
      </c>
      <c r="J2244" s="1788">
        <f t="shared" si="379"/>
        <v>41828.511203703703</v>
      </c>
      <c r="K2244" s="1786">
        <v>0</v>
      </c>
      <c r="L2244" s="1786" t="s">
        <v>1594</v>
      </c>
      <c r="M2244" s="1786" t="s">
        <v>1653</v>
      </c>
      <c r="N2244" s="1786" t="s">
        <v>1653</v>
      </c>
      <c r="O2244" s="1786">
        <v>0</v>
      </c>
      <c r="P2244" s="1786"/>
      <c r="Q2244" s="1786">
        <v>0</v>
      </c>
      <c r="R2244" s="1788"/>
      <c r="S2244" s="1786">
        <f t="shared" si="380"/>
        <v>103</v>
      </c>
      <c r="T2244" s="1786" t="str">
        <f t="shared" si="381"/>
        <v>בנק הפועלים בע"מ</v>
      </c>
      <c r="U2244" s="1786" t="str">
        <f t="shared" si="382"/>
        <v>דש תגמולים</v>
      </c>
      <c r="V2244" s="1786" t="str">
        <f t="shared" si="383"/>
        <v>520043795</v>
      </c>
      <c r="W2244" s="1789" t="str">
        <f t="shared" si="384"/>
        <v>מיטב דש גמל ופנסיה בע"מ</v>
      </c>
      <c r="AC2244" s="1759" t="s">
        <v>1586</v>
      </c>
      <c r="AD2244" s="1760">
        <v>41828.511203703703</v>
      </c>
      <c r="AE2244" s="1760">
        <v>22369</v>
      </c>
      <c r="AF2244" s="1759" t="s">
        <v>1673</v>
      </c>
      <c r="AG2244" s="1759" t="s">
        <v>1614</v>
      </c>
      <c r="AH2244" s="1759" t="s">
        <v>1594</v>
      </c>
      <c r="AI2244" s="1759" t="s">
        <v>2532</v>
      </c>
      <c r="AJ2244" s="1759" t="s">
        <v>2532</v>
      </c>
      <c r="AK2244" s="1759">
        <v>2052</v>
      </c>
      <c r="AL2244" s="1759" t="s">
        <v>350</v>
      </c>
      <c r="AM2244" s="1759">
        <v>103</v>
      </c>
      <c r="AN2244" s="1759" t="s">
        <v>1695</v>
      </c>
      <c r="AO2244" s="1764"/>
      <c r="AP2244" s="1759" t="s">
        <v>5373</v>
      </c>
      <c r="AQ2244" s="1759" t="s">
        <v>5374</v>
      </c>
      <c r="AR2244" s="1759" t="s">
        <v>2899</v>
      </c>
      <c r="AS2244" s="1759" t="s">
        <v>349</v>
      </c>
      <c r="AT2244" s="1759" t="s">
        <v>327</v>
      </c>
      <c r="AU2244" s="1763"/>
      <c r="AV2244" s="1763"/>
    </row>
    <row r="2245" spans="1:48" ht="25" hidden="1">
      <c r="A2245" s="1785" t="str">
        <f t="shared" si="374"/>
        <v>גמל</v>
      </c>
      <c r="B2245" s="1786">
        <f t="shared" si="375"/>
        <v>2052</v>
      </c>
      <c r="C2245" s="1787">
        <v>28946</v>
      </c>
      <c r="D2245" s="1786" t="str">
        <f t="shared" si="376"/>
        <v>דש תגמולים שקלי קצר</v>
      </c>
      <c r="E2245" s="1786" t="s">
        <v>3929</v>
      </c>
      <c r="F2245" s="1786" t="s">
        <v>2958</v>
      </c>
      <c r="G2245" s="1786" t="s">
        <v>2959</v>
      </c>
      <c r="H2245" s="1786" t="str">
        <f t="shared" si="377"/>
        <v>לא פעיל</v>
      </c>
      <c r="I2245" s="1788">
        <f t="shared" si="378"/>
        <v>22369</v>
      </c>
      <c r="J2245" s="1788">
        <f t="shared" si="379"/>
        <v>41828.511203703703</v>
      </c>
      <c r="K2245" s="1786">
        <v>0</v>
      </c>
      <c r="L2245" s="1786" t="s">
        <v>1594</v>
      </c>
      <c r="M2245" s="1786" t="s">
        <v>1653</v>
      </c>
      <c r="N2245" s="1786" t="s">
        <v>1653</v>
      </c>
      <c r="O2245" s="1786">
        <v>0</v>
      </c>
      <c r="P2245" s="1786"/>
      <c r="Q2245" s="1786">
        <v>0</v>
      </c>
      <c r="R2245" s="1788"/>
      <c r="S2245" s="1786">
        <f t="shared" si="380"/>
        <v>103</v>
      </c>
      <c r="T2245" s="1786" t="str">
        <f t="shared" si="381"/>
        <v>בנק הפועלים בע"מ</v>
      </c>
      <c r="U2245" s="1786" t="str">
        <f t="shared" si="382"/>
        <v>דש תגמולים</v>
      </c>
      <c r="V2245" s="1786" t="str">
        <f t="shared" si="383"/>
        <v>520043795</v>
      </c>
      <c r="W2245" s="1789" t="str">
        <f t="shared" si="384"/>
        <v>מיטב דש גמל ופנסיה בע"מ</v>
      </c>
      <c r="AC2245" s="1761" t="s">
        <v>1586</v>
      </c>
      <c r="AD2245" s="1762">
        <v>41828.511203703703</v>
      </c>
      <c r="AE2245" s="1762">
        <v>22369</v>
      </c>
      <c r="AF2245" s="1761" t="s">
        <v>1673</v>
      </c>
      <c r="AG2245" s="1761" t="s">
        <v>1614</v>
      </c>
      <c r="AH2245" s="1761" t="s">
        <v>1594</v>
      </c>
      <c r="AI2245" s="1761" t="s">
        <v>2532</v>
      </c>
      <c r="AJ2245" s="1761" t="s">
        <v>2532</v>
      </c>
      <c r="AK2245" s="1761">
        <v>2052</v>
      </c>
      <c r="AL2245" s="1761" t="s">
        <v>350</v>
      </c>
      <c r="AM2245" s="1761">
        <v>103</v>
      </c>
      <c r="AN2245" s="1761" t="s">
        <v>1695</v>
      </c>
      <c r="AO2245" s="1764"/>
      <c r="AP2245" s="1761" t="s">
        <v>5373</v>
      </c>
      <c r="AQ2245" s="1761" t="s">
        <v>5374</v>
      </c>
      <c r="AR2245" s="1761" t="s">
        <v>2899</v>
      </c>
      <c r="AS2245" s="1761" t="s">
        <v>349</v>
      </c>
      <c r="AT2245" s="1761" t="s">
        <v>327</v>
      </c>
      <c r="AU2245" s="1763"/>
      <c r="AV2245" s="1763"/>
    </row>
    <row r="2246" spans="1:48" ht="25" hidden="1">
      <c r="A2246" s="1785" t="str">
        <f t="shared" si="374"/>
        <v>גמל</v>
      </c>
      <c r="B2246" s="1786">
        <f t="shared" si="375"/>
        <v>2053</v>
      </c>
      <c r="C2246" s="1787">
        <v>28946</v>
      </c>
      <c r="D2246" s="1786" t="str">
        <f t="shared" si="376"/>
        <v>דש תגמולים חו"ל</v>
      </c>
      <c r="E2246" s="1786" t="s">
        <v>3929</v>
      </c>
      <c r="F2246" s="1786" t="s">
        <v>2958</v>
      </c>
      <c r="G2246" s="1786" t="s">
        <v>2959</v>
      </c>
      <c r="H2246" s="1786" t="str">
        <f t="shared" si="377"/>
        <v>לא פעיל</v>
      </c>
      <c r="I2246" s="1788">
        <f t="shared" si="378"/>
        <v>22369</v>
      </c>
      <c r="J2246" s="1788">
        <f t="shared" si="379"/>
        <v>41828.515659722201</v>
      </c>
      <c r="K2246" s="1786">
        <v>0</v>
      </c>
      <c r="L2246" s="1786" t="s">
        <v>1594</v>
      </c>
      <c r="M2246" s="1786" t="s">
        <v>1653</v>
      </c>
      <c r="N2246" s="1786" t="s">
        <v>1653</v>
      </c>
      <c r="O2246" s="1786">
        <v>0</v>
      </c>
      <c r="P2246" s="1786"/>
      <c r="Q2246" s="1786">
        <v>0</v>
      </c>
      <c r="R2246" s="1788"/>
      <c r="S2246" s="1786">
        <f t="shared" si="380"/>
        <v>103</v>
      </c>
      <c r="T2246" s="1786" t="str">
        <f t="shared" si="381"/>
        <v>בנק הפועלים בע"מ</v>
      </c>
      <c r="U2246" s="1786" t="str">
        <f t="shared" si="382"/>
        <v>דש תגמולים</v>
      </c>
      <c r="V2246" s="1786" t="str">
        <f t="shared" si="383"/>
        <v>520043795</v>
      </c>
      <c r="W2246" s="1789" t="str">
        <f t="shared" si="384"/>
        <v>מיטב דש גמל ופנסיה בע"מ</v>
      </c>
      <c r="AC2246" s="1759" t="s">
        <v>1586</v>
      </c>
      <c r="AD2246" s="1760">
        <v>41828.515659722201</v>
      </c>
      <c r="AE2246" s="1760">
        <v>22369</v>
      </c>
      <c r="AF2246" s="1759" t="s">
        <v>1948</v>
      </c>
      <c r="AG2246" s="1759" t="s">
        <v>1947</v>
      </c>
      <c r="AH2246" s="1759" t="s">
        <v>1594</v>
      </c>
      <c r="AI2246" s="1759" t="s">
        <v>2533</v>
      </c>
      <c r="AJ2246" s="1759" t="s">
        <v>2533</v>
      </c>
      <c r="AK2246" s="1759">
        <v>2053</v>
      </c>
      <c r="AL2246" s="1759" t="s">
        <v>350</v>
      </c>
      <c r="AM2246" s="1759">
        <v>103</v>
      </c>
      <c r="AN2246" s="1759" t="s">
        <v>1695</v>
      </c>
      <c r="AO2246" s="1764"/>
      <c r="AP2246" s="1759" t="s">
        <v>5373</v>
      </c>
      <c r="AQ2246" s="1759" t="s">
        <v>5374</v>
      </c>
      <c r="AR2246" s="1759" t="s">
        <v>2899</v>
      </c>
      <c r="AS2246" s="1759" t="s">
        <v>349</v>
      </c>
      <c r="AT2246" s="1759" t="s">
        <v>327</v>
      </c>
      <c r="AU2246" s="1763"/>
      <c r="AV2246" s="1763"/>
    </row>
    <row r="2247" spans="1:48" ht="25" hidden="1">
      <c r="A2247" s="1785" t="str">
        <f t="shared" si="374"/>
        <v>גמל</v>
      </c>
      <c r="B2247" s="1786">
        <f t="shared" si="375"/>
        <v>2027</v>
      </c>
      <c r="C2247" s="1787">
        <v>28946</v>
      </c>
      <c r="D2247" s="1786" t="str">
        <f t="shared" si="376"/>
        <v>דש תגמולים מניות</v>
      </c>
      <c r="E2247" s="1786" t="s">
        <v>3929</v>
      </c>
      <c r="F2247" s="1786" t="s">
        <v>2958</v>
      </c>
      <c r="G2247" s="1786" t="s">
        <v>2959</v>
      </c>
      <c r="H2247" s="1786" t="str">
        <f t="shared" si="377"/>
        <v>לא פעיל</v>
      </c>
      <c r="I2247" s="1788">
        <f t="shared" si="378"/>
        <v>22369</v>
      </c>
      <c r="J2247" s="1788">
        <f t="shared" si="379"/>
        <v>41828.512442129599</v>
      </c>
      <c r="K2247" s="1786">
        <v>0</v>
      </c>
      <c r="L2247" s="1786" t="s">
        <v>1594</v>
      </c>
      <c r="M2247" s="1786" t="s">
        <v>1653</v>
      </c>
      <c r="N2247" s="1786" t="s">
        <v>1653</v>
      </c>
      <c r="O2247" s="1786">
        <v>0</v>
      </c>
      <c r="P2247" s="1786"/>
      <c r="Q2247" s="1786">
        <v>0</v>
      </c>
      <c r="R2247" s="1788"/>
      <c r="S2247" s="1786">
        <f t="shared" si="380"/>
        <v>103</v>
      </c>
      <c r="T2247" s="1786" t="str">
        <f t="shared" si="381"/>
        <v>בנק הפועלים בע"מ</v>
      </c>
      <c r="U2247" s="1786" t="str">
        <f t="shared" si="382"/>
        <v>דש תגמולים</v>
      </c>
      <c r="V2247" s="1786" t="str">
        <f t="shared" si="383"/>
        <v>520043795</v>
      </c>
      <c r="W2247" s="1789" t="str">
        <f t="shared" si="384"/>
        <v>מיטב דש גמל ופנסיה בע"מ</v>
      </c>
      <c r="AC2247" s="1761" t="s">
        <v>1586</v>
      </c>
      <c r="AD2247" s="1762">
        <v>41828.512442129599</v>
      </c>
      <c r="AE2247" s="1762">
        <v>22369</v>
      </c>
      <c r="AF2247" s="1761" t="s">
        <v>1595</v>
      </c>
      <c r="AG2247" s="1761" t="s">
        <v>75</v>
      </c>
      <c r="AH2247" s="1761" t="s">
        <v>1594</v>
      </c>
      <c r="AI2247" s="1761" t="s">
        <v>2516</v>
      </c>
      <c r="AJ2247" s="1761" t="s">
        <v>2516</v>
      </c>
      <c r="AK2247" s="1761">
        <v>2027</v>
      </c>
      <c r="AL2247" s="1761" t="s">
        <v>350</v>
      </c>
      <c r="AM2247" s="1761">
        <v>103</v>
      </c>
      <c r="AN2247" s="1761" t="s">
        <v>1695</v>
      </c>
      <c r="AO2247" s="1764"/>
      <c r="AP2247" s="1761" t="s">
        <v>5373</v>
      </c>
      <c r="AQ2247" s="1761" t="s">
        <v>5374</v>
      </c>
      <c r="AR2247" s="1761" t="s">
        <v>2899</v>
      </c>
      <c r="AS2247" s="1761" t="s">
        <v>349</v>
      </c>
      <c r="AT2247" s="1761" t="s">
        <v>327</v>
      </c>
      <c r="AU2247" s="1763"/>
      <c r="AV2247" s="1763"/>
    </row>
    <row r="2248" spans="1:48" ht="25" hidden="1">
      <c r="A2248" s="1785" t="str">
        <f t="shared" si="374"/>
        <v>גמל</v>
      </c>
      <c r="B2248" s="1786">
        <f t="shared" si="375"/>
        <v>12088</v>
      </c>
      <c r="C2248" s="1787">
        <v>28946</v>
      </c>
      <c r="D2248" s="1786" t="str">
        <f t="shared" si="376"/>
        <v>אקסלנס גמל חו"ל</v>
      </c>
      <c r="E2248" s="1786" t="s">
        <v>3929</v>
      </c>
      <c r="F2248" s="1786" t="s">
        <v>2958</v>
      </c>
      <c r="G2248" s="1786" t="s">
        <v>2959</v>
      </c>
      <c r="H2248" s="1786" t="str">
        <f t="shared" si="377"/>
        <v>פעיל</v>
      </c>
      <c r="I2248" s="1788">
        <f t="shared" si="378"/>
        <v>23161</v>
      </c>
      <c r="J2248" s="1788" t="str">
        <f t="shared" si="379"/>
        <v/>
      </c>
      <c r="K2248" s="1786">
        <v>0</v>
      </c>
      <c r="L2248" s="1786" t="s">
        <v>1594</v>
      </c>
      <c r="M2248" s="1786" t="s">
        <v>1653</v>
      </c>
      <c r="N2248" s="1786" t="s">
        <v>1653</v>
      </c>
      <c r="O2248" s="1786">
        <v>0</v>
      </c>
      <c r="P2248" s="1786"/>
      <c r="Q2248" s="1786">
        <v>0</v>
      </c>
      <c r="R2248" s="1788"/>
      <c r="S2248" s="1786">
        <f t="shared" si="380"/>
        <v>102</v>
      </c>
      <c r="T2248" s="1786" t="str">
        <f t="shared" si="381"/>
        <v>בנק מזרחי טפחות בע"מ</v>
      </c>
      <c r="U2248" s="1786" t="str">
        <f t="shared" si="382"/>
        <v xml:space="preserve">אקסלנס גמל </v>
      </c>
      <c r="V2248" s="1786" t="str">
        <f t="shared" si="383"/>
        <v>520017450</v>
      </c>
      <c r="W2248" s="1789" t="str">
        <f t="shared" si="384"/>
        <v xml:space="preserve">הפניקס אקסלנס פנסיה וגמל בע"מ </v>
      </c>
      <c r="AC2248" s="1759" t="s">
        <v>346</v>
      </c>
      <c r="AD2248" s="1759"/>
      <c r="AE2248" s="1760">
        <v>23161</v>
      </c>
      <c r="AF2248" s="1759" t="s">
        <v>1948</v>
      </c>
      <c r="AG2248" s="1759" t="s">
        <v>1948</v>
      </c>
      <c r="AH2248" s="1759" t="s">
        <v>1594</v>
      </c>
      <c r="AI2248" s="1759" t="s">
        <v>2550</v>
      </c>
      <c r="AJ2248" s="1759" t="s">
        <v>2550</v>
      </c>
      <c r="AK2248" s="1759">
        <v>12088</v>
      </c>
      <c r="AL2248" s="1759" t="s">
        <v>3011</v>
      </c>
      <c r="AM2248" s="1759">
        <v>102</v>
      </c>
      <c r="AN2248" s="1759" t="s">
        <v>5370</v>
      </c>
      <c r="AO2248" s="1764"/>
      <c r="AP2248" s="1759" t="s">
        <v>5379</v>
      </c>
      <c r="AQ2248" s="1759" t="s">
        <v>5380</v>
      </c>
      <c r="AR2248" s="1759" t="s">
        <v>5381</v>
      </c>
      <c r="AS2248" s="1759" t="s">
        <v>347</v>
      </c>
      <c r="AT2248" s="1759" t="s">
        <v>327</v>
      </c>
      <c r="AU2248" s="1763"/>
      <c r="AV2248" s="1763"/>
    </row>
    <row r="2249" spans="1:48" ht="25" hidden="1">
      <c r="A2249" s="1785" t="str">
        <f t="shared" si="374"/>
        <v>גמל</v>
      </c>
      <c r="B2249" s="1786">
        <f t="shared" si="375"/>
        <v>265</v>
      </c>
      <c r="C2249" s="1787">
        <v>28946</v>
      </c>
      <c r="D2249" s="1786" t="str">
        <f t="shared" si="376"/>
        <v>אקסלנס גמל פלטינום עד 15% מניות</v>
      </c>
      <c r="E2249" s="1786" t="s">
        <v>3929</v>
      </c>
      <c r="F2249" s="1786" t="s">
        <v>2958</v>
      </c>
      <c r="G2249" s="1786" t="s">
        <v>2959</v>
      </c>
      <c r="H2249" s="1786" t="str">
        <f t="shared" si="377"/>
        <v>לא פעיל</v>
      </c>
      <c r="I2249" s="1788">
        <f t="shared" si="378"/>
        <v>23161</v>
      </c>
      <c r="J2249" s="1788">
        <f t="shared" si="379"/>
        <v>41654.5914583333</v>
      </c>
      <c r="K2249" s="1786">
        <v>0</v>
      </c>
      <c r="L2249" s="1786" t="s">
        <v>1594</v>
      </c>
      <c r="M2249" s="1786" t="s">
        <v>1653</v>
      </c>
      <c r="N2249" s="1786" t="s">
        <v>1653</v>
      </c>
      <c r="O2249" s="1786">
        <v>0</v>
      </c>
      <c r="P2249" s="1786"/>
      <c r="Q2249" s="1786">
        <v>0</v>
      </c>
      <c r="R2249" s="1788"/>
      <c r="S2249" s="1786">
        <f t="shared" si="380"/>
        <v>102</v>
      </c>
      <c r="T2249" s="1786" t="str">
        <f t="shared" si="381"/>
        <v>בנק מזרחי טפחות בע"מ</v>
      </c>
      <c r="U2249" s="1786" t="str">
        <f t="shared" si="382"/>
        <v xml:space="preserve">אקסלנס גמל פלטינום </v>
      </c>
      <c r="V2249" s="1786" t="str">
        <f t="shared" si="383"/>
        <v>520017450</v>
      </c>
      <c r="W2249" s="1789" t="str">
        <f t="shared" si="384"/>
        <v xml:space="preserve">הפניקס אקסלנס פנסיה וגמל בע"מ </v>
      </c>
      <c r="AC2249" s="1761" t="s">
        <v>1586</v>
      </c>
      <c r="AD2249" s="1762">
        <v>41654.5914583333</v>
      </c>
      <c r="AE2249" s="1762">
        <v>23161</v>
      </c>
      <c r="AF2249" s="1761" t="s">
        <v>1583</v>
      </c>
      <c r="AG2249" s="1761" t="s">
        <v>1583</v>
      </c>
      <c r="AH2249" s="1761" t="s">
        <v>1583</v>
      </c>
      <c r="AI2249" s="1761" t="s">
        <v>1708</v>
      </c>
      <c r="AJ2249" s="1761" t="s">
        <v>1708</v>
      </c>
      <c r="AK2249" s="1761">
        <v>265</v>
      </c>
      <c r="AL2249" s="1761" t="s">
        <v>348</v>
      </c>
      <c r="AM2249" s="1761">
        <v>102</v>
      </c>
      <c r="AN2249" s="1761" t="s">
        <v>5370</v>
      </c>
      <c r="AO2249" s="1764"/>
      <c r="AP2249" s="1761" t="s">
        <v>5379</v>
      </c>
      <c r="AQ2249" s="1761" t="s">
        <v>5380</v>
      </c>
      <c r="AR2249" s="1761" t="s">
        <v>5381</v>
      </c>
      <c r="AS2249" s="1761" t="s">
        <v>347</v>
      </c>
      <c r="AT2249" s="1761" t="s">
        <v>327</v>
      </c>
      <c r="AU2249" s="1763"/>
      <c r="AV2249" s="1763"/>
    </row>
    <row r="2250" spans="1:48" ht="25" hidden="1">
      <c r="A2250" s="1785" t="str">
        <f t="shared" si="374"/>
        <v>גמל</v>
      </c>
      <c r="B2250" s="1786">
        <f t="shared" si="375"/>
        <v>8625</v>
      </c>
      <c r="C2250" s="1787">
        <v>28946</v>
      </c>
      <c r="D2250" s="1786" t="str">
        <f t="shared" si="376"/>
        <v xml:space="preserve">אקסלנס קסם גמל מחקה מדדים </v>
      </c>
      <c r="E2250" s="1786" t="s">
        <v>3929</v>
      </c>
      <c r="F2250" s="1786" t="s">
        <v>2958</v>
      </c>
      <c r="G2250" s="1786" t="s">
        <v>2959</v>
      </c>
      <c r="H2250" s="1786" t="str">
        <f t="shared" si="377"/>
        <v>לא פעיל</v>
      </c>
      <c r="I2250" s="1788">
        <f t="shared" si="378"/>
        <v>23161</v>
      </c>
      <c r="J2250" s="1788">
        <f t="shared" si="379"/>
        <v>42370.796493055597</v>
      </c>
      <c r="K2250" s="1786">
        <v>0</v>
      </c>
      <c r="L2250" s="1786" t="s">
        <v>1594</v>
      </c>
      <c r="M2250" s="1786" t="s">
        <v>1653</v>
      </c>
      <c r="N2250" s="1786" t="s">
        <v>1653</v>
      </c>
      <c r="O2250" s="1786">
        <v>0</v>
      </c>
      <c r="P2250" s="1786"/>
      <c r="Q2250" s="1786">
        <v>0</v>
      </c>
      <c r="R2250" s="1788"/>
      <c r="S2250" s="1786">
        <f t="shared" si="380"/>
        <v>102</v>
      </c>
      <c r="T2250" s="1786" t="str">
        <f t="shared" si="381"/>
        <v>בנק מזרחי טפחות בע"מ</v>
      </c>
      <c r="U2250" s="1786" t="str">
        <f t="shared" si="382"/>
        <v xml:space="preserve">אקסלנס גמל </v>
      </c>
      <c r="V2250" s="1786" t="str">
        <f t="shared" si="383"/>
        <v>520017450</v>
      </c>
      <c r="W2250" s="1789" t="str">
        <f t="shared" si="384"/>
        <v xml:space="preserve">הפניקס אקסלנס פנסיה וגמל בע"מ </v>
      </c>
      <c r="AC2250" s="1759" t="s">
        <v>1586</v>
      </c>
      <c r="AD2250" s="1760">
        <v>42370.796493055597</v>
      </c>
      <c r="AE2250" s="1760">
        <v>23161</v>
      </c>
      <c r="AF2250" s="1759" t="s">
        <v>3959</v>
      </c>
      <c r="AG2250" s="1759" t="s">
        <v>1583</v>
      </c>
      <c r="AH2250" s="1759" t="s">
        <v>1583</v>
      </c>
      <c r="AI2250" s="1759" t="s">
        <v>2936</v>
      </c>
      <c r="AJ2250" s="1759" t="s">
        <v>2936</v>
      </c>
      <c r="AK2250" s="1759">
        <v>8625</v>
      </c>
      <c r="AL2250" s="1759" t="s">
        <v>3011</v>
      </c>
      <c r="AM2250" s="1759">
        <v>102</v>
      </c>
      <c r="AN2250" s="1759" t="s">
        <v>5370</v>
      </c>
      <c r="AO2250" s="1764"/>
      <c r="AP2250" s="1759" t="s">
        <v>5379</v>
      </c>
      <c r="AQ2250" s="1759" t="s">
        <v>5380</v>
      </c>
      <c r="AR2250" s="1759" t="s">
        <v>5381</v>
      </c>
      <c r="AS2250" s="1759" t="s">
        <v>347</v>
      </c>
      <c r="AT2250" s="1759" t="s">
        <v>327</v>
      </c>
      <c r="AU2250" s="1763"/>
      <c r="AV2250" s="1763"/>
    </row>
    <row r="2251" spans="1:48" ht="25" hidden="1">
      <c r="A2251" s="1785" t="str">
        <f t="shared" si="374"/>
        <v>גמל</v>
      </c>
      <c r="B2251" s="1786">
        <f t="shared" si="375"/>
        <v>8626</v>
      </c>
      <c r="C2251" s="1787">
        <v>28946</v>
      </c>
      <c r="D2251" s="1786" t="str">
        <f t="shared" si="376"/>
        <v>אקסלנס גמל פאסיבי- מדדי מניות</v>
      </c>
      <c r="E2251" s="1786" t="s">
        <v>3929</v>
      </c>
      <c r="F2251" s="1786" t="s">
        <v>2958</v>
      </c>
      <c r="G2251" s="1786" t="s">
        <v>2959</v>
      </c>
      <c r="H2251" s="1786" t="str">
        <f t="shared" si="377"/>
        <v>פעיל</v>
      </c>
      <c r="I2251" s="1788">
        <f t="shared" si="378"/>
        <v>23161</v>
      </c>
      <c r="J2251" s="1788" t="str">
        <f t="shared" si="379"/>
        <v/>
      </c>
      <c r="K2251" s="1786">
        <v>0</v>
      </c>
      <c r="L2251" s="1786" t="s">
        <v>1594</v>
      </c>
      <c r="M2251" s="1786" t="s">
        <v>1653</v>
      </c>
      <c r="N2251" s="1786" t="s">
        <v>1653</v>
      </c>
      <c r="O2251" s="1786">
        <v>0</v>
      </c>
      <c r="P2251" s="1786"/>
      <c r="Q2251" s="1786">
        <v>0</v>
      </c>
      <c r="R2251" s="1788"/>
      <c r="S2251" s="1786">
        <f t="shared" si="380"/>
        <v>102</v>
      </c>
      <c r="T2251" s="1786" t="str">
        <f t="shared" si="381"/>
        <v>בנק מזרחי טפחות בע"מ</v>
      </c>
      <c r="U2251" s="1786" t="str">
        <f t="shared" si="382"/>
        <v xml:space="preserve">אקסלנס גמל </v>
      </c>
      <c r="V2251" s="1786" t="str">
        <f t="shared" si="383"/>
        <v>520017450</v>
      </c>
      <c r="W2251" s="1789" t="str">
        <f t="shared" si="384"/>
        <v xml:space="preserve">הפניקס אקסלנס פנסיה וגמל בע"מ </v>
      </c>
      <c r="AC2251" s="1761" t="s">
        <v>346</v>
      </c>
      <c r="AD2251" s="1761"/>
      <c r="AE2251" s="1762">
        <v>23161</v>
      </c>
      <c r="AF2251" s="1761" t="s">
        <v>3959</v>
      </c>
      <c r="AG2251" s="1761" t="s">
        <v>75</v>
      </c>
      <c r="AH2251" s="1761" t="s">
        <v>1594</v>
      </c>
      <c r="AI2251" s="1761" t="s">
        <v>4251</v>
      </c>
      <c r="AJ2251" s="1761" t="s">
        <v>4251</v>
      </c>
      <c r="AK2251" s="1761">
        <v>8626</v>
      </c>
      <c r="AL2251" s="1761" t="s">
        <v>3011</v>
      </c>
      <c r="AM2251" s="1761">
        <v>102</v>
      </c>
      <c r="AN2251" s="1761" t="s">
        <v>5370</v>
      </c>
      <c r="AO2251" s="1764"/>
      <c r="AP2251" s="1761" t="s">
        <v>5379</v>
      </c>
      <c r="AQ2251" s="1761" t="s">
        <v>5380</v>
      </c>
      <c r="AR2251" s="1761" t="s">
        <v>5381</v>
      </c>
      <c r="AS2251" s="1761" t="s">
        <v>347</v>
      </c>
      <c r="AT2251" s="1761" t="s">
        <v>327</v>
      </c>
      <c r="AU2251" s="1763"/>
      <c r="AV2251" s="1763"/>
    </row>
    <row r="2252" spans="1:48" ht="25" hidden="1">
      <c r="A2252" s="1785" t="str">
        <f t="shared" si="374"/>
        <v>גמל</v>
      </c>
      <c r="B2252" s="1786">
        <f t="shared" si="375"/>
        <v>8627</v>
      </c>
      <c r="C2252" s="1787">
        <v>28946</v>
      </c>
      <c r="D2252" s="1786" t="str">
        <f t="shared" si="376"/>
        <v>אקסלנס גמל פאסיבי-מדדי אג"ח</v>
      </c>
      <c r="E2252" s="1786" t="s">
        <v>3929</v>
      </c>
      <c r="F2252" s="1786" t="s">
        <v>2958</v>
      </c>
      <c r="G2252" s="1786" t="s">
        <v>2959</v>
      </c>
      <c r="H2252" s="1786" t="str">
        <f t="shared" si="377"/>
        <v>לא פעיל</v>
      </c>
      <c r="I2252" s="1788">
        <f t="shared" si="378"/>
        <v>23161</v>
      </c>
      <c r="J2252" s="1788">
        <f t="shared" si="379"/>
        <v>43107.597083333298</v>
      </c>
      <c r="K2252" s="1786">
        <v>0</v>
      </c>
      <c r="L2252" s="1786" t="s">
        <v>1594</v>
      </c>
      <c r="M2252" s="1786" t="s">
        <v>1653</v>
      </c>
      <c r="N2252" s="1786" t="s">
        <v>1653</v>
      </c>
      <c r="O2252" s="1786">
        <v>0</v>
      </c>
      <c r="P2252" s="1786"/>
      <c r="Q2252" s="1786">
        <v>0</v>
      </c>
      <c r="R2252" s="1788"/>
      <c r="S2252" s="1786">
        <f t="shared" si="380"/>
        <v>102</v>
      </c>
      <c r="T2252" s="1786" t="str">
        <f t="shared" si="381"/>
        <v>בנק מזרחי טפחות בע"מ</v>
      </c>
      <c r="U2252" s="1786" t="str">
        <f t="shared" si="382"/>
        <v xml:space="preserve">אקסלנס גמל </v>
      </c>
      <c r="V2252" s="1786" t="str">
        <f t="shared" si="383"/>
        <v>520017450</v>
      </c>
      <c r="W2252" s="1789" t="str">
        <f t="shared" si="384"/>
        <v xml:space="preserve">הפניקס אקסלנס פנסיה וגמל בע"מ </v>
      </c>
      <c r="AC2252" s="1759" t="s">
        <v>1586</v>
      </c>
      <c r="AD2252" s="1760">
        <v>43107.597083333298</v>
      </c>
      <c r="AE2252" s="1760">
        <v>23161</v>
      </c>
      <c r="AF2252" s="1759" t="s">
        <v>3959</v>
      </c>
      <c r="AG2252" s="1759" t="s">
        <v>1653</v>
      </c>
      <c r="AH2252" s="1759" t="s">
        <v>1594</v>
      </c>
      <c r="AI2252" s="1759" t="s">
        <v>4252</v>
      </c>
      <c r="AJ2252" s="1759" t="s">
        <v>4252</v>
      </c>
      <c r="AK2252" s="1759">
        <v>8627</v>
      </c>
      <c r="AL2252" s="1759" t="s">
        <v>3011</v>
      </c>
      <c r="AM2252" s="1759">
        <v>102</v>
      </c>
      <c r="AN2252" s="1759" t="s">
        <v>5370</v>
      </c>
      <c r="AO2252" s="1764"/>
      <c r="AP2252" s="1759" t="s">
        <v>5379</v>
      </c>
      <c r="AQ2252" s="1759" t="s">
        <v>5380</v>
      </c>
      <c r="AR2252" s="1759" t="s">
        <v>5381</v>
      </c>
      <c r="AS2252" s="1759" t="s">
        <v>347</v>
      </c>
      <c r="AT2252" s="1759" t="s">
        <v>327</v>
      </c>
      <c r="AU2252" s="1763"/>
      <c r="AV2252" s="1763"/>
    </row>
    <row r="2253" spans="1:48" ht="25" hidden="1">
      <c r="A2253" s="1785" t="str">
        <f t="shared" si="374"/>
        <v>גמל</v>
      </c>
      <c r="B2253" s="1786">
        <f t="shared" si="375"/>
        <v>9529</v>
      </c>
      <c r="C2253" s="1787">
        <v>28946</v>
      </c>
      <c r="D2253" s="1786" t="str">
        <f t="shared" si="376"/>
        <v xml:space="preserve">אקסלנס גמל מסלול לבני 50 עד 60 </v>
      </c>
      <c r="E2253" s="1786" t="s">
        <v>3929</v>
      </c>
      <c r="F2253" s="1786" t="s">
        <v>2958</v>
      </c>
      <c r="G2253" s="1786" t="s">
        <v>2959</v>
      </c>
      <c r="H2253" s="1786" t="str">
        <f t="shared" si="377"/>
        <v>פעיל</v>
      </c>
      <c r="I2253" s="1788">
        <f t="shared" si="378"/>
        <v>23161</v>
      </c>
      <c r="J2253" s="1788" t="str">
        <f t="shared" si="379"/>
        <v/>
      </c>
      <c r="K2253" s="1786">
        <v>0</v>
      </c>
      <c r="L2253" s="1786" t="s">
        <v>1594</v>
      </c>
      <c r="M2253" s="1786" t="s">
        <v>1653</v>
      </c>
      <c r="N2253" s="1786" t="s">
        <v>1653</v>
      </c>
      <c r="O2253" s="1786">
        <v>0</v>
      </c>
      <c r="P2253" s="1786"/>
      <c r="Q2253" s="1786">
        <v>0</v>
      </c>
      <c r="R2253" s="1788"/>
      <c r="S2253" s="1786">
        <f t="shared" si="380"/>
        <v>102</v>
      </c>
      <c r="T2253" s="1786" t="str">
        <f t="shared" si="381"/>
        <v>בנק מזרחי טפחות בע"מ</v>
      </c>
      <c r="U2253" s="1786" t="str">
        <f t="shared" si="382"/>
        <v xml:space="preserve">אקסלנס גמל </v>
      </c>
      <c r="V2253" s="1786" t="str">
        <f t="shared" si="383"/>
        <v>520017450</v>
      </c>
      <c r="W2253" s="1789" t="str">
        <f t="shared" si="384"/>
        <v xml:space="preserve">הפניקס אקסלנס פנסיה וגמל בע"מ </v>
      </c>
      <c r="AC2253" s="1761" t="s">
        <v>346</v>
      </c>
      <c r="AD2253" s="1761"/>
      <c r="AE2253" s="1762">
        <v>23161</v>
      </c>
      <c r="AF2253" s="1761" t="s">
        <v>3932</v>
      </c>
      <c r="AG2253" s="1761" t="s">
        <v>3931</v>
      </c>
      <c r="AH2253" s="1761" t="s">
        <v>3658</v>
      </c>
      <c r="AI2253" s="1761" t="s">
        <v>5796</v>
      </c>
      <c r="AJ2253" s="1761" t="s">
        <v>5796</v>
      </c>
      <c r="AK2253" s="1761">
        <v>9529</v>
      </c>
      <c r="AL2253" s="1761" t="s">
        <v>3011</v>
      </c>
      <c r="AM2253" s="1761">
        <v>102</v>
      </c>
      <c r="AN2253" s="1761" t="s">
        <v>5370</v>
      </c>
      <c r="AO2253" s="1764"/>
      <c r="AP2253" s="1761" t="s">
        <v>5379</v>
      </c>
      <c r="AQ2253" s="1761" t="s">
        <v>5380</v>
      </c>
      <c r="AR2253" s="1761" t="s">
        <v>5381</v>
      </c>
      <c r="AS2253" s="1761" t="s">
        <v>347</v>
      </c>
      <c r="AT2253" s="1761" t="s">
        <v>327</v>
      </c>
      <c r="AU2253" s="1763"/>
      <c r="AV2253" s="1763"/>
    </row>
    <row r="2254" spans="1:48" ht="25" hidden="1">
      <c r="A2254" s="1785" t="str">
        <f t="shared" si="374"/>
        <v>גמל</v>
      </c>
      <c r="B2254" s="1786">
        <f t="shared" si="375"/>
        <v>9905</v>
      </c>
      <c r="C2254" s="1787">
        <v>28946</v>
      </c>
      <c r="D2254" s="1786" t="str">
        <f t="shared" si="376"/>
        <v>אקסלנס גמל פאסיבי לבני 50 ומטה</v>
      </c>
      <c r="E2254" s="1786" t="s">
        <v>3929</v>
      </c>
      <c r="F2254" s="1786" t="s">
        <v>2958</v>
      </c>
      <c r="G2254" s="1786" t="s">
        <v>2959</v>
      </c>
      <c r="H2254" s="1786" t="str">
        <f t="shared" si="377"/>
        <v>פעיל</v>
      </c>
      <c r="I2254" s="1788">
        <f t="shared" si="378"/>
        <v>23161</v>
      </c>
      <c r="J2254" s="1788" t="str">
        <f t="shared" si="379"/>
        <v/>
      </c>
      <c r="K2254" s="1786">
        <v>0</v>
      </c>
      <c r="L2254" s="1786" t="s">
        <v>1594</v>
      </c>
      <c r="M2254" s="1786" t="s">
        <v>1653</v>
      </c>
      <c r="N2254" s="1786" t="s">
        <v>1653</v>
      </c>
      <c r="O2254" s="1786">
        <v>0</v>
      </c>
      <c r="P2254" s="1786"/>
      <c r="Q2254" s="1786">
        <v>0</v>
      </c>
      <c r="R2254" s="1788"/>
      <c r="S2254" s="1786">
        <f t="shared" si="380"/>
        <v>102</v>
      </c>
      <c r="T2254" s="1786" t="str">
        <f t="shared" si="381"/>
        <v>בנק מזרחי טפחות בע"מ</v>
      </c>
      <c r="U2254" s="1786" t="str">
        <f t="shared" si="382"/>
        <v xml:space="preserve">אקסלנס גמל </v>
      </c>
      <c r="V2254" s="1786" t="str">
        <f t="shared" si="383"/>
        <v>520017450</v>
      </c>
      <c r="W2254" s="1789" t="str">
        <f t="shared" si="384"/>
        <v xml:space="preserve">הפניקס אקסלנס פנסיה וגמל בע"מ </v>
      </c>
      <c r="AC2254" s="1759" t="s">
        <v>346</v>
      </c>
      <c r="AD2254" s="1759"/>
      <c r="AE2254" s="1760">
        <v>23161</v>
      </c>
      <c r="AF2254" s="1759" t="s">
        <v>4151</v>
      </c>
      <c r="AG2254" s="1759" t="s">
        <v>3931</v>
      </c>
      <c r="AH2254" s="1759" t="s">
        <v>3658</v>
      </c>
      <c r="AI2254" s="1759" t="s">
        <v>5797</v>
      </c>
      <c r="AJ2254" s="1759" t="s">
        <v>5797</v>
      </c>
      <c r="AK2254" s="1759">
        <v>9905</v>
      </c>
      <c r="AL2254" s="1759" t="s">
        <v>3011</v>
      </c>
      <c r="AM2254" s="1759">
        <v>102</v>
      </c>
      <c r="AN2254" s="1759" t="s">
        <v>5370</v>
      </c>
      <c r="AO2254" s="1764"/>
      <c r="AP2254" s="1759" t="s">
        <v>5379</v>
      </c>
      <c r="AQ2254" s="1759" t="s">
        <v>5380</v>
      </c>
      <c r="AR2254" s="1759" t="s">
        <v>5381</v>
      </c>
      <c r="AS2254" s="1759" t="s">
        <v>347</v>
      </c>
      <c r="AT2254" s="1759" t="s">
        <v>327</v>
      </c>
      <c r="AU2254" s="1763"/>
      <c r="AV2254" s="1763"/>
    </row>
    <row r="2255" spans="1:48" ht="25" hidden="1">
      <c r="A2255" s="1785" t="str">
        <f t="shared" si="374"/>
        <v>גמל</v>
      </c>
      <c r="B2255" s="1786">
        <f t="shared" si="375"/>
        <v>9906</v>
      </c>
      <c r="C2255" s="1787">
        <v>28946</v>
      </c>
      <c r="D2255" s="1786" t="str">
        <f t="shared" si="376"/>
        <v>אקסלנס גמל שיקלי טווח קצר</v>
      </c>
      <c r="E2255" s="1786" t="s">
        <v>3929</v>
      </c>
      <c r="F2255" s="1786" t="s">
        <v>2958</v>
      </c>
      <c r="G2255" s="1786" t="s">
        <v>2959</v>
      </c>
      <c r="H2255" s="1786" t="str">
        <f t="shared" si="377"/>
        <v>פעיל</v>
      </c>
      <c r="I2255" s="1788">
        <f t="shared" si="378"/>
        <v>23161</v>
      </c>
      <c r="J2255" s="1788" t="str">
        <f t="shared" si="379"/>
        <v/>
      </c>
      <c r="K2255" s="1786">
        <v>0</v>
      </c>
      <c r="L2255" s="1786" t="s">
        <v>1594</v>
      </c>
      <c r="M2255" s="1786" t="s">
        <v>1653</v>
      </c>
      <c r="N2255" s="1786" t="s">
        <v>1653</v>
      </c>
      <c r="O2255" s="1786">
        <v>0</v>
      </c>
      <c r="P2255" s="1786"/>
      <c r="Q2255" s="1786">
        <v>0</v>
      </c>
      <c r="R2255" s="1788"/>
      <c r="S2255" s="1786">
        <f t="shared" si="380"/>
        <v>102</v>
      </c>
      <c r="T2255" s="1786" t="str">
        <f t="shared" si="381"/>
        <v>בנק מזרחי טפחות בע"מ</v>
      </c>
      <c r="U2255" s="1786" t="str">
        <f t="shared" si="382"/>
        <v xml:space="preserve">אקסלנס גמל </v>
      </c>
      <c r="V2255" s="1786" t="str">
        <f t="shared" si="383"/>
        <v>520017450</v>
      </c>
      <c r="W2255" s="1789" t="str">
        <f t="shared" si="384"/>
        <v xml:space="preserve">הפניקס אקסלנס פנסיה וגמל בע"מ </v>
      </c>
      <c r="AC2255" s="1761" t="s">
        <v>346</v>
      </c>
      <c r="AD2255" s="1761"/>
      <c r="AE2255" s="1762">
        <v>23161</v>
      </c>
      <c r="AF2255" s="1761" t="s">
        <v>1673</v>
      </c>
      <c r="AG2255" s="1761" t="s">
        <v>1614</v>
      </c>
      <c r="AH2255" s="1761" t="s">
        <v>1594</v>
      </c>
      <c r="AI2255" s="1761" t="s">
        <v>4440</v>
      </c>
      <c r="AJ2255" s="1761" t="s">
        <v>4440</v>
      </c>
      <c r="AK2255" s="1761">
        <v>9906</v>
      </c>
      <c r="AL2255" s="1761" t="s">
        <v>3011</v>
      </c>
      <c r="AM2255" s="1761">
        <v>102</v>
      </c>
      <c r="AN2255" s="1761" t="s">
        <v>5370</v>
      </c>
      <c r="AO2255" s="1764"/>
      <c r="AP2255" s="1761" t="s">
        <v>5379</v>
      </c>
      <c r="AQ2255" s="1761" t="s">
        <v>5380</v>
      </c>
      <c r="AR2255" s="1761" t="s">
        <v>5381</v>
      </c>
      <c r="AS2255" s="1761" t="s">
        <v>347</v>
      </c>
      <c r="AT2255" s="1761" t="s">
        <v>327</v>
      </c>
      <c r="AU2255" s="1763"/>
      <c r="AV2255" s="1763"/>
    </row>
    <row r="2256" spans="1:48" ht="25" hidden="1">
      <c r="A2256" s="1785" t="str">
        <f t="shared" si="374"/>
        <v>גמל</v>
      </c>
      <c r="B2256" s="1786">
        <f t="shared" si="375"/>
        <v>9916</v>
      </c>
      <c r="C2256" s="1787">
        <v>28946</v>
      </c>
      <c r="D2256" s="1786" t="str">
        <f t="shared" si="376"/>
        <v>אקסלנס גמל לבני 50 ומטה</v>
      </c>
      <c r="E2256" s="1786" t="s">
        <v>3929</v>
      </c>
      <c r="F2256" s="1786" t="s">
        <v>2958</v>
      </c>
      <c r="G2256" s="1786" t="s">
        <v>2959</v>
      </c>
      <c r="H2256" s="1786" t="str">
        <f t="shared" si="377"/>
        <v>פעיל</v>
      </c>
      <c r="I2256" s="1788">
        <f t="shared" si="378"/>
        <v>23161</v>
      </c>
      <c r="J2256" s="1788" t="str">
        <f t="shared" si="379"/>
        <v/>
      </c>
      <c r="K2256" s="1786">
        <v>0</v>
      </c>
      <c r="L2256" s="1786" t="s">
        <v>1594</v>
      </c>
      <c r="M2256" s="1786" t="s">
        <v>1653</v>
      </c>
      <c r="N2256" s="1786" t="s">
        <v>1653</v>
      </c>
      <c r="O2256" s="1786">
        <v>0</v>
      </c>
      <c r="P2256" s="1786"/>
      <c r="Q2256" s="1786">
        <v>0</v>
      </c>
      <c r="R2256" s="1788"/>
      <c r="S2256" s="1786">
        <f t="shared" si="380"/>
        <v>102</v>
      </c>
      <c r="T2256" s="1786" t="str">
        <f t="shared" si="381"/>
        <v>בנק מזרחי טפחות בע"מ</v>
      </c>
      <c r="U2256" s="1786" t="str">
        <f t="shared" si="382"/>
        <v xml:space="preserve">אקסלנס גמל </v>
      </c>
      <c r="V2256" s="1786" t="str">
        <f t="shared" si="383"/>
        <v>520017450</v>
      </c>
      <c r="W2256" s="1789" t="str">
        <f t="shared" si="384"/>
        <v xml:space="preserve">הפניקס אקסלנס פנסיה וגמל בע"מ </v>
      </c>
      <c r="AC2256" s="1759" t="s">
        <v>346</v>
      </c>
      <c r="AD2256" s="1759"/>
      <c r="AE2256" s="1760">
        <v>23161</v>
      </c>
      <c r="AF2256" s="1759" t="s">
        <v>4151</v>
      </c>
      <c r="AG2256" s="1759" t="s">
        <v>3931</v>
      </c>
      <c r="AH2256" s="1759" t="s">
        <v>3658</v>
      </c>
      <c r="AI2256" s="1759" t="s">
        <v>4441</v>
      </c>
      <c r="AJ2256" s="1759" t="s">
        <v>4441</v>
      </c>
      <c r="AK2256" s="1759">
        <v>9916</v>
      </c>
      <c r="AL2256" s="1759" t="s">
        <v>3011</v>
      </c>
      <c r="AM2256" s="1759">
        <v>102</v>
      </c>
      <c r="AN2256" s="1759" t="s">
        <v>5370</v>
      </c>
      <c r="AO2256" s="1764"/>
      <c r="AP2256" s="1759" t="s">
        <v>5379</v>
      </c>
      <c r="AQ2256" s="1759" t="s">
        <v>5380</v>
      </c>
      <c r="AR2256" s="1759" t="s">
        <v>5381</v>
      </c>
      <c r="AS2256" s="1759" t="s">
        <v>347</v>
      </c>
      <c r="AT2256" s="1759" t="s">
        <v>327</v>
      </c>
      <c r="AU2256" s="1763"/>
      <c r="AV2256" s="1763"/>
    </row>
    <row r="2257" spans="1:48" ht="25" hidden="1">
      <c r="A2257" s="1785" t="str">
        <f t="shared" si="374"/>
        <v>גמל</v>
      </c>
      <c r="B2257" s="1786">
        <f t="shared" si="375"/>
        <v>9917</v>
      </c>
      <c r="C2257" s="1787">
        <v>28946</v>
      </c>
      <c r="D2257" s="1786" t="str">
        <f t="shared" si="376"/>
        <v>אקסלנס גמל  פאסיבי לבני 50 עד 60</v>
      </c>
      <c r="E2257" s="1786" t="s">
        <v>3929</v>
      </c>
      <c r="F2257" s="1786" t="s">
        <v>2958</v>
      </c>
      <c r="G2257" s="1786" t="s">
        <v>2959</v>
      </c>
      <c r="H2257" s="1786" t="str">
        <f t="shared" si="377"/>
        <v>פעיל</v>
      </c>
      <c r="I2257" s="1788">
        <f t="shared" si="378"/>
        <v>23161</v>
      </c>
      <c r="J2257" s="1788" t="str">
        <f t="shared" si="379"/>
        <v/>
      </c>
      <c r="K2257" s="1786">
        <v>0</v>
      </c>
      <c r="L2257" s="1786" t="s">
        <v>1594</v>
      </c>
      <c r="M2257" s="1786" t="s">
        <v>1653</v>
      </c>
      <c r="N2257" s="1786" t="s">
        <v>1653</v>
      </c>
      <c r="O2257" s="1786">
        <v>0</v>
      </c>
      <c r="P2257" s="1786"/>
      <c r="Q2257" s="1786">
        <v>0</v>
      </c>
      <c r="R2257" s="1788"/>
      <c r="S2257" s="1786">
        <f t="shared" si="380"/>
        <v>102</v>
      </c>
      <c r="T2257" s="1786" t="str">
        <f t="shared" si="381"/>
        <v>בנק מזרחי טפחות בע"מ</v>
      </c>
      <c r="U2257" s="1786" t="str">
        <f t="shared" si="382"/>
        <v xml:space="preserve">אקסלנס גמל </v>
      </c>
      <c r="V2257" s="1786" t="str">
        <f t="shared" si="383"/>
        <v>520017450</v>
      </c>
      <c r="W2257" s="1789" t="str">
        <f t="shared" si="384"/>
        <v xml:space="preserve">הפניקס אקסלנס פנסיה וגמל בע"מ </v>
      </c>
      <c r="AC2257" s="1761" t="s">
        <v>346</v>
      </c>
      <c r="AD2257" s="1761"/>
      <c r="AE2257" s="1762">
        <v>23161</v>
      </c>
      <c r="AF2257" s="1761" t="s">
        <v>3932</v>
      </c>
      <c r="AG2257" s="1761" t="s">
        <v>3931</v>
      </c>
      <c r="AH2257" s="1761" t="s">
        <v>3658</v>
      </c>
      <c r="AI2257" s="1761" t="s">
        <v>5798</v>
      </c>
      <c r="AJ2257" s="1761" t="s">
        <v>5799</v>
      </c>
      <c r="AK2257" s="1761">
        <v>9917</v>
      </c>
      <c r="AL2257" s="1761" t="s">
        <v>3011</v>
      </c>
      <c r="AM2257" s="1761">
        <v>102</v>
      </c>
      <c r="AN2257" s="1761" t="s">
        <v>5370</v>
      </c>
      <c r="AO2257" s="1764"/>
      <c r="AP2257" s="1761" t="s">
        <v>5379</v>
      </c>
      <c r="AQ2257" s="1761" t="s">
        <v>5380</v>
      </c>
      <c r="AR2257" s="1761" t="s">
        <v>5381</v>
      </c>
      <c r="AS2257" s="1761" t="s">
        <v>347</v>
      </c>
      <c r="AT2257" s="1761" t="s">
        <v>327</v>
      </c>
      <c r="AU2257" s="1763"/>
      <c r="AV2257" s="1763"/>
    </row>
    <row r="2258" spans="1:48" ht="25" hidden="1">
      <c r="A2258" s="1785" t="str">
        <f t="shared" si="374"/>
        <v>גמל</v>
      </c>
      <c r="B2258" s="1786">
        <f t="shared" si="375"/>
        <v>9918</v>
      </c>
      <c r="C2258" s="1787">
        <v>28946</v>
      </c>
      <c r="D2258" s="1786" t="str">
        <f t="shared" si="376"/>
        <v>אקסלנס גמל לבני 60 ומעלה</v>
      </c>
      <c r="E2258" s="1786" t="s">
        <v>3929</v>
      </c>
      <c r="F2258" s="1786" t="s">
        <v>2958</v>
      </c>
      <c r="G2258" s="1786" t="s">
        <v>2959</v>
      </c>
      <c r="H2258" s="1786" t="str">
        <f t="shared" si="377"/>
        <v>לא פעיל</v>
      </c>
      <c r="I2258" s="1788">
        <f t="shared" si="378"/>
        <v>23161</v>
      </c>
      <c r="J2258" s="1788">
        <f t="shared" si="379"/>
        <v>43107.597083333298</v>
      </c>
      <c r="K2258" s="1786">
        <v>0</v>
      </c>
      <c r="L2258" s="1786" t="s">
        <v>1594</v>
      </c>
      <c r="M2258" s="1786" t="s">
        <v>1653</v>
      </c>
      <c r="N2258" s="1786" t="s">
        <v>1653</v>
      </c>
      <c r="O2258" s="1786">
        <v>0</v>
      </c>
      <c r="P2258" s="1786"/>
      <c r="Q2258" s="1786">
        <v>0</v>
      </c>
      <c r="R2258" s="1788"/>
      <c r="S2258" s="1786">
        <f t="shared" si="380"/>
        <v>102</v>
      </c>
      <c r="T2258" s="1786" t="str">
        <f t="shared" si="381"/>
        <v>בנק מזרחי טפחות בע"מ</v>
      </c>
      <c r="U2258" s="1786" t="str">
        <f t="shared" si="382"/>
        <v xml:space="preserve">אקסלנס גמל </v>
      </c>
      <c r="V2258" s="1786" t="str">
        <f t="shared" si="383"/>
        <v>520017450</v>
      </c>
      <c r="W2258" s="1789" t="str">
        <f t="shared" si="384"/>
        <v xml:space="preserve">הפניקס אקסלנס פנסיה וגמל בע"מ </v>
      </c>
      <c r="AC2258" s="1759" t="s">
        <v>1586</v>
      </c>
      <c r="AD2258" s="1760">
        <v>43107.597083333298</v>
      </c>
      <c r="AE2258" s="1760">
        <v>23161</v>
      </c>
      <c r="AF2258" s="1759" t="s">
        <v>3963</v>
      </c>
      <c r="AG2258" s="1759" t="s">
        <v>3931</v>
      </c>
      <c r="AH2258" s="1759" t="s">
        <v>3658</v>
      </c>
      <c r="AI2258" s="1759" t="s">
        <v>4442</v>
      </c>
      <c r="AJ2258" s="1759" t="s">
        <v>4442</v>
      </c>
      <c r="AK2258" s="1759">
        <v>9918</v>
      </c>
      <c r="AL2258" s="1759" t="s">
        <v>3011</v>
      </c>
      <c r="AM2258" s="1759">
        <v>102</v>
      </c>
      <c r="AN2258" s="1759" t="s">
        <v>5370</v>
      </c>
      <c r="AO2258" s="1764"/>
      <c r="AP2258" s="1759" t="s">
        <v>5379</v>
      </c>
      <c r="AQ2258" s="1759" t="s">
        <v>5380</v>
      </c>
      <c r="AR2258" s="1759" t="s">
        <v>5381</v>
      </c>
      <c r="AS2258" s="1759" t="s">
        <v>347</v>
      </c>
      <c r="AT2258" s="1759" t="s">
        <v>327</v>
      </c>
      <c r="AU2258" s="1763"/>
      <c r="AV2258" s="1763"/>
    </row>
    <row r="2259" spans="1:48" ht="25" hidden="1">
      <c r="A2259" s="1785" t="str">
        <f t="shared" si="374"/>
        <v>גמל</v>
      </c>
      <c r="B2259" s="1786">
        <f t="shared" si="375"/>
        <v>2089</v>
      </c>
      <c r="C2259" s="1787">
        <v>28946</v>
      </c>
      <c r="D2259" s="1786" t="str">
        <f t="shared" si="376"/>
        <v>אקסלנס גמל אג"ח עד 20% מניות</v>
      </c>
      <c r="E2259" s="1786" t="s">
        <v>3929</v>
      </c>
      <c r="F2259" s="1786" t="s">
        <v>2958</v>
      </c>
      <c r="G2259" s="1786" t="s">
        <v>2959</v>
      </c>
      <c r="H2259" s="1786" t="str">
        <f t="shared" si="377"/>
        <v>פעיל</v>
      </c>
      <c r="I2259" s="1788">
        <f t="shared" si="378"/>
        <v>23161</v>
      </c>
      <c r="J2259" s="1788" t="str">
        <f t="shared" si="379"/>
        <v/>
      </c>
      <c r="K2259" s="1786">
        <v>0</v>
      </c>
      <c r="L2259" s="1786" t="s">
        <v>1594</v>
      </c>
      <c r="M2259" s="1786" t="s">
        <v>1653</v>
      </c>
      <c r="N2259" s="1786" t="s">
        <v>1653</v>
      </c>
      <c r="O2259" s="1786">
        <v>0</v>
      </c>
      <c r="P2259" s="1786"/>
      <c r="Q2259" s="1786">
        <v>0</v>
      </c>
      <c r="R2259" s="1788"/>
      <c r="S2259" s="1786">
        <f t="shared" si="380"/>
        <v>102</v>
      </c>
      <c r="T2259" s="1786" t="str">
        <f t="shared" si="381"/>
        <v>בנק מזרחי טפחות בע"מ</v>
      </c>
      <c r="U2259" s="1786" t="str">
        <f t="shared" si="382"/>
        <v xml:space="preserve">אקסלנס גמל </v>
      </c>
      <c r="V2259" s="1786" t="str">
        <f t="shared" si="383"/>
        <v>520017450</v>
      </c>
      <c r="W2259" s="1789" t="str">
        <f t="shared" si="384"/>
        <v xml:space="preserve">הפניקס אקסלנס פנסיה וגמל בע"מ </v>
      </c>
      <c r="AC2259" s="1761" t="s">
        <v>346</v>
      </c>
      <c r="AD2259" s="1761"/>
      <c r="AE2259" s="1762">
        <v>23161</v>
      </c>
      <c r="AF2259" s="1761" t="s">
        <v>3934</v>
      </c>
      <c r="AG2259" s="1761" t="s">
        <v>1653</v>
      </c>
      <c r="AH2259" s="1761" t="s">
        <v>1594</v>
      </c>
      <c r="AI2259" s="1761" t="s">
        <v>3699</v>
      </c>
      <c r="AJ2259" s="1761" t="s">
        <v>3699</v>
      </c>
      <c r="AK2259" s="1761">
        <v>2089</v>
      </c>
      <c r="AL2259" s="1761" t="s">
        <v>3011</v>
      </c>
      <c r="AM2259" s="1761">
        <v>102</v>
      </c>
      <c r="AN2259" s="1761" t="s">
        <v>5370</v>
      </c>
      <c r="AO2259" s="1764"/>
      <c r="AP2259" s="1761" t="s">
        <v>5379</v>
      </c>
      <c r="AQ2259" s="1761" t="s">
        <v>5380</v>
      </c>
      <c r="AR2259" s="1761" t="s">
        <v>5381</v>
      </c>
      <c r="AS2259" s="1761" t="s">
        <v>347</v>
      </c>
      <c r="AT2259" s="1761" t="s">
        <v>327</v>
      </c>
      <c r="AU2259" s="1763"/>
      <c r="AV2259" s="1763"/>
    </row>
    <row r="2260" spans="1:48" ht="25" hidden="1">
      <c r="A2260" s="1785" t="str">
        <f t="shared" si="374"/>
        <v>גמל</v>
      </c>
      <c r="B2260" s="1786">
        <f t="shared" si="375"/>
        <v>2090</v>
      </c>
      <c r="C2260" s="1787">
        <v>28946</v>
      </c>
      <c r="D2260" s="1786" t="str">
        <f t="shared" si="376"/>
        <v>אקסלנס גמל חו"ל</v>
      </c>
      <c r="E2260" s="1786" t="s">
        <v>3929</v>
      </c>
      <c r="F2260" s="1786" t="s">
        <v>2958</v>
      </c>
      <c r="G2260" s="1786" t="s">
        <v>2959</v>
      </c>
      <c r="H2260" s="1786" t="str">
        <f t="shared" si="377"/>
        <v>לא פעיל</v>
      </c>
      <c r="I2260" s="1788">
        <f t="shared" si="378"/>
        <v>23161</v>
      </c>
      <c r="J2260" s="1788">
        <f t="shared" si="379"/>
        <v>42367.418356481503</v>
      </c>
      <c r="K2260" s="1786">
        <v>0</v>
      </c>
      <c r="L2260" s="1786" t="s">
        <v>1594</v>
      </c>
      <c r="M2260" s="1786" t="s">
        <v>1653</v>
      </c>
      <c r="N2260" s="1786" t="s">
        <v>1653</v>
      </c>
      <c r="O2260" s="1786">
        <v>0</v>
      </c>
      <c r="P2260" s="1786"/>
      <c r="Q2260" s="1786">
        <v>0</v>
      </c>
      <c r="R2260" s="1788"/>
      <c r="S2260" s="1786">
        <f t="shared" si="380"/>
        <v>102</v>
      </c>
      <c r="T2260" s="1786" t="str">
        <f t="shared" si="381"/>
        <v>בנק מזרחי טפחות בע"מ</v>
      </c>
      <c r="U2260" s="1786" t="str">
        <f t="shared" si="382"/>
        <v xml:space="preserve">אקסלנס גמל </v>
      </c>
      <c r="V2260" s="1786" t="str">
        <f t="shared" si="383"/>
        <v>520017450</v>
      </c>
      <c r="W2260" s="1789" t="str">
        <f t="shared" si="384"/>
        <v xml:space="preserve">הפניקס אקסלנס פנסיה וגמל בע"מ </v>
      </c>
      <c r="AC2260" s="1759" t="s">
        <v>1586</v>
      </c>
      <c r="AD2260" s="1760">
        <v>42367.418356481503</v>
      </c>
      <c r="AE2260" s="1760">
        <v>23161</v>
      </c>
      <c r="AF2260" s="1759" t="s">
        <v>1948</v>
      </c>
      <c r="AG2260" s="1759" t="s">
        <v>1947</v>
      </c>
      <c r="AH2260" s="1759" t="s">
        <v>1594</v>
      </c>
      <c r="AI2260" s="1759" t="s">
        <v>2550</v>
      </c>
      <c r="AJ2260" s="1759" t="s">
        <v>2550</v>
      </c>
      <c r="AK2260" s="1759">
        <v>2090</v>
      </c>
      <c r="AL2260" s="1759" t="s">
        <v>3011</v>
      </c>
      <c r="AM2260" s="1759">
        <v>102</v>
      </c>
      <c r="AN2260" s="1759" t="s">
        <v>5370</v>
      </c>
      <c r="AO2260" s="1764"/>
      <c r="AP2260" s="1759" t="s">
        <v>5379</v>
      </c>
      <c r="AQ2260" s="1759" t="s">
        <v>5380</v>
      </c>
      <c r="AR2260" s="1759" t="s">
        <v>5381</v>
      </c>
      <c r="AS2260" s="1759" t="s">
        <v>347</v>
      </c>
      <c r="AT2260" s="1759" t="s">
        <v>327</v>
      </c>
      <c r="AU2260" s="1763"/>
      <c r="AV2260" s="1763"/>
    </row>
    <row r="2261" spans="1:48" ht="25" hidden="1">
      <c r="A2261" s="1785" t="str">
        <f t="shared" si="374"/>
        <v>גמל</v>
      </c>
      <c r="B2261" s="1786">
        <f t="shared" si="375"/>
        <v>385</v>
      </c>
      <c r="C2261" s="1787">
        <v>28946</v>
      </c>
      <c r="D2261" s="1786" t="str">
        <f t="shared" si="376"/>
        <v>אקסלנס גמל אג"ח ללא מניות</v>
      </c>
      <c r="E2261" s="1786" t="s">
        <v>3929</v>
      </c>
      <c r="F2261" s="1786" t="s">
        <v>2958</v>
      </c>
      <c r="G2261" s="1786" t="s">
        <v>2959</v>
      </c>
      <c r="H2261" s="1786" t="str">
        <f t="shared" si="377"/>
        <v>פעיל</v>
      </c>
      <c r="I2261" s="1788">
        <f t="shared" si="378"/>
        <v>23161</v>
      </c>
      <c r="J2261" s="1788" t="str">
        <f t="shared" si="379"/>
        <v/>
      </c>
      <c r="K2261" s="1786">
        <v>0</v>
      </c>
      <c r="L2261" s="1786" t="s">
        <v>1594</v>
      </c>
      <c r="M2261" s="1786" t="s">
        <v>1653</v>
      </c>
      <c r="N2261" s="1786" t="s">
        <v>1653</v>
      </c>
      <c r="O2261" s="1786">
        <v>0</v>
      </c>
      <c r="P2261" s="1786"/>
      <c r="Q2261" s="1786">
        <v>0</v>
      </c>
      <c r="R2261" s="1788"/>
      <c r="S2261" s="1786">
        <f t="shared" si="380"/>
        <v>102</v>
      </c>
      <c r="T2261" s="1786" t="str">
        <f t="shared" si="381"/>
        <v>בנק מזרחי טפחות בע"מ</v>
      </c>
      <c r="U2261" s="1786" t="str">
        <f t="shared" si="382"/>
        <v xml:space="preserve">אקסלנס גמל </v>
      </c>
      <c r="V2261" s="1786" t="str">
        <f t="shared" si="383"/>
        <v>520017450</v>
      </c>
      <c r="W2261" s="1789" t="str">
        <f t="shared" si="384"/>
        <v xml:space="preserve">הפניקס אקסלנס פנסיה וגמל בע"מ </v>
      </c>
      <c r="AC2261" s="1761" t="s">
        <v>346</v>
      </c>
      <c r="AD2261" s="1761"/>
      <c r="AE2261" s="1762">
        <v>23161</v>
      </c>
      <c r="AF2261" s="1761" t="s">
        <v>1681</v>
      </c>
      <c r="AG2261" s="1761" t="s">
        <v>1653</v>
      </c>
      <c r="AH2261" s="1761" t="s">
        <v>1594</v>
      </c>
      <c r="AI2261" s="1761" t="s">
        <v>3946</v>
      </c>
      <c r="AJ2261" s="1761" t="s">
        <v>3946</v>
      </c>
      <c r="AK2261" s="1761">
        <v>385</v>
      </c>
      <c r="AL2261" s="1761" t="s">
        <v>3011</v>
      </c>
      <c r="AM2261" s="1761">
        <v>102</v>
      </c>
      <c r="AN2261" s="1761" t="s">
        <v>5370</v>
      </c>
      <c r="AO2261" s="1764"/>
      <c r="AP2261" s="1761" t="s">
        <v>5379</v>
      </c>
      <c r="AQ2261" s="1761" t="s">
        <v>5380</v>
      </c>
      <c r="AR2261" s="1761" t="s">
        <v>5381</v>
      </c>
      <c r="AS2261" s="1761" t="s">
        <v>347</v>
      </c>
      <c r="AT2261" s="1761" t="s">
        <v>327</v>
      </c>
      <c r="AU2261" s="1763"/>
      <c r="AV2261" s="1763"/>
    </row>
    <row r="2262" spans="1:48" ht="25" hidden="1">
      <c r="A2262" s="1785" t="str">
        <f t="shared" si="374"/>
        <v>גמל</v>
      </c>
      <c r="B2262" s="1786">
        <f t="shared" si="375"/>
        <v>401</v>
      </c>
      <c r="C2262" s="1787">
        <v>28946</v>
      </c>
      <c r="D2262" s="1786" t="str">
        <f t="shared" si="376"/>
        <v>אקסלנס גמל לבני 60 ומעלה</v>
      </c>
      <c r="E2262" s="1786" t="s">
        <v>3929</v>
      </c>
      <c r="F2262" s="1786" t="s">
        <v>2958</v>
      </c>
      <c r="G2262" s="1786" t="s">
        <v>2959</v>
      </c>
      <c r="H2262" s="1786" t="str">
        <f t="shared" si="377"/>
        <v>פעיל</v>
      </c>
      <c r="I2262" s="1788">
        <f t="shared" si="378"/>
        <v>23161</v>
      </c>
      <c r="J2262" s="1788" t="str">
        <f t="shared" si="379"/>
        <v/>
      </c>
      <c r="K2262" s="1786">
        <v>0</v>
      </c>
      <c r="L2262" s="1786" t="s">
        <v>1594</v>
      </c>
      <c r="M2262" s="1786" t="s">
        <v>1653</v>
      </c>
      <c r="N2262" s="1786" t="s">
        <v>1653</v>
      </c>
      <c r="O2262" s="1786">
        <v>0</v>
      </c>
      <c r="P2262" s="1786"/>
      <c r="Q2262" s="1786">
        <v>0</v>
      </c>
      <c r="R2262" s="1788"/>
      <c r="S2262" s="1786">
        <f t="shared" si="380"/>
        <v>102</v>
      </c>
      <c r="T2262" s="1786" t="str">
        <f t="shared" si="381"/>
        <v>בנק מזרחי טפחות בע"מ</v>
      </c>
      <c r="U2262" s="1786" t="str">
        <f t="shared" si="382"/>
        <v xml:space="preserve">אקסלנס גמל </v>
      </c>
      <c r="V2262" s="1786" t="str">
        <f t="shared" si="383"/>
        <v>520017450</v>
      </c>
      <c r="W2262" s="1789" t="str">
        <f t="shared" si="384"/>
        <v xml:space="preserve">הפניקס אקסלנס פנסיה וגמל בע"מ </v>
      </c>
      <c r="AC2262" s="1759" t="s">
        <v>346</v>
      </c>
      <c r="AD2262" s="1759"/>
      <c r="AE2262" s="1760">
        <v>23161</v>
      </c>
      <c r="AF2262" s="1759" t="s">
        <v>3963</v>
      </c>
      <c r="AG2262" s="1759" t="s">
        <v>3931</v>
      </c>
      <c r="AH2262" s="1759" t="s">
        <v>3658</v>
      </c>
      <c r="AI2262" s="1759" t="s">
        <v>4442</v>
      </c>
      <c r="AJ2262" s="1759" t="s">
        <v>4442</v>
      </c>
      <c r="AK2262" s="1759">
        <v>401</v>
      </c>
      <c r="AL2262" s="1759" t="s">
        <v>3011</v>
      </c>
      <c r="AM2262" s="1759">
        <v>102</v>
      </c>
      <c r="AN2262" s="1759" t="s">
        <v>5370</v>
      </c>
      <c r="AO2262" s="1764"/>
      <c r="AP2262" s="1759" t="s">
        <v>5379</v>
      </c>
      <c r="AQ2262" s="1759" t="s">
        <v>5380</v>
      </c>
      <c r="AR2262" s="1759" t="s">
        <v>5381</v>
      </c>
      <c r="AS2262" s="1759" t="s">
        <v>347</v>
      </c>
      <c r="AT2262" s="1759" t="s">
        <v>327</v>
      </c>
      <c r="AU2262" s="1763"/>
      <c r="AV2262" s="1763"/>
    </row>
    <row r="2263" spans="1:48" ht="25" hidden="1">
      <c r="A2263" s="1785" t="str">
        <f t="shared" ref="A2263:A2288" si="385">AT2263</f>
        <v>גמל</v>
      </c>
      <c r="B2263" s="1786">
        <f t="shared" ref="B2263:B2288" si="386">AK2263</f>
        <v>685</v>
      </c>
      <c r="C2263" s="1787">
        <v>28946</v>
      </c>
      <c r="D2263" s="1786" t="str">
        <f t="shared" ref="D2263:D2288" si="387">AJ2263</f>
        <v>אקסלנס גמל</v>
      </c>
      <c r="E2263" s="1786" t="s">
        <v>3929</v>
      </c>
      <c r="F2263" s="1786" t="s">
        <v>2958</v>
      </c>
      <c r="G2263" s="1786" t="s">
        <v>2959</v>
      </c>
      <c r="H2263" s="1786" t="str">
        <f t="shared" ref="H2263:H2288" si="388">AC2263</f>
        <v>לא פעיל</v>
      </c>
      <c r="I2263" s="1788">
        <f t="shared" ref="I2263:I2288" si="389">IF(AE2263="","",AE2263)</f>
        <v>23161</v>
      </c>
      <c r="J2263" s="1788">
        <f t="shared" ref="J2263:J2288" si="390">IF(AD2263="","",AD2263)</f>
        <v>42370.796493055597</v>
      </c>
      <c r="K2263" s="1786">
        <v>0</v>
      </c>
      <c r="L2263" s="1786" t="s">
        <v>1594</v>
      </c>
      <c r="M2263" s="1786" t="s">
        <v>1653</v>
      </c>
      <c r="N2263" s="1786" t="s">
        <v>1653</v>
      </c>
      <c r="O2263" s="1786">
        <v>0</v>
      </c>
      <c r="P2263" s="1786"/>
      <c r="Q2263" s="1786">
        <v>0</v>
      </c>
      <c r="R2263" s="1788"/>
      <c r="S2263" s="1786">
        <f t="shared" ref="S2263:S2288" si="391">AM2263</f>
        <v>102</v>
      </c>
      <c r="T2263" s="1786" t="str">
        <f t="shared" ref="T2263:T2288" si="392">AN2263</f>
        <v>בנק מזרחי טפחות בע"מ</v>
      </c>
      <c r="U2263" s="1786" t="str">
        <f t="shared" ref="U2263:U2288" si="393">AL2263</f>
        <v xml:space="preserve">אקסלנס גמל </v>
      </c>
      <c r="V2263" s="1786" t="str">
        <f t="shared" ref="V2263:V2288" si="394">AQ2263</f>
        <v>520017450</v>
      </c>
      <c r="W2263" s="1789" t="str">
        <f t="shared" ref="W2263:W2288" si="395">AR2263</f>
        <v xml:space="preserve">הפניקס אקסלנס פנסיה וגמל בע"מ </v>
      </c>
      <c r="AC2263" s="1761" t="s">
        <v>1586</v>
      </c>
      <c r="AD2263" s="1762">
        <v>42370.796493055597</v>
      </c>
      <c r="AE2263" s="1762">
        <v>23161</v>
      </c>
      <c r="AF2263" s="1761" t="s">
        <v>1583</v>
      </c>
      <c r="AG2263" s="1761" t="s">
        <v>1583</v>
      </c>
      <c r="AH2263" s="1761" t="s">
        <v>1583</v>
      </c>
      <c r="AI2263" s="1761" t="s">
        <v>594</v>
      </c>
      <c r="AJ2263" s="1761" t="s">
        <v>594</v>
      </c>
      <c r="AK2263" s="1761">
        <v>685</v>
      </c>
      <c r="AL2263" s="1761" t="s">
        <v>3011</v>
      </c>
      <c r="AM2263" s="1761">
        <v>102</v>
      </c>
      <c r="AN2263" s="1761" t="s">
        <v>5370</v>
      </c>
      <c r="AO2263" s="1764"/>
      <c r="AP2263" s="1761" t="s">
        <v>5379</v>
      </c>
      <c r="AQ2263" s="1761" t="s">
        <v>5380</v>
      </c>
      <c r="AR2263" s="1761" t="s">
        <v>5381</v>
      </c>
      <c r="AS2263" s="1761" t="s">
        <v>347</v>
      </c>
      <c r="AT2263" s="1761" t="s">
        <v>327</v>
      </c>
      <c r="AU2263" s="1763"/>
      <c r="AV2263" s="1763"/>
    </row>
    <row r="2264" spans="1:48" ht="25" hidden="1">
      <c r="A2264" s="1785" t="str">
        <f t="shared" si="385"/>
        <v>גמל</v>
      </c>
      <c r="B2264" s="1786">
        <f t="shared" si="386"/>
        <v>787</v>
      </c>
      <c r="C2264" s="1787">
        <v>28946</v>
      </c>
      <c r="D2264" s="1786" t="str">
        <f t="shared" si="387"/>
        <v>אקסלנס גמל פלטינום שקלי</v>
      </c>
      <c r="E2264" s="1786" t="s">
        <v>3929</v>
      </c>
      <c r="F2264" s="1786" t="s">
        <v>2958</v>
      </c>
      <c r="G2264" s="1786" t="s">
        <v>2959</v>
      </c>
      <c r="H2264" s="1786" t="str">
        <f t="shared" si="388"/>
        <v>לא פעיל</v>
      </c>
      <c r="I2264" s="1788">
        <f t="shared" si="389"/>
        <v>23161</v>
      </c>
      <c r="J2264" s="1788">
        <f t="shared" si="390"/>
        <v>41654.5914583333</v>
      </c>
      <c r="K2264" s="1786">
        <v>0</v>
      </c>
      <c r="L2264" s="1786" t="s">
        <v>1594</v>
      </c>
      <c r="M2264" s="1786" t="s">
        <v>1653</v>
      </c>
      <c r="N2264" s="1786" t="s">
        <v>1653</v>
      </c>
      <c r="O2264" s="1786">
        <v>0</v>
      </c>
      <c r="P2264" s="1786"/>
      <c r="Q2264" s="1786">
        <v>0</v>
      </c>
      <c r="R2264" s="1788"/>
      <c r="S2264" s="1786">
        <f t="shared" si="391"/>
        <v>102</v>
      </c>
      <c r="T2264" s="1786" t="str">
        <f t="shared" si="392"/>
        <v>בנק מזרחי טפחות בע"מ</v>
      </c>
      <c r="U2264" s="1786" t="str">
        <f t="shared" si="393"/>
        <v xml:space="preserve">אקסלנס גמל פלטינום </v>
      </c>
      <c r="V2264" s="1786" t="str">
        <f t="shared" si="394"/>
        <v>520017450</v>
      </c>
      <c r="W2264" s="1789" t="str">
        <f t="shared" si="395"/>
        <v xml:space="preserve">הפניקס אקסלנס פנסיה וגמל בע"מ </v>
      </c>
      <c r="AC2264" s="1759" t="s">
        <v>1586</v>
      </c>
      <c r="AD2264" s="1760">
        <v>41654.5914583333</v>
      </c>
      <c r="AE2264" s="1760">
        <v>23161</v>
      </c>
      <c r="AF2264" s="1759" t="s">
        <v>1076</v>
      </c>
      <c r="AG2264" s="1759" t="s">
        <v>1614</v>
      </c>
      <c r="AH2264" s="1759" t="s">
        <v>1594</v>
      </c>
      <c r="AI2264" s="1759" t="s">
        <v>2044</v>
      </c>
      <c r="AJ2264" s="1759" t="s">
        <v>2044</v>
      </c>
      <c r="AK2264" s="1759">
        <v>787</v>
      </c>
      <c r="AL2264" s="1759" t="s">
        <v>348</v>
      </c>
      <c r="AM2264" s="1759">
        <v>102</v>
      </c>
      <c r="AN2264" s="1759" t="s">
        <v>5370</v>
      </c>
      <c r="AO2264" s="1764"/>
      <c r="AP2264" s="1759" t="s">
        <v>5379</v>
      </c>
      <c r="AQ2264" s="1759" t="s">
        <v>5380</v>
      </c>
      <c r="AR2264" s="1759" t="s">
        <v>5381</v>
      </c>
      <c r="AS2264" s="1759" t="s">
        <v>347</v>
      </c>
      <c r="AT2264" s="1759" t="s">
        <v>327</v>
      </c>
      <c r="AU2264" s="1763"/>
      <c r="AV2264" s="1763"/>
    </row>
    <row r="2265" spans="1:48" ht="25" hidden="1">
      <c r="A2265" s="1785" t="str">
        <f t="shared" si="385"/>
        <v>גמל</v>
      </c>
      <c r="B2265" s="1786">
        <f t="shared" si="386"/>
        <v>789</v>
      </c>
      <c r="C2265" s="1787">
        <v>28946</v>
      </c>
      <c r="D2265" s="1786" t="str">
        <f t="shared" si="387"/>
        <v>אקסלנס גמל מט"ח</v>
      </c>
      <c r="E2265" s="1786" t="s">
        <v>3929</v>
      </c>
      <c r="F2265" s="1786" t="s">
        <v>2958</v>
      </c>
      <c r="G2265" s="1786" t="s">
        <v>2959</v>
      </c>
      <c r="H2265" s="1786" t="str">
        <f t="shared" si="388"/>
        <v>לא פעיל</v>
      </c>
      <c r="I2265" s="1788">
        <f t="shared" si="389"/>
        <v>23161</v>
      </c>
      <c r="J2265" s="1788">
        <f t="shared" si="390"/>
        <v>42381.424895833297</v>
      </c>
      <c r="K2265" s="1786">
        <v>0</v>
      </c>
      <c r="L2265" s="1786" t="s">
        <v>1594</v>
      </c>
      <c r="M2265" s="1786" t="s">
        <v>1653</v>
      </c>
      <c r="N2265" s="1786" t="s">
        <v>1653</v>
      </c>
      <c r="O2265" s="1786">
        <v>0</v>
      </c>
      <c r="P2265" s="1786"/>
      <c r="Q2265" s="1786">
        <v>0</v>
      </c>
      <c r="R2265" s="1788"/>
      <c r="S2265" s="1786">
        <f t="shared" si="391"/>
        <v>102</v>
      </c>
      <c r="T2265" s="1786" t="str">
        <f t="shared" si="392"/>
        <v>בנק מזרחי טפחות בע"מ</v>
      </c>
      <c r="U2265" s="1786" t="str">
        <f t="shared" si="393"/>
        <v xml:space="preserve">אקסלנס גמל </v>
      </c>
      <c r="V2265" s="1786" t="str">
        <f t="shared" si="394"/>
        <v>520017450</v>
      </c>
      <c r="W2265" s="1789" t="str">
        <f t="shared" si="395"/>
        <v xml:space="preserve">הפניקס אקסלנס פנסיה וגמל בע"מ </v>
      </c>
      <c r="AC2265" s="1761" t="s">
        <v>1586</v>
      </c>
      <c r="AD2265" s="1762">
        <v>42381.424895833297</v>
      </c>
      <c r="AE2265" s="1762">
        <v>23161</v>
      </c>
      <c r="AF2265" s="1761" t="s">
        <v>1611</v>
      </c>
      <c r="AG2265" s="1761" t="s">
        <v>1611</v>
      </c>
      <c r="AH2265" s="1761" t="s">
        <v>1594</v>
      </c>
      <c r="AI2265" s="1761" t="s">
        <v>3313</v>
      </c>
      <c r="AJ2265" s="1761" t="s">
        <v>3313</v>
      </c>
      <c r="AK2265" s="1761">
        <v>789</v>
      </c>
      <c r="AL2265" s="1761" t="s">
        <v>3011</v>
      </c>
      <c r="AM2265" s="1761">
        <v>102</v>
      </c>
      <c r="AN2265" s="1761" t="s">
        <v>5370</v>
      </c>
      <c r="AO2265" s="1764"/>
      <c r="AP2265" s="1761" t="s">
        <v>5379</v>
      </c>
      <c r="AQ2265" s="1761" t="s">
        <v>5380</v>
      </c>
      <c r="AR2265" s="1761" t="s">
        <v>5381</v>
      </c>
      <c r="AS2265" s="1761" t="s">
        <v>347</v>
      </c>
      <c r="AT2265" s="1761" t="s">
        <v>327</v>
      </c>
      <c r="AU2265" s="1763"/>
      <c r="AV2265" s="1763"/>
    </row>
    <row r="2266" spans="1:48" ht="25" hidden="1">
      <c r="A2266" s="1785" t="str">
        <f t="shared" si="385"/>
        <v>גמל</v>
      </c>
      <c r="B2266" s="1786">
        <f t="shared" si="386"/>
        <v>790</v>
      </c>
      <c r="C2266" s="1787">
        <v>28946</v>
      </c>
      <c r="D2266" s="1786" t="str">
        <f t="shared" si="387"/>
        <v>אקסלנס גמל פלטינום מניות</v>
      </c>
      <c r="E2266" s="1786" t="s">
        <v>3929</v>
      </c>
      <c r="F2266" s="1786" t="s">
        <v>2958</v>
      </c>
      <c r="G2266" s="1786" t="s">
        <v>2959</v>
      </c>
      <c r="H2266" s="1786" t="str">
        <f t="shared" si="388"/>
        <v>לא פעיל</v>
      </c>
      <c r="I2266" s="1788">
        <f t="shared" si="389"/>
        <v>23161</v>
      </c>
      <c r="J2266" s="1788">
        <f t="shared" si="390"/>
        <v>41654.5914583333</v>
      </c>
      <c r="K2266" s="1786">
        <v>0</v>
      </c>
      <c r="L2266" s="1786" t="s">
        <v>1594</v>
      </c>
      <c r="M2266" s="1786" t="s">
        <v>1653</v>
      </c>
      <c r="N2266" s="1786" t="s">
        <v>1653</v>
      </c>
      <c r="O2266" s="1786">
        <v>0</v>
      </c>
      <c r="P2266" s="1786"/>
      <c r="Q2266" s="1786">
        <v>0</v>
      </c>
      <c r="R2266" s="1788"/>
      <c r="S2266" s="1786">
        <f t="shared" si="391"/>
        <v>102</v>
      </c>
      <c r="T2266" s="1786" t="str">
        <f t="shared" si="392"/>
        <v>בנק מזרחי טפחות בע"מ</v>
      </c>
      <c r="U2266" s="1786" t="str">
        <f t="shared" si="393"/>
        <v xml:space="preserve">אקסלנס גמל פלטינום </v>
      </c>
      <c r="V2266" s="1786" t="str">
        <f t="shared" si="394"/>
        <v>520017450</v>
      </c>
      <c r="W2266" s="1789" t="str">
        <f t="shared" si="395"/>
        <v xml:space="preserve">הפניקס אקסלנס פנסיה וגמל בע"מ </v>
      </c>
      <c r="AC2266" s="1759" t="s">
        <v>1586</v>
      </c>
      <c r="AD2266" s="1760">
        <v>41654.5914583333</v>
      </c>
      <c r="AE2266" s="1760">
        <v>23161</v>
      </c>
      <c r="AF2266" s="1759" t="s">
        <v>1595</v>
      </c>
      <c r="AG2266" s="1759" t="s">
        <v>75</v>
      </c>
      <c r="AH2266" s="1759" t="s">
        <v>1594</v>
      </c>
      <c r="AI2266" s="1759" t="s">
        <v>2047</v>
      </c>
      <c r="AJ2266" s="1759" t="s">
        <v>2047</v>
      </c>
      <c r="AK2266" s="1759">
        <v>790</v>
      </c>
      <c r="AL2266" s="1759" t="s">
        <v>348</v>
      </c>
      <c r="AM2266" s="1759">
        <v>102</v>
      </c>
      <c r="AN2266" s="1759" t="s">
        <v>5370</v>
      </c>
      <c r="AO2266" s="1764"/>
      <c r="AP2266" s="1759" t="s">
        <v>5379</v>
      </c>
      <c r="AQ2266" s="1759" t="s">
        <v>5380</v>
      </c>
      <c r="AR2266" s="1759" t="s">
        <v>5381</v>
      </c>
      <c r="AS2266" s="1759" t="s">
        <v>347</v>
      </c>
      <c r="AT2266" s="1759" t="s">
        <v>327</v>
      </c>
      <c r="AU2266" s="1763"/>
      <c r="AV2266" s="1763"/>
    </row>
    <row r="2267" spans="1:48" ht="25" hidden="1">
      <c r="A2267" s="1785" t="str">
        <f t="shared" si="385"/>
        <v>גמל</v>
      </c>
      <c r="B2267" s="1786">
        <f t="shared" si="386"/>
        <v>792</v>
      </c>
      <c r="C2267" s="1787">
        <v>28946</v>
      </c>
      <c r="D2267" s="1786" t="str">
        <f t="shared" si="387"/>
        <v>אקסלנס גמל אג"ח צמוד מדד</v>
      </c>
      <c r="E2267" s="1786" t="s">
        <v>3929</v>
      </c>
      <c r="F2267" s="1786" t="s">
        <v>2958</v>
      </c>
      <c r="G2267" s="1786" t="s">
        <v>2959</v>
      </c>
      <c r="H2267" s="1786" t="str">
        <f t="shared" si="388"/>
        <v>לא פעיל</v>
      </c>
      <c r="I2267" s="1788">
        <f t="shared" si="389"/>
        <v>23161</v>
      </c>
      <c r="J2267" s="1788">
        <f t="shared" si="390"/>
        <v>43107.597083333298</v>
      </c>
      <c r="K2267" s="1786">
        <v>0</v>
      </c>
      <c r="L2267" s="1786" t="s">
        <v>1594</v>
      </c>
      <c r="M2267" s="1786" t="s">
        <v>1653</v>
      </c>
      <c r="N2267" s="1786" t="s">
        <v>1653</v>
      </c>
      <c r="O2267" s="1786">
        <v>0</v>
      </c>
      <c r="P2267" s="1786"/>
      <c r="Q2267" s="1786">
        <v>0</v>
      </c>
      <c r="R2267" s="1788"/>
      <c r="S2267" s="1786">
        <f t="shared" si="391"/>
        <v>102</v>
      </c>
      <c r="T2267" s="1786" t="str">
        <f t="shared" si="392"/>
        <v>בנק מזרחי טפחות בע"מ</v>
      </c>
      <c r="U2267" s="1786" t="str">
        <f t="shared" si="393"/>
        <v xml:space="preserve">אקסלנס גמל </v>
      </c>
      <c r="V2267" s="1786" t="str">
        <f t="shared" si="394"/>
        <v>520017450</v>
      </c>
      <c r="W2267" s="1789" t="str">
        <f t="shared" si="395"/>
        <v xml:space="preserve">הפניקס אקסלנס פנסיה וגמל בע"מ </v>
      </c>
      <c r="AC2267" s="1761" t="s">
        <v>1586</v>
      </c>
      <c r="AD2267" s="1762">
        <v>43107.597083333298</v>
      </c>
      <c r="AE2267" s="1762">
        <v>23161</v>
      </c>
      <c r="AF2267" s="1761" t="s">
        <v>71</v>
      </c>
      <c r="AG2267" s="1761" t="s">
        <v>1653</v>
      </c>
      <c r="AH2267" s="1761" t="s">
        <v>1594</v>
      </c>
      <c r="AI2267" s="1761" t="s">
        <v>3990</v>
      </c>
      <c r="AJ2267" s="1761" t="s">
        <v>3990</v>
      </c>
      <c r="AK2267" s="1761">
        <v>792</v>
      </c>
      <c r="AL2267" s="1761" t="s">
        <v>3011</v>
      </c>
      <c r="AM2267" s="1761">
        <v>102</v>
      </c>
      <c r="AN2267" s="1761" t="s">
        <v>5370</v>
      </c>
      <c r="AO2267" s="1764"/>
      <c r="AP2267" s="1761" t="s">
        <v>5379</v>
      </c>
      <c r="AQ2267" s="1761" t="s">
        <v>5380</v>
      </c>
      <c r="AR2267" s="1761" t="s">
        <v>5381</v>
      </c>
      <c r="AS2267" s="1761" t="s">
        <v>347</v>
      </c>
      <c r="AT2267" s="1761" t="s">
        <v>327</v>
      </c>
      <c r="AU2267" s="1763"/>
      <c r="AV2267" s="1763"/>
    </row>
    <row r="2268" spans="1:48" ht="25" hidden="1">
      <c r="A2268" s="1785" t="str">
        <f t="shared" si="385"/>
        <v>גמל</v>
      </c>
      <c r="B2268" s="1786">
        <f t="shared" si="386"/>
        <v>961</v>
      </c>
      <c r="C2268" s="1787">
        <v>28946</v>
      </c>
      <c r="D2268" s="1786" t="str">
        <f t="shared" si="387"/>
        <v>אקסלנס גמל מסלול מניות</v>
      </c>
      <c r="E2268" s="1786" t="s">
        <v>3929</v>
      </c>
      <c r="F2268" s="1786" t="s">
        <v>2958</v>
      </c>
      <c r="G2268" s="1786" t="s">
        <v>2959</v>
      </c>
      <c r="H2268" s="1786" t="str">
        <f t="shared" si="388"/>
        <v>פעיל</v>
      </c>
      <c r="I2268" s="1788">
        <f t="shared" si="389"/>
        <v>23161</v>
      </c>
      <c r="J2268" s="1788" t="str">
        <f t="shared" si="390"/>
        <v/>
      </c>
      <c r="K2268" s="1786">
        <v>0</v>
      </c>
      <c r="L2268" s="1786" t="s">
        <v>1594</v>
      </c>
      <c r="M2268" s="1786" t="s">
        <v>1653</v>
      </c>
      <c r="N2268" s="1786" t="s">
        <v>1653</v>
      </c>
      <c r="O2268" s="1786">
        <v>0</v>
      </c>
      <c r="P2268" s="1786"/>
      <c r="Q2268" s="1786">
        <v>0</v>
      </c>
      <c r="R2268" s="1788"/>
      <c r="S2268" s="1786">
        <f t="shared" si="391"/>
        <v>102</v>
      </c>
      <c r="T2268" s="1786" t="str">
        <f t="shared" si="392"/>
        <v>בנק מזרחי טפחות בע"מ</v>
      </c>
      <c r="U2268" s="1786" t="str">
        <f t="shared" si="393"/>
        <v xml:space="preserve">אקסלנס גמל </v>
      </c>
      <c r="V2268" s="1786" t="str">
        <f t="shared" si="394"/>
        <v>520017450</v>
      </c>
      <c r="W2268" s="1789" t="str">
        <f t="shared" si="395"/>
        <v xml:space="preserve">הפניקס אקסלנס פנסיה וגמל בע"מ </v>
      </c>
      <c r="AC2268" s="1759" t="s">
        <v>346</v>
      </c>
      <c r="AD2268" s="1759"/>
      <c r="AE2268" s="1760">
        <v>23161</v>
      </c>
      <c r="AF2268" s="1759" t="s">
        <v>1595</v>
      </c>
      <c r="AG2268" s="1759" t="s">
        <v>75</v>
      </c>
      <c r="AH2268" s="1759" t="s">
        <v>1594</v>
      </c>
      <c r="AI2268" s="1759" t="s">
        <v>5800</v>
      </c>
      <c r="AJ2268" s="1759" t="s">
        <v>5800</v>
      </c>
      <c r="AK2268" s="1759">
        <v>961</v>
      </c>
      <c r="AL2268" s="1759" t="s">
        <v>3011</v>
      </c>
      <c r="AM2268" s="1759">
        <v>102</v>
      </c>
      <c r="AN2268" s="1759" t="s">
        <v>5370</v>
      </c>
      <c r="AO2268" s="1764"/>
      <c r="AP2268" s="1759" t="s">
        <v>5379</v>
      </c>
      <c r="AQ2268" s="1759" t="s">
        <v>5380</v>
      </c>
      <c r="AR2268" s="1759" t="s">
        <v>5381</v>
      </c>
      <c r="AS2268" s="1759" t="s">
        <v>347</v>
      </c>
      <c r="AT2268" s="1759" t="s">
        <v>327</v>
      </c>
      <c r="AU2268" s="1763"/>
      <c r="AV2268" s="1763"/>
    </row>
    <row r="2269" spans="1:48" ht="25" hidden="1">
      <c r="A2269" s="1785" t="str">
        <f t="shared" si="385"/>
        <v>גמל</v>
      </c>
      <c r="B2269" s="1786">
        <f t="shared" si="386"/>
        <v>1040</v>
      </c>
      <c r="C2269" s="1787">
        <v>28946</v>
      </c>
      <c r="D2269" s="1786" t="str">
        <f t="shared" si="387"/>
        <v>אקסלנס גמל אג"ח קונצרני עד 20% מניות</v>
      </c>
      <c r="E2269" s="1786" t="s">
        <v>3929</v>
      </c>
      <c r="F2269" s="1786" t="s">
        <v>2958</v>
      </c>
      <c r="G2269" s="1786" t="s">
        <v>2959</v>
      </c>
      <c r="H2269" s="1786" t="str">
        <f t="shared" si="388"/>
        <v>לא פעיל</v>
      </c>
      <c r="I2269" s="1788">
        <f t="shared" si="389"/>
        <v>23161</v>
      </c>
      <c r="J2269" s="1788">
        <f t="shared" si="390"/>
        <v>42381.424895833297</v>
      </c>
      <c r="K2269" s="1786">
        <v>0</v>
      </c>
      <c r="L2269" s="1786" t="s">
        <v>1594</v>
      </c>
      <c r="M2269" s="1786" t="s">
        <v>1653</v>
      </c>
      <c r="N2269" s="1786" t="s">
        <v>1653</v>
      </c>
      <c r="O2269" s="1786">
        <v>0</v>
      </c>
      <c r="P2269" s="1786"/>
      <c r="Q2269" s="1786">
        <v>0</v>
      </c>
      <c r="R2269" s="1788"/>
      <c r="S2269" s="1786">
        <f t="shared" si="391"/>
        <v>102</v>
      </c>
      <c r="T2269" s="1786" t="str">
        <f t="shared" si="392"/>
        <v>בנק מזרחי טפחות בע"מ</v>
      </c>
      <c r="U2269" s="1786" t="str">
        <f t="shared" si="393"/>
        <v xml:space="preserve">אקסלנס גמל </v>
      </c>
      <c r="V2269" s="1786" t="str">
        <f t="shared" si="394"/>
        <v>520017450</v>
      </c>
      <c r="W2269" s="1789" t="str">
        <f t="shared" si="395"/>
        <v xml:space="preserve">הפניקס אקסלנס פנסיה וגמל בע"מ </v>
      </c>
      <c r="AC2269" s="1761" t="s">
        <v>1586</v>
      </c>
      <c r="AD2269" s="1762">
        <v>42381.424895833297</v>
      </c>
      <c r="AE2269" s="1762">
        <v>23161</v>
      </c>
      <c r="AF2269" s="1761" t="s">
        <v>3010</v>
      </c>
      <c r="AG2269" s="1761" t="s">
        <v>1653</v>
      </c>
      <c r="AH2269" s="1761" t="s">
        <v>1594</v>
      </c>
      <c r="AI2269" s="1761" t="s">
        <v>3476</v>
      </c>
      <c r="AJ2269" s="1761" t="s">
        <v>3476</v>
      </c>
      <c r="AK2269" s="1761">
        <v>1040</v>
      </c>
      <c r="AL2269" s="1761" t="s">
        <v>3011</v>
      </c>
      <c r="AM2269" s="1761">
        <v>102</v>
      </c>
      <c r="AN2269" s="1761" t="s">
        <v>5370</v>
      </c>
      <c r="AO2269" s="1764"/>
      <c r="AP2269" s="1761" t="s">
        <v>5379</v>
      </c>
      <c r="AQ2269" s="1761" t="s">
        <v>5380</v>
      </c>
      <c r="AR2269" s="1761" t="s">
        <v>5381</v>
      </c>
      <c r="AS2269" s="1761" t="s">
        <v>347</v>
      </c>
      <c r="AT2269" s="1761" t="s">
        <v>327</v>
      </c>
      <c r="AU2269" s="1763"/>
      <c r="AV2269" s="1763"/>
    </row>
    <row r="2270" spans="1:48" ht="25" hidden="1">
      <c r="A2270" s="1785" t="str">
        <f t="shared" si="385"/>
        <v>גמל</v>
      </c>
      <c r="B2270" s="1786">
        <f t="shared" si="386"/>
        <v>1042</v>
      </c>
      <c r="C2270" s="1787">
        <v>28946</v>
      </c>
      <c r="D2270" s="1786" t="str">
        <f t="shared" si="387"/>
        <v>אקסלנס גמל שקלי</v>
      </c>
      <c r="E2270" s="1786" t="s">
        <v>3929</v>
      </c>
      <c r="F2270" s="1786" t="s">
        <v>2958</v>
      </c>
      <c r="G2270" s="1786" t="s">
        <v>2959</v>
      </c>
      <c r="H2270" s="1786" t="str">
        <f t="shared" si="388"/>
        <v>לא פעיל</v>
      </c>
      <c r="I2270" s="1788">
        <f t="shared" si="389"/>
        <v>23161</v>
      </c>
      <c r="J2270" s="1788">
        <f t="shared" si="390"/>
        <v>42381.424895833297</v>
      </c>
      <c r="K2270" s="1786">
        <v>0</v>
      </c>
      <c r="L2270" s="1786" t="s">
        <v>1594</v>
      </c>
      <c r="M2270" s="1786" t="s">
        <v>1653</v>
      </c>
      <c r="N2270" s="1786" t="s">
        <v>1653</v>
      </c>
      <c r="O2270" s="1786">
        <v>0</v>
      </c>
      <c r="P2270" s="1786"/>
      <c r="Q2270" s="1786">
        <v>0</v>
      </c>
      <c r="R2270" s="1788"/>
      <c r="S2270" s="1786">
        <f t="shared" si="391"/>
        <v>102</v>
      </c>
      <c r="T2270" s="1786" t="str">
        <f t="shared" si="392"/>
        <v>בנק מזרחי טפחות בע"מ</v>
      </c>
      <c r="U2270" s="1786" t="str">
        <f t="shared" si="393"/>
        <v xml:space="preserve">אקסלנס גמל </v>
      </c>
      <c r="V2270" s="1786" t="str">
        <f t="shared" si="394"/>
        <v>520017450</v>
      </c>
      <c r="W2270" s="1789" t="str">
        <f t="shared" si="395"/>
        <v xml:space="preserve">הפניקס אקסלנס פנסיה וגמל בע"מ </v>
      </c>
      <c r="AC2270" s="1759" t="s">
        <v>1586</v>
      </c>
      <c r="AD2270" s="1760">
        <v>42381.424895833297</v>
      </c>
      <c r="AE2270" s="1760">
        <v>23161</v>
      </c>
      <c r="AF2270" s="1759" t="s">
        <v>1076</v>
      </c>
      <c r="AG2270" s="1759" t="s">
        <v>1614</v>
      </c>
      <c r="AH2270" s="1759" t="s">
        <v>1594</v>
      </c>
      <c r="AI2270" s="1759" t="s">
        <v>2229</v>
      </c>
      <c r="AJ2270" s="1759" t="s">
        <v>2229</v>
      </c>
      <c r="AK2270" s="1759">
        <v>1042</v>
      </c>
      <c r="AL2270" s="1759" t="s">
        <v>3011</v>
      </c>
      <c r="AM2270" s="1759">
        <v>102</v>
      </c>
      <c r="AN2270" s="1759" t="s">
        <v>5370</v>
      </c>
      <c r="AO2270" s="1764"/>
      <c r="AP2270" s="1759" t="s">
        <v>5379</v>
      </c>
      <c r="AQ2270" s="1759" t="s">
        <v>5380</v>
      </c>
      <c r="AR2270" s="1759" t="s">
        <v>5381</v>
      </c>
      <c r="AS2270" s="1759" t="s">
        <v>347</v>
      </c>
      <c r="AT2270" s="1759" t="s">
        <v>327</v>
      </c>
      <c r="AU2270" s="1763"/>
      <c r="AV2270" s="1763"/>
    </row>
    <row r="2271" spans="1:48" ht="25" hidden="1">
      <c r="A2271" s="1785" t="str">
        <f t="shared" si="385"/>
        <v>גמל</v>
      </c>
      <c r="B2271" s="1786">
        <f t="shared" si="386"/>
        <v>1103</v>
      </c>
      <c r="C2271" s="1787">
        <v>28946</v>
      </c>
      <c r="D2271" s="1786" t="str">
        <f t="shared" si="387"/>
        <v>אקסלנס גמל מניות</v>
      </c>
      <c r="E2271" s="1786" t="s">
        <v>3929</v>
      </c>
      <c r="F2271" s="1786" t="s">
        <v>2958</v>
      </c>
      <c r="G2271" s="1786" t="s">
        <v>2959</v>
      </c>
      <c r="H2271" s="1786" t="str">
        <f t="shared" si="388"/>
        <v>לא פעיל</v>
      </c>
      <c r="I2271" s="1788">
        <f t="shared" si="389"/>
        <v>23161</v>
      </c>
      <c r="J2271" s="1788">
        <f t="shared" si="390"/>
        <v>42381.424895833297</v>
      </c>
      <c r="K2271" s="1786">
        <v>0</v>
      </c>
      <c r="L2271" s="1786" t="s">
        <v>1594</v>
      </c>
      <c r="M2271" s="1786" t="s">
        <v>1653</v>
      </c>
      <c r="N2271" s="1786" t="s">
        <v>1653</v>
      </c>
      <c r="O2271" s="1786">
        <v>0</v>
      </c>
      <c r="P2271" s="1786"/>
      <c r="Q2271" s="1786">
        <v>0</v>
      </c>
      <c r="R2271" s="1788"/>
      <c r="S2271" s="1786">
        <f t="shared" si="391"/>
        <v>102</v>
      </c>
      <c r="T2271" s="1786" t="str">
        <f t="shared" si="392"/>
        <v>בנק מזרחי טפחות בע"מ</v>
      </c>
      <c r="U2271" s="1786" t="str">
        <f t="shared" si="393"/>
        <v xml:space="preserve">אקסלנס גמל </v>
      </c>
      <c r="V2271" s="1786" t="str">
        <f t="shared" si="394"/>
        <v>520017450</v>
      </c>
      <c r="W2271" s="1789" t="str">
        <f t="shared" si="395"/>
        <v xml:space="preserve">הפניקס אקסלנס פנסיה וגמל בע"מ </v>
      </c>
      <c r="AC2271" s="1761" t="s">
        <v>1586</v>
      </c>
      <c r="AD2271" s="1762">
        <v>42381.424895833297</v>
      </c>
      <c r="AE2271" s="1762">
        <v>23161</v>
      </c>
      <c r="AF2271" s="1761" t="s">
        <v>1595</v>
      </c>
      <c r="AG2271" s="1761" t="s">
        <v>75</v>
      </c>
      <c r="AH2271" s="1761" t="s">
        <v>1594</v>
      </c>
      <c r="AI2271" s="1761" t="s">
        <v>2269</v>
      </c>
      <c r="AJ2271" s="1761" t="s">
        <v>2269</v>
      </c>
      <c r="AK2271" s="1761">
        <v>1103</v>
      </c>
      <c r="AL2271" s="1761" t="s">
        <v>3011</v>
      </c>
      <c r="AM2271" s="1761">
        <v>102</v>
      </c>
      <c r="AN2271" s="1761" t="s">
        <v>5370</v>
      </c>
      <c r="AO2271" s="1764"/>
      <c r="AP2271" s="1761" t="s">
        <v>5379</v>
      </c>
      <c r="AQ2271" s="1761" t="s">
        <v>5380</v>
      </c>
      <c r="AR2271" s="1761" t="s">
        <v>5381</v>
      </c>
      <c r="AS2271" s="1761" t="s">
        <v>347</v>
      </c>
      <c r="AT2271" s="1761" t="s">
        <v>327</v>
      </c>
      <c r="AU2271" s="1763"/>
      <c r="AV2271" s="1763"/>
    </row>
    <row r="2272" spans="1:48" ht="25" hidden="1">
      <c r="A2272" s="1785" t="str">
        <f t="shared" si="385"/>
        <v>גמל</v>
      </c>
      <c r="B2272" s="1786">
        <f t="shared" si="386"/>
        <v>102</v>
      </c>
      <c r="C2272" s="1787">
        <v>28946</v>
      </c>
      <c r="D2272" s="1786" t="str">
        <f t="shared" si="387"/>
        <v>אקסלנס גמל פלטינום</v>
      </c>
      <c r="E2272" s="1786" t="s">
        <v>3929</v>
      </c>
      <c r="F2272" s="1786" t="s">
        <v>2958</v>
      </c>
      <c r="G2272" s="1786" t="s">
        <v>2959</v>
      </c>
      <c r="H2272" s="1786" t="str">
        <f t="shared" si="388"/>
        <v>לא פעיל</v>
      </c>
      <c r="I2272" s="1788">
        <f t="shared" si="389"/>
        <v>23161</v>
      </c>
      <c r="J2272" s="1788">
        <f t="shared" si="390"/>
        <v>41654.5914583333</v>
      </c>
      <c r="K2272" s="1786">
        <v>0</v>
      </c>
      <c r="L2272" s="1786" t="s">
        <v>1594</v>
      </c>
      <c r="M2272" s="1786" t="s">
        <v>1653</v>
      </c>
      <c r="N2272" s="1786" t="s">
        <v>1653</v>
      </c>
      <c r="O2272" s="1786">
        <v>0</v>
      </c>
      <c r="P2272" s="1786"/>
      <c r="Q2272" s="1786">
        <v>0</v>
      </c>
      <c r="R2272" s="1788"/>
      <c r="S2272" s="1786">
        <f t="shared" si="391"/>
        <v>102</v>
      </c>
      <c r="T2272" s="1786" t="str">
        <f t="shared" si="392"/>
        <v>בנק מזרחי טפחות בע"מ</v>
      </c>
      <c r="U2272" s="1786" t="str">
        <f t="shared" si="393"/>
        <v xml:space="preserve">אקסלנס גמל פלטינום </v>
      </c>
      <c r="V2272" s="1786" t="str">
        <f t="shared" si="394"/>
        <v>520017450</v>
      </c>
      <c r="W2272" s="1789" t="str">
        <f t="shared" si="395"/>
        <v xml:space="preserve">הפניקס אקסלנס פנסיה וגמל בע"מ </v>
      </c>
      <c r="AC2272" s="1759" t="s">
        <v>1586</v>
      </c>
      <c r="AD2272" s="1760">
        <v>41654.5914583333</v>
      </c>
      <c r="AE2272" s="1760">
        <v>23161</v>
      </c>
      <c r="AF2272" s="1759" t="s">
        <v>1583</v>
      </c>
      <c r="AG2272" s="1759" t="s">
        <v>1583</v>
      </c>
      <c r="AH2272" s="1759" t="s">
        <v>1583</v>
      </c>
      <c r="AI2272" s="1759" t="s">
        <v>1584</v>
      </c>
      <c r="AJ2272" s="1759" t="s">
        <v>1584</v>
      </c>
      <c r="AK2272" s="1759">
        <v>102</v>
      </c>
      <c r="AL2272" s="1759" t="s">
        <v>348</v>
      </c>
      <c r="AM2272" s="1759">
        <v>102</v>
      </c>
      <c r="AN2272" s="1759" t="s">
        <v>5370</v>
      </c>
      <c r="AO2272" s="1764"/>
      <c r="AP2272" s="1759" t="s">
        <v>5379</v>
      </c>
      <c r="AQ2272" s="1759" t="s">
        <v>5380</v>
      </c>
      <c r="AR2272" s="1759" t="s">
        <v>5381</v>
      </c>
      <c r="AS2272" s="1759" t="s">
        <v>347</v>
      </c>
      <c r="AT2272" s="1759" t="s">
        <v>327</v>
      </c>
      <c r="AU2272" s="1763"/>
      <c r="AV2272" s="1763"/>
    </row>
    <row r="2273" spans="1:48" ht="25" hidden="1">
      <c r="A2273" s="1785" t="str">
        <f t="shared" si="385"/>
        <v>גמל</v>
      </c>
      <c r="B2273" s="1786">
        <f t="shared" si="386"/>
        <v>211</v>
      </c>
      <c r="C2273" s="1787">
        <v>28946</v>
      </c>
      <c r="D2273" s="1786" t="str">
        <f t="shared" si="387"/>
        <v>אקסלנס גמל אג"ח עד 15% מניות</v>
      </c>
      <c r="E2273" s="1786" t="s">
        <v>3929</v>
      </c>
      <c r="F2273" s="1786" t="s">
        <v>2958</v>
      </c>
      <c r="G2273" s="1786" t="s">
        <v>2959</v>
      </c>
      <c r="H2273" s="1786" t="str">
        <f t="shared" si="388"/>
        <v>פעיל</v>
      </c>
      <c r="I2273" s="1788">
        <f t="shared" si="389"/>
        <v>23161</v>
      </c>
      <c r="J2273" s="1788" t="str">
        <f t="shared" si="390"/>
        <v/>
      </c>
      <c r="K2273" s="1786">
        <v>0</v>
      </c>
      <c r="L2273" s="1786" t="s">
        <v>1594</v>
      </c>
      <c r="M2273" s="1786" t="s">
        <v>1653</v>
      </c>
      <c r="N2273" s="1786" t="s">
        <v>1653</v>
      </c>
      <c r="O2273" s="1786">
        <v>0</v>
      </c>
      <c r="P2273" s="1786"/>
      <c r="Q2273" s="1786">
        <v>0</v>
      </c>
      <c r="R2273" s="1788"/>
      <c r="S2273" s="1786">
        <f t="shared" si="391"/>
        <v>102</v>
      </c>
      <c r="T2273" s="1786" t="str">
        <f t="shared" si="392"/>
        <v>בנק מזרחי טפחות בע"מ</v>
      </c>
      <c r="U2273" s="1786" t="str">
        <f t="shared" si="393"/>
        <v xml:space="preserve">אקסלנס גמל </v>
      </c>
      <c r="V2273" s="1786" t="str">
        <f t="shared" si="394"/>
        <v>520017450</v>
      </c>
      <c r="W2273" s="1789" t="str">
        <f t="shared" si="395"/>
        <v xml:space="preserve">הפניקס אקסלנס פנסיה וגמל בע"מ </v>
      </c>
      <c r="AC2273" s="1761" t="s">
        <v>346</v>
      </c>
      <c r="AD2273" s="1761"/>
      <c r="AE2273" s="1762">
        <v>23161</v>
      </c>
      <c r="AF2273" s="1761" t="s">
        <v>3934</v>
      </c>
      <c r="AG2273" s="1761" t="s">
        <v>1653</v>
      </c>
      <c r="AH2273" s="1761" t="s">
        <v>1594</v>
      </c>
      <c r="AI2273" s="1761" t="s">
        <v>3940</v>
      </c>
      <c r="AJ2273" s="1761" t="s">
        <v>3940</v>
      </c>
      <c r="AK2273" s="1761">
        <v>211</v>
      </c>
      <c r="AL2273" s="1761" t="s">
        <v>3011</v>
      </c>
      <c r="AM2273" s="1761">
        <v>102</v>
      </c>
      <c r="AN2273" s="1761" t="s">
        <v>5370</v>
      </c>
      <c r="AO2273" s="1764"/>
      <c r="AP2273" s="1761" t="s">
        <v>5379</v>
      </c>
      <c r="AQ2273" s="1761" t="s">
        <v>5380</v>
      </c>
      <c r="AR2273" s="1761" t="s">
        <v>5381</v>
      </c>
      <c r="AS2273" s="1761" t="s">
        <v>347</v>
      </c>
      <c r="AT2273" s="1761" t="s">
        <v>327</v>
      </c>
      <c r="AU2273" s="1763"/>
      <c r="AV2273" s="1763"/>
    </row>
    <row r="2274" spans="1:48" ht="25" hidden="1">
      <c r="A2274" s="1785" t="str">
        <f t="shared" si="385"/>
        <v>גמל</v>
      </c>
      <c r="B2274" s="1786">
        <f t="shared" si="386"/>
        <v>8624</v>
      </c>
      <c r="C2274" s="1787">
        <v>28946</v>
      </c>
      <c r="D2274" s="1786" t="str">
        <f t="shared" si="387"/>
        <v>אקסלנס גמל פאסיבי לבני 60 ומעלה</v>
      </c>
      <c r="E2274" s="1786" t="s">
        <v>3929</v>
      </c>
      <c r="F2274" s="1786" t="s">
        <v>2958</v>
      </c>
      <c r="G2274" s="1786" t="s">
        <v>2959</v>
      </c>
      <c r="H2274" s="1786" t="str">
        <f t="shared" si="388"/>
        <v>פעיל</v>
      </c>
      <c r="I2274" s="1788">
        <f t="shared" si="389"/>
        <v>23161</v>
      </c>
      <c r="J2274" s="1788" t="str">
        <f t="shared" si="390"/>
        <v/>
      </c>
      <c r="K2274" s="1786">
        <v>0</v>
      </c>
      <c r="L2274" s="1786" t="s">
        <v>1594</v>
      </c>
      <c r="M2274" s="1786" t="s">
        <v>1653</v>
      </c>
      <c r="N2274" s="1786" t="s">
        <v>1653</v>
      </c>
      <c r="O2274" s="1786">
        <v>0</v>
      </c>
      <c r="P2274" s="1786"/>
      <c r="Q2274" s="1786">
        <v>0</v>
      </c>
      <c r="R2274" s="1788"/>
      <c r="S2274" s="1786">
        <f t="shared" si="391"/>
        <v>102</v>
      </c>
      <c r="T2274" s="1786" t="str">
        <f t="shared" si="392"/>
        <v>בנק מזרחי טפחות בע"מ</v>
      </c>
      <c r="U2274" s="1786" t="str">
        <f t="shared" si="393"/>
        <v xml:space="preserve">אקסלנס גמל </v>
      </c>
      <c r="V2274" s="1786" t="str">
        <f t="shared" si="394"/>
        <v>520017450</v>
      </c>
      <c r="W2274" s="1789" t="str">
        <f t="shared" si="395"/>
        <v xml:space="preserve">הפניקס אקסלנס פנסיה וגמל בע"מ </v>
      </c>
      <c r="AC2274" s="1759" t="s">
        <v>346</v>
      </c>
      <c r="AD2274" s="1759"/>
      <c r="AE2274" s="1760">
        <v>23161</v>
      </c>
      <c r="AF2274" s="1759" t="s">
        <v>3963</v>
      </c>
      <c r="AG2274" s="1759" t="s">
        <v>3931</v>
      </c>
      <c r="AH2274" s="1759" t="s">
        <v>3658</v>
      </c>
      <c r="AI2274" s="1759" t="s">
        <v>5801</v>
      </c>
      <c r="AJ2274" s="1759" t="s">
        <v>5801</v>
      </c>
      <c r="AK2274" s="1759">
        <v>8624</v>
      </c>
      <c r="AL2274" s="1759" t="s">
        <v>3011</v>
      </c>
      <c r="AM2274" s="1759">
        <v>102</v>
      </c>
      <c r="AN2274" s="1759" t="s">
        <v>5370</v>
      </c>
      <c r="AO2274" s="1764"/>
      <c r="AP2274" s="1759" t="s">
        <v>5379</v>
      </c>
      <c r="AQ2274" s="1759" t="s">
        <v>5380</v>
      </c>
      <c r="AR2274" s="1759" t="s">
        <v>5381</v>
      </c>
      <c r="AS2274" s="1759" t="s">
        <v>347</v>
      </c>
      <c r="AT2274" s="1759" t="s">
        <v>327</v>
      </c>
      <c r="AU2274" s="1763"/>
      <c r="AV2274" s="1763"/>
    </row>
    <row r="2275" spans="1:48" ht="37.5" hidden="1">
      <c r="A2275" s="1785" t="str">
        <f t="shared" si="385"/>
        <v>גמל</v>
      </c>
      <c r="B2275" s="1786">
        <f t="shared" si="386"/>
        <v>8057</v>
      </c>
      <c r="C2275" s="1787">
        <v>28946</v>
      </c>
      <c r="D2275" s="1786" t="str">
        <f t="shared" si="387"/>
        <v>הראל גמל מסלול חו"ל</v>
      </c>
      <c r="E2275" s="1786" t="s">
        <v>3929</v>
      </c>
      <c r="F2275" s="1786" t="s">
        <v>2958</v>
      </c>
      <c r="G2275" s="1786" t="s">
        <v>2959</v>
      </c>
      <c r="H2275" s="1786" t="str">
        <f t="shared" si="388"/>
        <v>פעיל</v>
      </c>
      <c r="I2275" s="1788">
        <f t="shared" si="389"/>
        <v>28946</v>
      </c>
      <c r="J2275" s="1788" t="str">
        <f t="shared" si="390"/>
        <v/>
      </c>
      <c r="K2275" s="1786">
        <v>0</v>
      </c>
      <c r="L2275" s="1786" t="s">
        <v>1594</v>
      </c>
      <c r="M2275" s="1786" t="s">
        <v>1653</v>
      </c>
      <c r="N2275" s="1786" t="s">
        <v>1653</v>
      </c>
      <c r="O2275" s="1786">
        <v>0</v>
      </c>
      <c r="P2275" s="1786"/>
      <c r="Q2275" s="1786">
        <v>0</v>
      </c>
      <c r="R2275" s="1788"/>
      <c r="S2275" s="1786">
        <f t="shared" si="391"/>
        <v>101</v>
      </c>
      <c r="T2275" s="1786" t="str">
        <f t="shared" si="392"/>
        <v>הראל פנסיה</v>
      </c>
      <c r="U2275" s="1786" t="str">
        <f t="shared" si="393"/>
        <v>הראל קופת גמל</v>
      </c>
      <c r="V2275" s="1786" t="str">
        <f t="shared" si="394"/>
        <v>520033986</v>
      </c>
      <c r="W2275" s="1789" t="str">
        <f t="shared" si="395"/>
        <v>הראל פנסיה וגמל בע"מ</v>
      </c>
      <c r="AC2275" s="1761" t="s">
        <v>346</v>
      </c>
      <c r="AD2275" s="1761"/>
      <c r="AE2275" s="1762">
        <v>28946</v>
      </c>
      <c r="AF2275" s="1761" t="s">
        <v>1948</v>
      </c>
      <c r="AG2275" s="1761" t="s">
        <v>1947</v>
      </c>
      <c r="AH2275" s="1761" t="s">
        <v>1594</v>
      </c>
      <c r="AI2275" s="1761" t="s">
        <v>4237</v>
      </c>
      <c r="AJ2275" s="1761" t="s">
        <v>4237</v>
      </c>
      <c r="AK2275" s="1761">
        <v>8057</v>
      </c>
      <c r="AL2275" s="1761" t="s">
        <v>1633</v>
      </c>
      <c r="AM2275" s="1761">
        <v>101</v>
      </c>
      <c r="AN2275" s="1761" t="s">
        <v>4168</v>
      </c>
      <c r="AO2275" s="1764"/>
      <c r="AP2275" s="1761" t="s">
        <v>5396</v>
      </c>
      <c r="AQ2275" s="1761" t="s">
        <v>5397</v>
      </c>
      <c r="AR2275" s="1761" t="s">
        <v>4588</v>
      </c>
      <c r="AS2275" s="1761" t="s">
        <v>405</v>
      </c>
      <c r="AT2275" s="1761" t="s">
        <v>327</v>
      </c>
      <c r="AU2275" s="1763"/>
      <c r="AV2275" s="1763"/>
    </row>
    <row r="2276" spans="1:48" ht="37.5" hidden="1">
      <c r="A2276" s="1785" t="str">
        <f t="shared" si="385"/>
        <v>גמל</v>
      </c>
      <c r="B2276" s="1786">
        <f t="shared" si="386"/>
        <v>9742</v>
      </c>
      <c r="C2276" s="1787">
        <v>28946</v>
      </c>
      <c r="D2276" s="1786" t="str">
        <f t="shared" si="387"/>
        <v xml:space="preserve">הראל גמל מסלול לגילאי 50 עד 60
</v>
      </c>
      <c r="E2276" s="1786" t="s">
        <v>3929</v>
      </c>
      <c r="F2276" s="1786" t="s">
        <v>2958</v>
      </c>
      <c r="G2276" s="1786" t="s">
        <v>2959</v>
      </c>
      <c r="H2276" s="1786" t="str">
        <f t="shared" si="388"/>
        <v>פעיל</v>
      </c>
      <c r="I2276" s="1788">
        <f t="shared" si="389"/>
        <v>28946</v>
      </c>
      <c r="J2276" s="1788" t="str">
        <f t="shared" si="390"/>
        <v/>
      </c>
      <c r="K2276" s="1786">
        <v>0</v>
      </c>
      <c r="L2276" s="1786" t="s">
        <v>1594</v>
      </c>
      <c r="M2276" s="1786" t="s">
        <v>1653</v>
      </c>
      <c r="N2276" s="1786" t="s">
        <v>1653</v>
      </c>
      <c r="O2276" s="1786">
        <v>0</v>
      </c>
      <c r="P2276" s="1786"/>
      <c r="Q2276" s="1786">
        <v>0</v>
      </c>
      <c r="R2276" s="1788"/>
      <c r="S2276" s="1786">
        <f t="shared" si="391"/>
        <v>101</v>
      </c>
      <c r="T2276" s="1786" t="str">
        <f t="shared" si="392"/>
        <v>הראל פנסיה</v>
      </c>
      <c r="U2276" s="1786" t="str">
        <f t="shared" si="393"/>
        <v>הראל קופת גמל</v>
      </c>
      <c r="V2276" s="1786" t="str">
        <f t="shared" si="394"/>
        <v>520033986</v>
      </c>
      <c r="W2276" s="1789" t="str">
        <f t="shared" si="395"/>
        <v>הראל פנסיה וגמל בע"מ</v>
      </c>
      <c r="AC2276" s="1759" t="s">
        <v>346</v>
      </c>
      <c r="AD2276" s="1759"/>
      <c r="AE2276" s="1760">
        <v>28946</v>
      </c>
      <c r="AF2276" s="1759" t="s">
        <v>3932</v>
      </c>
      <c r="AG2276" s="1759" t="s">
        <v>3931</v>
      </c>
      <c r="AH2276" s="1759" t="s">
        <v>3658</v>
      </c>
      <c r="AI2276" s="1759" t="s">
        <v>4769</v>
      </c>
      <c r="AJ2276" s="1759" t="s">
        <v>4769</v>
      </c>
      <c r="AK2276" s="1759">
        <v>9742</v>
      </c>
      <c r="AL2276" s="1759" t="s">
        <v>1633</v>
      </c>
      <c r="AM2276" s="1759">
        <v>101</v>
      </c>
      <c r="AN2276" s="1759" t="s">
        <v>4168</v>
      </c>
      <c r="AO2276" s="1764"/>
      <c r="AP2276" s="1759" t="s">
        <v>5396</v>
      </c>
      <c r="AQ2276" s="1759" t="s">
        <v>5397</v>
      </c>
      <c r="AR2276" s="1759" t="s">
        <v>4588</v>
      </c>
      <c r="AS2276" s="1759" t="s">
        <v>405</v>
      </c>
      <c r="AT2276" s="1759" t="s">
        <v>327</v>
      </c>
      <c r="AU2276" s="1763"/>
      <c r="AV2276" s="1763"/>
    </row>
    <row r="2277" spans="1:48" ht="37.5" hidden="1">
      <c r="A2277" s="1785" t="str">
        <f t="shared" si="385"/>
        <v>גמל</v>
      </c>
      <c r="B2277" s="1786">
        <f t="shared" si="386"/>
        <v>9744</v>
      </c>
      <c r="C2277" s="1787">
        <v>28946</v>
      </c>
      <c r="D2277" s="1786" t="str">
        <f t="shared" si="387"/>
        <v xml:space="preserve">הראל גמל מסלול לגילאי  50 ומטה
</v>
      </c>
      <c r="E2277" s="1786" t="s">
        <v>3929</v>
      </c>
      <c r="F2277" s="1786" t="s">
        <v>2958</v>
      </c>
      <c r="G2277" s="1786" t="s">
        <v>2959</v>
      </c>
      <c r="H2277" s="1786" t="str">
        <f t="shared" si="388"/>
        <v>פעיל</v>
      </c>
      <c r="I2277" s="1788">
        <f t="shared" si="389"/>
        <v>28946</v>
      </c>
      <c r="J2277" s="1788" t="str">
        <f t="shared" si="390"/>
        <v/>
      </c>
      <c r="K2277" s="1786">
        <v>0</v>
      </c>
      <c r="L2277" s="1786" t="s">
        <v>1594</v>
      </c>
      <c r="M2277" s="1786" t="s">
        <v>1653</v>
      </c>
      <c r="N2277" s="1786" t="s">
        <v>1653</v>
      </c>
      <c r="O2277" s="1786">
        <v>0</v>
      </c>
      <c r="P2277" s="1786"/>
      <c r="Q2277" s="1786">
        <v>0</v>
      </c>
      <c r="R2277" s="1788"/>
      <c r="S2277" s="1786">
        <f t="shared" si="391"/>
        <v>101</v>
      </c>
      <c r="T2277" s="1786" t="str">
        <f t="shared" si="392"/>
        <v>הראל פנסיה</v>
      </c>
      <c r="U2277" s="1786" t="str">
        <f t="shared" si="393"/>
        <v>הראל קופת גמל</v>
      </c>
      <c r="V2277" s="1786" t="str">
        <f t="shared" si="394"/>
        <v>520033986</v>
      </c>
      <c r="W2277" s="1789" t="str">
        <f t="shared" si="395"/>
        <v>הראל פנסיה וגמל בע"מ</v>
      </c>
      <c r="AC2277" s="1761" t="s">
        <v>346</v>
      </c>
      <c r="AD2277" s="1761"/>
      <c r="AE2277" s="1762">
        <v>28946</v>
      </c>
      <c r="AF2277" s="1761" t="s">
        <v>4151</v>
      </c>
      <c r="AG2277" s="1761" t="s">
        <v>3931</v>
      </c>
      <c r="AH2277" s="1761" t="s">
        <v>3658</v>
      </c>
      <c r="AI2277" s="1761" t="s">
        <v>4770</v>
      </c>
      <c r="AJ2277" s="1761" t="s">
        <v>4770</v>
      </c>
      <c r="AK2277" s="1761">
        <v>9744</v>
      </c>
      <c r="AL2277" s="1761" t="s">
        <v>1633</v>
      </c>
      <c r="AM2277" s="1761">
        <v>101</v>
      </c>
      <c r="AN2277" s="1761" t="s">
        <v>4168</v>
      </c>
      <c r="AO2277" s="1764"/>
      <c r="AP2277" s="1761" t="s">
        <v>5396</v>
      </c>
      <c r="AQ2277" s="1761" t="s">
        <v>5397</v>
      </c>
      <c r="AR2277" s="1761" t="s">
        <v>4588</v>
      </c>
      <c r="AS2277" s="1761" t="s">
        <v>405</v>
      </c>
      <c r="AT2277" s="1761" t="s">
        <v>327</v>
      </c>
      <c r="AU2277" s="1763"/>
      <c r="AV2277" s="1763"/>
    </row>
    <row r="2278" spans="1:48" ht="37.5" hidden="1">
      <c r="A2278" s="1785" t="str">
        <f t="shared" si="385"/>
        <v>גמל</v>
      </c>
      <c r="B2278" s="1786">
        <f t="shared" si="386"/>
        <v>9745</v>
      </c>
      <c r="C2278" s="1787">
        <v>28946</v>
      </c>
      <c r="D2278" s="1786" t="str">
        <f t="shared" si="387"/>
        <v xml:space="preserve">הראל גמל מסלול לגילאי 60 ומעלה
</v>
      </c>
      <c r="E2278" s="1786" t="s">
        <v>3929</v>
      </c>
      <c r="F2278" s="1786" t="s">
        <v>2958</v>
      </c>
      <c r="G2278" s="1786" t="s">
        <v>2959</v>
      </c>
      <c r="H2278" s="1786" t="str">
        <f t="shared" si="388"/>
        <v>פעיל</v>
      </c>
      <c r="I2278" s="1788">
        <f t="shared" si="389"/>
        <v>28946</v>
      </c>
      <c r="J2278" s="1788" t="str">
        <f t="shared" si="390"/>
        <v/>
      </c>
      <c r="K2278" s="1786">
        <v>0</v>
      </c>
      <c r="L2278" s="1786" t="s">
        <v>1594</v>
      </c>
      <c r="M2278" s="1786" t="s">
        <v>1653</v>
      </c>
      <c r="N2278" s="1786" t="s">
        <v>1653</v>
      </c>
      <c r="O2278" s="1786">
        <v>0</v>
      </c>
      <c r="P2278" s="1786"/>
      <c r="Q2278" s="1786">
        <v>0</v>
      </c>
      <c r="R2278" s="1788"/>
      <c r="S2278" s="1786">
        <f t="shared" si="391"/>
        <v>101</v>
      </c>
      <c r="T2278" s="1786" t="str">
        <f t="shared" si="392"/>
        <v>הראל פנסיה</v>
      </c>
      <c r="U2278" s="1786" t="str">
        <f t="shared" si="393"/>
        <v>הראל קופת גמל</v>
      </c>
      <c r="V2278" s="1786" t="str">
        <f t="shared" si="394"/>
        <v>520033986</v>
      </c>
      <c r="W2278" s="1789" t="str">
        <f t="shared" si="395"/>
        <v>הראל פנסיה וגמל בע"מ</v>
      </c>
      <c r="AC2278" s="1759" t="s">
        <v>346</v>
      </c>
      <c r="AD2278" s="1759"/>
      <c r="AE2278" s="1760">
        <v>28946</v>
      </c>
      <c r="AF2278" s="1759" t="s">
        <v>3963</v>
      </c>
      <c r="AG2278" s="1759" t="s">
        <v>3931</v>
      </c>
      <c r="AH2278" s="1759" t="s">
        <v>3658</v>
      </c>
      <c r="AI2278" s="1759" t="s">
        <v>4771</v>
      </c>
      <c r="AJ2278" s="1759" t="s">
        <v>4771</v>
      </c>
      <c r="AK2278" s="1759">
        <v>9745</v>
      </c>
      <c r="AL2278" s="1759" t="s">
        <v>1633</v>
      </c>
      <c r="AM2278" s="1759">
        <v>101</v>
      </c>
      <c r="AN2278" s="1759" t="s">
        <v>4168</v>
      </c>
      <c r="AO2278" s="1764"/>
      <c r="AP2278" s="1759" t="s">
        <v>5396</v>
      </c>
      <c r="AQ2278" s="1759" t="s">
        <v>5397</v>
      </c>
      <c r="AR2278" s="1759" t="s">
        <v>4588</v>
      </c>
      <c r="AS2278" s="1759" t="s">
        <v>405</v>
      </c>
      <c r="AT2278" s="1759" t="s">
        <v>327</v>
      </c>
      <c r="AU2278" s="1763"/>
      <c r="AV2278" s="1763"/>
    </row>
    <row r="2279" spans="1:48" ht="37.5" hidden="1">
      <c r="A2279" s="1785" t="str">
        <f t="shared" si="385"/>
        <v>גמל</v>
      </c>
      <c r="B2279" s="1786">
        <f t="shared" si="386"/>
        <v>1484</v>
      </c>
      <c r="C2279" s="1787">
        <v>28946</v>
      </c>
      <c r="D2279" s="1786" t="str">
        <f t="shared" si="387"/>
        <v>הראל גמל מסלול אג"ח קונצרני</v>
      </c>
      <c r="E2279" s="1786" t="s">
        <v>3929</v>
      </c>
      <c r="F2279" s="1786" t="s">
        <v>2958</v>
      </c>
      <c r="G2279" s="1786" t="s">
        <v>2959</v>
      </c>
      <c r="H2279" s="1786" t="str">
        <f t="shared" si="388"/>
        <v>פעיל</v>
      </c>
      <c r="I2279" s="1788">
        <f t="shared" si="389"/>
        <v>28946</v>
      </c>
      <c r="J2279" s="1788" t="str">
        <f t="shared" si="390"/>
        <v/>
      </c>
      <c r="K2279" s="1786">
        <v>0</v>
      </c>
      <c r="L2279" s="1786" t="s">
        <v>1594</v>
      </c>
      <c r="M2279" s="1786" t="s">
        <v>1653</v>
      </c>
      <c r="N2279" s="1786" t="s">
        <v>1653</v>
      </c>
      <c r="O2279" s="1786">
        <v>0</v>
      </c>
      <c r="P2279" s="1786"/>
      <c r="Q2279" s="1786">
        <v>0</v>
      </c>
      <c r="R2279" s="1788"/>
      <c r="S2279" s="1786">
        <f t="shared" si="391"/>
        <v>101</v>
      </c>
      <c r="T2279" s="1786" t="str">
        <f t="shared" si="392"/>
        <v>הראל פנסיה</v>
      </c>
      <c r="U2279" s="1786" t="str">
        <f t="shared" si="393"/>
        <v>הראל קופת גמל</v>
      </c>
      <c r="V2279" s="1786" t="str">
        <f t="shared" si="394"/>
        <v>520033986</v>
      </c>
      <c r="W2279" s="1789" t="str">
        <f t="shared" si="395"/>
        <v>הראל פנסיה וגמל בע"מ</v>
      </c>
      <c r="AC2279" s="1761" t="s">
        <v>346</v>
      </c>
      <c r="AD2279" s="1761"/>
      <c r="AE2279" s="1762">
        <v>28946</v>
      </c>
      <c r="AF2279" s="1761" t="s">
        <v>3010</v>
      </c>
      <c r="AG2279" s="1761" t="s">
        <v>1653</v>
      </c>
      <c r="AH2279" s="1761" t="s">
        <v>1594</v>
      </c>
      <c r="AI2279" s="1761" t="s">
        <v>4617</v>
      </c>
      <c r="AJ2279" s="1761" t="s">
        <v>4617</v>
      </c>
      <c r="AK2279" s="1761">
        <v>1484</v>
      </c>
      <c r="AL2279" s="1761" t="s">
        <v>1633</v>
      </c>
      <c r="AM2279" s="1761">
        <v>101</v>
      </c>
      <c r="AN2279" s="1761" t="s">
        <v>4168</v>
      </c>
      <c r="AO2279" s="1764"/>
      <c r="AP2279" s="1761" t="s">
        <v>5396</v>
      </c>
      <c r="AQ2279" s="1761" t="s">
        <v>5397</v>
      </c>
      <c r="AR2279" s="1761" t="s">
        <v>4588</v>
      </c>
      <c r="AS2279" s="1761" t="s">
        <v>405</v>
      </c>
      <c r="AT2279" s="1761" t="s">
        <v>327</v>
      </c>
      <c r="AU2279" s="1763"/>
      <c r="AV2279" s="1763"/>
    </row>
    <row r="2280" spans="1:48" ht="37.5" hidden="1">
      <c r="A2280" s="1785" t="str">
        <f t="shared" si="385"/>
        <v>גמל</v>
      </c>
      <c r="B2280" s="1786">
        <f t="shared" si="386"/>
        <v>1524</v>
      </c>
      <c r="C2280" s="1787">
        <v>28946</v>
      </c>
      <c r="D2280" s="1786" t="str">
        <f t="shared" si="387"/>
        <v>הראל גמל מסלול כהלכה</v>
      </c>
      <c r="E2280" s="1786" t="s">
        <v>3929</v>
      </c>
      <c r="F2280" s="1786" t="s">
        <v>2958</v>
      </c>
      <c r="G2280" s="1786" t="s">
        <v>2959</v>
      </c>
      <c r="H2280" s="1786" t="str">
        <f t="shared" si="388"/>
        <v>פעיל</v>
      </c>
      <c r="I2280" s="1788">
        <f t="shared" si="389"/>
        <v>28946</v>
      </c>
      <c r="J2280" s="1788" t="str">
        <f t="shared" si="390"/>
        <v/>
      </c>
      <c r="K2280" s="1786">
        <v>0</v>
      </c>
      <c r="L2280" s="1786" t="s">
        <v>1594</v>
      </c>
      <c r="M2280" s="1786" t="s">
        <v>1653</v>
      </c>
      <c r="N2280" s="1786" t="s">
        <v>1653</v>
      </c>
      <c r="O2280" s="1786">
        <v>0</v>
      </c>
      <c r="P2280" s="1786"/>
      <c r="Q2280" s="1786">
        <v>0</v>
      </c>
      <c r="R2280" s="1788"/>
      <c r="S2280" s="1786">
        <f t="shared" si="391"/>
        <v>101</v>
      </c>
      <c r="T2280" s="1786" t="str">
        <f t="shared" si="392"/>
        <v>הראל פנסיה</v>
      </c>
      <c r="U2280" s="1786" t="str">
        <f t="shared" si="393"/>
        <v>הראל קופת גמל</v>
      </c>
      <c r="V2280" s="1786" t="str">
        <f t="shared" si="394"/>
        <v>520033986</v>
      </c>
      <c r="W2280" s="1789" t="str">
        <f t="shared" si="395"/>
        <v>הראל פנסיה וגמל בע"מ</v>
      </c>
      <c r="AC2280" s="1759" t="s">
        <v>346</v>
      </c>
      <c r="AD2280" s="1759"/>
      <c r="AE2280" s="1760">
        <v>28946</v>
      </c>
      <c r="AF2280" s="1759" t="s">
        <v>4603</v>
      </c>
      <c r="AG2280" s="1759" t="s">
        <v>2029</v>
      </c>
      <c r="AH2280" s="1759" t="s">
        <v>2028</v>
      </c>
      <c r="AI2280" s="1759" t="s">
        <v>4121</v>
      </c>
      <c r="AJ2280" s="1759" t="s">
        <v>4120</v>
      </c>
      <c r="AK2280" s="1759">
        <v>1524</v>
      </c>
      <c r="AL2280" s="1759" t="s">
        <v>1633</v>
      </c>
      <c r="AM2280" s="1759">
        <v>101</v>
      </c>
      <c r="AN2280" s="1759" t="s">
        <v>4168</v>
      </c>
      <c r="AO2280" s="1764"/>
      <c r="AP2280" s="1759" t="s">
        <v>5396</v>
      </c>
      <c r="AQ2280" s="1759" t="s">
        <v>5397</v>
      </c>
      <c r="AR2280" s="1759" t="s">
        <v>4588</v>
      </c>
      <c r="AS2280" s="1759" t="s">
        <v>405</v>
      </c>
      <c r="AT2280" s="1759" t="s">
        <v>327</v>
      </c>
      <c r="AU2280" s="1763"/>
      <c r="AV2280" s="1763"/>
    </row>
    <row r="2281" spans="1:48" ht="37.5" hidden="1">
      <c r="A2281" s="1785" t="str">
        <f t="shared" si="385"/>
        <v>גמל</v>
      </c>
      <c r="B2281" s="1786">
        <f t="shared" si="386"/>
        <v>153</v>
      </c>
      <c r="C2281" s="1787">
        <v>28946</v>
      </c>
      <c r="D2281" s="1786" t="str">
        <f t="shared" si="387"/>
        <v>הראל גמל לגילאי 50 עד 60</v>
      </c>
      <c r="E2281" s="1786" t="s">
        <v>3929</v>
      </c>
      <c r="F2281" s="1786" t="s">
        <v>2958</v>
      </c>
      <c r="G2281" s="1786" t="s">
        <v>2959</v>
      </c>
      <c r="H2281" s="1786" t="str">
        <f t="shared" si="388"/>
        <v>לא פעיל</v>
      </c>
      <c r="I2281" s="1788">
        <f t="shared" si="389"/>
        <v>28946</v>
      </c>
      <c r="J2281" s="1788">
        <f t="shared" si="390"/>
        <v>42373.565706018497</v>
      </c>
      <c r="K2281" s="1786">
        <v>0</v>
      </c>
      <c r="L2281" s="1786" t="s">
        <v>1594</v>
      </c>
      <c r="M2281" s="1786" t="s">
        <v>1653</v>
      </c>
      <c r="N2281" s="1786" t="s">
        <v>1653</v>
      </c>
      <c r="O2281" s="1786">
        <v>0</v>
      </c>
      <c r="P2281" s="1786"/>
      <c r="Q2281" s="1786">
        <v>0</v>
      </c>
      <c r="R2281" s="1788"/>
      <c r="S2281" s="1786">
        <f t="shared" si="391"/>
        <v>101</v>
      </c>
      <c r="T2281" s="1786" t="str">
        <f t="shared" si="392"/>
        <v>בנק לאומי בע"מ</v>
      </c>
      <c r="U2281" s="1786" t="str">
        <f t="shared" si="393"/>
        <v>הראל קופת גמל</v>
      </c>
      <c r="V2281" s="1786" t="str">
        <f t="shared" si="394"/>
        <v>520033986</v>
      </c>
      <c r="W2281" s="1789" t="str">
        <f t="shared" si="395"/>
        <v>הראל פנסיה וגמל בע"מ</v>
      </c>
      <c r="AC2281" s="1761" t="s">
        <v>1586</v>
      </c>
      <c r="AD2281" s="1762">
        <v>42373.565706018497</v>
      </c>
      <c r="AE2281" s="1762">
        <v>28946</v>
      </c>
      <c r="AF2281" s="1761" t="s">
        <v>3932</v>
      </c>
      <c r="AG2281" s="1761" t="s">
        <v>3931</v>
      </c>
      <c r="AH2281" s="1761" t="s">
        <v>3658</v>
      </c>
      <c r="AI2281" s="1761" t="s">
        <v>4512</v>
      </c>
      <c r="AJ2281" s="1761" t="s">
        <v>4512</v>
      </c>
      <c r="AK2281" s="1761">
        <v>153</v>
      </c>
      <c r="AL2281" s="1761" t="s">
        <v>1633</v>
      </c>
      <c r="AM2281" s="1761">
        <v>101</v>
      </c>
      <c r="AN2281" s="1761" t="s">
        <v>5470</v>
      </c>
      <c r="AO2281" s="1764"/>
      <c r="AP2281" s="1761" t="s">
        <v>5396</v>
      </c>
      <c r="AQ2281" s="1761" t="s">
        <v>5397</v>
      </c>
      <c r="AR2281" s="1761" t="s">
        <v>4588</v>
      </c>
      <c r="AS2281" s="1761" t="s">
        <v>405</v>
      </c>
      <c r="AT2281" s="1761" t="s">
        <v>327</v>
      </c>
      <c r="AU2281" s="1763"/>
      <c r="AV2281" s="1763"/>
    </row>
    <row r="2282" spans="1:48" ht="37.5" hidden="1">
      <c r="A2282" s="1785" t="str">
        <f t="shared" si="385"/>
        <v>גמל</v>
      </c>
      <c r="B2282" s="1786">
        <f t="shared" si="386"/>
        <v>761</v>
      </c>
      <c r="C2282" s="1787">
        <v>28946</v>
      </c>
      <c r="D2282" s="1786" t="str">
        <f t="shared" si="387"/>
        <v>הראל גמל מסלול מניות</v>
      </c>
      <c r="E2282" s="1786" t="s">
        <v>3929</v>
      </c>
      <c r="F2282" s="1786" t="s">
        <v>2958</v>
      </c>
      <c r="G2282" s="1786" t="s">
        <v>2959</v>
      </c>
      <c r="H2282" s="1786" t="str">
        <f t="shared" si="388"/>
        <v>פעיל</v>
      </c>
      <c r="I2282" s="1788">
        <f t="shared" si="389"/>
        <v>28946</v>
      </c>
      <c r="J2282" s="1788" t="str">
        <f t="shared" si="390"/>
        <v/>
      </c>
      <c r="K2282" s="1786">
        <v>0</v>
      </c>
      <c r="L2282" s="1786" t="s">
        <v>1594</v>
      </c>
      <c r="M2282" s="1786" t="s">
        <v>1653</v>
      </c>
      <c r="N2282" s="1786" t="s">
        <v>1653</v>
      </c>
      <c r="O2282" s="1786">
        <v>0</v>
      </c>
      <c r="P2282" s="1786"/>
      <c r="Q2282" s="1786">
        <v>0</v>
      </c>
      <c r="R2282" s="1788"/>
      <c r="S2282" s="1786">
        <f t="shared" si="391"/>
        <v>101</v>
      </c>
      <c r="T2282" s="1786" t="str">
        <f t="shared" si="392"/>
        <v>הראל פנסיה</v>
      </c>
      <c r="U2282" s="1786" t="str">
        <f t="shared" si="393"/>
        <v>הראל קופת גמל</v>
      </c>
      <c r="V2282" s="1786" t="str">
        <f t="shared" si="394"/>
        <v>520033986</v>
      </c>
      <c r="W2282" s="1789" t="str">
        <f t="shared" si="395"/>
        <v>הראל פנסיה וגמל בע"מ</v>
      </c>
      <c r="AC2282" s="1759" t="s">
        <v>346</v>
      </c>
      <c r="AD2282" s="1759"/>
      <c r="AE2282" s="1760">
        <v>28946</v>
      </c>
      <c r="AF2282" s="1759" t="s">
        <v>1595</v>
      </c>
      <c r="AG2282" s="1759" t="s">
        <v>75</v>
      </c>
      <c r="AH2282" s="1759" t="s">
        <v>1594</v>
      </c>
      <c r="AI2282" s="1759" t="s">
        <v>3984</v>
      </c>
      <c r="AJ2282" s="1759" t="s">
        <v>3984</v>
      </c>
      <c r="AK2282" s="1759">
        <v>761</v>
      </c>
      <c r="AL2282" s="1759" t="s">
        <v>1633</v>
      </c>
      <c r="AM2282" s="1759">
        <v>101</v>
      </c>
      <c r="AN2282" s="1759" t="s">
        <v>4168</v>
      </c>
      <c r="AO2282" s="1764"/>
      <c r="AP2282" s="1759" t="s">
        <v>5396</v>
      </c>
      <c r="AQ2282" s="1759" t="s">
        <v>5397</v>
      </c>
      <c r="AR2282" s="1759" t="s">
        <v>4588</v>
      </c>
      <c r="AS2282" s="1759" t="s">
        <v>405</v>
      </c>
      <c r="AT2282" s="1759" t="s">
        <v>327</v>
      </c>
      <c r="AU2282" s="1763"/>
      <c r="AV2282" s="1763"/>
    </row>
    <row r="2283" spans="1:48" ht="37.5" hidden="1">
      <c r="A2283" s="1785" t="str">
        <f t="shared" si="385"/>
        <v>גמל</v>
      </c>
      <c r="B2283" s="1786">
        <f t="shared" si="386"/>
        <v>762</v>
      </c>
      <c r="C2283" s="1787">
        <v>28946</v>
      </c>
      <c r="D2283" s="1786" t="str">
        <f t="shared" si="387"/>
        <v xml:space="preserve">הראל גמל מסלול אג"ח עד 10% מניות </v>
      </c>
      <c r="E2283" s="1786" t="s">
        <v>3929</v>
      </c>
      <c r="F2283" s="1786" t="s">
        <v>2958</v>
      </c>
      <c r="G2283" s="1786" t="s">
        <v>2959</v>
      </c>
      <c r="H2283" s="1786" t="str">
        <f t="shared" si="388"/>
        <v>פעיל</v>
      </c>
      <c r="I2283" s="1788">
        <f t="shared" si="389"/>
        <v>28946</v>
      </c>
      <c r="J2283" s="1788" t="str">
        <f t="shared" si="390"/>
        <v/>
      </c>
      <c r="K2283" s="1786">
        <v>0</v>
      </c>
      <c r="L2283" s="1786" t="s">
        <v>1594</v>
      </c>
      <c r="M2283" s="1786" t="s">
        <v>1653</v>
      </c>
      <c r="N2283" s="1786" t="s">
        <v>1653</v>
      </c>
      <c r="O2283" s="1786">
        <v>0</v>
      </c>
      <c r="P2283" s="1786"/>
      <c r="Q2283" s="1786">
        <v>0</v>
      </c>
      <c r="R2283" s="1788"/>
      <c r="S2283" s="1786">
        <f t="shared" si="391"/>
        <v>101</v>
      </c>
      <c r="T2283" s="1786" t="str">
        <f t="shared" si="392"/>
        <v>הראל פנסיה</v>
      </c>
      <c r="U2283" s="1786" t="str">
        <f t="shared" si="393"/>
        <v>הראל קופת גמל</v>
      </c>
      <c r="V2283" s="1786" t="str">
        <f t="shared" si="394"/>
        <v>520033986</v>
      </c>
      <c r="W2283" s="1789" t="str">
        <f t="shared" si="395"/>
        <v>הראל פנסיה וגמל בע"מ</v>
      </c>
      <c r="AC2283" s="1761" t="s">
        <v>346</v>
      </c>
      <c r="AD2283" s="1759"/>
      <c r="AE2283" s="1762">
        <v>28946</v>
      </c>
      <c r="AF2283" s="1761" t="s">
        <v>3934</v>
      </c>
      <c r="AG2283" s="1761" t="s">
        <v>1653</v>
      </c>
      <c r="AH2283" s="1761" t="s">
        <v>1594</v>
      </c>
      <c r="AI2283" s="1761" t="s">
        <v>4602</v>
      </c>
      <c r="AJ2283" s="1761" t="s">
        <v>4602</v>
      </c>
      <c r="AK2283" s="1761">
        <v>762</v>
      </c>
      <c r="AL2283" s="1761" t="s">
        <v>1633</v>
      </c>
      <c r="AM2283" s="1761">
        <v>101</v>
      </c>
      <c r="AN2283" s="1761" t="s">
        <v>4168</v>
      </c>
      <c r="AO2283" s="1764"/>
      <c r="AP2283" s="1761" t="s">
        <v>5396</v>
      </c>
      <c r="AQ2283" s="1761" t="s">
        <v>5397</v>
      </c>
      <c r="AR2283" s="1761" t="s">
        <v>4588</v>
      </c>
      <c r="AS2283" s="1761" t="s">
        <v>405</v>
      </c>
      <c r="AT2283" s="1761" t="s">
        <v>327</v>
      </c>
      <c r="AU2283" s="1763"/>
      <c r="AV2283" s="1763"/>
    </row>
    <row r="2284" spans="1:48" ht="37.5" hidden="1">
      <c r="A2284" s="1785" t="str">
        <f t="shared" si="385"/>
        <v>גמל</v>
      </c>
      <c r="B2284" s="1786">
        <f t="shared" si="386"/>
        <v>1334</v>
      </c>
      <c r="C2284" s="1787">
        <v>28946</v>
      </c>
      <c r="D2284" s="1786" t="str">
        <f t="shared" si="387"/>
        <v>הראל גמל שקלי טווח קצר</v>
      </c>
      <c r="E2284" s="1786" t="s">
        <v>3929</v>
      </c>
      <c r="F2284" s="1786" t="s">
        <v>2958</v>
      </c>
      <c r="G2284" s="1786" t="s">
        <v>2959</v>
      </c>
      <c r="H2284" s="1786" t="str">
        <f t="shared" si="388"/>
        <v>פעיל</v>
      </c>
      <c r="I2284" s="1788">
        <f t="shared" si="389"/>
        <v>28946</v>
      </c>
      <c r="J2284" s="1788" t="str">
        <f t="shared" si="390"/>
        <v/>
      </c>
      <c r="K2284" s="1786">
        <v>0</v>
      </c>
      <c r="L2284" s="1786" t="s">
        <v>1594</v>
      </c>
      <c r="M2284" s="1786" t="s">
        <v>1653</v>
      </c>
      <c r="N2284" s="1786" t="s">
        <v>1653</v>
      </c>
      <c r="O2284" s="1786">
        <v>0</v>
      </c>
      <c r="P2284" s="1786"/>
      <c r="Q2284" s="1786">
        <v>0</v>
      </c>
      <c r="R2284" s="1788"/>
      <c r="S2284" s="1786">
        <f t="shared" si="391"/>
        <v>101</v>
      </c>
      <c r="T2284" s="1786" t="str">
        <f t="shared" si="392"/>
        <v>הראל פנסיה</v>
      </c>
      <c r="U2284" s="1786" t="str">
        <f t="shared" si="393"/>
        <v>הראל קופת גמל</v>
      </c>
      <c r="V2284" s="1786" t="str">
        <f t="shared" si="394"/>
        <v>520033986</v>
      </c>
      <c r="W2284" s="1789" t="str">
        <f t="shared" si="395"/>
        <v>הראל פנסיה וגמל בע"מ</v>
      </c>
      <c r="AC2284" s="1759" t="s">
        <v>346</v>
      </c>
      <c r="AD2284" s="1759"/>
      <c r="AE2284" s="1760">
        <v>28946</v>
      </c>
      <c r="AF2284" s="1759" t="s">
        <v>1673</v>
      </c>
      <c r="AG2284" s="1759" t="s">
        <v>1614</v>
      </c>
      <c r="AH2284" s="1759" t="s">
        <v>1594</v>
      </c>
      <c r="AI2284" s="1759" t="s">
        <v>4060</v>
      </c>
      <c r="AJ2284" s="1759" t="s">
        <v>4060</v>
      </c>
      <c r="AK2284" s="1759">
        <v>1334</v>
      </c>
      <c r="AL2284" s="1759" t="s">
        <v>1633</v>
      </c>
      <c r="AM2284" s="1759">
        <v>101</v>
      </c>
      <c r="AN2284" s="1759" t="s">
        <v>4168</v>
      </c>
      <c r="AO2284" s="1764"/>
      <c r="AP2284" s="1759" t="s">
        <v>5396</v>
      </c>
      <c r="AQ2284" s="1759" t="s">
        <v>5397</v>
      </c>
      <c r="AR2284" s="1759" t="s">
        <v>4588</v>
      </c>
      <c r="AS2284" s="1759" t="s">
        <v>405</v>
      </c>
      <c r="AT2284" s="1759" t="s">
        <v>327</v>
      </c>
      <c r="AU2284" s="1763"/>
      <c r="AV2284" s="1763"/>
    </row>
    <row r="2285" spans="1:48" ht="37.5" hidden="1">
      <c r="A2285" s="1785" t="str">
        <f t="shared" si="385"/>
        <v>גמל</v>
      </c>
      <c r="B2285" s="1786">
        <f t="shared" si="386"/>
        <v>1335</v>
      </c>
      <c r="C2285" s="1787">
        <v>28946</v>
      </c>
      <c r="D2285" s="1786" t="str">
        <f t="shared" si="387"/>
        <v xml:space="preserve">הראל גמל מסלול אג"ח ללא מניות </v>
      </c>
      <c r="E2285" s="1786" t="s">
        <v>3929</v>
      </c>
      <c r="F2285" s="1786" t="s">
        <v>2958</v>
      </c>
      <c r="G2285" s="1786" t="s">
        <v>2959</v>
      </c>
      <c r="H2285" s="1786" t="str">
        <f t="shared" si="388"/>
        <v>פעיל</v>
      </c>
      <c r="I2285" s="1788">
        <f t="shared" si="389"/>
        <v>28946</v>
      </c>
      <c r="J2285" s="1788" t="str">
        <f t="shared" si="390"/>
        <v/>
      </c>
      <c r="K2285" s="1786">
        <v>0</v>
      </c>
      <c r="L2285" s="1786" t="s">
        <v>1594</v>
      </c>
      <c r="M2285" s="1786" t="s">
        <v>1653</v>
      </c>
      <c r="N2285" s="1786" t="s">
        <v>1653</v>
      </c>
      <c r="O2285" s="1786">
        <v>0</v>
      </c>
      <c r="P2285" s="1786"/>
      <c r="Q2285" s="1786">
        <v>0</v>
      </c>
      <c r="R2285" s="1788"/>
      <c r="S2285" s="1786">
        <f t="shared" si="391"/>
        <v>101</v>
      </c>
      <c r="T2285" s="1786" t="str">
        <f t="shared" si="392"/>
        <v>הראל פנסיה</v>
      </c>
      <c r="U2285" s="1786" t="str">
        <f t="shared" si="393"/>
        <v>הראל קופת גמל</v>
      </c>
      <c r="V2285" s="1786" t="str">
        <f t="shared" si="394"/>
        <v>520033986</v>
      </c>
      <c r="W2285" s="1789" t="str">
        <f t="shared" si="395"/>
        <v>הראל פנסיה וגמל בע"מ</v>
      </c>
      <c r="AC2285" s="1761" t="s">
        <v>346</v>
      </c>
      <c r="AD2285" s="1761"/>
      <c r="AE2285" s="1762">
        <v>28946</v>
      </c>
      <c r="AF2285" s="1761" t="s">
        <v>1681</v>
      </c>
      <c r="AG2285" s="1761" t="s">
        <v>1653</v>
      </c>
      <c r="AH2285" s="1761" t="s">
        <v>1594</v>
      </c>
      <c r="AI2285" s="1761" t="s">
        <v>4611</v>
      </c>
      <c r="AJ2285" s="1761" t="s">
        <v>4611</v>
      </c>
      <c r="AK2285" s="1761">
        <v>1335</v>
      </c>
      <c r="AL2285" s="1761" t="s">
        <v>1633</v>
      </c>
      <c r="AM2285" s="1761">
        <v>101</v>
      </c>
      <c r="AN2285" s="1761" t="s">
        <v>4168</v>
      </c>
      <c r="AO2285" s="1764"/>
      <c r="AP2285" s="1761" t="s">
        <v>5396</v>
      </c>
      <c r="AQ2285" s="1761" t="s">
        <v>5397</v>
      </c>
      <c r="AR2285" s="1761" t="s">
        <v>4588</v>
      </c>
      <c r="AS2285" s="1761" t="s">
        <v>405</v>
      </c>
      <c r="AT2285" s="1761" t="s">
        <v>327</v>
      </c>
      <c r="AU2285" s="1763"/>
      <c r="AV2285" s="1763"/>
    </row>
    <row r="2286" spans="1:48" ht="37.5" hidden="1">
      <c r="A2286" s="1785" t="str">
        <f t="shared" si="385"/>
        <v>גמל</v>
      </c>
      <c r="B2286" s="1786">
        <f t="shared" si="386"/>
        <v>1368</v>
      </c>
      <c r="C2286" s="1787">
        <v>28946</v>
      </c>
      <c r="D2286" s="1786" t="str">
        <f t="shared" si="387"/>
        <v>הראל גמל מסלול שקלי</v>
      </c>
      <c r="E2286" s="1786" t="s">
        <v>3929</v>
      </c>
      <c r="F2286" s="1786" t="s">
        <v>2958</v>
      </c>
      <c r="G2286" s="1786" t="s">
        <v>2959</v>
      </c>
      <c r="H2286" s="1786" t="str">
        <f t="shared" si="388"/>
        <v>פעיל</v>
      </c>
      <c r="I2286" s="1788">
        <f t="shared" si="389"/>
        <v>28946</v>
      </c>
      <c r="J2286" s="1788" t="str">
        <f t="shared" si="390"/>
        <v/>
      </c>
      <c r="K2286" s="1786">
        <v>0</v>
      </c>
      <c r="L2286" s="1786" t="s">
        <v>1594</v>
      </c>
      <c r="M2286" s="1786" t="s">
        <v>1653</v>
      </c>
      <c r="N2286" s="1786" t="s">
        <v>1653</v>
      </c>
      <c r="O2286" s="1786">
        <v>0</v>
      </c>
      <c r="P2286" s="1786"/>
      <c r="Q2286" s="1786">
        <v>0</v>
      </c>
      <c r="R2286" s="1788"/>
      <c r="S2286" s="1786">
        <f t="shared" si="391"/>
        <v>101</v>
      </c>
      <c r="T2286" s="1786" t="str">
        <f t="shared" si="392"/>
        <v>הראל פנסיה</v>
      </c>
      <c r="U2286" s="1786" t="str">
        <f t="shared" si="393"/>
        <v>הראל קופת גמל</v>
      </c>
      <c r="V2286" s="1786" t="str">
        <f t="shared" si="394"/>
        <v>520033986</v>
      </c>
      <c r="W2286" s="1789" t="str">
        <f t="shared" si="395"/>
        <v>הראל פנסיה וגמל בע"מ</v>
      </c>
      <c r="AC2286" s="1759" t="s">
        <v>346</v>
      </c>
      <c r="AD2286" s="1759"/>
      <c r="AE2286" s="1760">
        <v>28946</v>
      </c>
      <c r="AF2286" s="1759" t="s">
        <v>1076</v>
      </c>
      <c r="AG2286" s="1759" t="s">
        <v>1614</v>
      </c>
      <c r="AH2286" s="1759" t="s">
        <v>1594</v>
      </c>
      <c r="AI2286" s="1759" t="s">
        <v>4071</v>
      </c>
      <c r="AJ2286" s="1759" t="s">
        <v>4071</v>
      </c>
      <c r="AK2286" s="1759">
        <v>1368</v>
      </c>
      <c r="AL2286" s="1759" t="s">
        <v>1633</v>
      </c>
      <c r="AM2286" s="1759">
        <v>101</v>
      </c>
      <c r="AN2286" s="1759" t="s">
        <v>4168</v>
      </c>
      <c r="AO2286" s="1764"/>
      <c r="AP2286" s="1759" t="s">
        <v>5396</v>
      </c>
      <c r="AQ2286" s="1759" t="s">
        <v>5397</v>
      </c>
      <c r="AR2286" s="1759" t="s">
        <v>4588</v>
      </c>
      <c r="AS2286" s="1759" t="s">
        <v>405</v>
      </c>
      <c r="AT2286" s="1759" t="s">
        <v>327</v>
      </c>
      <c r="AU2286" s="1763"/>
      <c r="AV2286" s="1763"/>
    </row>
    <row r="2287" spans="1:48" ht="37.5" hidden="1">
      <c r="A2287" s="1785" t="str">
        <f t="shared" si="385"/>
        <v>גמל</v>
      </c>
      <c r="B2287" s="1786">
        <f t="shared" si="386"/>
        <v>101</v>
      </c>
      <c r="C2287" s="1787">
        <v>28946</v>
      </c>
      <c r="D2287" s="1786" t="str">
        <f t="shared" si="387"/>
        <v xml:space="preserve">הראל אג"ח עד 25% מניות </v>
      </c>
      <c r="E2287" s="1786" t="s">
        <v>3929</v>
      </c>
      <c r="F2287" s="1786" t="s">
        <v>2958</v>
      </c>
      <c r="G2287" s="1786" t="s">
        <v>2959</v>
      </c>
      <c r="H2287" s="1786" t="str">
        <f t="shared" si="388"/>
        <v>פעיל</v>
      </c>
      <c r="I2287" s="1788">
        <f t="shared" si="389"/>
        <v>28946</v>
      </c>
      <c r="J2287" s="1788" t="str">
        <f t="shared" si="390"/>
        <v/>
      </c>
      <c r="K2287" s="1786">
        <v>0</v>
      </c>
      <c r="L2287" s="1786" t="s">
        <v>1594</v>
      </c>
      <c r="M2287" s="1786" t="s">
        <v>1653</v>
      </c>
      <c r="N2287" s="1786" t="s">
        <v>1653</v>
      </c>
      <c r="O2287" s="1786">
        <v>0</v>
      </c>
      <c r="P2287" s="1786"/>
      <c r="Q2287" s="1786">
        <v>0</v>
      </c>
      <c r="R2287" s="1788"/>
      <c r="S2287" s="1786">
        <f t="shared" si="391"/>
        <v>101</v>
      </c>
      <c r="T2287" s="1786" t="str">
        <f t="shared" si="392"/>
        <v>הראל פנסיה</v>
      </c>
      <c r="U2287" s="1786" t="str">
        <f t="shared" si="393"/>
        <v>הראל קופת גמל</v>
      </c>
      <c r="V2287" s="1786" t="str">
        <f t="shared" si="394"/>
        <v>520033986</v>
      </c>
      <c r="W2287" s="1789" t="str">
        <f t="shared" si="395"/>
        <v>הראל פנסיה וגמל בע"מ</v>
      </c>
      <c r="AC2287" s="1761" t="s">
        <v>346</v>
      </c>
      <c r="AD2287" s="1761"/>
      <c r="AE2287" s="1762">
        <v>28946</v>
      </c>
      <c r="AF2287" s="1761" t="s">
        <v>3934</v>
      </c>
      <c r="AG2287" s="1761" t="s">
        <v>1653</v>
      </c>
      <c r="AH2287" s="1761" t="s">
        <v>1594</v>
      </c>
      <c r="AI2287" s="1761" t="s">
        <v>3929</v>
      </c>
      <c r="AJ2287" s="1761" t="s">
        <v>3929</v>
      </c>
      <c r="AK2287" s="1761">
        <v>101</v>
      </c>
      <c r="AL2287" s="1761" t="s">
        <v>1633</v>
      </c>
      <c r="AM2287" s="1761">
        <v>101</v>
      </c>
      <c r="AN2287" s="1761" t="s">
        <v>4168</v>
      </c>
      <c r="AO2287" s="1764"/>
      <c r="AP2287" s="1761" t="s">
        <v>5396</v>
      </c>
      <c r="AQ2287" s="1761" t="s">
        <v>5397</v>
      </c>
      <c r="AR2287" s="1761" t="s">
        <v>4588</v>
      </c>
      <c r="AS2287" s="1761" t="s">
        <v>405</v>
      </c>
      <c r="AT2287" s="1761" t="s">
        <v>327</v>
      </c>
      <c r="AU2287" s="1763"/>
      <c r="AV2287" s="1763"/>
    </row>
    <row r="2288" spans="1:48" ht="37.5" hidden="1">
      <c r="A2288" s="1785" t="str">
        <f t="shared" si="385"/>
        <v>גמל</v>
      </c>
      <c r="B2288" s="1786">
        <f t="shared" si="386"/>
        <v>502</v>
      </c>
      <c r="C2288" s="1787">
        <v>28946</v>
      </c>
      <c r="D2288" s="1786" t="str">
        <f t="shared" si="387"/>
        <v xml:space="preserve">הראל גמל מסלול אג"ח עד 20% מניות </v>
      </c>
      <c r="E2288" s="1786" t="s">
        <v>3929</v>
      </c>
      <c r="F2288" s="1786" t="s">
        <v>2958</v>
      </c>
      <c r="G2288" s="1786" t="s">
        <v>2959</v>
      </c>
      <c r="H2288" s="1786" t="str">
        <f t="shared" si="388"/>
        <v>פעיל</v>
      </c>
      <c r="I2288" s="1788">
        <f t="shared" si="389"/>
        <v>28946</v>
      </c>
      <c r="J2288" s="1788" t="str">
        <f t="shared" si="390"/>
        <v/>
      </c>
      <c r="K2288" s="1786">
        <v>0</v>
      </c>
      <c r="L2288" s="1786" t="s">
        <v>1594</v>
      </c>
      <c r="M2288" s="1786" t="s">
        <v>1653</v>
      </c>
      <c r="N2288" s="1786" t="s">
        <v>1653</v>
      </c>
      <c r="O2288" s="1786">
        <v>0</v>
      </c>
      <c r="P2288" s="1786"/>
      <c r="Q2288" s="1786">
        <v>0</v>
      </c>
      <c r="R2288" s="1788"/>
      <c r="S2288" s="1786">
        <f t="shared" si="391"/>
        <v>101</v>
      </c>
      <c r="T2288" s="1786" t="str">
        <f t="shared" si="392"/>
        <v>הראל פנסיה</v>
      </c>
      <c r="U2288" s="1786" t="str">
        <f t="shared" si="393"/>
        <v>הראל קופת גמל</v>
      </c>
      <c r="V2288" s="1786" t="str">
        <f t="shared" si="394"/>
        <v>520033986</v>
      </c>
      <c r="W2288" s="1789" t="str">
        <f t="shared" si="395"/>
        <v>הראל פנסיה וגמל בע"מ</v>
      </c>
      <c r="AC2288" s="1759" t="s">
        <v>346</v>
      </c>
      <c r="AD2288" s="1759"/>
      <c r="AE2288" s="1760">
        <v>28946</v>
      </c>
      <c r="AF2288" s="1759" t="s">
        <v>3934</v>
      </c>
      <c r="AG2288" s="1759" t="s">
        <v>1653</v>
      </c>
      <c r="AH2288" s="1759" t="s">
        <v>1594</v>
      </c>
      <c r="AI2288" s="1759" t="s">
        <v>4597</v>
      </c>
      <c r="AJ2288" s="1759" t="s">
        <v>4597</v>
      </c>
      <c r="AK2288" s="1759">
        <v>502</v>
      </c>
      <c r="AL2288" s="1759" t="s">
        <v>1633</v>
      </c>
      <c r="AM2288" s="1759">
        <v>101</v>
      </c>
      <c r="AN2288" s="1759" t="s">
        <v>4168</v>
      </c>
      <c r="AO2288" s="1764"/>
      <c r="AP2288" s="1759" t="s">
        <v>5396</v>
      </c>
      <c r="AQ2288" s="1759" t="s">
        <v>5397</v>
      </c>
      <c r="AR2288" s="1759" t="s">
        <v>4588</v>
      </c>
      <c r="AS2288" s="1759" t="s">
        <v>405</v>
      </c>
      <c r="AT2288" s="1759" t="s">
        <v>327</v>
      </c>
      <c r="AU2288" s="1763"/>
      <c r="AV2288" s="1763"/>
    </row>
    <row r="2289" spans="1:48" ht="14" hidden="1">
      <c r="A2289" s="1432" t="s">
        <v>327</v>
      </c>
      <c r="B2289" s="1433">
        <v>13250</v>
      </c>
      <c r="C2289" s="1434"/>
      <c r="D2289" s="1433" t="s">
        <v>5916</v>
      </c>
      <c r="E2289" s="1433"/>
      <c r="F2289" s="1433"/>
      <c r="G2289" s="1433"/>
      <c r="H2289" s="1786" t="s">
        <v>346</v>
      </c>
      <c r="I2289" s="1435"/>
      <c r="J2289" s="1435"/>
      <c r="K2289" s="1433"/>
      <c r="L2289" s="1433"/>
      <c r="M2289" s="1433"/>
      <c r="N2289" s="1433"/>
      <c r="O2289" s="1433"/>
      <c r="P2289" s="1433"/>
      <c r="Q2289" s="1433"/>
      <c r="R2289" s="1435"/>
      <c r="S2289" s="1433">
        <v>7904</v>
      </c>
      <c r="T2289" s="1433" t="s">
        <v>5942</v>
      </c>
      <c r="U2289" s="1433" t="s">
        <v>5939</v>
      </c>
      <c r="V2289" s="1433" t="s">
        <v>347</v>
      </c>
      <c r="W2289" s="1436"/>
      <c r="AC2289" s="1763"/>
      <c r="AD2289" s="1763"/>
      <c r="AE2289" s="1763"/>
      <c r="AF2289" s="1763"/>
      <c r="AG2289" s="1763"/>
      <c r="AH2289" s="1763"/>
      <c r="AI2289" s="1763"/>
      <c r="AJ2289" s="1763"/>
      <c r="AK2289" s="1763"/>
      <c r="AL2289" s="1763"/>
      <c r="AM2289" s="1763"/>
      <c r="AN2289" s="1763"/>
      <c r="AO2289" s="1763"/>
      <c r="AP2289" s="1763"/>
      <c r="AQ2289" s="1763"/>
      <c r="AR2289" s="1763"/>
      <c r="AS2289" s="1763"/>
      <c r="AT2289" s="1763"/>
      <c r="AU2289" s="1763"/>
      <c r="AV2289" s="1763"/>
    </row>
    <row r="2290" spans="1:48" ht="14" hidden="1">
      <c r="A2290" s="1432" t="s">
        <v>327</v>
      </c>
      <c r="B2290" s="1433">
        <v>13254</v>
      </c>
      <c r="C2290" s="1434"/>
      <c r="D2290" s="1433" t="s">
        <v>5917</v>
      </c>
      <c r="E2290" s="1433"/>
      <c r="F2290" s="1433"/>
      <c r="G2290" s="1433"/>
      <c r="H2290" s="1786" t="s">
        <v>346</v>
      </c>
      <c r="I2290" s="1435"/>
      <c r="J2290" s="1435"/>
      <c r="K2290" s="1433"/>
      <c r="L2290" s="1433"/>
      <c r="M2290" s="1433"/>
      <c r="N2290" s="1433"/>
      <c r="O2290" s="1433"/>
      <c r="P2290" s="1433"/>
      <c r="Q2290" s="1433"/>
      <c r="R2290" s="1435"/>
      <c r="S2290" s="1433">
        <v>8207</v>
      </c>
      <c r="T2290" s="1433" t="s">
        <v>4588</v>
      </c>
      <c r="U2290" s="1433" t="s">
        <v>4747</v>
      </c>
      <c r="V2290" s="1433" t="s">
        <v>405</v>
      </c>
      <c r="W2290" s="1436"/>
      <c r="AC2290" s="1763"/>
      <c r="AD2290" s="1763"/>
      <c r="AE2290" s="1763"/>
      <c r="AF2290" s="1763"/>
      <c r="AG2290" s="1763"/>
      <c r="AH2290" s="1763"/>
      <c r="AI2290" s="1763"/>
      <c r="AJ2290" s="1763"/>
      <c r="AK2290" s="1763"/>
      <c r="AL2290" s="1763"/>
      <c r="AM2290" s="1763"/>
      <c r="AN2290" s="1763"/>
      <c r="AO2290" s="1763"/>
      <c r="AP2290" s="1763"/>
      <c r="AQ2290" s="1763"/>
      <c r="AR2290" s="1763"/>
      <c r="AS2290" s="1763"/>
      <c r="AT2290" s="1763"/>
      <c r="AU2290" s="1763"/>
      <c r="AV2290" s="1763"/>
    </row>
    <row r="2291" spans="1:48" ht="14" hidden="1">
      <c r="A2291" s="1432" t="s">
        <v>327</v>
      </c>
      <c r="B2291" s="1433">
        <v>13259</v>
      </c>
      <c r="C2291" s="1434"/>
      <c r="D2291" s="1433" t="s">
        <v>5918</v>
      </c>
      <c r="E2291" s="1433"/>
      <c r="F2291" s="1433"/>
      <c r="G2291" s="1433"/>
      <c r="H2291" s="1786" t="s">
        <v>346</v>
      </c>
      <c r="I2291" s="1435"/>
      <c r="J2291" s="1435"/>
      <c r="K2291" s="1433"/>
      <c r="L2291" s="1433"/>
      <c r="M2291" s="1433"/>
      <c r="N2291" s="1433"/>
      <c r="O2291" s="1433"/>
      <c r="P2291" s="1433"/>
      <c r="Q2291" s="1433"/>
      <c r="R2291" s="1435"/>
      <c r="S2291" s="1433">
        <v>7857</v>
      </c>
      <c r="T2291" s="1433" t="s">
        <v>2899</v>
      </c>
      <c r="U2291" s="1433" t="s">
        <v>4671</v>
      </c>
      <c r="V2291" s="1433" t="s">
        <v>349</v>
      </c>
      <c r="W2291" s="1436"/>
      <c r="AC2291" s="1763"/>
      <c r="AD2291" s="1763"/>
      <c r="AE2291" s="1763"/>
      <c r="AF2291" s="1763"/>
      <c r="AG2291" s="1763"/>
      <c r="AH2291" s="1763"/>
      <c r="AI2291" s="1763"/>
      <c r="AJ2291" s="1763"/>
      <c r="AK2291" s="1763"/>
      <c r="AL2291" s="1763"/>
      <c r="AM2291" s="1763"/>
      <c r="AN2291" s="1763"/>
      <c r="AO2291" s="1763"/>
      <c r="AP2291" s="1763"/>
      <c r="AQ2291" s="1763"/>
      <c r="AR2291" s="1763"/>
      <c r="AS2291" s="1763"/>
      <c r="AT2291" s="1763"/>
      <c r="AU2291" s="1763"/>
      <c r="AV2291" s="1763"/>
    </row>
    <row r="2292" spans="1:48" ht="14" hidden="1">
      <c r="A2292" s="1432" t="s">
        <v>327</v>
      </c>
      <c r="B2292" s="1433">
        <v>13263</v>
      </c>
      <c r="C2292" s="1434"/>
      <c r="D2292" s="1433" t="s">
        <v>5919</v>
      </c>
      <c r="E2292" s="1433"/>
      <c r="F2292" s="1433"/>
      <c r="G2292" s="1433"/>
      <c r="H2292" s="1786" t="s">
        <v>346</v>
      </c>
      <c r="I2292" s="1435"/>
      <c r="J2292" s="1435"/>
      <c r="K2292" s="1433"/>
      <c r="L2292" s="1433"/>
      <c r="M2292" s="1433"/>
      <c r="N2292" s="1433"/>
      <c r="O2292" s="1433"/>
      <c r="P2292" s="1433"/>
      <c r="Q2292" s="1433"/>
      <c r="R2292" s="1435"/>
      <c r="S2292" s="1433">
        <v>102</v>
      </c>
      <c r="T2292" s="1433" t="s">
        <v>5942</v>
      </c>
      <c r="U2292" s="1433" t="s">
        <v>5940</v>
      </c>
      <c r="V2292" s="1433" t="s">
        <v>347</v>
      </c>
      <c r="W2292" s="1436"/>
      <c r="AC2292" s="1763"/>
      <c r="AD2292" s="1763"/>
      <c r="AE2292" s="1763"/>
      <c r="AF2292" s="1763"/>
      <c r="AG2292" s="1763"/>
      <c r="AH2292" s="1763"/>
      <c r="AI2292" s="1763"/>
      <c r="AJ2292" s="1763"/>
      <c r="AK2292" s="1763"/>
      <c r="AL2292" s="1763"/>
      <c r="AM2292" s="1763"/>
      <c r="AN2292" s="1763"/>
      <c r="AO2292" s="1763"/>
      <c r="AP2292" s="1763"/>
      <c r="AQ2292" s="1763"/>
      <c r="AR2292" s="1763"/>
      <c r="AS2292" s="1763"/>
      <c r="AT2292" s="1763"/>
      <c r="AU2292" s="1763"/>
      <c r="AV2292" s="1763"/>
    </row>
    <row r="2293" spans="1:48" ht="14" hidden="1">
      <c r="A2293" s="1432" t="s">
        <v>327</v>
      </c>
      <c r="B2293" s="1433">
        <v>13264</v>
      </c>
      <c r="C2293" s="1434"/>
      <c r="D2293" s="1433" t="s">
        <v>5920</v>
      </c>
      <c r="E2293" s="1433"/>
      <c r="F2293" s="1433"/>
      <c r="G2293" s="1433"/>
      <c r="H2293" s="1786" t="s">
        <v>346</v>
      </c>
      <c r="I2293" s="1435"/>
      <c r="J2293" s="1435"/>
      <c r="K2293" s="1433"/>
      <c r="L2293" s="1433"/>
      <c r="M2293" s="1433"/>
      <c r="N2293" s="1433"/>
      <c r="O2293" s="1433"/>
      <c r="P2293" s="1433"/>
      <c r="Q2293" s="1433"/>
      <c r="R2293" s="1435"/>
      <c r="S2293" s="1433">
        <v>399</v>
      </c>
      <c r="T2293" s="1433" t="s">
        <v>5942</v>
      </c>
      <c r="U2293" s="1433" t="s">
        <v>3439</v>
      </c>
      <c r="V2293" s="1433" t="s">
        <v>347</v>
      </c>
      <c r="W2293" s="1436"/>
      <c r="AC2293" s="1763"/>
      <c r="AD2293" s="1763"/>
      <c r="AE2293" s="1763"/>
      <c r="AF2293" s="1763"/>
      <c r="AG2293" s="1763"/>
      <c r="AH2293" s="1763"/>
      <c r="AI2293" s="1763"/>
      <c r="AJ2293" s="1763"/>
      <c r="AK2293" s="1763"/>
      <c r="AL2293" s="1763"/>
      <c r="AM2293" s="1763"/>
      <c r="AN2293" s="1763"/>
      <c r="AO2293" s="1763"/>
      <c r="AP2293" s="1763"/>
      <c r="AQ2293" s="1763"/>
      <c r="AR2293" s="1763"/>
      <c r="AS2293" s="1763"/>
      <c r="AT2293" s="1763"/>
      <c r="AU2293" s="1763"/>
      <c r="AV2293" s="1763"/>
    </row>
    <row r="2294" spans="1:48" hidden="1">
      <c r="A2294" s="1432" t="s">
        <v>327</v>
      </c>
      <c r="B2294" s="1433">
        <v>13342</v>
      </c>
      <c r="C2294" s="1434"/>
      <c r="D2294" s="1433" t="s">
        <v>5921</v>
      </c>
      <c r="E2294" s="1433"/>
      <c r="F2294" s="1433"/>
      <c r="G2294" s="1433"/>
      <c r="H2294" s="1786" t="s">
        <v>346</v>
      </c>
      <c r="I2294" s="1435"/>
      <c r="J2294" s="1435"/>
      <c r="K2294" s="1433"/>
      <c r="L2294" s="1433"/>
      <c r="M2294" s="1433"/>
      <c r="N2294" s="1433"/>
      <c r="O2294" s="1433"/>
      <c r="P2294" s="1433"/>
      <c r="Q2294" s="1433"/>
      <c r="R2294" s="1435"/>
      <c r="S2294" s="1433">
        <v>456</v>
      </c>
      <c r="T2294" s="1433" t="s">
        <v>378</v>
      </c>
      <c r="U2294" s="1433" t="s">
        <v>555</v>
      </c>
      <c r="V2294" s="1433" t="s">
        <v>379</v>
      </c>
      <c r="W2294" s="1436"/>
      <c r="AC2294" s="1561"/>
      <c r="AD2294" s="1561"/>
      <c r="AE2294" s="1562"/>
      <c r="AF2294" s="1561"/>
      <c r="AG2294" s="1561"/>
      <c r="AH2294" s="1561"/>
      <c r="AI2294" s="1561"/>
      <c r="AJ2294" s="1561"/>
      <c r="AK2294" s="1562"/>
      <c r="AL2294" s="1561"/>
      <c r="AM2294" s="1561"/>
      <c r="AN2294" s="1561"/>
      <c r="AO2294" s="1561"/>
      <c r="AP2294" s="1561"/>
      <c r="AQ2294" s="1561"/>
      <c r="AR2294" s="1561"/>
      <c r="AS2294" s="1561"/>
      <c r="AT2294" s="1562"/>
      <c r="AU2294" s="1561"/>
      <c r="AV2294" s="1561"/>
    </row>
    <row r="2295" spans="1:48" hidden="1">
      <c r="A2295" s="1432" t="s">
        <v>327</v>
      </c>
      <c r="B2295" s="1433">
        <v>13343</v>
      </c>
      <c r="C2295" s="1434"/>
      <c r="D2295" s="1433" t="s">
        <v>5922</v>
      </c>
      <c r="E2295" s="1433"/>
      <c r="F2295" s="1433"/>
      <c r="G2295" s="1433"/>
      <c r="H2295" s="1786" t="s">
        <v>346</v>
      </c>
      <c r="I2295" s="1435"/>
      <c r="J2295" s="1435"/>
      <c r="K2295" s="1433"/>
      <c r="L2295" s="1433"/>
      <c r="M2295" s="1433"/>
      <c r="N2295" s="1433"/>
      <c r="O2295" s="1433"/>
      <c r="P2295" s="1433"/>
      <c r="Q2295" s="1433"/>
      <c r="R2295" s="1435"/>
      <c r="S2295" s="1433">
        <v>253</v>
      </c>
      <c r="T2295" s="1433" t="s">
        <v>378</v>
      </c>
      <c r="U2295" s="1433" t="s">
        <v>428</v>
      </c>
      <c r="V2295" s="1433" t="s">
        <v>379</v>
      </c>
      <c r="W2295" s="1436"/>
      <c r="AC2295" s="1559"/>
      <c r="AD2295" s="1559"/>
      <c r="AE2295" s="1560"/>
      <c r="AF2295" s="1559"/>
      <c r="AG2295" s="1559"/>
      <c r="AH2295" s="1559"/>
      <c r="AI2295" s="1559"/>
      <c r="AJ2295" s="1559"/>
      <c r="AK2295" s="1560"/>
      <c r="AL2295" s="1559"/>
      <c r="AM2295" s="1559"/>
      <c r="AN2295" s="1559"/>
      <c r="AO2295" s="1559"/>
      <c r="AP2295" s="1559"/>
      <c r="AQ2295" s="1559"/>
      <c r="AR2295" s="1559"/>
      <c r="AS2295" s="1559"/>
      <c r="AT2295" s="1560"/>
      <c r="AU2295" s="1559"/>
      <c r="AV2295" s="1559"/>
    </row>
    <row r="2296" spans="1:48" hidden="1">
      <c r="A2296" s="1432" t="s">
        <v>327</v>
      </c>
      <c r="B2296" s="1433">
        <v>13344</v>
      </c>
      <c r="C2296" s="1434"/>
      <c r="D2296" s="1433" t="s">
        <v>5923</v>
      </c>
      <c r="E2296" s="1433"/>
      <c r="F2296" s="1433"/>
      <c r="G2296" s="1433"/>
      <c r="H2296" s="1786" t="s">
        <v>346</v>
      </c>
      <c r="I2296" s="1435"/>
      <c r="J2296" s="1435"/>
      <c r="K2296" s="1433"/>
      <c r="L2296" s="1433"/>
      <c r="M2296" s="1433"/>
      <c r="N2296" s="1433"/>
      <c r="O2296" s="1433"/>
      <c r="P2296" s="1433"/>
      <c r="Q2296" s="1433"/>
      <c r="R2296" s="1435"/>
      <c r="S2296" s="1433">
        <v>7987</v>
      </c>
      <c r="T2296" s="1433" t="s">
        <v>378</v>
      </c>
      <c r="U2296" s="1433" t="s">
        <v>4728</v>
      </c>
      <c r="V2296" s="1433" t="s">
        <v>379</v>
      </c>
      <c r="W2296" s="1436"/>
      <c r="AC2296" s="1559"/>
      <c r="AD2296" s="1559"/>
      <c r="AE2296" s="1560"/>
      <c r="AF2296" s="1559"/>
      <c r="AG2296" s="1559"/>
      <c r="AH2296" s="1559"/>
      <c r="AI2296" s="1559"/>
      <c r="AJ2296" s="1559"/>
      <c r="AK2296" s="1560"/>
      <c r="AL2296" s="1560"/>
      <c r="AM2296" s="1559"/>
      <c r="AN2296" s="1559"/>
      <c r="AO2296" s="1559"/>
      <c r="AP2296" s="1559"/>
      <c r="AQ2296" s="1559"/>
      <c r="AR2296" s="1559"/>
      <c r="AS2296" s="1559"/>
      <c r="AT2296" s="1560"/>
      <c r="AU2296" s="1559"/>
      <c r="AV2296" s="1559"/>
    </row>
    <row r="2297" spans="1:48" ht="25" hidden="1">
      <c r="A2297" s="1432" t="s">
        <v>327</v>
      </c>
      <c r="B2297" s="1433">
        <v>12905</v>
      </c>
      <c r="C2297" s="1434"/>
      <c r="D2297" s="1433" t="s">
        <v>5924</v>
      </c>
      <c r="E2297" s="1433"/>
      <c r="F2297" s="1433"/>
      <c r="G2297" s="1433"/>
      <c r="H2297" s="1786" t="s">
        <v>346</v>
      </c>
      <c r="I2297" s="1435"/>
      <c r="J2297" s="1435"/>
      <c r="K2297" s="1433"/>
      <c r="L2297" s="1433"/>
      <c r="M2297" s="1433"/>
      <c r="N2297" s="1433"/>
      <c r="O2297" s="1433"/>
      <c r="P2297" s="1433"/>
      <c r="Q2297" s="1433"/>
      <c r="R2297" s="1435"/>
      <c r="S2297" s="1433">
        <v>12904</v>
      </c>
      <c r="T2297" s="1433" t="s">
        <v>3953</v>
      </c>
      <c r="U2297" s="1433" t="s">
        <v>5941</v>
      </c>
      <c r="V2297" s="1433" t="s">
        <v>546</v>
      </c>
      <c r="W2297" s="1436"/>
      <c r="AC2297" s="1561"/>
      <c r="AD2297" s="1561"/>
      <c r="AE2297" s="1562"/>
      <c r="AF2297" s="1561"/>
      <c r="AG2297" s="1561"/>
      <c r="AH2297" s="1561"/>
      <c r="AI2297" s="1561"/>
      <c r="AJ2297" s="1561"/>
      <c r="AK2297" s="1562"/>
      <c r="AL2297" s="1562"/>
      <c r="AM2297" s="1561"/>
      <c r="AN2297" s="1561"/>
      <c r="AO2297" s="1561"/>
      <c r="AP2297" s="1561"/>
      <c r="AQ2297" s="1561"/>
      <c r="AR2297" s="1561"/>
      <c r="AS2297" s="1561"/>
      <c r="AT2297" s="1562"/>
      <c r="AU2297" s="1561"/>
      <c r="AV2297" s="1561"/>
    </row>
    <row r="2298" spans="1:48" hidden="1">
      <c r="A2298" s="1432" t="s">
        <v>327</v>
      </c>
      <c r="B2298" s="1433">
        <v>13340</v>
      </c>
      <c r="C2298" s="1434"/>
      <c r="D2298" s="1433" t="s">
        <v>5925</v>
      </c>
      <c r="E2298" s="1433"/>
      <c r="F2298" s="1433"/>
      <c r="G2298" s="1433"/>
      <c r="H2298" s="1786" t="s">
        <v>346</v>
      </c>
      <c r="I2298" s="1435"/>
      <c r="J2298" s="1435"/>
      <c r="K2298" s="1433"/>
      <c r="L2298" s="1433"/>
      <c r="M2298" s="1433"/>
      <c r="N2298" s="1433"/>
      <c r="O2298" s="1433"/>
      <c r="P2298" s="1433"/>
      <c r="Q2298" s="1433"/>
      <c r="R2298" s="1435"/>
      <c r="S2298" s="1433">
        <v>7723</v>
      </c>
      <c r="T2298" s="1433" t="s">
        <v>351</v>
      </c>
      <c r="U2298" s="1433" t="s">
        <v>5499</v>
      </c>
      <c r="V2298" s="1433" t="s">
        <v>352</v>
      </c>
      <c r="W2298" s="1436"/>
      <c r="AC2298" s="1561"/>
      <c r="AD2298" s="1561"/>
      <c r="AE2298" s="1562"/>
      <c r="AF2298" s="1561"/>
      <c r="AG2298" s="1561"/>
      <c r="AH2298" s="1561"/>
      <c r="AI2298" s="1561"/>
      <c r="AJ2298" s="1561"/>
      <c r="AK2298" s="1562"/>
      <c r="AL2298" s="1562"/>
      <c r="AM2298" s="1561"/>
      <c r="AN2298" s="1561"/>
      <c r="AO2298" s="1561"/>
      <c r="AP2298" s="1561"/>
      <c r="AQ2298" s="1561"/>
      <c r="AR2298" s="1561"/>
      <c r="AS2298" s="1561"/>
      <c r="AT2298" s="1562"/>
      <c r="AU2298" s="1561"/>
      <c r="AV2298" s="1561"/>
    </row>
    <row r="2299" spans="1:48" hidden="1">
      <c r="A2299" s="1432" t="s">
        <v>327</v>
      </c>
      <c r="B2299" s="1433">
        <v>13341</v>
      </c>
      <c r="C2299" s="1434"/>
      <c r="D2299" s="1433" t="s">
        <v>5926</v>
      </c>
      <c r="E2299" s="1433"/>
      <c r="F2299" s="1433"/>
      <c r="G2299" s="1433"/>
      <c r="H2299" s="1786" t="s">
        <v>346</v>
      </c>
      <c r="I2299" s="1435"/>
      <c r="J2299" s="1435"/>
      <c r="K2299" s="1433"/>
      <c r="L2299" s="1433"/>
      <c r="M2299" s="1433"/>
      <c r="N2299" s="1433"/>
      <c r="O2299" s="1433"/>
      <c r="P2299" s="1433"/>
      <c r="Q2299" s="1433"/>
      <c r="R2299" s="1435"/>
      <c r="S2299" s="1433">
        <v>7723</v>
      </c>
      <c r="T2299" s="1433" t="s">
        <v>351</v>
      </c>
      <c r="U2299" s="1433" t="s">
        <v>5499</v>
      </c>
      <c r="V2299" s="1433" t="s">
        <v>352</v>
      </c>
      <c r="W2299" s="1436"/>
      <c r="AC2299" s="1559"/>
      <c r="AD2299" s="1559"/>
      <c r="AE2299" s="1560"/>
      <c r="AF2299" s="1559"/>
      <c r="AG2299" s="1559"/>
      <c r="AH2299" s="1559"/>
      <c r="AI2299" s="1559"/>
      <c r="AJ2299" s="1559"/>
      <c r="AK2299" s="1560"/>
      <c r="AL2299" s="1560"/>
      <c r="AM2299" s="1559"/>
      <c r="AN2299" s="1559"/>
      <c r="AO2299" s="1559"/>
      <c r="AP2299" s="1559"/>
      <c r="AQ2299" s="1559"/>
      <c r="AR2299" s="1559"/>
      <c r="AS2299" s="1559"/>
      <c r="AT2299" s="1560"/>
      <c r="AU2299" s="1559"/>
      <c r="AV2299" s="1559"/>
    </row>
    <row r="2300" spans="1:48" ht="25" hidden="1">
      <c r="A2300" s="1432" t="s">
        <v>327</v>
      </c>
      <c r="B2300" s="1433">
        <v>13353</v>
      </c>
      <c r="C2300" s="1434"/>
      <c r="D2300" s="1433" t="s">
        <v>5927</v>
      </c>
      <c r="E2300" s="1433"/>
      <c r="F2300" s="1433"/>
      <c r="G2300" s="1433"/>
      <c r="H2300" s="1786" t="s">
        <v>346</v>
      </c>
      <c r="I2300" s="1435"/>
      <c r="J2300" s="1435"/>
      <c r="K2300" s="1433"/>
      <c r="L2300" s="1433"/>
      <c r="M2300" s="1433"/>
      <c r="N2300" s="1433"/>
      <c r="O2300" s="1433"/>
      <c r="P2300" s="1433"/>
      <c r="Q2300" s="1433"/>
      <c r="R2300" s="1435"/>
      <c r="S2300" s="1433">
        <v>8674</v>
      </c>
      <c r="T2300" s="1433" t="s">
        <v>2971</v>
      </c>
      <c r="U2300" s="1433" t="s">
        <v>5459</v>
      </c>
      <c r="V2300" s="1433" t="s">
        <v>396</v>
      </c>
      <c r="W2300" s="1436"/>
      <c r="AC2300" s="1561"/>
      <c r="AD2300" s="1561"/>
      <c r="AE2300" s="1562"/>
      <c r="AF2300" s="1561"/>
      <c r="AG2300" s="1561"/>
      <c r="AH2300" s="1561"/>
      <c r="AI2300" s="1561"/>
      <c r="AJ2300" s="1561"/>
      <c r="AK2300" s="1562"/>
      <c r="AL2300" s="1562"/>
      <c r="AM2300" s="1561"/>
      <c r="AN2300" s="1561"/>
      <c r="AO2300" s="1561"/>
      <c r="AP2300" s="1561"/>
      <c r="AQ2300" s="1561"/>
      <c r="AR2300" s="1561"/>
      <c r="AS2300" s="1561"/>
      <c r="AT2300" s="1562"/>
      <c r="AU2300" s="1561"/>
      <c r="AV2300" s="1561"/>
    </row>
    <row r="2301" spans="1:48" ht="25" hidden="1">
      <c r="A2301" s="1432" t="s">
        <v>327</v>
      </c>
      <c r="B2301" s="1433">
        <v>13354</v>
      </c>
      <c r="C2301" s="1434"/>
      <c r="D2301" s="1433" t="s">
        <v>5928</v>
      </c>
      <c r="E2301" s="1433"/>
      <c r="F2301" s="1433"/>
      <c r="G2301" s="1433"/>
      <c r="H2301" s="1786" t="s">
        <v>346</v>
      </c>
      <c r="I2301" s="1435"/>
      <c r="J2301" s="1435"/>
      <c r="K2301" s="1433"/>
      <c r="L2301" s="1433"/>
      <c r="M2301" s="1433"/>
      <c r="N2301" s="1433"/>
      <c r="O2301" s="1433"/>
      <c r="P2301" s="1433"/>
      <c r="Q2301" s="1433"/>
      <c r="R2301" s="1435"/>
      <c r="S2301" s="1433">
        <v>8674</v>
      </c>
      <c r="T2301" s="1433" t="s">
        <v>2971</v>
      </c>
      <c r="U2301" s="1433" t="s">
        <v>5459</v>
      </c>
      <c r="V2301" s="1433" t="s">
        <v>396</v>
      </c>
      <c r="W2301" s="1436"/>
      <c r="AC2301" s="1559"/>
      <c r="AD2301" s="1559"/>
      <c r="AE2301" s="1560"/>
      <c r="AF2301" s="1559"/>
      <c r="AG2301" s="1559"/>
      <c r="AH2301" s="1559"/>
      <c r="AI2301" s="1559"/>
      <c r="AJ2301" s="1559"/>
      <c r="AK2301" s="1560"/>
      <c r="AL2301" s="1560"/>
      <c r="AM2301" s="1559"/>
      <c r="AN2301" s="1559"/>
      <c r="AO2301" s="1559"/>
      <c r="AP2301" s="1559"/>
      <c r="AQ2301" s="1559"/>
      <c r="AR2301" s="1559"/>
      <c r="AS2301" s="1559"/>
      <c r="AT2301" s="1560"/>
      <c r="AU2301" s="1559"/>
      <c r="AV2301" s="1559"/>
    </row>
    <row r="2302" spans="1:48" ht="25" hidden="1">
      <c r="A2302" s="1432" t="s">
        <v>327</v>
      </c>
      <c r="B2302" s="1433">
        <v>13355</v>
      </c>
      <c r="C2302" s="1434"/>
      <c r="D2302" s="1433" t="s">
        <v>5929</v>
      </c>
      <c r="E2302" s="1433"/>
      <c r="F2302" s="1433"/>
      <c r="G2302" s="1433"/>
      <c r="H2302" s="1786" t="s">
        <v>346</v>
      </c>
      <c r="I2302" s="1435"/>
      <c r="J2302" s="1435"/>
      <c r="K2302" s="1433"/>
      <c r="L2302" s="1433"/>
      <c r="M2302" s="1433"/>
      <c r="N2302" s="1433"/>
      <c r="O2302" s="1433"/>
      <c r="P2302" s="1433"/>
      <c r="Q2302" s="1433"/>
      <c r="R2302" s="1435"/>
      <c r="S2302" s="1433">
        <v>826</v>
      </c>
      <c r="T2302" s="1433" t="s">
        <v>2971</v>
      </c>
      <c r="U2302" s="1433" t="s">
        <v>3333</v>
      </c>
      <c r="V2302" s="1433" t="s">
        <v>396</v>
      </c>
      <c r="W2302" s="1436"/>
      <c r="AC2302" s="1561"/>
      <c r="AD2302" s="1561"/>
      <c r="AE2302" s="1562"/>
      <c r="AF2302" s="1561"/>
      <c r="AG2302" s="1561"/>
      <c r="AH2302" s="1561"/>
      <c r="AI2302" s="1561"/>
      <c r="AJ2302" s="1561"/>
      <c r="AK2302" s="1562"/>
      <c r="AL2302" s="1561"/>
      <c r="AM2302" s="1561"/>
      <c r="AN2302" s="1561"/>
      <c r="AO2302" s="1561"/>
      <c r="AP2302" s="1561"/>
      <c r="AQ2302" s="1561"/>
      <c r="AR2302" s="1561"/>
      <c r="AS2302" s="1561"/>
      <c r="AT2302" s="1562"/>
      <c r="AU2302" s="1561"/>
      <c r="AV2302" s="1561"/>
    </row>
    <row r="2303" spans="1:48" ht="25" hidden="1">
      <c r="A2303" s="1432" t="s">
        <v>327</v>
      </c>
      <c r="B2303" s="1433">
        <v>13356</v>
      </c>
      <c r="C2303" s="1434"/>
      <c r="D2303" s="1433" t="s">
        <v>5930</v>
      </c>
      <c r="E2303" s="1433"/>
      <c r="F2303" s="1433"/>
      <c r="G2303" s="1433"/>
      <c r="H2303" s="1786" t="s">
        <v>346</v>
      </c>
      <c r="I2303" s="1435"/>
      <c r="J2303" s="1435"/>
      <c r="K2303" s="1433"/>
      <c r="L2303" s="1433"/>
      <c r="M2303" s="1433"/>
      <c r="N2303" s="1433"/>
      <c r="O2303" s="1433"/>
      <c r="P2303" s="1433"/>
      <c r="Q2303" s="1433"/>
      <c r="R2303" s="1435"/>
      <c r="S2303" s="1433">
        <v>826</v>
      </c>
      <c r="T2303" s="1433" t="s">
        <v>2971</v>
      </c>
      <c r="U2303" s="1433" t="s">
        <v>3333</v>
      </c>
      <c r="V2303" s="1433" t="s">
        <v>396</v>
      </c>
      <c r="W2303" s="1436"/>
      <c r="AC2303" s="1559"/>
      <c r="AD2303" s="1559"/>
      <c r="AE2303" s="1560"/>
      <c r="AF2303" s="1559"/>
      <c r="AG2303" s="1559"/>
      <c r="AH2303" s="1559"/>
      <c r="AI2303" s="1559"/>
      <c r="AJ2303" s="1559"/>
      <c r="AK2303" s="1560"/>
      <c r="AL2303" s="1559"/>
      <c r="AM2303" s="1559"/>
      <c r="AN2303" s="1559"/>
      <c r="AO2303" s="1559"/>
      <c r="AP2303" s="1559"/>
      <c r="AQ2303" s="1559"/>
      <c r="AR2303" s="1559"/>
      <c r="AS2303" s="1559"/>
      <c r="AT2303" s="1560"/>
      <c r="AU2303" s="1559"/>
      <c r="AV2303" s="1559"/>
    </row>
    <row r="2304" spans="1:48" ht="25" hidden="1">
      <c r="A2304" s="1432" t="s">
        <v>327</v>
      </c>
      <c r="B2304" s="1433">
        <v>13357</v>
      </c>
      <c r="C2304" s="1434"/>
      <c r="D2304" s="1433" t="s">
        <v>5931</v>
      </c>
      <c r="E2304" s="1433"/>
      <c r="F2304" s="1433"/>
      <c r="G2304" s="1433"/>
      <c r="H2304" s="1786" t="s">
        <v>346</v>
      </c>
      <c r="I2304" s="1435"/>
      <c r="J2304" s="1435"/>
      <c r="K2304" s="1433"/>
      <c r="L2304" s="1433"/>
      <c r="M2304" s="1433"/>
      <c r="N2304" s="1433"/>
      <c r="O2304" s="1433"/>
      <c r="P2304" s="1433"/>
      <c r="Q2304" s="1433"/>
      <c r="R2304" s="1435"/>
      <c r="S2304" s="1433">
        <v>828</v>
      </c>
      <c r="T2304" s="1433" t="s">
        <v>2971</v>
      </c>
      <c r="U2304" s="1433" t="s">
        <v>3997</v>
      </c>
      <c r="V2304" s="1433" t="s">
        <v>396</v>
      </c>
      <c r="W2304" s="1436"/>
      <c r="AC2304" s="1561"/>
      <c r="AD2304" s="1561"/>
      <c r="AE2304" s="1562"/>
      <c r="AF2304" s="1561"/>
      <c r="AG2304" s="1561"/>
      <c r="AH2304" s="1561"/>
      <c r="AI2304" s="1561"/>
      <c r="AJ2304" s="1561"/>
      <c r="AK2304" s="1562"/>
      <c r="AL2304" s="1561"/>
      <c r="AM2304" s="1561"/>
      <c r="AN2304" s="1561"/>
      <c r="AO2304" s="1561"/>
      <c r="AP2304" s="1561"/>
      <c r="AQ2304" s="1561"/>
      <c r="AR2304" s="1561"/>
      <c r="AS2304" s="1561"/>
      <c r="AT2304" s="1562"/>
      <c r="AU2304" s="1561"/>
      <c r="AV2304" s="1561"/>
    </row>
    <row r="2305" spans="1:48" hidden="1">
      <c r="A2305" s="1432" t="s">
        <v>327</v>
      </c>
      <c r="B2305" s="1433">
        <v>13358</v>
      </c>
      <c r="C2305" s="1434"/>
      <c r="D2305" s="1433" t="s">
        <v>5932</v>
      </c>
      <c r="E2305" s="1433"/>
      <c r="F2305" s="1433"/>
      <c r="G2305" s="1433"/>
      <c r="H2305" s="1786" t="s">
        <v>346</v>
      </c>
      <c r="I2305" s="1435"/>
      <c r="J2305" s="1435"/>
      <c r="K2305" s="1433"/>
      <c r="L2305" s="1433"/>
      <c r="M2305" s="1433"/>
      <c r="N2305" s="1433"/>
      <c r="O2305" s="1433"/>
      <c r="P2305" s="1433"/>
      <c r="Q2305" s="1433"/>
      <c r="R2305" s="1435"/>
      <c r="S2305" s="1433">
        <v>396</v>
      </c>
      <c r="T2305" s="1433" t="s">
        <v>351</v>
      </c>
      <c r="U2305" s="1433" t="s">
        <v>521</v>
      </c>
      <c r="V2305" s="1433" t="s">
        <v>352</v>
      </c>
      <c r="W2305" s="1436"/>
      <c r="AC2305" s="1559"/>
      <c r="AD2305" s="1559"/>
      <c r="AE2305" s="1560"/>
      <c r="AF2305" s="1559"/>
      <c r="AG2305" s="1559"/>
      <c r="AH2305" s="1559"/>
      <c r="AI2305" s="1559"/>
      <c r="AJ2305" s="1559"/>
      <c r="AK2305" s="1560"/>
      <c r="AL2305" s="1560"/>
      <c r="AM2305" s="1559"/>
      <c r="AN2305" s="1559"/>
      <c r="AO2305" s="1559"/>
      <c r="AP2305" s="1559"/>
      <c r="AQ2305" s="1559"/>
      <c r="AR2305" s="1559"/>
      <c r="AS2305" s="1559"/>
      <c r="AT2305" s="1560"/>
      <c r="AU2305" s="1559"/>
      <c r="AV2305" s="1559"/>
    </row>
    <row r="2306" spans="1:48" hidden="1">
      <c r="A2306" s="1432" t="s">
        <v>327</v>
      </c>
      <c r="B2306" s="1433">
        <v>13414</v>
      </c>
      <c r="C2306" s="1434"/>
      <c r="D2306" s="1433" t="s">
        <v>5933</v>
      </c>
      <c r="E2306" s="1433"/>
      <c r="F2306" s="1433"/>
      <c r="G2306" s="1433"/>
      <c r="H2306" s="1786" t="s">
        <v>346</v>
      </c>
      <c r="I2306" s="1435"/>
      <c r="J2306" s="1435"/>
      <c r="K2306" s="1433"/>
      <c r="L2306" s="1433"/>
      <c r="M2306" s="1433"/>
      <c r="N2306" s="1433"/>
      <c r="O2306" s="1433"/>
      <c r="P2306" s="1433"/>
      <c r="Q2306" s="1433"/>
      <c r="R2306" s="1435"/>
      <c r="S2306" s="1433">
        <v>8207</v>
      </c>
      <c r="T2306" s="1433" t="s">
        <v>4588</v>
      </c>
      <c r="U2306" s="1433" t="s">
        <v>4747</v>
      </c>
      <c r="V2306" s="1433" t="s">
        <v>405</v>
      </c>
      <c r="W2306" s="1436"/>
      <c r="AC2306" s="1559"/>
      <c r="AD2306" s="1559"/>
      <c r="AE2306" s="1560"/>
      <c r="AF2306" s="1559"/>
      <c r="AG2306" s="1559"/>
      <c r="AH2306" s="1559"/>
      <c r="AI2306" s="1559"/>
      <c r="AJ2306" s="1559"/>
      <c r="AK2306" s="1560"/>
      <c r="AL2306" s="1559"/>
      <c r="AM2306" s="1559"/>
      <c r="AN2306" s="1559"/>
      <c r="AO2306" s="1559"/>
      <c r="AP2306" s="1559"/>
      <c r="AQ2306" s="1559"/>
      <c r="AR2306" s="1559"/>
      <c r="AS2306" s="1559"/>
      <c r="AT2306" s="1560"/>
      <c r="AU2306" s="1559"/>
      <c r="AV2306" s="1559"/>
    </row>
    <row r="2307" spans="1:48" hidden="1">
      <c r="A2307" s="1432" t="s">
        <v>327</v>
      </c>
      <c r="B2307" s="1433">
        <v>13501</v>
      </c>
      <c r="C2307" s="1434"/>
      <c r="D2307" s="1433" t="s">
        <v>5934</v>
      </c>
      <c r="E2307" s="1433"/>
      <c r="F2307" s="1433"/>
      <c r="G2307" s="1433"/>
      <c r="H2307" s="1786" t="s">
        <v>346</v>
      </c>
      <c r="I2307" s="1435"/>
      <c r="J2307" s="1435"/>
      <c r="K2307" s="1433"/>
      <c r="L2307" s="1433"/>
      <c r="M2307" s="1433"/>
      <c r="N2307" s="1433"/>
      <c r="O2307" s="1433"/>
      <c r="P2307" s="1433"/>
      <c r="Q2307" s="1433"/>
      <c r="R2307" s="1435"/>
      <c r="S2307" s="1433">
        <v>101</v>
      </c>
      <c r="T2307" s="1433" t="s">
        <v>4588</v>
      </c>
      <c r="U2307" s="1433" t="s">
        <v>1633</v>
      </c>
      <c r="V2307" s="1433" t="s">
        <v>405</v>
      </c>
      <c r="W2307" s="1436"/>
      <c r="AC2307" s="1561"/>
      <c r="AD2307" s="1561"/>
      <c r="AE2307" s="1562"/>
      <c r="AF2307" s="1561"/>
      <c r="AG2307" s="1561"/>
      <c r="AH2307" s="1561"/>
      <c r="AI2307" s="1561"/>
      <c r="AJ2307" s="1561"/>
      <c r="AK2307" s="1562"/>
      <c r="AL2307" s="1561"/>
      <c r="AM2307" s="1561"/>
      <c r="AN2307" s="1561"/>
      <c r="AO2307" s="1561"/>
      <c r="AP2307" s="1561"/>
      <c r="AQ2307" s="1561"/>
      <c r="AR2307" s="1561"/>
      <c r="AS2307" s="1561"/>
      <c r="AT2307" s="1562"/>
      <c r="AU2307" s="1561"/>
      <c r="AV2307" s="1561"/>
    </row>
    <row r="2308" spans="1:48" hidden="1">
      <c r="A2308" s="1432" t="s">
        <v>327</v>
      </c>
      <c r="B2308" s="1433">
        <v>13502</v>
      </c>
      <c r="C2308" s="1434"/>
      <c r="D2308" s="1433" t="s">
        <v>5935</v>
      </c>
      <c r="E2308" s="1433"/>
      <c r="F2308" s="1433"/>
      <c r="G2308" s="1433"/>
      <c r="H2308" s="1786" t="s">
        <v>346</v>
      </c>
      <c r="I2308" s="1435"/>
      <c r="J2308" s="1435"/>
      <c r="K2308" s="1433"/>
      <c r="L2308" s="1433"/>
      <c r="M2308" s="1433"/>
      <c r="N2308" s="1433"/>
      <c r="O2308" s="1433"/>
      <c r="P2308" s="1433"/>
      <c r="Q2308" s="1433"/>
      <c r="R2308" s="1435"/>
      <c r="S2308" s="1433">
        <v>154</v>
      </c>
      <c r="T2308" s="1433" t="s">
        <v>4588</v>
      </c>
      <c r="U2308" s="1433" t="s">
        <v>2988</v>
      </c>
      <c r="V2308" s="1433" t="s">
        <v>405</v>
      </c>
      <c r="W2308" s="1436"/>
      <c r="AC2308" s="1559"/>
      <c r="AD2308" s="1559"/>
      <c r="AE2308" s="1560"/>
      <c r="AF2308" s="1559"/>
      <c r="AG2308" s="1559"/>
      <c r="AH2308" s="1559"/>
      <c r="AI2308" s="1559"/>
      <c r="AJ2308" s="1559"/>
      <c r="AK2308" s="1560"/>
      <c r="AL2308" s="1559"/>
      <c r="AM2308" s="1559"/>
      <c r="AN2308" s="1559"/>
      <c r="AO2308" s="1559"/>
      <c r="AP2308" s="1559"/>
      <c r="AQ2308" s="1559"/>
      <c r="AR2308" s="1559"/>
      <c r="AS2308" s="1559"/>
      <c r="AT2308" s="1560"/>
      <c r="AU2308" s="1559"/>
      <c r="AV2308" s="1559"/>
    </row>
    <row r="2309" spans="1:48" ht="25" hidden="1">
      <c r="A2309" s="1432" t="s">
        <v>327</v>
      </c>
      <c r="B2309" s="1433">
        <v>13563</v>
      </c>
      <c r="C2309" s="1434"/>
      <c r="D2309" s="1433" t="s">
        <v>5936</v>
      </c>
      <c r="E2309" s="1433"/>
      <c r="F2309" s="1433"/>
      <c r="G2309" s="1433"/>
      <c r="H2309" s="1786" t="s">
        <v>346</v>
      </c>
      <c r="I2309" s="1435"/>
      <c r="J2309" s="1435"/>
      <c r="K2309" s="1433"/>
      <c r="L2309" s="1433"/>
      <c r="M2309" s="1433"/>
      <c r="N2309" s="1433"/>
      <c r="O2309" s="1433"/>
      <c r="P2309" s="1433"/>
      <c r="Q2309" s="1433"/>
      <c r="R2309" s="1435"/>
      <c r="S2309" s="1433">
        <v>7930</v>
      </c>
      <c r="T2309" s="1433" t="s">
        <v>394</v>
      </c>
      <c r="U2309" s="1433" t="s">
        <v>4707</v>
      </c>
      <c r="V2309" s="1433" t="s">
        <v>395</v>
      </c>
      <c r="W2309" s="1436"/>
      <c r="AC2309" s="1561"/>
      <c r="AD2309" s="1561"/>
      <c r="AE2309" s="1562"/>
      <c r="AF2309" s="1561"/>
      <c r="AG2309" s="1561"/>
      <c r="AH2309" s="1561"/>
      <c r="AI2309" s="1561"/>
      <c r="AJ2309" s="1561"/>
      <c r="AK2309" s="1562"/>
      <c r="AL2309" s="1561"/>
      <c r="AM2309" s="1561"/>
      <c r="AN2309" s="1561"/>
      <c r="AO2309" s="1561"/>
      <c r="AP2309" s="1561"/>
      <c r="AQ2309" s="1561"/>
      <c r="AR2309" s="1561"/>
      <c r="AS2309" s="1561"/>
      <c r="AT2309" s="1562"/>
      <c r="AU2309" s="1561"/>
      <c r="AV2309" s="1561"/>
    </row>
    <row r="2310" spans="1:48" ht="25" hidden="1">
      <c r="A2310" s="1432" t="s">
        <v>327</v>
      </c>
      <c r="B2310" s="1433">
        <v>13565</v>
      </c>
      <c r="C2310" s="1434"/>
      <c r="D2310" s="1433" t="s">
        <v>5937</v>
      </c>
      <c r="E2310" s="1433"/>
      <c r="F2310" s="1433"/>
      <c r="G2310" s="1433"/>
      <c r="H2310" s="1786" t="s">
        <v>346</v>
      </c>
      <c r="I2310" s="1435"/>
      <c r="J2310" s="1435"/>
      <c r="K2310" s="1433"/>
      <c r="L2310" s="1433"/>
      <c r="M2310" s="1433"/>
      <c r="N2310" s="1433"/>
      <c r="O2310" s="1433"/>
      <c r="P2310" s="1433"/>
      <c r="Q2310" s="1433"/>
      <c r="R2310" s="1435"/>
      <c r="S2310" s="1433">
        <v>744</v>
      </c>
      <c r="T2310" s="1433" t="s">
        <v>394</v>
      </c>
      <c r="U2310" s="1433" t="s">
        <v>3288</v>
      </c>
      <c r="V2310" s="1433" t="s">
        <v>395</v>
      </c>
      <c r="W2310" s="1436"/>
      <c r="AC2310" s="1559"/>
      <c r="AD2310" s="1559"/>
      <c r="AE2310" s="1560"/>
      <c r="AF2310" s="1559"/>
      <c r="AG2310" s="1559"/>
      <c r="AH2310" s="1559"/>
      <c r="AI2310" s="1559"/>
      <c r="AJ2310" s="1559"/>
      <c r="AK2310" s="1560"/>
      <c r="AL2310" s="1559"/>
      <c r="AM2310" s="1559"/>
      <c r="AN2310" s="1559"/>
      <c r="AO2310" s="1559"/>
      <c r="AP2310" s="1559"/>
      <c r="AQ2310" s="1559"/>
      <c r="AR2310" s="1559"/>
      <c r="AS2310" s="1559"/>
      <c r="AT2310" s="1560"/>
      <c r="AU2310" s="1559"/>
      <c r="AV2310" s="1559"/>
    </row>
    <row r="2311" spans="1:48" ht="25" hidden="1">
      <c r="A2311" s="1432" t="s">
        <v>327</v>
      </c>
      <c r="B2311" s="1433">
        <v>13680</v>
      </c>
      <c r="C2311" s="1434"/>
      <c r="D2311" s="1433" t="s">
        <v>5938</v>
      </c>
      <c r="E2311" s="1433"/>
      <c r="F2311" s="1433"/>
      <c r="G2311" s="1433"/>
      <c r="H2311" s="1786" t="s">
        <v>346</v>
      </c>
      <c r="I2311" s="1435"/>
      <c r="J2311" s="1435"/>
      <c r="K2311" s="1433"/>
      <c r="L2311" s="1433"/>
      <c r="M2311" s="1433"/>
      <c r="N2311" s="1433"/>
      <c r="O2311" s="1433"/>
      <c r="P2311" s="1433"/>
      <c r="Q2311" s="1433"/>
      <c r="R2311" s="1435"/>
      <c r="S2311" s="1433">
        <v>12904</v>
      </c>
      <c r="T2311" s="1433" t="s">
        <v>3953</v>
      </c>
      <c r="U2311" s="1433" t="s">
        <v>5941</v>
      </c>
      <c r="V2311" s="1433" t="s">
        <v>546</v>
      </c>
      <c r="W2311" s="1436"/>
      <c r="AC2311" s="1561"/>
      <c r="AD2311" s="1561"/>
      <c r="AE2311" s="1562"/>
      <c r="AF2311" s="1561"/>
      <c r="AG2311" s="1561"/>
      <c r="AH2311" s="1561"/>
      <c r="AI2311" s="1561"/>
      <c r="AJ2311" s="1561"/>
      <c r="AK2311" s="1562"/>
      <c r="AL2311" s="1561"/>
      <c r="AM2311" s="1561"/>
      <c r="AN2311" s="1561"/>
      <c r="AO2311" s="1561"/>
      <c r="AP2311" s="1561"/>
      <c r="AQ2311" s="1561"/>
      <c r="AR2311" s="1561"/>
      <c r="AS2311" s="1561"/>
      <c r="AT2311" s="1562"/>
      <c r="AU2311" s="1561"/>
      <c r="AV2311" s="1561"/>
    </row>
    <row r="2312" spans="1:48">
      <c r="A2312" s="1432" t="s">
        <v>328</v>
      </c>
      <c r="B2312" s="1433">
        <v>13211</v>
      </c>
      <c r="C2312" s="1434"/>
      <c r="D2312" s="1433" t="s">
        <v>5944</v>
      </c>
      <c r="E2312" s="1433"/>
      <c r="F2312" s="1433"/>
      <c r="G2312" s="1433"/>
      <c r="H2312" s="1786" t="s">
        <v>346</v>
      </c>
      <c r="I2312" s="1435"/>
      <c r="J2312" s="1435"/>
      <c r="K2312" s="1433"/>
      <c r="L2312" s="1433"/>
      <c r="M2312" s="1433"/>
      <c r="N2312" s="1433"/>
      <c r="O2312" s="1433"/>
      <c r="P2312" s="1433"/>
      <c r="Q2312" s="1433"/>
      <c r="R2312" s="1435"/>
      <c r="S2312" s="1433">
        <v>1329</v>
      </c>
      <c r="T2312" s="1433"/>
      <c r="U2312" s="1433" t="s">
        <v>2639</v>
      </c>
      <c r="V2312" s="1433"/>
      <c r="W2312" s="1436" t="s">
        <v>5375</v>
      </c>
      <c r="AC2312" s="1559"/>
      <c r="AD2312" s="1559"/>
      <c r="AE2312" s="1560"/>
      <c r="AF2312" s="1559"/>
      <c r="AG2312" s="1559"/>
      <c r="AH2312" s="1559"/>
      <c r="AI2312" s="1559"/>
      <c r="AJ2312" s="1559"/>
      <c r="AK2312" s="1560"/>
      <c r="AL2312" s="1559"/>
      <c r="AM2312" s="1559"/>
      <c r="AN2312" s="1559"/>
      <c r="AO2312" s="1559"/>
      <c r="AP2312" s="1559"/>
      <c r="AQ2312" s="1559"/>
      <c r="AR2312" s="1559"/>
      <c r="AS2312" s="1559"/>
      <c r="AT2312" s="1560"/>
      <c r="AU2312" s="1559"/>
      <c r="AV2312" s="1559"/>
    </row>
    <row r="2313" spans="1:48">
      <c r="A2313" s="1432" t="s">
        <v>328</v>
      </c>
      <c r="B2313" s="1433">
        <v>13212</v>
      </c>
      <c r="C2313" s="1434"/>
      <c r="D2313" s="1433" t="s">
        <v>5945</v>
      </c>
      <c r="E2313" s="1433"/>
      <c r="F2313" s="1433"/>
      <c r="G2313" s="1433"/>
      <c r="H2313" s="1433" t="s">
        <v>346</v>
      </c>
      <c r="I2313" s="1435"/>
      <c r="J2313" s="1435"/>
      <c r="K2313" s="1433"/>
      <c r="L2313" s="1433"/>
      <c r="M2313" s="1433"/>
      <c r="N2313" s="1433"/>
      <c r="O2313" s="1433"/>
      <c r="P2313" s="1433"/>
      <c r="Q2313" s="1433"/>
      <c r="R2313" s="1435"/>
      <c r="S2313" s="1433">
        <v>1329</v>
      </c>
      <c r="T2313" s="1433"/>
      <c r="U2313" s="1433" t="s">
        <v>2639</v>
      </c>
      <c r="V2313" s="1433"/>
      <c r="W2313" s="1436" t="s">
        <v>5375</v>
      </c>
      <c r="AC2313" s="1561"/>
      <c r="AD2313" s="1561"/>
      <c r="AE2313" s="1562"/>
      <c r="AF2313" s="1561"/>
      <c r="AG2313" s="1561"/>
      <c r="AH2313" s="1561"/>
      <c r="AI2313" s="1561"/>
      <c r="AJ2313" s="1561"/>
      <c r="AK2313" s="1562"/>
      <c r="AL2313" s="1561"/>
      <c r="AM2313" s="1561"/>
      <c r="AN2313" s="1561"/>
      <c r="AO2313" s="1561"/>
      <c r="AP2313" s="1561"/>
      <c r="AQ2313" s="1561"/>
      <c r="AR2313" s="1561"/>
      <c r="AS2313" s="1561"/>
      <c r="AT2313" s="1562"/>
      <c r="AU2313" s="1561"/>
      <c r="AV2313" s="1561"/>
    </row>
    <row r="2314" spans="1:48">
      <c r="A2314" s="1432" t="s">
        <v>328</v>
      </c>
      <c r="B2314" s="1433">
        <v>13240</v>
      </c>
      <c r="C2314" s="1434"/>
      <c r="D2314" s="1433" t="s">
        <v>5946</v>
      </c>
      <c r="E2314" s="1433"/>
      <c r="F2314" s="1433"/>
      <c r="G2314" s="1433"/>
      <c r="H2314" s="1433" t="s">
        <v>1586</v>
      </c>
      <c r="I2314" s="1435"/>
      <c r="J2314" s="1435"/>
      <c r="K2314" s="1433"/>
      <c r="L2314" s="1433"/>
      <c r="M2314" s="1433"/>
      <c r="N2314" s="1433"/>
      <c r="O2314" s="1433"/>
      <c r="P2314" s="1433"/>
      <c r="Q2314" s="1433"/>
      <c r="R2314" s="1435"/>
      <c r="S2314" s="1433">
        <v>1032</v>
      </c>
      <c r="T2314" s="1433"/>
      <c r="U2314" s="1433" t="s">
        <v>5943</v>
      </c>
      <c r="V2314" s="1433"/>
      <c r="W2314" s="1436" t="s">
        <v>5373</v>
      </c>
      <c r="AC2314" s="1559"/>
      <c r="AD2314" s="1559"/>
      <c r="AE2314" s="1560"/>
      <c r="AF2314" s="1559"/>
      <c r="AG2314" s="1559"/>
      <c r="AH2314" s="1559"/>
      <c r="AI2314" s="1559"/>
      <c r="AJ2314" s="1559"/>
      <c r="AK2314" s="1560"/>
      <c r="AL2314" s="1559"/>
      <c r="AM2314" s="1559"/>
      <c r="AN2314" s="1559"/>
      <c r="AO2314" s="1559"/>
      <c r="AP2314" s="1559"/>
      <c r="AQ2314" s="1559"/>
      <c r="AR2314" s="1559"/>
      <c r="AS2314" s="1559"/>
      <c r="AT2314" s="1560"/>
      <c r="AU2314" s="1559"/>
      <c r="AV2314" s="1559"/>
    </row>
    <row r="2315" spans="1:48">
      <c r="A2315" s="1432" t="s">
        <v>328</v>
      </c>
      <c r="B2315" s="1433">
        <v>13241</v>
      </c>
      <c r="C2315" s="1434"/>
      <c r="D2315" s="1433" t="s">
        <v>5947</v>
      </c>
      <c r="E2315" s="1433"/>
      <c r="F2315" s="1433"/>
      <c r="G2315" s="1433"/>
      <c r="H2315" s="1433" t="s">
        <v>1586</v>
      </c>
      <c r="I2315" s="1435"/>
      <c r="J2315" s="1435"/>
      <c r="K2315" s="1433"/>
      <c r="L2315" s="1433"/>
      <c r="M2315" s="1433"/>
      <c r="N2315" s="1433"/>
      <c r="O2315" s="1433"/>
      <c r="P2315" s="1433"/>
      <c r="Q2315" s="1433"/>
      <c r="R2315" s="1435"/>
      <c r="S2315" s="1433">
        <v>1032</v>
      </c>
      <c r="T2315" s="1433"/>
      <c r="U2315" s="1433" t="s">
        <v>5943</v>
      </c>
      <c r="V2315" s="1433"/>
      <c r="W2315" s="1436" t="s">
        <v>5373</v>
      </c>
      <c r="AC2315" s="1561"/>
      <c r="AD2315" s="1561"/>
      <c r="AE2315" s="1562"/>
      <c r="AF2315" s="1561"/>
      <c r="AG2315" s="1561"/>
      <c r="AH2315" s="1561"/>
      <c r="AI2315" s="1561"/>
      <c r="AJ2315" s="1561"/>
      <c r="AK2315" s="1562"/>
      <c r="AL2315" s="1561"/>
      <c r="AM2315" s="1561"/>
      <c r="AN2315" s="1561"/>
      <c r="AO2315" s="1561"/>
      <c r="AP2315" s="1561"/>
      <c r="AQ2315" s="1561"/>
      <c r="AR2315" s="1561"/>
      <c r="AS2315" s="1561"/>
      <c r="AT2315" s="1562"/>
      <c r="AU2315" s="1561"/>
      <c r="AV2315" s="1561"/>
    </row>
    <row r="2316" spans="1:48">
      <c r="A2316" s="1432" t="s">
        <v>328</v>
      </c>
      <c r="B2316" s="1433">
        <v>13465</v>
      </c>
      <c r="C2316" s="1434"/>
      <c r="D2316" s="1433" t="s">
        <v>5948</v>
      </c>
      <c r="E2316" s="1433"/>
      <c r="F2316" s="1433"/>
      <c r="G2316" s="1433"/>
      <c r="H2316" s="1433" t="s">
        <v>346</v>
      </c>
      <c r="I2316" s="1435"/>
      <c r="J2316" s="1435"/>
      <c r="K2316" s="1433"/>
      <c r="L2316" s="1433"/>
      <c r="M2316" s="1433"/>
      <c r="N2316" s="1433"/>
      <c r="O2316" s="1433"/>
      <c r="P2316" s="1433"/>
      <c r="Q2316" s="1433"/>
      <c r="R2316" s="1435"/>
      <c r="S2316" s="1433">
        <v>671</v>
      </c>
      <c r="T2316" s="1433"/>
      <c r="U2316" s="1433" t="s">
        <v>2810</v>
      </c>
      <c r="V2316" s="1433"/>
      <c r="W2316" s="1436" t="s">
        <v>5379</v>
      </c>
      <c r="AC2316" s="1559"/>
      <c r="AD2316" s="1559"/>
      <c r="AE2316" s="1560"/>
      <c r="AF2316" s="1559"/>
      <c r="AG2316" s="1559"/>
      <c r="AH2316" s="1559"/>
      <c r="AI2316" s="1559"/>
      <c r="AJ2316" s="1559"/>
      <c r="AK2316" s="1560"/>
      <c r="AL2316" s="1559"/>
      <c r="AM2316" s="1559"/>
      <c r="AN2316" s="1559"/>
      <c r="AO2316" s="1559"/>
      <c r="AP2316" s="1559"/>
      <c r="AQ2316" s="1559"/>
      <c r="AR2316" s="1559"/>
      <c r="AS2316" s="1559"/>
      <c r="AT2316" s="1560"/>
      <c r="AU2316" s="1559"/>
      <c r="AV2316" s="1559"/>
    </row>
    <row r="2317" spans="1:48">
      <c r="A2317" s="1432" t="s">
        <v>328</v>
      </c>
      <c r="B2317" s="1433">
        <v>13214</v>
      </c>
      <c r="C2317" s="1434"/>
      <c r="D2317" s="1433" t="s">
        <v>5563</v>
      </c>
      <c r="E2317" s="1433"/>
      <c r="F2317" s="1433"/>
      <c r="G2317" s="1433"/>
      <c r="H2317" s="1433" t="s">
        <v>346</v>
      </c>
      <c r="I2317" s="1435"/>
      <c r="J2317" s="1435"/>
      <c r="K2317" s="1433"/>
      <c r="L2317" s="1433"/>
      <c r="M2317" s="1433"/>
      <c r="N2317" s="1433"/>
      <c r="O2317" s="1433"/>
      <c r="P2317" s="1433"/>
      <c r="Q2317" s="1433"/>
      <c r="R2317" s="1435"/>
      <c r="S2317" s="1433">
        <v>667</v>
      </c>
      <c r="T2317" s="1433"/>
      <c r="U2317" s="1433" t="s">
        <v>3706</v>
      </c>
      <c r="V2317" s="1433"/>
      <c r="W2317" s="1436"/>
      <c r="AC2317" s="1561"/>
      <c r="AD2317" s="1561"/>
      <c r="AE2317" s="1562"/>
      <c r="AF2317" s="1561"/>
      <c r="AG2317" s="1561"/>
      <c r="AH2317" s="1561"/>
      <c r="AI2317" s="1561"/>
      <c r="AJ2317" s="1561"/>
      <c r="AK2317" s="1562"/>
      <c r="AL2317" s="1561"/>
      <c r="AM2317" s="1561"/>
      <c r="AN2317" s="1561"/>
      <c r="AO2317" s="1561"/>
      <c r="AP2317" s="1561"/>
      <c r="AQ2317" s="1561"/>
      <c r="AR2317" s="1561"/>
      <c r="AS2317" s="1561"/>
      <c r="AT2317" s="1562"/>
      <c r="AU2317" s="1561"/>
      <c r="AV2317" s="1561"/>
    </row>
    <row r="2318" spans="1:48">
      <c r="A2318" s="1432" t="s">
        <v>328</v>
      </c>
      <c r="B2318" s="1433">
        <v>13226</v>
      </c>
      <c r="C2318" s="1434"/>
      <c r="D2318" s="1433" t="s">
        <v>5564</v>
      </c>
      <c r="E2318" s="1433"/>
      <c r="F2318" s="1433"/>
      <c r="G2318" s="1433"/>
      <c r="H2318" s="1433" t="s">
        <v>346</v>
      </c>
      <c r="I2318" s="1435"/>
      <c r="J2318" s="1435"/>
      <c r="K2318" s="1433"/>
      <c r="L2318" s="1433"/>
      <c r="M2318" s="1433"/>
      <c r="N2318" s="1433"/>
      <c r="O2318" s="1433"/>
      <c r="P2318" s="1433"/>
      <c r="Q2318" s="1433"/>
      <c r="R2318" s="1435"/>
      <c r="S2318" s="1433">
        <v>667</v>
      </c>
      <c r="T2318" s="1433"/>
      <c r="U2318" s="1433" t="s">
        <v>3706</v>
      </c>
      <c r="V2318" s="1433"/>
      <c r="W2318" s="1436"/>
      <c r="AC2318" s="1559"/>
      <c r="AD2318" s="1559"/>
      <c r="AE2318" s="1560"/>
      <c r="AF2318" s="1559"/>
      <c r="AG2318" s="1559"/>
      <c r="AH2318" s="1559"/>
      <c r="AI2318" s="1559"/>
      <c r="AJ2318" s="1559"/>
      <c r="AK2318" s="1560"/>
      <c r="AL2318" s="1560"/>
      <c r="AM2318" s="1559"/>
      <c r="AN2318" s="1559"/>
      <c r="AO2318" s="1559"/>
      <c r="AP2318" s="1559"/>
      <c r="AQ2318" s="1559"/>
      <c r="AR2318" s="1559"/>
      <c r="AS2318" s="1559"/>
      <c r="AT2318" s="1560"/>
      <c r="AU2318" s="1559"/>
      <c r="AV2318" s="1559"/>
    </row>
    <row r="2319" spans="1:48">
      <c r="A2319" s="1432" t="s">
        <v>328</v>
      </c>
      <c r="B2319" s="1433">
        <v>13348</v>
      </c>
      <c r="C2319" s="1434"/>
      <c r="D2319" s="1433" t="s">
        <v>5949</v>
      </c>
      <c r="E2319" s="1433"/>
      <c r="F2319" s="1433"/>
      <c r="G2319" s="1433"/>
      <c r="H2319" s="1433" t="s">
        <v>1586</v>
      </c>
      <c r="I2319" s="1435"/>
      <c r="J2319" s="1435"/>
      <c r="K2319" s="1433"/>
      <c r="L2319" s="1433"/>
      <c r="M2319" s="1433"/>
      <c r="N2319" s="1433"/>
      <c r="O2319" s="1433"/>
      <c r="P2319" s="1433"/>
      <c r="Q2319" s="1433"/>
      <c r="R2319" s="1435"/>
      <c r="S2319" s="1433">
        <v>667</v>
      </c>
      <c r="T2319" s="1433"/>
      <c r="U2319" s="1433" t="s">
        <v>3706</v>
      </c>
      <c r="V2319" s="1433"/>
      <c r="W2319" s="1436"/>
      <c r="AC2319" s="1561"/>
      <c r="AD2319" s="1561"/>
      <c r="AE2319" s="1562"/>
      <c r="AF2319" s="1561"/>
      <c r="AG2319" s="1561"/>
      <c r="AH2319" s="1561"/>
      <c r="AI2319" s="1561"/>
      <c r="AJ2319" s="1561"/>
      <c r="AK2319" s="1562"/>
      <c r="AL2319" s="1562"/>
      <c r="AM2319" s="1561"/>
      <c r="AN2319" s="1561"/>
      <c r="AO2319" s="1561"/>
      <c r="AP2319" s="1561"/>
      <c r="AQ2319" s="1561"/>
      <c r="AR2319" s="1561"/>
      <c r="AS2319" s="1561"/>
      <c r="AT2319" s="1562"/>
      <c r="AU2319" s="1561"/>
      <c r="AV2319" s="1561"/>
    </row>
    <row r="2320" spans="1:48">
      <c r="A2320" s="1432" t="s">
        <v>328</v>
      </c>
      <c r="B2320" s="1433">
        <v>13698</v>
      </c>
      <c r="C2320" s="1434"/>
      <c r="D2320" s="1433" t="s">
        <v>5950</v>
      </c>
      <c r="E2320" s="1433"/>
      <c r="F2320" s="1433"/>
      <c r="G2320" s="1433"/>
      <c r="H2320" s="1433" t="s">
        <v>346</v>
      </c>
      <c r="I2320" s="1435"/>
      <c r="J2320" s="1435"/>
      <c r="K2320" s="1433"/>
      <c r="L2320" s="1433"/>
      <c r="M2320" s="1433"/>
      <c r="N2320" s="1433"/>
      <c r="O2320" s="1433"/>
      <c r="P2320" s="1433"/>
      <c r="Q2320" s="1433"/>
      <c r="R2320" s="1435"/>
      <c r="S2320" s="1433">
        <v>667</v>
      </c>
      <c r="T2320" s="1433"/>
      <c r="U2320" s="1433" t="s">
        <v>3706</v>
      </c>
      <c r="V2320" s="1433"/>
      <c r="W2320" s="1436"/>
      <c r="AC2320" s="1559"/>
      <c r="AD2320" s="1559"/>
      <c r="AE2320" s="1560"/>
      <c r="AF2320" s="1559"/>
      <c r="AG2320" s="1559"/>
      <c r="AH2320" s="1559"/>
      <c r="AI2320" s="1559"/>
      <c r="AJ2320" s="1559"/>
      <c r="AK2320" s="1560"/>
      <c r="AL2320" s="1560"/>
      <c r="AM2320" s="1559"/>
      <c r="AN2320" s="1559"/>
      <c r="AO2320" s="1559"/>
      <c r="AP2320" s="1559"/>
      <c r="AQ2320" s="1559"/>
      <c r="AR2320" s="1559"/>
      <c r="AS2320" s="1559"/>
      <c r="AT2320" s="1560"/>
      <c r="AU2320" s="1559"/>
      <c r="AV2320" s="1559"/>
    </row>
    <row r="2321" spans="1:48">
      <c r="A2321" s="1432" t="s">
        <v>328</v>
      </c>
      <c r="B2321" s="1433">
        <v>13351</v>
      </c>
      <c r="C2321" s="1434"/>
      <c r="D2321" s="1433" t="s">
        <v>5951</v>
      </c>
      <c r="E2321" s="1433"/>
      <c r="F2321" s="1433"/>
      <c r="G2321" s="1433"/>
      <c r="H2321" s="1433" t="s">
        <v>346</v>
      </c>
      <c r="I2321" s="1435"/>
      <c r="J2321" s="1435"/>
      <c r="K2321" s="1433"/>
      <c r="L2321" s="1433"/>
      <c r="M2321" s="1433"/>
      <c r="N2321" s="1433"/>
      <c r="O2321" s="1433"/>
      <c r="P2321" s="1433"/>
      <c r="Q2321" s="1433"/>
      <c r="R2321" s="1435"/>
      <c r="S2321" s="1433">
        <v>665</v>
      </c>
      <c r="T2321" s="1433"/>
      <c r="U2321" s="1433" t="s">
        <v>5566</v>
      </c>
      <c r="V2321" s="1433"/>
      <c r="W2321" s="1436" t="s">
        <v>5377</v>
      </c>
      <c r="AC2321" s="1561"/>
      <c r="AD2321" s="1561"/>
      <c r="AE2321" s="1562"/>
      <c r="AF2321" s="1561"/>
      <c r="AG2321" s="1561"/>
      <c r="AH2321" s="1561"/>
      <c r="AI2321" s="1561"/>
      <c r="AJ2321" s="1561"/>
      <c r="AK2321" s="1562"/>
      <c r="AL2321" s="1562"/>
      <c r="AM2321" s="1561"/>
      <c r="AN2321" s="1561"/>
      <c r="AO2321" s="1561"/>
      <c r="AP2321" s="1561"/>
      <c r="AQ2321" s="1561"/>
      <c r="AR2321" s="1561"/>
      <c r="AS2321" s="1561"/>
      <c r="AT2321" s="1562"/>
      <c r="AU2321" s="1561"/>
      <c r="AV2321" s="1561"/>
    </row>
    <row r="2322" spans="1:48">
      <c r="A2322" s="1432" t="s">
        <v>328</v>
      </c>
      <c r="B2322" s="1433">
        <v>13352</v>
      </c>
      <c r="C2322" s="1434"/>
      <c r="D2322" s="1433" t="s">
        <v>5952</v>
      </c>
      <c r="E2322" s="1433"/>
      <c r="F2322" s="1433"/>
      <c r="G2322" s="1433"/>
      <c r="H2322" s="1433" t="s">
        <v>346</v>
      </c>
      <c r="I2322" s="1435"/>
      <c r="J2322" s="1435"/>
      <c r="K2322" s="1433"/>
      <c r="L2322" s="1433"/>
      <c r="M2322" s="1433"/>
      <c r="N2322" s="1433"/>
      <c r="O2322" s="1433"/>
      <c r="P2322" s="1433"/>
      <c r="Q2322" s="1433"/>
      <c r="R2322" s="1435"/>
      <c r="S2322" s="1433">
        <v>665</v>
      </c>
      <c r="T2322" s="1433"/>
      <c r="U2322" s="1433" t="s">
        <v>5566</v>
      </c>
      <c r="V2322" s="1433"/>
      <c r="W2322" s="1436" t="s">
        <v>5377</v>
      </c>
      <c r="AC2322" s="1561"/>
      <c r="AD2322" s="1561"/>
      <c r="AE2322" s="1562"/>
      <c r="AF2322" s="1561"/>
      <c r="AG2322" s="1561"/>
      <c r="AH2322" s="1561"/>
      <c r="AI2322" s="1561"/>
      <c r="AJ2322" s="1561"/>
      <c r="AK2322" s="1562"/>
      <c r="AL2322" s="1561"/>
      <c r="AM2322" s="1561"/>
      <c r="AN2322" s="1561"/>
      <c r="AO2322" s="1561"/>
      <c r="AP2322" s="1561"/>
      <c r="AQ2322" s="1561"/>
      <c r="AR2322" s="1561"/>
      <c r="AS2322" s="1561"/>
      <c r="AT2322" s="1562"/>
      <c r="AU2322" s="1561"/>
      <c r="AV2322" s="1561"/>
    </row>
    <row r="2323" spans="1:48">
      <c r="A2323" s="1432" t="s">
        <v>328</v>
      </c>
      <c r="B2323" s="1433">
        <v>13307</v>
      </c>
      <c r="C2323" s="1434"/>
      <c r="D2323" s="1433" t="s">
        <v>5953</v>
      </c>
      <c r="E2323" s="1433"/>
      <c r="F2323" s="1433"/>
      <c r="G2323" s="1433"/>
      <c r="H2323" s="1433" t="s">
        <v>346</v>
      </c>
      <c r="I2323" s="1435"/>
      <c r="J2323" s="1435"/>
      <c r="K2323" s="1433"/>
      <c r="L2323" s="1433"/>
      <c r="M2323" s="1433"/>
      <c r="N2323" s="1433"/>
      <c r="O2323" s="1433"/>
      <c r="P2323" s="1433"/>
      <c r="Q2323" s="1433"/>
      <c r="R2323" s="1435"/>
      <c r="S2323" s="1433">
        <v>665</v>
      </c>
      <c r="T2323" s="1433"/>
      <c r="U2323" s="1433" t="s">
        <v>5566</v>
      </c>
      <c r="V2323" s="1433"/>
      <c r="W2323" s="1436" t="s">
        <v>5377</v>
      </c>
      <c r="AC2323" s="1559"/>
      <c r="AD2323" s="1559"/>
      <c r="AE2323" s="1560"/>
      <c r="AF2323" s="1559"/>
      <c r="AG2323" s="1559"/>
      <c r="AH2323" s="1559"/>
      <c r="AI2323" s="1559"/>
      <c r="AJ2323" s="1559"/>
      <c r="AK2323" s="1560"/>
      <c r="AL2323" s="1560"/>
      <c r="AM2323" s="1559"/>
      <c r="AN2323" s="1559"/>
      <c r="AO2323" s="1559"/>
      <c r="AP2323" s="1559"/>
      <c r="AQ2323" s="1559"/>
      <c r="AR2323" s="1559"/>
      <c r="AS2323" s="1559"/>
      <c r="AT2323" s="1560"/>
      <c r="AU2323" s="1559"/>
      <c r="AV2323" s="1559"/>
    </row>
    <row r="2324" spans="1:48">
      <c r="A2324" s="1432" t="s">
        <v>328</v>
      </c>
      <c r="B2324" s="1433">
        <v>13278</v>
      </c>
      <c r="C2324" s="1434"/>
      <c r="D2324" s="1433" t="s">
        <v>5954</v>
      </c>
      <c r="E2324" s="1433"/>
      <c r="F2324" s="1433"/>
      <c r="G2324" s="1433"/>
      <c r="H2324" s="1433" t="s">
        <v>346</v>
      </c>
      <c r="I2324" s="1435"/>
      <c r="J2324" s="1435"/>
      <c r="K2324" s="1433"/>
      <c r="L2324" s="1433"/>
      <c r="M2324" s="1433"/>
      <c r="N2324" s="1433"/>
      <c r="O2324" s="1433"/>
      <c r="P2324" s="1433"/>
      <c r="Q2324" s="1433"/>
      <c r="R2324" s="1435"/>
      <c r="S2324" s="1433">
        <v>662</v>
      </c>
      <c r="T2324" s="1433"/>
      <c r="U2324" s="1433" t="s">
        <v>2620</v>
      </c>
      <c r="V2324" s="1433"/>
      <c r="W2324" s="1436" t="s">
        <v>5396</v>
      </c>
      <c r="AC2324" s="1561"/>
      <c r="AD2324" s="1561"/>
      <c r="AE2324" s="1562"/>
      <c r="AF2324" s="1561"/>
      <c r="AG2324" s="1561"/>
      <c r="AH2324" s="1561"/>
      <c r="AI2324" s="1561"/>
      <c r="AJ2324" s="1561"/>
      <c r="AK2324" s="1562"/>
      <c r="AL2324" s="1562"/>
      <c r="AM2324" s="1561"/>
      <c r="AN2324" s="1561"/>
      <c r="AO2324" s="1561"/>
      <c r="AP2324" s="1561"/>
      <c r="AQ2324" s="1561"/>
      <c r="AR2324" s="1561"/>
      <c r="AS2324" s="1561"/>
      <c r="AT2324" s="1562"/>
      <c r="AU2324" s="1561"/>
      <c r="AV2324" s="1561"/>
    </row>
    <row r="2325" spans="1:48">
      <c r="A2325" s="1432" t="s">
        <v>328</v>
      </c>
      <c r="B2325" s="1433">
        <v>13279</v>
      </c>
      <c r="C2325" s="1434"/>
      <c r="D2325" s="1433" t="s">
        <v>5955</v>
      </c>
      <c r="E2325" s="1433"/>
      <c r="F2325" s="1433"/>
      <c r="G2325" s="1433"/>
      <c r="H2325" s="1433" t="s">
        <v>346</v>
      </c>
      <c r="I2325" s="1435"/>
      <c r="J2325" s="1435"/>
      <c r="K2325" s="1433"/>
      <c r="L2325" s="1433"/>
      <c r="M2325" s="1433"/>
      <c r="N2325" s="1433"/>
      <c r="O2325" s="1433"/>
      <c r="P2325" s="1433"/>
      <c r="Q2325" s="1433"/>
      <c r="R2325" s="1435"/>
      <c r="S2325" s="1433">
        <v>662</v>
      </c>
      <c r="T2325" s="1433"/>
      <c r="U2325" s="1433" t="s">
        <v>2620</v>
      </c>
      <c r="V2325" s="1433"/>
      <c r="W2325" s="1436" t="s">
        <v>5396</v>
      </c>
      <c r="AC2325" s="1559"/>
      <c r="AD2325" s="1559"/>
      <c r="AE2325" s="1560"/>
      <c r="AF2325" s="1559"/>
      <c r="AG2325" s="1559"/>
      <c r="AH2325" s="1559"/>
      <c r="AI2325" s="1559"/>
      <c r="AJ2325" s="1559"/>
      <c r="AK2325" s="1560"/>
      <c r="AL2325" s="1560"/>
      <c r="AM2325" s="1559"/>
      <c r="AN2325" s="1559"/>
      <c r="AO2325" s="1559"/>
      <c r="AP2325" s="1559"/>
      <c r="AQ2325" s="1559"/>
      <c r="AR2325" s="1559"/>
      <c r="AS2325" s="1559"/>
      <c r="AT2325" s="1560"/>
      <c r="AU2325" s="1559"/>
      <c r="AV2325" s="1559"/>
    </row>
    <row r="2326" spans="1:48">
      <c r="A2326" s="1432" t="s">
        <v>328</v>
      </c>
      <c r="B2326" s="1433">
        <v>13424</v>
      </c>
      <c r="C2326" s="1434"/>
      <c r="D2326" s="1433" t="s">
        <v>5956</v>
      </c>
      <c r="E2326" s="1433"/>
      <c r="F2326" s="1433"/>
      <c r="G2326" s="1433"/>
      <c r="H2326" s="1433" t="s">
        <v>346</v>
      </c>
      <c r="I2326" s="1435"/>
      <c r="J2326" s="1435"/>
      <c r="K2326" s="1433"/>
      <c r="L2326" s="1433"/>
      <c r="M2326" s="1433"/>
      <c r="N2326" s="1433"/>
      <c r="O2326" s="1433"/>
      <c r="P2326" s="1433"/>
      <c r="Q2326" s="1433"/>
      <c r="R2326" s="1435"/>
      <c r="S2326" s="1433">
        <v>662</v>
      </c>
      <c r="T2326" s="1433"/>
      <c r="U2326" s="1433" t="s">
        <v>2620</v>
      </c>
      <c r="V2326" s="1433"/>
      <c r="W2326" s="1436" t="s">
        <v>5396</v>
      </c>
      <c r="AC2326" s="1561"/>
      <c r="AD2326" s="1561"/>
      <c r="AE2326" s="1562"/>
      <c r="AF2326" s="1561"/>
      <c r="AG2326" s="1561"/>
      <c r="AH2326" s="1561"/>
      <c r="AI2326" s="1561"/>
      <c r="AJ2326" s="1561"/>
      <c r="AK2326" s="1562"/>
      <c r="AL2326" s="1562"/>
      <c r="AM2326" s="1561"/>
      <c r="AN2326" s="1561"/>
      <c r="AO2326" s="1561"/>
      <c r="AP2326" s="1561"/>
      <c r="AQ2326" s="1561"/>
      <c r="AR2326" s="1561"/>
      <c r="AS2326" s="1561"/>
      <c r="AT2326" s="1562"/>
      <c r="AU2326" s="1561"/>
      <c r="AV2326" s="1561"/>
    </row>
    <row r="2327" spans="1:48">
      <c r="A2327" s="1432" t="s">
        <v>328</v>
      </c>
      <c r="B2327" s="1433">
        <v>13684</v>
      </c>
      <c r="C2327" s="1434"/>
      <c r="D2327" s="1433" t="s">
        <v>5957</v>
      </c>
      <c r="E2327" s="1433"/>
      <c r="F2327" s="1433"/>
      <c r="G2327" s="1433"/>
      <c r="H2327" s="1433" t="s">
        <v>346</v>
      </c>
      <c r="I2327" s="1435"/>
      <c r="J2327" s="1435"/>
      <c r="K2327" s="1433"/>
      <c r="L2327" s="1433"/>
      <c r="M2327" s="1433"/>
      <c r="N2327" s="1433"/>
      <c r="O2327" s="1433"/>
      <c r="P2327" s="1433"/>
      <c r="Q2327" s="1433"/>
      <c r="R2327" s="1435"/>
      <c r="S2327" s="1433">
        <v>662</v>
      </c>
      <c r="T2327" s="1433"/>
      <c r="U2327" s="1433" t="s">
        <v>2620</v>
      </c>
      <c r="V2327" s="1433"/>
      <c r="W2327" s="1436" t="s">
        <v>5396</v>
      </c>
      <c r="AC2327" s="1559"/>
      <c r="AD2327" s="1559"/>
      <c r="AE2327" s="1560"/>
      <c r="AF2327" s="1559"/>
      <c r="AG2327" s="1559"/>
      <c r="AH2327" s="1559"/>
      <c r="AI2327" s="1559"/>
      <c r="AJ2327" s="1559"/>
      <c r="AK2327" s="1560"/>
      <c r="AL2327" s="1560"/>
      <c r="AM2327" s="1559"/>
      <c r="AN2327" s="1559"/>
      <c r="AO2327" s="1559"/>
      <c r="AP2327" s="1559"/>
      <c r="AQ2327" s="1559"/>
      <c r="AR2327" s="1559"/>
      <c r="AS2327" s="1559"/>
      <c r="AT2327" s="1560"/>
      <c r="AU2327" s="1559"/>
      <c r="AV2327" s="1559"/>
    </row>
    <row r="2328" spans="1:48">
      <c r="A2328" s="1432" t="s">
        <v>328</v>
      </c>
      <c r="B2328" s="1433">
        <v>13685</v>
      </c>
      <c r="C2328" s="1434"/>
      <c r="D2328" s="1433" t="s">
        <v>5958</v>
      </c>
      <c r="E2328" s="1433"/>
      <c r="F2328" s="1433"/>
      <c r="G2328" s="1433"/>
      <c r="H2328" s="1433" t="s">
        <v>346</v>
      </c>
      <c r="I2328" s="1435"/>
      <c r="J2328" s="1435"/>
      <c r="K2328" s="1433"/>
      <c r="L2328" s="1433"/>
      <c r="M2328" s="1433"/>
      <c r="N2328" s="1433"/>
      <c r="O2328" s="1433"/>
      <c r="P2328" s="1433"/>
      <c r="Q2328" s="1433"/>
      <c r="R2328" s="1435"/>
      <c r="S2328" s="1433">
        <v>662</v>
      </c>
      <c r="T2328" s="1433"/>
      <c r="U2328" s="1433" t="s">
        <v>2620</v>
      </c>
      <c r="V2328" s="1433"/>
      <c r="W2328" s="1436" t="s">
        <v>5396</v>
      </c>
      <c r="AC2328" s="1559"/>
      <c r="AD2328" s="1559"/>
      <c r="AE2328" s="1560"/>
      <c r="AF2328" s="1559"/>
      <c r="AG2328" s="1559"/>
      <c r="AH2328" s="1559"/>
      <c r="AI2328" s="1559"/>
      <c r="AJ2328" s="1559"/>
      <c r="AK2328" s="1560"/>
      <c r="AL2328" s="1559"/>
      <c r="AM2328" s="1559"/>
      <c r="AN2328" s="1559"/>
      <c r="AO2328" s="1559"/>
      <c r="AP2328" s="1559"/>
      <c r="AQ2328" s="1559"/>
      <c r="AR2328" s="1559"/>
      <c r="AS2328" s="1559"/>
      <c r="AT2328" s="1560"/>
      <c r="AU2328" s="1559"/>
      <c r="AV2328" s="1559"/>
    </row>
    <row r="2329" spans="1:48">
      <c r="A2329" s="1432" t="s">
        <v>328</v>
      </c>
      <c r="B2329" s="1433">
        <v>13285</v>
      </c>
      <c r="C2329" s="1434"/>
      <c r="D2329" s="1433" t="s">
        <v>5959</v>
      </c>
      <c r="E2329" s="1433"/>
      <c r="F2329" s="1433"/>
      <c r="G2329" s="1433"/>
      <c r="H2329" s="1433" t="s">
        <v>346</v>
      </c>
      <c r="I2329" s="1435"/>
      <c r="J2329" s="1435"/>
      <c r="K2329" s="1433"/>
      <c r="L2329" s="1433"/>
      <c r="M2329" s="1433"/>
      <c r="N2329" s="1433"/>
      <c r="O2329" s="1433"/>
      <c r="P2329" s="1433"/>
      <c r="Q2329" s="1433"/>
      <c r="R2329" s="1435"/>
      <c r="S2329" s="1433">
        <v>660</v>
      </c>
      <c r="T2329" s="1433"/>
      <c r="U2329" s="1433" t="s">
        <v>5585</v>
      </c>
      <c r="V2329" s="1433"/>
      <c r="W2329" s="1436" t="s">
        <v>5373</v>
      </c>
      <c r="AC2329" s="1561"/>
      <c r="AD2329" s="1561"/>
      <c r="AE2329" s="1562"/>
      <c r="AF2329" s="1561"/>
      <c r="AG2329" s="1561"/>
      <c r="AH2329" s="1561"/>
      <c r="AI2329" s="1561"/>
      <c r="AJ2329" s="1561"/>
      <c r="AK2329" s="1562"/>
      <c r="AL2329" s="1561"/>
      <c r="AM2329" s="1561"/>
      <c r="AN2329" s="1561"/>
      <c r="AO2329" s="1561"/>
      <c r="AP2329" s="1561"/>
      <c r="AQ2329" s="1561"/>
      <c r="AR2329" s="1561"/>
      <c r="AS2329" s="1561"/>
      <c r="AT2329" s="1562"/>
      <c r="AU2329" s="1561"/>
      <c r="AV2329" s="1561"/>
    </row>
    <row r="2330" spans="1:48">
      <c r="A2330" s="1432" t="s">
        <v>328</v>
      </c>
      <c r="B2330" s="1433">
        <v>13286</v>
      </c>
      <c r="C2330" s="1434"/>
      <c r="D2330" s="1433" t="s">
        <v>5960</v>
      </c>
      <c r="E2330" s="1433"/>
      <c r="F2330" s="1433"/>
      <c r="G2330" s="1433"/>
      <c r="H2330" s="1433" t="s">
        <v>346</v>
      </c>
      <c r="I2330" s="1435"/>
      <c r="J2330" s="1435"/>
      <c r="K2330" s="1433"/>
      <c r="L2330" s="1433"/>
      <c r="M2330" s="1433"/>
      <c r="N2330" s="1433"/>
      <c r="O2330" s="1433"/>
      <c r="P2330" s="1433"/>
      <c r="Q2330" s="1433"/>
      <c r="R2330" s="1435"/>
      <c r="S2330" s="1433">
        <v>660</v>
      </c>
      <c r="T2330" s="1433"/>
      <c r="U2330" s="1433" t="s">
        <v>5585</v>
      </c>
      <c r="V2330" s="1433"/>
      <c r="W2330" s="1436" t="s">
        <v>5373</v>
      </c>
      <c r="AC2330" s="1559"/>
      <c r="AD2330" s="1559"/>
      <c r="AE2330" s="1560"/>
      <c r="AF2330" s="1559"/>
      <c r="AG2330" s="1559"/>
      <c r="AH2330" s="1559"/>
      <c r="AI2330" s="1559"/>
      <c r="AJ2330" s="1559"/>
      <c r="AK2330" s="1560"/>
      <c r="AL2330" s="1559"/>
      <c r="AM2330" s="1559"/>
      <c r="AN2330" s="1559"/>
      <c r="AO2330" s="1559"/>
      <c r="AP2330" s="1559"/>
      <c r="AQ2330" s="1559"/>
      <c r="AR2330" s="1559"/>
      <c r="AS2330" s="1559"/>
      <c r="AT2330" s="1560"/>
      <c r="AU2330" s="1559"/>
      <c r="AV2330" s="1559"/>
    </row>
    <row r="2331" spans="1:48">
      <c r="A2331" s="1432" t="s">
        <v>328</v>
      </c>
      <c r="B2331" s="1433">
        <v>13627</v>
      </c>
      <c r="C2331" s="1434"/>
      <c r="D2331" s="1433" t="s">
        <v>5961</v>
      </c>
      <c r="E2331" s="1433"/>
      <c r="F2331" s="1433"/>
      <c r="G2331" s="1433"/>
      <c r="H2331" s="1433" t="s">
        <v>346</v>
      </c>
      <c r="I2331" s="1435"/>
      <c r="J2331" s="1435"/>
      <c r="K2331" s="1433"/>
      <c r="L2331" s="1433"/>
      <c r="M2331" s="1433"/>
      <c r="N2331" s="1433"/>
      <c r="O2331" s="1433"/>
      <c r="P2331" s="1433"/>
      <c r="Q2331" s="1433"/>
      <c r="R2331" s="1435"/>
      <c r="S2331" s="1433">
        <v>659</v>
      </c>
      <c r="T2331" s="1433"/>
      <c r="U2331" s="1433" t="s">
        <v>3703</v>
      </c>
      <c r="V2331" s="1433"/>
      <c r="W2331" s="1436" t="s">
        <v>5382</v>
      </c>
      <c r="AC2331" s="1561"/>
      <c r="AD2331" s="1561"/>
      <c r="AE2331" s="1562"/>
      <c r="AF2331" s="1561"/>
      <c r="AG2331" s="1561"/>
      <c r="AH2331" s="1561"/>
      <c r="AI2331" s="1561"/>
      <c r="AJ2331" s="1561"/>
      <c r="AK2331" s="1562"/>
      <c r="AL2331" s="1562"/>
      <c r="AM2331" s="1561"/>
      <c r="AN2331" s="1561"/>
      <c r="AO2331" s="1561"/>
      <c r="AP2331" s="1561"/>
      <c r="AQ2331" s="1561"/>
      <c r="AR2331" s="1561"/>
      <c r="AS2331" s="1561"/>
      <c r="AT2331" s="1562"/>
      <c r="AU2331" s="1561"/>
      <c r="AV2331" s="1561"/>
    </row>
    <row r="2332" spans="1:48">
      <c r="A2332" s="1432" t="s">
        <v>328</v>
      </c>
      <c r="B2332" s="1433">
        <v>13415</v>
      </c>
      <c r="C2332" s="1434"/>
      <c r="D2332" s="1433" t="s">
        <v>5962</v>
      </c>
      <c r="E2332" s="1433"/>
      <c r="F2332" s="1433"/>
      <c r="G2332" s="1433"/>
      <c r="H2332" s="1433" t="s">
        <v>346</v>
      </c>
      <c r="I2332" s="1435"/>
      <c r="J2332" s="1435"/>
      <c r="K2332" s="1433"/>
      <c r="L2332" s="1433"/>
      <c r="M2332" s="1433"/>
      <c r="N2332" s="1433"/>
      <c r="O2332" s="1433"/>
      <c r="P2332" s="1433"/>
      <c r="Q2332" s="1433"/>
      <c r="R2332" s="1435"/>
      <c r="S2332" s="1433">
        <v>214</v>
      </c>
      <c r="T2332" s="1433"/>
      <c r="U2332" s="1433" t="s">
        <v>4163</v>
      </c>
      <c r="V2332" s="1433"/>
      <c r="W2332" s="1436" t="s">
        <v>5396</v>
      </c>
      <c r="AC2332" s="1559"/>
      <c r="AD2332" s="1559"/>
      <c r="AE2332" s="1560"/>
      <c r="AF2332" s="1559"/>
      <c r="AG2332" s="1559"/>
      <c r="AH2332" s="1559"/>
      <c r="AI2332" s="1559"/>
      <c r="AJ2332" s="1559"/>
      <c r="AK2332" s="1560"/>
      <c r="AL2332" s="1560"/>
      <c r="AM2332" s="1559"/>
      <c r="AN2332" s="1559"/>
      <c r="AO2332" s="1559"/>
      <c r="AP2332" s="1559"/>
      <c r="AQ2332" s="1559"/>
      <c r="AR2332" s="1559"/>
      <c r="AS2332" s="1559"/>
      <c r="AT2332" s="1560"/>
      <c r="AU2332" s="1559"/>
      <c r="AV2332" s="1559"/>
    </row>
    <row r="2333" spans="1:48">
      <c r="A2333" s="1432" t="s">
        <v>328</v>
      </c>
      <c r="B2333" s="1433">
        <v>13335</v>
      </c>
      <c r="C2333" s="1434"/>
      <c r="D2333" s="1433" t="s">
        <v>5948</v>
      </c>
      <c r="E2333" s="1433"/>
      <c r="F2333" s="1433"/>
      <c r="G2333" s="1433"/>
      <c r="H2333" s="1433" t="s">
        <v>346</v>
      </c>
      <c r="I2333" s="1435"/>
      <c r="J2333" s="1435"/>
      <c r="K2333" s="1433"/>
      <c r="L2333" s="1433"/>
      <c r="M2333" s="1433"/>
      <c r="N2333" s="1433"/>
      <c r="O2333" s="1433"/>
      <c r="P2333" s="1433"/>
      <c r="Q2333" s="1433"/>
      <c r="R2333" s="1435"/>
      <c r="S2333" s="1433">
        <v>209</v>
      </c>
      <c r="T2333" s="1433"/>
      <c r="U2333" s="1433" t="s">
        <v>403</v>
      </c>
      <c r="V2333" s="1433"/>
      <c r="W2333" s="1436" t="s">
        <v>5379</v>
      </c>
      <c r="AC2333" s="1561"/>
      <c r="AD2333" s="1561"/>
      <c r="AE2333" s="1562"/>
      <c r="AF2333" s="1561"/>
      <c r="AG2333" s="1561"/>
      <c r="AH2333" s="1561"/>
      <c r="AI2333" s="1561"/>
      <c r="AJ2333" s="1561"/>
      <c r="AK2333" s="1562"/>
      <c r="AL2333" s="1561"/>
      <c r="AM2333" s="1561"/>
      <c r="AN2333" s="1561"/>
      <c r="AO2333" s="1561"/>
      <c r="AP2333" s="1561"/>
      <c r="AQ2333" s="1561"/>
      <c r="AR2333" s="1561"/>
      <c r="AS2333" s="1561"/>
      <c r="AT2333" s="1562"/>
      <c r="AU2333" s="1561"/>
      <c r="AV2333" s="1561"/>
    </row>
    <row r="2334" spans="1:48">
      <c r="A2334" s="1432" t="s">
        <v>328</v>
      </c>
      <c r="B2334" s="1433">
        <v>13213</v>
      </c>
      <c r="C2334" s="1434"/>
      <c r="D2334" s="1433" t="s">
        <v>5710</v>
      </c>
      <c r="E2334" s="1433"/>
      <c r="F2334" s="1433"/>
      <c r="G2334" s="1433"/>
      <c r="H2334" s="1433" t="s">
        <v>346</v>
      </c>
      <c r="I2334" s="1435"/>
      <c r="J2334" s="1435"/>
      <c r="K2334" s="1433"/>
      <c r="L2334" s="1433"/>
      <c r="M2334" s="1433"/>
      <c r="N2334" s="1433"/>
      <c r="O2334" s="1433"/>
      <c r="P2334" s="1433"/>
      <c r="Q2334" s="1433"/>
      <c r="R2334" s="1435"/>
      <c r="S2334" s="1433">
        <v>170</v>
      </c>
      <c r="T2334" s="1433"/>
      <c r="U2334" s="1433" t="s">
        <v>3683</v>
      </c>
      <c r="V2334" s="1433"/>
      <c r="W2334" s="1436"/>
      <c r="AC2334" s="1559"/>
      <c r="AD2334" s="1559"/>
      <c r="AE2334" s="1560"/>
      <c r="AF2334" s="1559"/>
      <c r="AG2334" s="1559"/>
      <c r="AH2334" s="1559"/>
      <c r="AI2334" s="1559"/>
      <c r="AJ2334" s="1559"/>
      <c r="AK2334" s="1560"/>
      <c r="AL2334" s="1559"/>
      <c r="AM2334" s="1559"/>
      <c r="AN2334" s="1559"/>
      <c r="AO2334" s="1559"/>
      <c r="AP2334" s="1559"/>
      <c r="AQ2334" s="1559"/>
      <c r="AR2334" s="1559"/>
      <c r="AS2334" s="1559"/>
      <c r="AT2334" s="1560"/>
      <c r="AU2334" s="1559"/>
      <c r="AV2334" s="1559"/>
    </row>
    <row r="2335" spans="1:48">
      <c r="A2335" s="1432" t="s">
        <v>328</v>
      </c>
      <c r="B2335" s="1433">
        <v>13347</v>
      </c>
      <c r="C2335" s="1434"/>
      <c r="D2335" s="1433" t="s">
        <v>5963</v>
      </c>
      <c r="E2335" s="1433"/>
      <c r="F2335" s="1433"/>
      <c r="G2335" s="1433"/>
      <c r="H2335" s="1433" t="s">
        <v>346</v>
      </c>
      <c r="I2335" s="1435"/>
      <c r="J2335" s="1435"/>
      <c r="K2335" s="1433"/>
      <c r="L2335" s="1433"/>
      <c r="M2335" s="1433"/>
      <c r="N2335" s="1433"/>
      <c r="O2335" s="1433"/>
      <c r="P2335" s="1433"/>
      <c r="Q2335" s="1433"/>
      <c r="R2335" s="1435"/>
      <c r="S2335" s="1433">
        <v>170</v>
      </c>
      <c r="T2335" s="1433"/>
      <c r="U2335" s="1433" t="s">
        <v>3683</v>
      </c>
      <c r="V2335" s="1433"/>
      <c r="W2335" s="1436"/>
      <c r="AC2335" s="1561"/>
      <c r="AD2335" s="1561"/>
      <c r="AE2335" s="1562"/>
      <c r="AF2335" s="1561"/>
      <c r="AG2335" s="1561"/>
      <c r="AH2335" s="1561"/>
      <c r="AI2335" s="1561"/>
      <c r="AJ2335" s="1561"/>
      <c r="AK2335" s="1562"/>
      <c r="AL2335" s="1561"/>
      <c r="AM2335" s="1561"/>
      <c r="AN2335" s="1561"/>
      <c r="AO2335" s="1561"/>
      <c r="AP2335" s="1561"/>
      <c r="AQ2335" s="1561"/>
      <c r="AR2335" s="1561"/>
      <c r="AS2335" s="1561"/>
      <c r="AT2335" s="1562"/>
      <c r="AU2335" s="1561"/>
      <c r="AV2335" s="1561"/>
    </row>
    <row r="2336" spans="1:48">
      <c r="A2336" s="1432" t="s">
        <v>328</v>
      </c>
      <c r="B2336" s="1433">
        <v>13303</v>
      </c>
      <c r="C2336" s="1434"/>
      <c r="D2336" s="1433" t="s">
        <v>5964</v>
      </c>
      <c r="E2336" s="1433"/>
      <c r="F2336" s="1433"/>
      <c r="G2336" s="1433"/>
      <c r="H2336" s="1433" t="s">
        <v>346</v>
      </c>
      <c r="I2336" s="1435"/>
      <c r="J2336" s="1435"/>
      <c r="K2336" s="1433"/>
      <c r="L2336" s="1433"/>
      <c r="M2336" s="1433"/>
      <c r="N2336" s="1433"/>
      <c r="O2336" s="1433"/>
      <c r="P2336" s="1433"/>
      <c r="Q2336" s="1433"/>
      <c r="R2336" s="1435"/>
      <c r="S2336" s="1433">
        <v>168</v>
      </c>
      <c r="T2336" s="1433"/>
      <c r="U2336" s="1433" t="s">
        <v>5716</v>
      </c>
      <c r="V2336" s="1433"/>
      <c r="W2336" s="1436" t="s">
        <v>5377</v>
      </c>
      <c r="AC2336" s="1559"/>
      <c r="AD2336" s="1559"/>
      <c r="AE2336" s="1560"/>
      <c r="AF2336" s="1559"/>
      <c r="AG2336" s="1559"/>
      <c r="AH2336" s="1559"/>
      <c r="AI2336" s="1559"/>
      <c r="AJ2336" s="1559"/>
      <c r="AK2336" s="1560"/>
      <c r="AL2336" s="1559"/>
      <c r="AM2336" s="1559"/>
      <c r="AN2336" s="1559"/>
      <c r="AO2336" s="1559"/>
      <c r="AP2336" s="1559"/>
      <c r="AQ2336" s="1559"/>
      <c r="AR2336" s="1559"/>
      <c r="AS2336" s="1559"/>
      <c r="AT2336" s="1560"/>
      <c r="AU2336" s="1559"/>
      <c r="AV2336" s="1559"/>
    </row>
    <row r="2337" spans="1:48">
      <c r="A2337" s="1432" t="s">
        <v>328</v>
      </c>
      <c r="B2337" s="1433">
        <v>13350</v>
      </c>
      <c r="C2337" s="1434"/>
      <c r="D2337" s="1433" t="s">
        <v>5965</v>
      </c>
      <c r="E2337" s="1433"/>
      <c r="F2337" s="1433"/>
      <c r="G2337" s="1433"/>
      <c r="H2337" s="1433" t="s">
        <v>346</v>
      </c>
      <c r="I2337" s="1435"/>
      <c r="J2337" s="1435"/>
      <c r="K2337" s="1433"/>
      <c r="L2337" s="1433"/>
      <c r="M2337" s="1433"/>
      <c r="N2337" s="1433"/>
      <c r="O2337" s="1433"/>
      <c r="P2337" s="1433"/>
      <c r="Q2337" s="1433"/>
      <c r="R2337" s="1435"/>
      <c r="S2337" s="1433">
        <v>168</v>
      </c>
      <c r="T2337" s="1433"/>
      <c r="U2337" s="1433" t="s">
        <v>5716</v>
      </c>
      <c r="V2337" s="1433"/>
      <c r="W2337" s="1436" t="s">
        <v>5377</v>
      </c>
      <c r="AC2337" s="1561"/>
      <c r="AD2337" s="1561"/>
      <c r="AE2337" s="1562"/>
      <c r="AF2337" s="1561"/>
      <c r="AG2337" s="1561"/>
      <c r="AH2337" s="1561"/>
      <c r="AI2337" s="1561"/>
      <c r="AJ2337" s="1561"/>
      <c r="AK2337" s="1562"/>
      <c r="AL2337" s="1561"/>
      <c r="AM2337" s="1561"/>
      <c r="AN2337" s="1561"/>
      <c r="AO2337" s="1561"/>
      <c r="AP2337" s="1561"/>
      <c r="AQ2337" s="1561"/>
      <c r="AR2337" s="1561"/>
      <c r="AS2337" s="1561"/>
      <c r="AT2337" s="1562"/>
      <c r="AU2337" s="1561"/>
      <c r="AV2337" s="1561"/>
    </row>
    <row r="2338" spans="1:48">
      <c r="A2338" s="1432" t="s">
        <v>328</v>
      </c>
      <c r="B2338" s="1433">
        <v>13349</v>
      </c>
      <c r="C2338" s="1434"/>
      <c r="D2338" s="1433" t="s">
        <v>5966</v>
      </c>
      <c r="E2338" s="1433"/>
      <c r="F2338" s="1433"/>
      <c r="G2338" s="1433"/>
      <c r="H2338" s="1433" t="s">
        <v>346</v>
      </c>
      <c r="I2338" s="1435"/>
      <c r="J2338" s="1435"/>
      <c r="K2338" s="1433"/>
      <c r="L2338" s="1433"/>
      <c r="M2338" s="1433"/>
      <c r="N2338" s="1433"/>
      <c r="O2338" s="1433"/>
      <c r="P2338" s="1433"/>
      <c r="Q2338" s="1433"/>
      <c r="R2338" s="1435"/>
      <c r="S2338" s="1433">
        <v>168</v>
      </c>
      <c r="T2338" s="1433"/>
      <c r="U2338" s="1433" t="s">
        <v>5716</v>
      </c>
      <c r="V2338" s="1433"/>
      <c r="W2338" s="1436" t="s">
        <v>5377</v>
      </c>
      <c r="AC2338" s="1559"/>
      <c r="AD2338" s="1559"/>
      <c r="AE2338" s="1560"/>
      <c r="AF2338" s="1559"/>
      <c r="AG2338" s="1559"/>
      <c r="AH2338" s="1559"/>
      <c r="AI2338" s="1559"/>
      <c r="AJ2338" s="1559"/>
      <c r="AK2338" s="1560"/>
      <c r="AL2338" s="1560"/>
      <c r="AM2338" s="1559"/>
      <c r="AN2338" s="1559"/>
      <c r="AO2338" s="1559"/>
      <c r="AP2338" s="1559"/>
      <c r="AQ2338" s="1559"/>
      <c r="AR2338" s="1559"/>
      <c r="AS2338" s="1559"/>
      <c r="AT2338" s="1560"/>
      <c r="AU2338" s="1559"/>
      <c r="AV2338" s="1559"/>
    </row>
    <row r="2339" spans="1:48">
      <c r="A2339" s="1432" t="s">
        <v>328</v>
      </c>
      <c r="B2339" s="1433">
        <v>13260</v>
      </c>
      <c r="C2339" s="1434"/>
      <c r="D2339" s="1433" t="s">
        <v>5967</v>
      </c>
      <c r="E2339" s="1433"/>
      <c r="F2339" s="1433"/>
      <c r="G2339" s="1433"/>
      <c r="H2339" s="1433" t="s">
        <v>346</v>
      </c>
      <c r="I2339" s="1435"/>
      <c r="J2339" s="1435"/>
      <c r="K2339" s="1433"/>
      <c r="L2339" s="1433"/>
      <c r="M2339" s="1433"/>
      <c r="N2339" s="1433"/>
      <c r="O2339" s="1433"/>
      <c r="P2339" s="1433"/>
      <c r="Q2339" s="1433"/>
      <c r="R2339" s="1435"/>
      <c r="S2339" s="1433">
        <v>163</v>
      </c>
      <c r="T2339" s="1433"/>
      <c r="U2339" s="1433" t="s">
        <v>5738</v>
      </c>
      <c r="V2339" s="1433"/>
      <c r="W2339" s="1436" t="s">
        <v>5373</v>
      </c>
      <c r="AC2339" s="1561"/>
      <c r="AD2339" s="1561"/>
      <c r="AE2339" s="1562"/>
      <c r="AF2339" s="1561"/>
      <c r="AG2339" s="1561"/>
      <c r="AH2339" s="1561"/>
      <c r="AI2339" s="1561"/>
      <c r="AJ2339" s="1561"/>
      <c r="AK2339" s="1562"/>
      <c r="AL2339" s="1562"/>
      <c r="AM2339" s="1561"/>
      <c r="AN2339" s="1561"/>
      <c r="AO2339" s="1561"/>
      <c r="AP2339" s="1561"/>
      <c r="AQ2339" s="1561"/>
      <c r="AR2339" s="1561"/>
      <c r="AS2339" s="1561"/>
      <c r="AT2339" s="1562"/>
      <c r="AU2339" s="1561"/>
      <c r="AV2339" s="1561"/>
    </row>
    <row r="2340" spans="1:48">
      <c r="A2340" s="1432" t="s">
        <v>328</v>
      </c>
      <c r="B2340" s="1433">
        <v>13572</v>
      </c>
      <c r="C2340" s="1434"/>
      <c r="D2340" s="1433" t="s">
        <v>5968</v>
      </c>
      <c r="E2340" s="1433"/>
      <c r="F2340" s="1433"/>
      <c r="G2340" s="1433"/>
      <c r="H2340" s="1433" t="s">
        <v>346</v>
      </c>
      <c r="I2340" s="1435"/>
      <c r="J2340" s="1435"/>
      <c r="K2340" s="1433"/>
      <c r="L2340" s="1433"/>
      <c r="M2340" s="1433"/>
      <c r="N2340" s="1433"/>
      <c r="O2340" s="1433"/>
      <c r="P2340" s="1433"/>
      <c r="Q2340" s="1433"/>
      <c r="R2340" s="1435"/>
      <c r="S2340" s="1433">
        <v>162</v>
      </c>
      <c r="T2340" s="1433"/>
      <c r="U2340" s="1433" t="s">
        <v>3701</v>
      </c>
      <c r="V2340" s="1433"/>
      <c r="W2340" s="1436" t="s">
        <v>5382</v>
      </c>
      <c r="AC2340" s="1559"/>
      <c r="AD2340" s="1559"/>
      <c r="AE2340" s="1560"/>
      <c r="AF2340" s="1559"/>
      <c r="AG2340" s="1559"/>
      <c r="AH2340" s="1559"/>
      <c r="AI2340" s="1559"/>
      <c r="AJ2340" s="1559"/>
      <c r="AK2340" s="1560"/>
      <c r="AL2340" s="1560"/>
      <c r="AM2340" s="1559"/>
      <c r="AN2340" s="1559"/>
      <c r="AO2340" s="1559"/>
      <c r="AP2340" s="1559"/>
      <c r="AQ2340" s="1559"/>
      <c r="AR2340" s="1559"/>
      <c r="AS2340" s="1559"/>
      <c r="AT2340" s="1560"/>
      <c r="AU2340" s="1559"/>
      <c r="AV2340" s="1559"/>
    </row>
    <row r="2341" spans="1:48">
      <c r="A2341" s="1432"/>
      <c r="B2341" s="1433"/>
      <c r="C2341" s="1434"/>
      <c r="D2341" s="1433"/>
      <c r="E2341" s="1433"/>
      <c r="F2341" s="1433"/>
      <c r="G2341" s="1433"/>
      <c r="H2341" s="1433"/>
      <c r="I2341" s="1435"/>
      <c r="J2341" s="1435"/>
      <c r="K2341" s="1433"/>
      <c r="L2341" s="1433"/>
      <c r="M2341" s="1433"/>
      <c r="N2341" s="1433"/>
      <c r="O2341" s="1433"/>
      <c r="P2341" s="1433"/>
      <c r="Q2341" s="1433"/>
      <c r="R2341" s="1435"/>
      <c r="S2341" s="1433"/>
      <c r="T2341" s="1433"/>
      <c r="U2341" s="1433"/>
      <c r="V2341" s="1433"/>
      <c r="W2341" s="1436"/>
      <c r="AC2341" s="1561"/>
      <c r="AD2341" s="1561"/>
      <c r="AE2341" s="1562"/>
      <c r="AF2341" s="1561"/>
      <c r="AG2341" s="1561"/>
      <c r="AH2341" s="1561"/>
      <c r="AI2341" s="1561"/>
      <c r="AJ2341" s="1561"/>
      <c r="AK2341" s="1562"/>
      <c r="AL2341" s="1562"/>
      <c r="AM2341" s="1561"/>
      <c r="AN2341" s="1561"/>
      <c r="AO2341" s="1561"/>
      <c r="AP2341" s="1561"/>
      <c r="AQ2341" s="1561"/>
      <c r="AR2341" s="1561"/>
      <c r="AS2341" s="1561"/>
      <c r="AT2341" s="1562"/>
      <c r="AU2341" s="1561"/>
      <c r="AV2341" s="1561"/>
    </row>
    <row r="2342" spans="1:48">
      <c r="A2342" s="1432"/>
      <c r="B2342" s="1433"/>
      <c r="C2342" s="1434"/>
      <c r="D2342" s="1433"/>
      <c r="E2342" s="1433"/>
      <c r="F2342" s="1433"/>
      <c r="G2342" s="1433"/>
      <c r="H2342" s="1433"/>
      <c r="I2342" s="1435"/>
      <c r="J2342" s="1435"/>
      <c r="K2342" s="1433"/>
      <c r="L2342" s="1433"/>
      <c r="M2342" s="1433"/>
      <c r="N2342" s="1433"/>
      <c r="O2342" s="1433"/>
      <c r="P2342" s="1433"/>
      <c r="Q2342" s="1433"/>
      <c r="R2342" s="1435"/>
      <c r="S2342" s="1433"/>
      <c r="T2342" s="1433"/>
      <c r="U2342" s="1433"/>
      <c r="V2342" s="1433"/>
      <c r="W2342" s="1436"/>
      <c r="AC2342" s="1559"/>
      <c r="AD2342" s="1559"/>
      <c r="AE2342" s="1560"/>
      <c r="AF2342" s="1559"/>
      <c r="AG2342" s="1559"/>
      <c r="AH2342" s="1559"/>
      <c r="AI2342" s="1559"/>
      <c r="AJ2342" s="1559"/>
      <c r="AK2342" s="1560"/>
      <c r="AL2342" s="1560"/>
      <c r="AM2342" s="1559"/>
      <c r="AN2342" s="1559"/>
      <c r="AO2342" s="1559"/>
      <c r="AP2342" s="1559"/>
      <c r="AQ2342" s="1559"/>
      <c r="AR2342" s="1559"/>
      <c r="AS2342" s="1559"/>
      <c r="AT2342" s="1560"/>
      <c r="AU2342" s="1559"/>
      <c r="AV2342" s="1559"/>
    </row>
    <row r="2343" spans="1:48">
      <c r="A2343" s="1432"/>
      <c r="B2343" s="1433"/>
      <c r="C2343" s="1434"/>
      <c r="D2343" s="1433"/>
      <c r="E2343" s="1433"/>
      <c r="F2343" s="1433"/>
      <c r="G2343" s="1433"/>
      <c r="H2343" s="1433"/>
      <c r="I2343" s="1435"/>
      <c r="J2343" s="1435"/>
      <c r="K2343" s="1433"/>
      <c r="L2343" s="1433"/>
      <c r="M2343" s="1433"/>
      <c r="N2343" s="1433"/>
      <c r="O2343" s="1433"/>
      <c r="P2343" s="1433"/>
      <c r="Q2343" s="1433"/>
      <c r="R2343" s="1435"/>
      <c r="S2343" s="1433"/>
      <c r="T2343" s="1433"/>
      <c r="U2343" s="1433"/>
      <c r="V2343" s="1433"/>
      <c r="W2343" s="1436"/>
      <c r="AC2343" s="1561"/>
      <c r="AD2343" s="1561"/>
      <c r="AE2343" s="1562"/>
      <c r="AF2343" s="1561"/>
      <c r="AG2343" s="1561"/>
      <c r="AH2343" s="1561"/>
      <c r="AI2343" s="1561"/>
      <c r="AJ2343" s="1561"/>
      <c r="AK2343" s="1562"/>
      <c r="AL2343" s="1562"/>
      <c r="AM2343" s="1561"/>
      <c r="AN2343" s="1561"/>
      <c r="AO2343" s="1561"/>
      <c r="AP2343" s="1561"/>
      <c r="AQ2343" s="1561"/>
      <c r="AR2343" s="1561"/>
      <c r="AS2343" s="1561"/>
      <c r="AT2343" s="1562"/>
      <c r="AU2343" s="1561"/>
      <c r="AV2343" s="1561"/>
    </row>
    <row r="2344" spans="1:48">
      <c r="A2344" s="1432"/>
      <c r="B2344" s="1433"/>
      <c r="C2344" s="1434"/>
      <c r="D2344" s="1433"/>
      <c r="E2344" s="1433"/>
      <c r="F2344" s="1433"/>
      <c r="G2344" s="1433"/>
      <c r="H2344" s="1433"/>
      <c r="I2344" s="1435"/>
      <c r="J2344" s="1435"/>
      <c r="K2344" s="1433"/>
      <c r="L2344" s="1433"/>
      <c r="M2344" s="1433"/>
      <c r="N2344" s="1433"/>
      <c r="O2344" s="1433"/>
      <c r="P2344" s="1433"/>
      <c r="Q2344" s="1433"/>
      <c r="R2344" s="1435"/>
      <c r="S2344" s="1433"/>
      <c r="T2344" s="1433"/>
      <c r="U2344" s="1433"/>
      <c r="V2344" s="1433"/>
      <c r="W2344" s="1436"/>
      <c r="AC2344" s="1559"/>
      <c r="AD2344" s="1559"/>
      <c r="AE2344" s="1560"/>
      <c r="AF2344" s="1559"/>
      <c r="AG2344" s="1559"/>
      <c r="AH2344" s="1559"/>
      <c r="AI2344" s="1559"/>
      <c r="AJ2344" s="1559"/>
      <c r="AK2344" s="1560"/>
      <c r="AL2344" s="1560"/>
      <c r="AM2344" s="1559"/>
      <c r="AN2344" s="1559"/>
      <c r="AO2344" s="1559"/>
      <c r="AP2344" s="1559"/>
      <c r="AQ2344" s="1559"/>
      <c r="AR2344" s="1559"/>
      <c r="AS2344" s="1559"/>
      <c r="AT2344" s="1560"/>
      <c r="AU2344" s="1559"/>
      <c r="AV2344" s="1559"/>
    </row>
    <row r="2345" spans="1:48">
      <c r="A2345" s="1432"/>
      <c r="B2345" s="1433"/>
      <c r="C2345" s="1434"/>
      <c r="D2345" s="1433"/>
      <c r="E2345" s="1433"/>
      <c r="F2345" s="1433"/>
      <c r="G2345" s="1433"/>
      <c r="H2345" s="1433"/>
      <c r="I2345" s="1435"/>
      <c r="J2345" s="1435"/>
      <c r="K2345" s="1433"/>
      <c r="L2345" s="1433"/>
      <c r="M2345" s="1433"/>
      <c r="N2345" s="1433"/>
      <c r="O2345" s="1433"/>
      <c r="P2345" s="1433"/>
      <c r="Q2345" s="1433"/>
      <c r="R2345" s="1435"/>
      <c r="S2345" s="1433"/>
      <c r="T2345" s="1433"/>
      <c r="U2345" s="1433"/>
      <c r="V2345" s="1433"/>
      <c r="W2345" s="1436"/>
      <c r="AC2345" s="1561"/>
      <c r="AD2345" s="1561"/>
      <c r="AE2345" s="1562"/>
      <c r="AF2345" s="1561"/>
      <c r="AG2345" s="1561"/>
      <c r="AH2345" s="1561"/>
      <c r="AI2345" s="1561"/>
      <c r="AJ2345" s="1561"/>
      <c r="AK2345" s="1562"/>
      <c r="AL2345" s="1561"/>
      <c r="AM2345" s="1561"/>
      <c r="AN2345" s="1561"/>
      <c r="AO2345" s="1561"/>
      <c r="AP2345" s="1561"/>
      <c r="AQ2345" s="1561"/>
      <c r="AR2345" s="1561"/>
      <c r="AS2345" s="1561"/>
      <c r="AT2345" s="1562"/>
      <c r="AU2345" s="1561"/>
      <c r="AV2345" s="1561"/>
    </row>
    <row r="2346" spans="1:48">
      <c r="A2346" s="1432"/>
      <c r="B2346" s="1433"/>
      <c r="C2346" s="1434"/>
      <c r="D2346" s="1433"/>
      <c r="E2346" s="1433"/>
      <c r="F2346" s="1433"/>
      <c r="G2346" s="1433"/>
      <c r="H2346" s="1433"/>
      <c r="I2346" s="1435"/>
      <c r="J2346" s="1435"/>
      <c r="K2346" s="1433"/>
      <c r="L2346" s="1433"/>
      <c r="M2346" s="1433"/>
      <c r="N2346" s="1433"/>
      <c r="O2346" s="1433"/>
      <c r="P2346" s="1433"/>
      <c r="Q2346" s="1433"/>
      <c r="R2346" s="1435"/>
      <c r="S2346" s="1433"/>
      <c r="T2346" s="1433"/>
      <c r="U2346" s="1433"/>
      <c r="V2346" s="1433"/>
      <c r="W2346" s="1436"/>
      <c r="AC2346" s="1559"/>
      <c r="AD2346" s="1559"/>
      <c r="AE2346" s="1560"/>
      <c r="AF2346" s="1559"/>
      <c r="AG2346" s="1559"/>
      <c r="AH2346" s="1559"/>
      <c r="AI2346" s="1559"/>
      <c r="AJ2346" s="1559"/>
      <c r="AK2346" s="1560"/>
      <c r="AL2346" s="1559"/>
      <c r="AM2346" s="1559"/>
      <c r="AN2346" s="1559"/>
      <c r="AO2346" s="1559"/>
      <c r="AP2346" s="1559"/>
      <c r="AQ2346" s="1559"/>
      <c r="AR2346" s="1559"/>
      <c r="AS2346" s="1559"/>
      <c r="AT2346" s="1560"/>
      <c r="AU2346" s="1559"/>
      <c r="AV2346" s="1559"/>
    </row>
    <row r="2347" spans="1:48">
      <c r="A2347" s="1432"/>
      <c r="B2347" s="1433"/>
      <c r="C2347" s="1434"/>
      <c r="D2347" s="1433"/>
      <c r="E2347" s="1433"/>
      <c r="F2347" s="1433"/>
      <c r="G2347" s="1433"/>
      <c r="H2347" s="1433"/>
      <c r="I2347" s="1435"/>
      <c r="J2347" s="1435"/>
      <c r="K2347" s="1433"/>
      <c r="L2347" s="1433"/>
      <c r="M2347" s="1433"/>
      <c r="N2347" s="1433"/>
      <c r="O2347" s="1433"/>
      <c r="P2347" s="1433"/>
      <c r="Q2347" s="1433"/>
      <c r="R2347" s="1435"/>
      <c r="S2347" s="1433"/>
      <c r="T2347" s="1433"/>
      <c r="U2347" s="1433"/>
      <c r="V2347" s="1433"/>
      <c r="W2347" s="1436"/>
      <c r="AC2347" s="1561"/>
      <c r="AD2347" s="1561"/>
      <c r="AE2347" s="1562"/>
      <c r="AF2347" s="1561"/>
      <c r="AG2347" s="1561"/>
      <c r="AH2347" s="1561"/>
      <c r="AI2347" s="1561"/>
      <c r="AJ2347" s="1561"/>
      <c r="AK2347" s="1562"/>
      <c r="AL2347" s="1561"/>
      <c r="AM2347" s="1561"/>
      <c r="AN2347" s="1561"/>
      <c r="AO2347" s="1561"/>
      <c r="AP2347" s="1561"/>
      <c r="AQ2347" s="1561"/>
      <c r="AR2347" s="1561"/>
      <c r="AS2347" s="1561"/>
      <c r="AT2347" s="1562"/>
      <c r="AU2347" s="1561"/>
      <c r="AV2347" s="1561"/>
    </row>
    <row r="2348" spans="1:48">
      <c r="A2348" s="1432"/>
      <c r="B2348" s="1433"/>
      <c r="C2348" s="1434"/>
      <c r="D2348" s="1433"/>
      <c r="E2348" s="1433"/>
      <c r="F2348" s="1433"/>
      <c r="G2348" s="1433"/>
      <c r="H2348" s="1433"/>
      <c r="I2348" s="1435"/>
      <c r="J2348" s="1435"/>
      <c r="K2348" s="1433"/>
      <c r="L2348" s="1433"/>
      <c r="M2348" s="1433"/>
      <c r="N2348" s="1433"/>
      <c r="O2348" s="1433"/>
      <c r="P2348" s="1433"/>
      <c r="Q2348" s="1433"/>
      <c r="R2348" s="1435"/>
      <c r="S2348" s="1433"/>
      <c r="T2348" s="1433"/>
      <c r="U2348" s="1433"/>
      <c r="V2348" s="1433"/>
      <c r="W2348" s="1436"/>
      <c r="AC2348" s="1561"/>
      <c r="AD2348" s="1561"/>
      <c r="AE2348" s="1562"/>
      <c r="AF2348" s="1561"/>
      <c r="AG2348" s="1561"/>
      <c r="AH2348" s="1561"/>
      <c r="AI2348" s="1561"/>
      <c r="AJ2348" s="1561"/>
      <c r="AK2348" s="1562"/>
      <c r="AL2348" s="1562"/>
      <c r="AM2348" s="1561"/>
      <c r="AN2348" s="1561"/>
      <c r="AO2348" s="1561"/>
      <c r="AP2348" s="1561"/>
      <c r="AQ2348" s="1561"/>
      <c r="AR2348" s="1561"/>
      <c r="AS2348" s="1561"/>
      <c r="AT2348" s="1562"/>
      <c r="AU2348" s="1561"/>
      <c r="AV2348" s="1561"/>
    </row>
    <row r="2349" spans="1:48">
      <c r="A2349" s="1432"/>
      <c r="B2349" s="1433"/>
      <c r="C2349" s="1434"/>
      <c r="D2349" s="1433"/>
      <c r="E2349" s="1433"/>
      <c r="F2349" s="1433"/>
      <c r="G2349" s="1433"/>
      <c r="H2349" s="1433"/>
      <c r="I2349" s="1435"/>
      <c r="J2349" s="1435"/>
      <c r="K2349" s="1433"/>
      <c r="L2349" s="1433"/>
      <c r="M2349" s="1433"/>
      <c r="N2349" s="1433"/>
      <c r="O2349" s="1433"/>
      <c r="P2349" s="1433"/>
      <c r="Q2349" s="1433"/>
      <c r="R2349" s="1435"/>
      <c r="S2349" s="1433"/>
      <c r="T2349" s="1433"/>
      <c r="U2349" s="1433"/>
      <c r="V2349" s="1433"/>
      <c r="W2349" s="1436"/>
      <c r="AC2349" s="1559"/>
      <c r="AD2349" s="1559"/>
      <c r="AE2349" s="1560"/>
      <c r="AF2349" s="1559"/>
      <c r="AG2349" s="1559"/>
      <c r="AH2349" s="1559"/>
      <c r="AI2349" s="1559"/>
      <c r="AJ2349" s="1559"/>
      <c r="AK2349" s="1560"/>
      <c r="AL2349" s="1560"/>
      <c r="AM2349" s="1559"/>
      <c r="AN2349" s="1559"/>
      <c r="AO2349" s="1559"/>
      <c r="AP2349" s="1559"/>
      <c r="AQ2349" s="1559"/>
      <c r="AR2349" s="1559"/>
      <c r="AS2349" s="1559"/>
      <c r="AT2349" s="1560"/>
      <c r="AU2349" s="1559"/>
      <c r="AV2349" s="1559"/>
    </row>
    <row r="2350" spans="1:48">
      <c r="A2350" s="1432"/>
      <c r="B2350" s="1433"/>
      <c r="C2350" s="1434"/>
      <c r="D2350" s="1433"/>
      <c r="E2350" s="1433"/>
      <c r="F2350" s="1433"/>
      <c r="G2350" s="1433"/>
      <c r="H2350" s="1433"/>
      <c r="I2350" s="1435"/>
      <c r="J2350" s="1435"/>
      <c r="K2350" s="1433"/>
      <c r="L2350" s="1433"/>
      <c r="M2350" s="1433"/>
      <c r="N2350" s="1433"/>
      <c r="O2350" s="1433"/>
      <c r="P2350" s="1433"/>
      <c r="Q2350" s="1433"/>
      <c r="R2350" s="1435"/>
      <c r="S2350" s="1433"/>
      <c r="T2350" s="1433"/>
      <c r="U2350" s="1433"/>
      <c r="V2350" s="1433"/>
      <c r="W2350" s="1436"/>
      <c r="AC2350" s="1561"/>
      <c r="AD2350" s="1561"/>
      <c r="AE2350" s="1562"/>
      <c r="AF2350" s="1561"/>
      <c r="AG2350" s="1561"/>
      <c r="AH2350" s="1561"/>
      <c r="AI2350" s="1561"/>
      <c r="AJ2350" s="1561"/>
      <c r="AK2350" s="1562"/>
      <c r="AL2350" s="1562"/>
      <c r="AM2350" s="1561"/>
      <c r="AN2350" s="1561"/>
      <c r="AO2350" s="1561"/>
      <c r="AP2350" s="1561"/>
      <c r="AQ2350" s="1561"/>
      <c r="AR2350" s="1561"/>
      <c r="AS2350" s="1561"/>
      <c r="AT2350" s="1562"/>
      <c r="AU2350" s="1561"/>
      <c r="AV2350" s="1561"/>
    </row>
    <row r="2351" spans="1:48">
      <c r="A2351" s="1432"/>
      <c r="B2351" s="1433"/>
      <c r="C2351" s="1434"/>
      <c r="D2351" s="1433"/>
      <c r="E2351" s="1433"/>
      <c r="F2351" s="1433"/>
      <c r="G2351" s="1433"/>
      <c r="H2351" s="1433"/>
      <c r="I2351" s="1435"/>
      <c r="J2351" s="1435"/>
      <c r="K2351" s="1433"/>
      <c r="L2351" s="1433"/>
      <c r="M2351" s="1433"/>
      <c r="N2351" s="1433"/>
      <c r="O2351" s="1433"/>
      <c r="P2351" s="1433"/>
      <c r="Q2351" s="1433"/>
      <c r="R2351" s="1435"/>
      <c r="S2351" s="1433"/>
      <c r="T2351" s="1433"/>
      <c r="U2351" s="1433"/>
      <c r="V2351" s="1433"/>
      <c r="W2351" s="1436"/>
      <c r="AC2351" s="1561"/>
      <c r="AD2351" s="1561"/>
      <c r="AE2351" s="1562"/>
      <c r="AF2351" s="1561"/>
      <c r="AG2351" s="1561"/>
      <c r="AH2351" s="1561"/>
      <c r="AI2351" s="1561"/>
      <c r="AJ2351" s="1561"/>
      <c r="AK2351" s="1562"/>
      <c r="AL2351" s="1561"/>
      <c r="AM2351" s="1561"/>
      <c r="AN2351" s="1561"/>
      <c r="AO2351" s="1561"/>
      <c r="AP2351" s="1561"/>
      <c r="AQ2351" s="1561"/>
      <c r="AR2351" s="1561"/>
      <c r="AS2351" s="1561"/>
      <c r="AT2351" s="1562"/>
      <c r="AU2351" s="1561"/>
      <c r="AV2351" s="1561"/>
    </row>
    <row r="2352" spans="1:48">
      <c r="A2352" s="1432"/>
      <c r="B2352" s="1433"/>
      <c r="C2352" s="1434"/>
      <c r="D2352" s="1433"/>
      <c r="E2352" s="1433"/>
      <c r="F2352" s="1433"/>
      <c r="G2352" s="1433"/>
      <c r="H2352" s="1433"/>
      <c r="I2352" s="1435"/>
      <c r="J2352" s="1435"/>
      <c r="K2352" s="1433"/>
      <c r="L2352" s="1433"/>
      <c r="M2352" s="1433"/>
      <c r="N2352" s="1433"/>
      <c r="O2352" s="1433"/>
      <c r="P2352" s="1433"/>
      <c r="Q2352" s="1433"/>
      <c r="R2352" s="1435"/>
      <c r="S2352" s="1433"/>
      <c r="T2352" s="1433"/>
      <c r="U2352" s="1433"/>
      <c r="V2352" s="1433"/>
      <c r="W2352" s="1436"/>
      <c r="AC2352" s="1559"/>
      <c r="AD2352" s="1559"/>
      <c r="AE2352" s="1560"/>
      <c r="AF2352" s="1559"/>
      <c r="AG2352" s="1559"/>
      <c r="AH2352" s="1559"/>
      <c r="AI2352" s="1559"/>
      <c r="AJ2352" s="1559"/>
      <c r="AK2352" s="1560"/>
      <c r="AL2352" s="1559"/>
      <c r="AM2352" s="1559"/>
      <c r="AN2352" s="1559"/>
      <c r="AO2352" s="1559"/>
      <c r="AP2352" s="1559"/>
      <c r="AQ2352" s="1559"/>
      <c r="AR2352" s="1559"/>
      <c r="AS2352" s="1559"/>
      <c r="AT2352" s="1560"/>
      <c r="AU2352" s="1559"/>
      <c r="AV2352" s="1559"/>
    </row>
    <row r="2353" spans="1:48">
      <c r="A2353" s="1432"/>
      <c r="B2353" s="1433"/>
      <c r="C2353" s="1434"/>
      <c r="D2353" s="1433"/>
      <c r="E2353" s="1433"/>
      <c r="F2353" s="1433"/>
      <c r="G2353" s="1433"/>
      <c r="H2353" s="1433"/>
      <c r="I2353" s="1435"/>
      <c r="J2353" s="1435"/>
      <c r="K2353" s="1433"/>
      <c r="L2353" s="1433"/>
      <c r="M2353" s="1433"/>
      <c r="N2353" s="1433"/>
      <c r="O2353" s="1433"/>
      <c r="P2353" s="1433"/>
      <c r="Q2353" s="1433"/>
      <c r="R2353" s="1435"/>
      <c r="S2353" s="1433"/>
      <c r="T2353" s="1433"/>
      <c r="U2353" s="1433"/>
      <c r="V2353" s="1433"/>
      <c r="W2353" s="1436"/>
      <c r="AC2353" s="1561"/>
      <c r="AD2353" s="1561"/>
      <c r="AE2353" s="1562"/>
      <c r="AF2353" s="1561"/>
      <c r="AG2353" s="1561"/>
      <c r="AH2353" s="1561"/>
      <c r="AI2353" s="1561"/>
      <c r="AJ2353" s="1561"/>
      <c r="AK2353" s="1562"/>
      <c r="AL2353" s="1561"/>
      <c r="AM2353" s="1561"/>
      <c r="AN2353" s="1561"/>
      <c r="AO2353" s="1561"/>
      <c r="AP2353" s="1561"/>
      <c r="AQ2353" s="1561"/>
      <c r="AR2353" s="1561"/>
      <c r="AS2353" s="1561"/>
      <c r="AT2353" s="1562"/>
      <c r="AU2353" s="1561"/>
      <c r="AV2353" s="1561"/>
    </row>
    <row r="2354" spans="1:48">
      <c r="A2354" s="1432"/>
      <c r="B2354" s="1433"/>
      <c r="C2354" s="1434"/>
      <c r="D2354" s="1433"/>
      <c r="E2354" s="1433"/>
      <c r="F2354" s="1433"/>
      <c r="G2354" s="1433"/>
      <c r="H2354" s="1433"/>
      <c r="I2354" s="1435"/>
      <c r="J2354" s="1435"/>
      <c r="K2354" s="1433"/>
      <c r="L2354" s="1433"/>
      <c r="M2354" s="1433"/>
      <c r="N2354" s="1433"/>
      <c r="O2354" s="1433"/>
      <c r="P2354" s="1433"/>
      <c r="Q2354" s="1433"/>
      <c r="R2354" s="1435"/>
      <c r="S2354" s="1433"/>
      <c r="T2354" s="1433"/>
      <c r="U2354" s="1433"/>
      <c r="V2354" s="1433"/>
      <c r="W2354" s="1436"/>
      <c r="AC2354" s="1559"/>
      <c r="AD2354" s="1559"/>
      <c r="AE2354" s="1560"/>
      <c r="AF2354" s="1559"/>
      <c r="AG2354" s="1559"/>
      <c r="AH2354" s="1559"/>
      <c r="AI2354" s="1559"/>
      <c r="AJ2354" s="1559"/>
      <c r="AK2354" s="1560"/>
      <c r="AL2354" s="1559"/>
      <c r="AM2354" s="1559"/>
      <c r="AN2354" s="1559"/>
      <c r="AO2354" s="1559"/>
      <c r="AP2354" s="1559"/>
      <c r="AQ2354" s="1559"/>
      <c r="AR2354" s="1559"/>
      <c r="AS2354" s="1559"/>
      <c r="AT2354" s="1560"/>
      <c r="AU2354" s="1559"/>
      <c r="AV2354" s="1559"/>
    </row>
    <row r="2355" spans="1:48">
      <c r="A2355" s="1432"/>
      <c r="B2355" s="1433"/>
      <c r="C2355" s="1434"/>
      <c r="D2355" s="1433"/>
      <c r="E2355" s="1433"/>
      <c r="F2355" s="1433"/>
      <c r="G2355" s="1433"/>
      <c r="H2355" s="1433"/>
      <c r="I2355" s="1435"/>
      <c r="J2355" s="1435"/>
      <c r="K2355" s="1433"/>
      <c r="L2355" s="1433"/>
      <c r="M2355" s="1433"/>
      <c r="N2355" s="1433"/>
      <c r="O2355" s="1433"/>
      <c r="P2355" s="1433"/>
      <c r="Q2355" s="1433"/>
      <c r="R2355" s="1435"/>
      <c r="S2355" s="1433"/>
      <c r="T2355" s="1433"/>
      <c r="U2355" s="1433"/>
      <c r="V2355" s="1433"/>
      <c r="W2355" s="1436"/>
      <c r="AC2355" s="1561"/>
      <c r="AD2355" s="1561"/>
      <c r="AE2355" s="1562"/>
      <c r="AF2355" s="1561"/>
      <c r="AG2355" s="1561"/>
      <c r="AH2355" s="1561"/>
      <c r="AI2355" s="1561"/>
      <c r="AJ2355" s="1561"/>
      <c r="AK2355" s="1562"/>
      <c r="AL2355" s="1561"/>
      <c r="AM2355" s="1561"/>
      <c r="AN2355" s="1561"/>
      <c r="AO2355" s="1561"/>
      <c r="AP2355" s="1561"/>
      <c r="AQ2355" s="1561"/>
      <c r="AR2355" s="1561"/>
      <c r="AS2355" s="1561"/>
      <c r="AT2355" s="1562"/>
      <c r="AU2355" s="1561"/>
      <c r="AV2355" s="1561"/>
    </row>
    <row r="2356" spans="1:48">
      <c r="A2356" s="1432"/>
      <c r="B2356" s="1433"/>
      <c r="C2356" s="1434"/>
      <c r="D2356" s="1433"/>
      <c r="E2356" s="1433"/>
      <c r="F2356" s="1433"/>
      <c r="G2356" s="1433"/>
      <c r="H2356" s="1433"/>
      <c r="I2356" s="1435"/>
      <c r="J2356" s="1435"/>
      <c r="K2356" s="1433"/>
      <c r="L2356" s="1433"/>
      <c r="M2356" s="1433"/>
      <c r="N2356" s="1433"/>
      <c r="O2356" s="1433"/>
      <c r="P2356" s="1433"/>
      <c r="Q2356" s="1433"/>
      <c r="R2356" s="1435"/>
      <c r="S2356" s="1433"/>
      <c r="T2356" s="1433"/>
      <c r="U2356" s="1433"/>
      <c r="V2356" s="1433"/>
      <c r="W2356" s="1436"/>
      <c r="AC2356" s="1559"/>
      <c r="AD2356" s="1559"/>
      <c r="AE2356" s="1560"/>
      <c r="AF2356" s="1559"/>
      <c r="AG2356" s="1559"/>
      <c r="AH2356" s="1559"/>
      <c r="AI2356" s="1559"/>
      <c r="AJ2356" s="1559"/>
      <c r="AK2356" s="1560"/>
      <c r="AL2356" s="1559"/>
      <c r="AM2356" s="1559"/>
      <c r="AN2356" s="1559"/>
      <c r="AO2356" s="1559"/>
      <c r="AP2356" s="1559"/>
      <c r="AQ2356" s="1559"/>
      <c r="AR2356" s="1559"/>
      <c r="AS2356" s="1559"/>
      <c r="AT2356" s="1560"/>
      <c r="AU2356" s="1559"/>
      <c r="AV2356" s="1559"/>
    </row>
    <row r="2357" spans="1:48">
      <c r="A2357" s="1432"/>
      <c r="B2357" s="1433"/>
      <c r="C2357" s="1434"/>
      <c r="D2357" s="1433"/>
      <c r="E2357" s="1433"/>
      <c r="F2357" s="1433"/>
      <c r="G2357" s="1433"/>
      <c r="H2357" s="1433"/>
      <c r="I2357" s="1435"/>
      <c r="J2357" s="1435"/>
      <c r="K2357" s="1433"/>
      <c r="L2357" s="1433"/>
      <c r="M2357" s="1433"/>
      <c r="N2357" s="1433"/>
      <c r="O2357" s="1433"/>
      <c r="P2357" s="1433"/>
      <c r="Q2357" s="1433"/>
      <c r="R2357" s="1435"/>
      <c r="S2357" s="1433"/>
      <c r="T2357" s="1433"/>
      <c r="U2357" s="1433"/>
      <c r="V2357" s="1433"/>
      <c r="W2357" s="1436"/>
      <c r="AC2357" s="1561"/>
      <c r="AD2357" s="1561"/>
      <c r="AE2357" s="1562"/>
      <c r="AF2357" s="1561"/>
      <c r="AG2357" s="1561"/>
      <c r="AH2357" s="1561"/>
      <c r="AI2357" s="1561"/>
      <c r="AJ2357" s="1561"/>
      <c r="AK2357" s="1562"/>
      <c r="AL2357" s="1562"/>
      <c r="AM2357" s="1561"/>
      <c r="AN2357" s="1561"/>
      <c r="AO2357" s="1561"/>
      <c r="AP2357" s="1561"/>
      <c r="AQ2357" s="1561"/>
      <c r="AR2357" s="1561"/>
      <c r="AS2357" s="1561"/>
      <c r="AT2357" s="1562"/>
      <c r="AU2357" s="1561"/>
      <c r="AV2357" s="1561"/>
    </row>
    <row r="2358" spans="1:48">
      <c r="A2358" s="1432"/>
      <c r="B2358" s="1433"/>
      <c r="C2358" s="1434"/>
      <c r="D2358" s="1433"/>
      <c r="E2358" s="1433"/>
      <c r="F2358" s="1433"/>
      <c r="G2358" s="1433"/>
      <c r="H2358" s="1433"/>
      <c r="I2358" s="1435"/>
      <c r="J2358" s="1435"/>
      <c r="K2358" s="1433"/>
      <c r="L2358" s="1433"/>
      <c r="M2358" s="1433"/>
      <c r="N2358" s="1433"/>
      <c r="O2358" s="1433"/>
      <c r="P2358" s="1433"/>
      <c r="Q2358" s="1433"/>
      <c r="R2358" s="1435"/>
      <c r="S2358" s="1433"/>
      <c r="T2358" s="1433"/>
      <c r="U2358" s="1433"/>
      <c r="V2358" s="1433"/>
      <c r="W2358" s="1436"/>
      <c r="AC2358" s="1559"/>
      <c r="AD2358" s="1559"/>
      <c r="AE2358" s="1560"/>
      <c r="AF2358" s="1559"/>
      <c r="AG2358" s="1559"/>
      <c r="AH2358" s="1559"/>
      <c r="AI2358" s="1559"/>
      <c r="AJ2358" s="1559"/>
      <c r="AK2358" s="1560"/>
      <c r="AL2358" s="1559"/>
      <c r="AM2358" s="1559"/>
      <c r="AN2358" s="1559"/>
      <c r="AO2358" s="1559"/>
      <c r="AP2358" s="1559"/>
      <c r="AQ2358" s="1559"/>
      <c r="AR2358" s="1559"/>
      <c r="AS2358" s="1559"/>
      <c r="AT2358" s="1560"/>
      <c r="AU2358" s="1559"/>
      <c r="AV2358" s="1559"/>
    </row>
    <row r="2359" spans="1:48">
      <c r="A2359" s="1432"/>
      <c r="B2359" s="1433"/>
      <c r="C2359" s="1434"/>
      <c r="D2359" s="1433"/>
      <c r="E2359" s="1433"/>
      <c r="F2359" s="1433"/>
      <c r="G2359" s="1433"/>
      <c r="H2359" s="1433"/>
      <c r="I2359" s="1435"/>
      <c r="J2359" s="1435"/>
      <c r="K2359" s="1433"/>
      <c r="L2359" s="1433"/>
      <c r="M2359" s="1433"/>
      <c r="N2359" s="1433"/>
      <c r="O2359" s="1433"/>
      <c r="P2359" s="1433"/>
      <c r="Q2359" s="1433"/>
      <c r="R2359" s="1435"/>
      <c r="S2359" s="1433"/>
      <c r="T2359" s="1433"/>
      <c r="U2359" s="1433"/>
      <c r="V2359" s="1433"/>
      <c r="W2359" s="1436"/>
      <c r="AC2359" s="1561"/>
      <c r="AD2359" s="1561"/>
      <c r="AE2359" s="1562"/>
      <c r="AF2359" s="1561"/>
      <c r="AG2359" s="1561"/>
      <c r="AH2359" s="1561"/>
      <c r="AI2359" s="1561"/>
      <c r="AJ2359" s="1561"/>
      <c r="AK2359" s="1562"/>
      <c r="AL2359" s="1561"/>
      <c r="AM2359" s="1561"/>
      <c r="AN2359" s="1561"/>
      <c r="AO2359" s="1561"/>
      <c r="AP2359" s="1561"/>
      <c r="AQ2359" s="1561"/>
      <c r="AR2359" s="1561"/>
      <c r="AS2359" s="1561"/>
      <c r="AT2359" s="1562"/>
      <c r="AU2359" s="1561"/>
      <c r="AV2359" s="1561"/>
    </row>
    <row r="2360" spans="1:48">
      <c r="A2360" s="1432"/>
      <c r="B2360" s="1433"/>
      <c r="C2360" s="1434"/>
      <c r="D2360" s="1433"/>
      <c r="E2360" s="1433"/>
      <c r="F2360" s="1433"/>
      <c r="G2360" s="1433"/>
      <c r="H2360" s="1433"/>
      <c r="I2360" s="1435"/>
      <c r="J2360" s="1435"/>
      <c r="K2360" s="1433"/>
      <c r="L2360" s="1433"/>
      <c r="M2360" s="1433"/>
      <c r="N2360" s="1433"/>
      <c r="O2360" s="1433"/>
      <c r="P2360" s="1433"/>
      <c r="Q2360" s="1433"/>
      <c r="R2360" s="1435"/>
      <c r="S2360" s="1433"/>
      <c r="T2360" s="1433"/>
      <c r="U2360" s="1433"/>
      <c r="V2360" s="1433"/>
      <c r="W2360" s="1436"/>
      <c r="AC2360" s="1559"/>
      <c r="AD2360" s="1559"/>
      <c r="AE2360" s="1560"/>
      <c r="AF2360" s="1559"/>
      <c r="AG2360" s="1559"/>
      <c r="AH2360" s="1559"/>
      <c r="AI2360" s="1559"/>
      <c r="AJ2360" s="1559"/>
      <c r="AK2360" s="1560"/>
      <c r="AL2360" s="1559"/>
      <c r="AM2360" s="1559"/>
      <c r="AN2360" s="1559"/>
      <c r="AO2360" s="1559"/>
      <c r="AP2360" s="1559"/>
      <c r="AQ2360" s="1559"/>
      <c r="AR2360" s="1559"/>
      <c r="AS2360" s="1559"/>
      <c r="AT2360" s="1560"/>
      <c r="AU2360" s="1559"/>
      <c r="AV2360" s="1559"/>
    </row>
    <row r="2361" spans="1:48">
      <c r="A2361" s="1432"/>
      <c r="B2361" s="1433"/>
      <c r="C2361" s="1434"/>
      <c r="D2361" s="1433"/>
      <c r="E2361" s="1433"/>
      <c r="F2361" s="1433"/>
      <c r="G2361" s="1433"/>
      <c r="H2361" s="1433"/>
      <c r="I2361" s="1435"/>
      <c r="J2361" s="1435"/>
      <c r="K2361" s="1433"/>
      <c r="L2361" s="1433"/>
      <c r="M2361" s="1433"/>
      <c r="N2361" s="1433"/>
      <c r="O2361" s="1433"/>
      <c r="P2361" s="1433"/>
      <c r="Q2361" s="1433"/>
      <c r="R2361" s="1435"/>
      <c r="S2361" s="1433"/>
      <c r="T2361" s="1433"/>
      <c r="U2361" s="1433"/>
      <c r="V2361" s="1433"/>
      <c r="W2361" s="1436"/>
      <c r="AC2361" s="1561"/>
      <c r="AD2361" s="1561"/>
      <c r="AE2361" s="1562"/>
      <c r="AF2361" s="1561"/>
      <c r="AG2361" s="1561"/>
      <c r="AH2361" s="1561"/>
      <c r="AI2361" s="1561"/>
      <c r="AJ2361" s="1561"/>
      <c r="AK2361" s="1562"/>
      <c r="AL2361" s="1561"/>
      <c r="AM2361" s="1561"/>
      <c r="AN2361" s="1561"/>
      <c r="AO2361" s="1561"/>
      <c r="AP2361" s="1561"/>
      <c r="AQ2361" s="1561"/>
      <c r="AR2361" s="1561"/>
      <c r="AS2361" s="1561"/>
      <c r="AT2361" s="1562"/>
      <c r="AU2361" s="1561"/>
      <c r="AV2361" s="1561"/>
    </row>
    <row r="2362" spans="1:48">
      <c r="A2362" s="1432"/>
      <c r="B2362" s="1433"/>
      <c r="C2362" s="1434"/>
      <c r="D2362" s="1433"/>
      <c r="E2362" s="1433"/>
      <c r="F2362" s="1433"/>
      <c r="G2362" s="1433"/>
      <c r="H2362" s="1433"/>
      <c r="I2362" s="1435"/>
      <c r="J2362" s="1435"/>
      <c r="K2362" s="1433"/>
      <c r="L2362" s="1433"/>
      <c r="M2362" s="1433"/>
      <c r="N2362" s="1433"/>
      <c r="O2362" s="1433"/>
      <c r="P2362" s="1433"/>
      <c r="Q2362" s="1433"/>
      <c r="R2362" s="1435"/>
      <c r="S2362" s="1433"/>
      <c r="T2362" s="1433"/>
      <c r="U2362" s="1433"/>
      <c r="V2362" s="1433"/>
      <c r="W2362" s="1436"/>
      <c r="AC2362" s="1559"/>
      <c r="AD2362" s="1559"/>
      <c r="AE2362" s="1560"/>
      <c r="AF2362" s="1559"/>
      <c r="AG2362" s="1559"/>
      <c r="AH2362" s="1559"/>
      <c r="AI2362" s="1559"/>
      <c r="AJ2362" s="1559"/>
      <c r="AK2362" s="1560"/>
      <c r="AL2362" s="1559"/>
      <c r="AM2362" s="1559"/>
      <c r="AN2362" s="1559"/>
      <c r="AO2362" s="1559"/>
      <c r="AP2362" s="1559"/>
      <c r="AQ2362" s="1559"/>
      <c r="AR2362" s="1559"/>
      <c r="AS2362" s="1559"/>
      <c r="AT2362" s="1560"/>
      <c r="AU2362" s="1559"/>
      <c r="AV2362" s="1559"/>
    </row>
    <row r="2363" spans="1:48">
      <c r="A2363" s="1432"/>
      <c r="B2363" s="1433"/>
      <c r="C2363" s="1434"/>
      <c r="D2363" s="1433"/>
      <c r="E2363" s="1433"/>
      <c r="F2363" s="1433"/>
      <c r="G2363" s="1433"/>
      <c r="H2363" s="1433"/>
      <c r="I2363" s="1435"/>
      <c r="J2363" s="1435"/>
      <c r="K2363" s="1433"/>
      <c r="L2363" s="1433"/>
      <c r="M2363" s="1433"/>
      <c r="N2363" s="1433"/>
      <c r="O2363" s="1433"/>
      <c r="P2363" s="1433"/>
      <c r="Q2363" s="1433"/>
      <c r="R2363" s="1435"/>
      <c r="S2363" s="1433"/>
      <c r="T2363" s="1433"/>
      <c r="U2363" s="1433"/>
      <c r="V2363" s="1433"/>
      <c r="W2363" s="1436"/>
      <c r="AC2363" s="1561"/>
      <c r="AD2363" s="1561"/>
      <c r="AE2363" s="1562"/>
      <c r="AF2363" s="1561"/>
      <c r="AG2363" s="1561"/>
      <c r="AH2363" s="1561"/>
      <c r="AI2363" s="1561"/>
      <c r="AJ2363" s="1561"/>
      <c r="AK2363" s="1562"/>
      <c r="AL2363" s="1559"/>
      <c r="AM2363" s="1561"/>
      <c r="AN2363" s="1561"/>
      <c r="AO2363" s="1561"/>
      <c r="AP2363" s="1561"/>
      <c r="AQ2363" s="1561"/>
      <c r="AR2363" s="1561"/>
      <c r="AS2363" s="1561"/>
      <c r="AT2363" s="1562"/>
      <c r="AU2363" s="1561"/>
      <c r="AV2363" s="1561"/>
    </row>
    <row r="2364" spans="1:48">
      <c r="A2364" s="1432"/>
      <c r="B2364" s="1433"/>
      <c r="C2364" s="1434"/>
      <c r="D2364" s="1433"/>
      <c r="E2364" s="1433"/>
      <c r="F2364" s="1433"/>
      <c r="G2364" s="1433"/>
      <c r="H2364" s="1433"/>
      <c r="I2364" s="1435"/>
      <c r="J2364" s="1435"/>
      <c r="K2364" s="1433"/>
      <c r="L2364" s="1433"/>
      <c r="M2364" s="1433"/>
      <c r="N2364" s="1433"/>
      <c r="O2364" s="1433"/>
      <c r="P2364" s="1433"/>
      <c r="Q2364" s="1433"/>
      <c r="R2364" s="1435"/>
      <c r="S2364" s="1433"/>
      <c r="T2364" s="1433"/>
      <c r="U2364" s="1433"/>
      <c r="V2364" s="1433"/>
      <c r="W2364" s="1436"/>
      <c r="AC2364" s="1559"/>
      <c r="AD2364" s="1559"/>
      <c r="AE2364" s="1560"/>
      <c r="AF2364" s="1559"/>
      <c r="AG2364" s="1559"/>
      <c r="AH2364" s="1559"/>
      <c r="AI2364" s="1559"/>
      <c r="AJ2364" s="1559"/>
      <c r="AK2364" s="1560"/>
      <c r="AL2364" s="1559"/>
      <c r="AM2364" s="1559"/>
      <c r="AN2364" s="1559"/>
      <c r="AO2364" s="1559"/>
      <c r="AP2364" s="1559"/>
      <c r="AQ2364" s="1559"/>
      <c r="AR2364" s="1559"/>
      <c r="AS2364" s="1559"/>
      <c r="AT2364" s="1560"/>
      <c r="AU2364" s="1559"/>
      <c r="AV2364" s="1559"/>
    </row>
    <row r="2365" spans="1:48">
      <c r="A2365" s="1432"/>
      <c r="B2365" s="1433"/>
      <c r="C2365" s="1434"/>
      <c r="D2365" s="1433"/>
      <c r="E2365" s="1433"/>
      <c r="F2365" s="1433"/>
      <c r="G2365" s="1433"/>
      <c r="H2365" s="1433"/>
      <c r="I2365" s="1435"/>
      <c r="J2365" s="1435"/>
      <c r="K2365" s="1433"/>
      <c r="L2365" s="1433"/>
      <c r="M2365" s="1433"/>
      <c r="N2365" s="1433"/>
      <c r="O2365" s="1433"/>
      <c r="P2365" s="1433"/>
      <c r="Q2365" s="1433"/>
      <c r="R2365" s="1435"/>
      <c r="S2365" s="1433"/>
      <c r="T2365" s="1433"/>
      <c r="U2365" s="1433"/>
      <c r="V2365" s="1433"/>
      <c r="W2365" s="1436"/>
      <c r="AC2365" s="1561"/>
      <c r="AD2365" s="1561"/>
      <c r="AE2365" s="1562"/>
      <c r="AF2365" s="1561"/>
      <c r="AG2365" s="1561"/>
      <c r="AH2365" s="1561"/>
      <c r="AI2365" s="1561"/>
      <c r="AJ2365" s="1561"/>
      <c r="AK2365" s="1562"/>
      <c r="AL2365" s="1561"/>
      <c r="AM2365" s="1561"/>
      <c r="AN2365" s="1561"/>
      <c r="AO2365" s="1561"/>
      <c r="AP2365" s="1561"/>
      <c r="AQ2365" s="1561"/>
      <c r="AR2365" s="1561"/>
      <c r="AS2365" s="1561"/>
      <c r="AT2365" s="1562"/>
      <c r="AU2365" s="1561"/>
      <c r="AV2365" s="1561"/>
    </row>
    <row r="2366" spans="1:48">
      <c r="A2366" s="1432"/>
      <c r="B2366" s="1433"/>
      <c r="C2366" s="1434"/>
      <c r="D2366" s="1433"/>
      <c r="E2366" s="1433"/>
      <c r="F2366" s="1433"/>
      <c r="G2366" s="1433"/>
      <c r="H2366" s="1433"/>
      <c r="I2366" s="1435"/>
      <c r="J2366" s="1435"/>
      <c r="K2366" s="1433"/>
      <c r="L2366" s="1433"/>
      <c r="M2366" s="1433"/>
      <c r="N2366" s="1433"/>
      <c r="O2366" s="1433"/>
      <c r="P2366" s="1433"/>
      <c r="Q2366" s="1433"/>
      <c r="R2366" s="1435"/>
      <c r="S2366" s="1433"/>
      <c r="T2366" s="1433"/>
      <c r="U2366" s="1433"/>
      <c r="V2366" s="1433"/>
      <c r="W2366" s="1436"/>
      <c r="AC2366" s="1559"/>
      <c r="AD2366" s="1559"/>
      <c r="AE2366" s="1560"/>
      <c r="AF2366" s="1559"/>
      <c r="AG2366" s="1559"/>
      <c r="AH2366" s="1559"/>
      <c r="AI2366" s="1559"/>
      <c r="AJ2366" s="1559"/>
      <c r="AK2366" s="1560"/>
      <c r="AL2366" s="1559"/>
      <c r="AM2366" s="1559"/>
      <c r="AN2366" s="1559"/>
      <c r="AO2366" s="1559"/>
      <c r="AP2366" s="1559"/>
      <c r="AQ2366" s="1559"/>
      <c r="AR2366" s="1559"/>
      <c r="AS2366" s="1559"/>
      <c r="AT2366" s="1560"/>
      <c r="AU2366" s="1559"/>
      <c r="AV2366" s="1559"/>
    </row>
    <row r="2367" spans="1:48">
      <c r="A2367" s="1432"/>
      <c r="B2367" s="1433"/>
      <c r="C2367" s="1434"/>
      <c r="D2367" s="1433"/>
      <c r="E2367" s="1433"/>
      <c r="F2367" s="1433"/>
      <c r="G2367" s="1433"/>
      <c r="H2367" s="1433"/>
      <c r="I2367" s="1435"/>
      <c r="J2367" s="1435"/>
      <c r="K2367" s="1433"/>
      <c r="L2367" s="1433"/>
      <c r="M2367" s="1433"/>
      <c r="N2367" s="1433"/>
      <c r="O2367" s="1433"/>
      <c r="P2367" s="1433"/>
      <c r="Q2367" s="1433"/>
      <c r="R2367" s="1435"/>
      <c r="S2367" s="1433"/>
      <c r="T2367" s="1433"/>
      <c r="U2367" s="1433"/>
      <c r="V2367" s="1433"/>
      <c r="W2367" s="1436"/>
      <c r="AC2367" s="1561"/>
      <c r="AD2367" s="1561"/>
      <c r="AE2367" s="1562"/>
      <c r="AF2367" s="1561"/>
      <c r="AG2367" s="1561"/>
      <c r="AH2367" s="1561"/>
      <c r="AI2367" s="1561"/>
      <c r="AJ2367" s="1561"/>
      <c r="AK2367" s="1562"/>
      <c r="AL2367" s="1561"/>
      <c r="AM2367" s="1561"/>
      <c r="AN2367" s="1561"/>
      <c r="AO2367" s="1561"/>
      <c r="AP2367" s="1561"/>
      <c r="AQ2367" s="1561"/>
      <c r="AR2367" s="1561"/>
      <c r="AS2367" s="1561"/>
      <c r="AT2367" s="1562"/>
      <c r="AU2367" s="1561"/>
      <c r="AV2367" s="1561"/>
    </row>
    <row r="2368" spans="1:48">
      <c r="A2368" s="1432"/>
      <c r="B2368" s="1433"/>
      <c r="C2368" s="1434"/>
      <c r="D2368" s="1433"/>
      <c r="E2368" s="1433"/>
      <c r="F2368" s="1433"/>
      <c r="G2368" s="1433"/>
      <c r="H2368" s="1433"/>
      <c r="I2368" s="1435"/>
      <c r="J2368" s="1435"/>
      <c r="K2368" s="1433"/>
      <c r="L2368" s="1433"/>
      <c r="M2368" s="1433"/>
      <c r="N2368" s="1433"/>
      <c r="O2368" s="1433"/>
      <c r="P2368" s="1433"/>
      <c r="Q2368" s="1433"/>
      <c r="R2368" s="1435"/>
      <c r="S2368" s="1433"/>
      <c r="T2368" s="1433"/>
      <c r="U2368" s="1433"/>
      <c r="V2368" s="1433"/>
      <c r="W2368" s="1436"/>
      <c r="AC2368" s="1559"/>
      <c r="AD2368" s="1559"/>
      <c r="AE2368" s="1560"/>
      <c r="AF2368" s="1559"/>
      <c r="AG2368" s="1559"/>
      <c r="AH2368" s="1559"/>
      <c r="AI2368" s="1559"/>
      <c r="AJ2368" s="1559"/>
      <c r="AK2368" s="1560"/>
      <c r="AL2368" s="1559"/>
      <c r="AM2368" s="1559"/>
      <c r="AN2368" s="1559"/>
      <c r="AO2368" s="1559"/>
      <c r="AP2368" s="1559"/>
      <c r="AQ2368" s="1559"/>
      <c r="AR2368" s="1559"/>
      <c r="AS2368" s="1559"/>
      <c r="AT2368" s="1560"/>
      <c r="AU2368" s="1559"/>
      <c r="AV2368" s="1559"/>
    </row>
    <row r="2369" spans="1:48">
      <c r="A2369" s="1432"/>
      <c r="B2369" s="1433"/>
      <c r="C2369" s="1434"/>
      <c r="D2369" s="1433"/>
      <c r="E2369" s="1433"/>
      <c r="F2369" s="1433"/>
      <c r="G2369" s="1433"/>
      <c r="H2369" s="1433"/>
      <c r="I2369" s="1435"/>
      <c r="J2369" s="1435"/>
      <c r="K2369" s="1433"/>
      <c r="L2369" s="1433"/>
      <c r="M2369" s="1433"/>
      <c r="N2369" s="1433"/>
      <c r="O2369" s="1433"/>
      <c r="P2369" s="1433"/>
      <c r="Q2369" s="1433"/>
      <c r="R2369" s="1435"/>
      <c r="S2369" s="1433"/>
      <c r="T2369" s="1433"/>
      <c r="U2369" s="1433"/>
      <c r="V2369" s="1433"/>
      <c r="W2369" s="1436"/>
      <c r="AC2369" s="1561"/>
      <c r="AD2369" s="1561"/>
      <c r="AE2369" s="1562"/>
      <c r="AF2369" s="1561"/>
      <c r="AG2369" s="1561"/>
      <c r="AH2369" s="1561"/>
      <c r="AI2369" s="1561"/>
      <c r="AJ2369" s="1561"/>
      <c r="AK2369" s="1562"/>
      <c r="AL2369" s="1561"/>
      <c r="AM2369" s="1561"/>
      <c r="AN2369" s="1561"/>
      <c r="AO2369" s="1561"/>
      <c r="AP2369" s="1561"/>
      <c r="AQ2369" s="1561"/>
      <c r="AR2369" s="1561"/>
      <c r="AS2369" s="1561"/>
      <c r="AT2369" s="1562"/>
      <c r="AU2369" s="1561"/>
      <c r="AV2369" s="1561"/>
    </row>
    <row r="2370" spans="1:48">
      <c r="A2370" s="1432"/>
      <c r="B2370" s="1433"/>
      <c r="C2370" s="1434"/>
      <c r="D2370" s="1433"/>
      <c r="E2370" s="1433"/>
      <c r="F2370" s="1433"/>
      <c r="G2370" s="1433"/>
      <c r="H2370" s="1433"/>
      <c r="I2370" s="1435"/>
      <c r="J2370" s="1435"/>
      <c r="K2370" s="1433"/>
      <c r="L2370" s="1433"/>
      <c r="M2370" s="1433"/>
      <c r="N2370" s="1433"/>
      <c r="O2370" s="1433"/>
      <c r="P2370" s="1433"/>
      <c r="Q2370" s="1433"/>
      <c r="R2370" s="1435"/>
      <c r="S2370" s="1433"/>
      <c r="T2370" s="1433"/>
      <c r="U2370" s="1433"/>
      <c r="V2370" s="1433"/>
      <c r="W2370" s="1436"/>
      <c r="AC2370" s="1559"/>
      <c r="AD2370" s="1559"/>
      <c r="AE2370" s="1560"/>
      <c r="AF2370" s="1559"/>
      <c r="AG2370" s="1559"/>
      <c r="AH2370" s="1559"/>
      <c r="AI2370" s="1559"/>
      <c r="AJ2370" s="1559"/>
      <c r="AK2370" s="1560"/>
      <c r="AL2370" s="1559"/>
      <c r="AM2370" s="1559"/>
      <c r="AN2370" s="1559"/>
      <c r="AO2370" s="1559"/>
      <c r="AP2370" s="1559"/>
      <c r="AQ2370" s="1559"/>
      <c r="AR2370" s="1559"/>
      <c r="AS2370" s="1559"/>
      <c r="AT2370" s="1560"/>
      <c r="AU2370" s="1559"/>
      <c r="AV2370" s="1559"/>
    </row>
    <row r="2371" spans="1:48">
      <c r="A2371" s="1432"/>
      <c r="B2371" s="1433"/>
      <c r="C2371" s="1434"/>
      <c r="D2371" s="1433"/>
      <c r="E2371" s="1433"/>
      <c r="F2371" s="1433"/>
      <c r="G2371" s="1433"/>
      <c r="H2371" s="1433"/>
      <c r="I2371" s="1435"/>
      <c r="J2371" s="1435"/>
      <c r="K2371" s="1433"/>
      <c r="L2371" s="1433"/>
      <c r="M2371" s="1433"/>
      <c r="N2371" s="1433"/>
      <c r="O2371" s="1433"/>
      <c r="P2371" s="1433"/>
      <c r="Q2371" s="1433"/>
      <c r="R2371" s="1435"/>
      <c r="S2371" s="1433"/>
      <c r="T2371" s="1433"/>
      <c r="U2371" s="1433"/>
      <c r="V2371" s="1433"/>
      <c r="W2371" s="1436"/>
      <c r="AC2371" s="1561"/>
      <c r="AD2371" s="1561"/>
      <c r="AE2371" s="1562"/>
      <c r="AF2371" s="1561"/>
      <c r="AG2371" s="1561"/>
      <c r="AH2371" s="1561"/>
      <c r="AI2371" s="1561"/>
      <c r="AJ2371" s="1561"/>
      <c r="AK2371" s="1562"/>
      <c r="AL2371" s="1561"/>
      <c r="AM2371" s="1561"/>
      <c r="AN2371" s="1561"/>
      <c r="AO2371" s="1561"/>
      <c r="AP2371" s="1561"/>
      <c r="AQ2371" s="1561"/>
      <c r="AR2371" s="1561"/>
      <c r="AS2371" s="1561"/>
      <c r="AT2371" s="1562"/>
      <c r="AU2371" s="1561"/>
      <c r="AV2371" s="1561"/>
    </row>
    <row r="2372" spans="1:48">
      <c r="A2372" s="1432"/>
      <c r="B2372" s="1433"/>
      <c r="C2372" s="1434"/>
      <c r="D2372" s="1433"/>
      <c r="E2372" s="1433"/>
      <c r="F2372" s="1433"/>
      <c r="G2372" s="1433"/>
      <c r="H2372" s="1433"/>
      <c r="I2372" s="1435"/>
      <c r="J2372" s="1435"/>
      <c r="K2372" s="1433"/>
      <c r="L2372" s="1433"/>
      <c r="M2372" s="1433"/>
      <c r="N2372" s="1433"/>
      <c r="O2372" s="1433"/>
      <c r="P2372" s="1433"/>
      <c r="Q2372" s="1433"/>
      <c r="R2372" s="1435"/>
      <c r="S2372" s="1433"/>
      <c r="T2372" s="1433"/>
      <c r="U2372" s="1433"/>
      <c r="V2372" s="1433"/>
      <c r="W2372" s="1436"/>
      <c r="AC2372" s="1559"/>
      <c r="AD2372" s="1559"/>
      <c r="AE2372" s="1560"/>
      <c r="AF2372" s="1559"/>
      <c r="AG2372" s="1559"/>
      <c r="AH2372" s="1559"/>
      <c r="AI2372" s="1559"/>
      <c r="AJ2372" s="1559"/>
      <c r="AK2372" s="1560"/>
      <c r="AL2372" s="1559"/>
      <c r="AM2372" s="1559"/>
      <c r="AN2372" s="1559"/>
      <c r="AO2372" s="1559"/>
      <c r="AP2372" s="1559"/>
      <c r="AQ2372" s="1559"/>
      <c r="AR2372" s="1559"/>
      <c r="AS2372" s="1559"/>
      <c r="AT2372" s="1560"/>
      <c r="AU2372" s="1559"/>
      <c r="AV2372" s="1559"/>
    </row>
    <row r="2373" spans="1:48">
      <c r="A2373" s="1432"/>
      <c r="B2373" s="1433"/>
      <c r="C2373" s="1434"/>
      <c r="D2373" s="1433"/>
      <c r="E2373" s="1433"/>
      <c r="F2373" s="1433"/>
      <c r="G2373" s="1433"/>
      <c r="H2373" s="1433"/>
      <c r="I2373" s="1435"/>
      <c r="J2373" s="1435"/>
      <c r="K2373" s="1433"/>
      <c r="L2373" s="1433"/>
      <c r="M2373" s="1433"/>
      <c r="N2373" s="1433"/>
      <c r="O2373" s="1433"/>
      <c r="P2373" s="1433"/>
      <c r="Q2373" s="1433"/>
      <c r="R2373" s="1435"/>
      <c r="S2373" s="1433"/>
      <c r="T2373" s="1433"/>
      <c r="U2373" s="1433"/>
      <c r="V2373" s="1433"/>
      <c r="W2373" s="1436"/>
      <c r="AC2373" s="1561"/>
      <c r="AD2373" s="1561"/>
      <c r="AE2373" s="1562"/>
      <c r="AF2373" s="1561"/>
      <c r="AG2373" s="1561"/>
      <c r="AH2373" s="1561"/>
      <c r="AI2373" s="1561"/>
      <c r="AJ2373" s="1561"/>
      <c r="AK2373" s="1562"/>
      <c r="AL2373" s="1561"/>
      <c r="AM2373" s="1561"/>
      <c r="AN2373" s="1561"/>
      <c r="AO2373" s="1561"/>
      <c r="AP2373" s="1561"/>
      <c r="AQ2373" s="1561"/>
      <c r="AR2373" s="1561"/>
      <c r="AS2373" s="1561"/>
      <c r="AT2373" s="1562"/>
      <c r="AU2373" s="1561"/>
      <c r="AV2373" s="1561"/>
    </row>
    <row r="2374" spans="1:48">
      <c r="A2374" s="1432"/>
      <c r="B2374" s="1433"/>
      <c r="C2374" s="1434"/>
      <c r="D2374" s="1433"/>
      <c r="E2374" s="1433"/>
      <c r="F2374" s="1433"/>
      <c r="G2374" s="1433"/>
      <c r="H2374" s="1433"/>
      <c r="I2374" s="1435"/>
      <c r="J2374" s="1435"/>
      <c r="K2374" s="1433"/>
      <c r="L2374" s="1433"/>
      <c r="M2374" s="1433"/>
      <c r="N2374" s="1433"/>
      <c r="O2374" s="1433"/>
      <c r="P2374" s="1433"/>
      <c r="Q2374" s="1433"/>
      <c r="R2374" s="1435"/>
      <c r="S2374" s="1433"/>
      <c r="T2374" s="1433"/>
      <c r="U2374" s="1433"/>
      <c r="V2374" s="1433"/>
      <c r="W2374" s="1436"/>
      <c r="AC2374" s="1561"/>
      <c r="AD2374" s="1561"/>
      <c r="AE2374" s="1562"/>
      <c r="AF2374" s="1561"/>
      <c r="AG2374" s="1561"/>
      <c r="AH2374" s="1561"/>
      <c r="AI2374" s="1561"/>
      <c r="AJ2374" s="1561"/>
      <c r="AK2374" s="1562"/>
      <c r="AL2374" s="1561"/>
      <c r="AM2374" s="1561"/>
      <c r="AN2374" s="1561"/>
      <c r="AO2374" s="1561"/>
      <c r="AP2374" s="1561"/>
      <c r="AQ2374" s="1561"/>
      <c r="AR2374" s="1561"/>
      <c r="AS2374" s="1561"/>
      <c r="AT2374" s="1562"/>
      <c r="AU2374" s="1561"/>
      <c r="AV2374" s="1561"/>
    </row>
    <row r="2375" spans="1:48">
      <c r="A2375" s="1432"/>
      <c r="B2375" s="1433"/>
      <c r="C2375" s="1434"/>
      <c r="D2375" s="1433"/>
      <c r="E2375" s="1433"/>
      <c r="F2375" s="1433"/>
      <c r="G2375" s="1433"/>
      <c r="H2375" s="1433"/>
      <c r="I2375" s="1435"/>
      <c r="J2375" s="1435"/>
      <c r="K2375" s="1433"/>
      <c r="L2375" s="1433"/>
      <c r="M2375" s="1433"/>
      <c r="N2375" s="1433"/>
      <c r="O2375" s="1433"/>
      <c r="P2375" s="1433"/>
      <c r="Q2375" s="1433"/>
      <c r="R2375" s="1435"/>
      <c r="S2375" s="1433"/>
      <c r="T2375" s="1433"/>
      <c r="U2375" s="1433"/>
      <c r="V2375" s="1433"/>
      <c r="W2375" s="1436"/>
      <c r="AC2375" s="1559"/>
      <c r="AD2375" s="1559"/>
      <c r="AE2375" s="1560"/>
      <c r="AF2375" s="1559"/>
      <c r="AG2375" s="1559"/>
      <c r="AH2375" s="1559"/>
      <c r="AI2375" s="1559"/>
      <c r="AJ2375" s="1559"/>
      <c r="AK2375" s="1560"/>
      <c r="AL2375" s="1559"/>
      <c r="AM2375" s="1559"/>
      <c r="AN2375" s="1559"/>
      <c r="AO2375" s="1559"/>
      <c r="AP2375" s="1559"/>
      <c r="AQ2375" s="1559"/>
      <c r="AR2375" s="1559"/>
      <c r="AS2375" s="1559"/>
      <c r="AT2375" s="1560"/>
      <c r="AU2375" s="1559"/>
      <c r="AV2375" s="1559"/>
    </row>
    <row r="2376" spans="1:48">
      <c r="A2376" s="1432"/>
      <c r="B2376" s="1433"/>
      <c r="C2376" s="1434"/>
      <c r="D2376" s="1433"/>
      <c r="E2376" s="1433"/>
      <c r="F2376" s="1433"/>
      <c r="G2376" s="1433"/>
      <c r="H2376" s="1433"/>
      <c r="I2376" s="1435"/>
      <c r="J2376" s="1435"/>
      <c r="K2376" s="1433"/>
      <c r="L2376" s="1433"/>
      <c r="M2376" s="1433"/>
      <c r="N2376" s="1433"/>
      <c r="O2376" s="1433"/>
      <c r="P2376" s="1433"/>
      <c r="Q2376" s="1433"/>
      <c r="R2376" s="1435"/>
      <c r="S2376" s="1433"/>
      <c r="T2376" s="1433"/>
      <c r="U2376" s="1433"/>
      <c r="V2376" s="1433"/>
      <c r="W2376" s="1436"/>
      <c r="AC2376" s="1559"/>
      <c r="AD2376" s="1559"/>
      <c r="AE2376" s="1560"/>
      <c r="AF2376" s="1559"/>
      <c r="AG2376" s="1559"/>
      <c r="AH2376" s="1559"/>
      <c r="AI2376" s="1559"/>
      <c r="AJ2376" s="1559"/>
      <c r="AK2376" s="1560"/>
      <c r="AL2376" s="1559"/>
      <c r="AM2376" s="1559"/>
      <c r="AN2376" s="1559"/>
      <c r="AO2376" s="1559"/>
      <c r="AP2376" s="1559"/>
      <c r="AQ2376" s="1559"/>
      <c r="AR2376" s="1559"/>
      <c r="AS2376" s="1559"/>
      <c r="AT2376" s="1560"/>
      <c r="AU2376" s="1559"/>
      <c r="AV2376" s="1559"/>
    </row>
    <row r="2377" spans="1:48">
      <c r="A2377" s="1432"/>
      <c r="B2377" s="1433"/>
      <c r="C2377" s="1434"/>
      <c r="D2377" s="1433"/>
      <c r="E2377" s="1433"/>
      <c r="F2377" s="1433"/>
      <c r="G2377" s="1433"/>
      <c r="H2377" s="1433"/>
      <c r="I2377" s="1435"/>
      <c r="J2377" s="1435"/>
      <c r="K2377" s="1433"/>
      <c r="L2377" s="1433"/>
      <c r="M2377" s="1433"/>
      <c r="N2377" s="1433"/>
      <c r="O2377" s="1433"/>
      <c r="P2377" s="1433"/>
      <c r="Q2377" s="1433"/>
      <c r="R2377" s="1435"/>
      <c r="S2377" s="1433"/>
      <c r="T2377" s="1433"/>
      <c r="U2377" s="1433"/>
      <c r="V2377" s="1433"/>
      <c r="W2377" s="1436"/>
      <c r="AC2377" s="1561"/>
      <c r="AD2377" s="1561"/>
      <c r="AE2377" s="1562"/>
      <c r="AF2377" s="1561"/>
      <c r="AG2377" s="1561"/>
      <c r="AH2377" s="1561"/>
      <c r="AI2377" s="1561"/>
      <c r="AJ2377" s="1561"/>
      <c r="AK2377" s="1562"/>
      <c r="AL2377" s="1561"/>
      <c r="AM2377" s="1561"/>
      <c r="AN2377" s="1561"/>
      <c r="AO2377" s="1561"/>
      <c r="AP2377" s="1561"/>
      <c r="AQ2377" s="1561"/>
      <c r="AR2377" s="1561"/>
      <c r="AS2377" s="1561"/>
      <c r="AT2377" s="1562"/>
      <c r="AU2377" s="1561"/>
      <c r="AV2377" s="1561"/>
    </row>
    <row r="2378" spans="1:48">
      <c r="A2378" s="1432"/>
      <c r="B2378" s="1433"/>
      <c r="C2378" s="1434"/>
      <c r="D2378" s="1433"/>
      <c r="E2378" s="1433"/>
      <c r="F2378" s="1433"/>
      <c r="G2378" s="1433"/>
      <c r="H2378" s="1433"/>
      <c r="I2378" s="1435"/>
      <c r="J2378" s="1435"/>
      <c r="K2378" s="1433"/>
      <c r="L2378" s="1433"/>
      <c r="M2378" s="1433"/>
      <c r="N2378" s="1433"/>
      <c r="O2378" s="1433"/>
      <c r="P2378" s="1433"/>
      <c r="Q2378" s="1433"/>
      <c r="R2378" s="1435"/>
      <c r="S2378" s="1433"/>
      <c r="T2378" s="1433"/>
      <c r="U2378" s="1433"/>
      <c r="V2378" s="1433"/>
      <c r="W2378" s="1436"/>
      <c r="AC2378" s="1559"/>
      <c r="AD2378" s="1559"/>
      <c r="AE2378" s="1560"/>
      <c r="AF2378" s="1559"/>
      <c r="AG2378" s="1559"/>
      <c r="AH2378" s="1559"/>
      <c r="AI2378" s="1559"/>
      <c r="AJ2378" s="1559"/>
      <c r="AK2378" s="1560"/>
      <c r="AL2378" s="1559"/>
      <c r="AM2378" s="1559"/>
      <c r="AN2378" s="1559"/>
      <c r="AO2378" s="1559"/>
      <c r="AP2378" s="1559"/>
      <c r="AQ2378" s="1559"/>
      <c r="AR2378" s="1559"/>
      <c r="AS2378" s="1559"/>
      <c r="AT2378" s="1560"/>
      <c r="AU2378" s="1559"/>
      <c r="AV2378" s="1559"/>
    </row>
    <row r="2379" spans="1:48">
      <c r="A2379" s="1432"/>
      <c r="B2379" s="1433"/>
      <c r="C2379" s="1434"/>
      <c r="D2379" s="1433"/>
      <c r="E2379" s="1433"/>
      <c r="F2379" s="1433"/>
      <c r="G2379" s="1433"/>
      <c r="H2379" s="1433"/>
      <c r="I2379" s="1435"/>
      <c r="J2379" s="1435"/>
      <c r="K2379" s="1433"/>
      <c r="L2379" s="1433"/>
      <c r="M2379" s="1433"/>
      <c r="N2379" s="1433"/>
      <c r="O2379" s="1433"/>
      <c r="P2379" s="1433"/>
      <c r="Q2379" s="1433"/>
      <c r="R2379" s="1435"/>
      <c r="S2379" s="1433"/>
      <c r="T2379" s="1433"/>
      <c r="U2379" s="1433"/>
      <c r="V2379" s="1433"/>
      <c r="W2379" s="1436"/>
      <c r="AC2379" s="1561"/>
      <c r="AD2379" s="1561"/>
      <c r="AE2379" s="1562"/>
      <c r="AF2379" s="1561"/>
      <c r="AG2379" s="1561"/>
      <c r="AH2379" s="1561"/>
      <c r="AI2379" s="1561"/>
      <c r="AJ2379" s="1561"/>
      <c r="AK2379" s="1562"/>
      <c r="AL2379" s="1561"/>
      <c r="AM2379" s="1561"/>
      <c r="AN2379" s="1561"/>
      <c r="AO2379" s="1561"/>
      <c r="AP2379" s="1561"/>
      <c r="AQ2379" s="1561"/>
      <c r="AR2379" s="1561"/>
      <c r="AS2379" s="1561"/>
      <c r="AT2379" s="1562"/>
      <c r="AU2379" s="1561"/>
      <c r="AV2379" s="1561"/>
    </row>
    <row r="2380" spans="1:48">
      <c r="A2380" s="1432"/>
      <c r="B2380" s="1433"/>
      <c r="C2380" s="1434"/>
      <c r="D2380" s="1433"/>
      <c r="E2380" s="1433"/>
      <c r="F2380" s="1433"/>
      <c r="G2380" s="1433"/>
      <c r="H2380" s="1433"/>
      <c r="I2380" s="1435"/>
      <c r="J2380" s="1435"/>
      <c r="K2380" s="1433"/>
      <c r="L2380" s="1433"/>
      <c r="M2380" s="1433"/>
      <c r="N2380" s="1433"/>
      <c r="O2380" s="1433"/>
      <c r="P2380" s="1433"/>
      <c r="Q2380" s="1433"/>
      <c r="R2380" s="1435"/>
      <c r="S2380" s="1433"/>
      <c r="T2380" s="1433"/>
      <c r="U2380" s="1433"/>
      <c r="V2380" s="1433"/>
      <c r="W2380" s="1436"/>
      <c r="AC2380" s="1563"/>
      <c r="AD2380" s="1563"/>
      <c r="AE2380" s="1563"/>
      <c r="AF2380" s="1563"/>
      <c r="AG2380" s="1563"/>
      <c r="AH2380" s="1563"/>
      <c r="AI2380" s="1563"/>
      <c r="AJ2380" s="1563"/>
      <c r="AK2380" s="1563"/>
      <c r="AL2380" s="1563"/>
      <c r="AM2380" s="1563"/>
      <c r="AN2380" s="1563"/>
      <c r="AO2380" s="1563"/>
      <c r="AP2380" s="1563"/>
      <c r="AQ2380" s="1563"/>
      <c r="AR2380" s="1563"/>
      <c r="AS2380" s="1563"/>
      <c r="AT2380" s="1563"/>
      <c r="AU2380" s="1563"/>
      <c r="AV2380" s="1563"/>
    </row>
    <row r="2381" spans="1:48">
      <c r="A2381" s="1432"/>
      <c r="B2381" s="1433"/>
      <c r="C2381" s="1434"/>
      <c r="D2381" s="1433"/>
      <c r="E2381" s="1433"/>
      <c r="F2381" s="1433"/>
      <c r="G2381" s="1433"/>
      <c r="H2381" s="1433"/>
      <c r="I2381" s="1435"/>
      <c r="J2381" s="1435"/>
      <c r="K2381" s="1433"/>
      <c r="L2381" s="1433"/>
      <c r="M2381" s="1433"/>
      <c r="N2381" s="1433"/>
      <c r="O2381" s="1433"/>
      <c r="P2381" s="1433"/>
      <c r="Q2381" s="1433"/>
      <c r="R2381" s="1435"/>
      <c r="S2381" s="1433"/>
      <c r="T2381" s="1433"/>
      <c r="U2381" s="1433"/>
      <c r="V2381" s="1433"/>
      <c r="W2381" s="1436"/>
      <c r="AC2381" s="1563"/>
      <c r="AD2381" s="1563"/>
      <c r="AE2381" s="1563"/>
      <c r="AF2381" s="1563"/>
      <c r="AG2381" s="1563"/>
      <c r="AH2381" s="1563"/>
      <c r="AI2381" s="1563"/>
      <c r="AJ2381" s="1563"/>
      <c r="AK2381" s="1563"/>
      <c r="AL2381" s="1563"/>
      <c r="AM2381" s="1563"/>
      <c r="AN2381" s="1563"/>
      <c r="AO2381" s="1563"/>
      <c r="AP2381" s="1563"/>
      <c r="AQ2381" s="1563"/>
      <c r="AR2381" s="1563"/>
      <c r="AS2381" s="1563"/>
      <c r="AT2381" s="1563"/>
      <c r="AU2381" s="1563"/>
      <c r="AV2381" s="1563"/>
    </row>
    <row r="2382" spans="1:48">
      <c r="A2382" s="1432"/>
      <c r="B2382" s="1433"/>
      <c r="C2382" s="1434"/>
      <c r="D2382" s="1433"/>
      <c r="E2382" s="1433"/>
      <c r="F2382" s="1433"/>
      <c r="G2382" s="1433"/>
      <c r="H2382" s="1433"/>
      <c r="I2382" s="1435"/>
      <c r="J2382" s="1435"/>
      <c r="K2382" s="1433"/>
      <c r="L2382" s="1433"/>
      <c r="M2382" s="1433"/>
      <c r="N2382" s="1433"/>
      <c r="O2382" s="1433"/>
      <c r="P2382" s="1433"/>
      <c r="Q2382" s="1433"/>
      <c r="R2382" s="1435"/>
      <c r="S2382" s="1433"/>
      <c r="T2382" s="1433"/>
      <c r="U2382" s="1433"/>
      <c r="V2382" s="1433"/>
      <c r="W2382" s="1436"/>
      <c r="AC2382" s="1563"/>
      <c r="AD2382" s="1563"/>
      <c r="AE2382" s="1563"/>
      <c r="AF2382" s="1563"/>
      <c r="AG2382" s="1563"/>
      <c r="AH2382" s="1563"/>
      <c r="AI2382" s="1563"/>
      <c r="AJ2382" s="1563"/>
      <c r="AK2382" s="1563"/>
      <c r="AL2382" s="1563"/>
      <c r="AM2382" s="1563"/>
      <c r="AN2382" s="1563"/>
      <c r="AO2382" s="1563"/>
      <c r="AP2382" s="1563"/>
      <c r="AQ2382" s="1563"/>
      <c r="AR2382" s="1563"/>
      <c r="AS2382" s="1563"/>
      <c r="AT2382" s="1563"/>
      <c r="AU2382" s="1563"/>
      <c r="AV2382" s="1563"/>
    </row>
    <row r="2383" spans="1:48">
      <c r="A2383" s="1432"/>
      <c r="B2383" s="1433"/>
      <c r="C2383" s="1434"/>
      <c r="D2383" s="1433"/>
      <c r="E2383" s="1433"/>
      <c r="F2383" s="1433"/>
      <c r="G2383" s="1433"/>
      <c r="H2383" s="1433"/>
      <c r="I2383" s="1434"/>
      <c r="J2383" s="1435"/>
      <c r="K2383" s="1433"/>
      <c r="L2383" s="1433"/>
      <c r="M2383" s="1433"/>
      <c r="N2383" s="1433"/>
      <c r="O2383" s="1433"/>
      <c r="P2383" s="1433"/>
      <c r="Q2383" s="1433"/>
      <c r="R2383" s="1434"/>
      <c r="S2383" s="1433"/>
      <c r="T2383" s="1433"/>
      <c r="U2383" s="1433"/>
      <c r="V2383" s="1433"/>
      <c r="W2383" s="1436"/>
      <c r="AC2383" s="1563"/>
      <c r="AD2383" s="1563"/>
      <c r="AE2383" s="1563"/>
      <c r="AF2383" s="1563"/>
      <c r="AG2383" s="1563"/>
      <c r="AH2383" s="1563"/>
      <c r="AI2383" s="1563"/>
      <c r="AJ2383" s="1563"/>
      <c r="AK2383" s="1563"/>
      <c r="AL2383" s="1563"/>
      <c r="AM2383" s="1563"/>
      <c r="AN2383" s="1563"/>
      <c r="AO2383" s="1563"/>
      <c r="AP2383" s="1563"/>
      <c r="AQ2383" s="1563"/>
      <c r="AR2383" s="1563"/>
      <c r="AS2383" s="1563"/>
      <c r="AT2383" s="1563"/>
      <c r="AU2383" s="1563"/>
      <c r="AV2383" s="1563"/>
    </row>
    <row r="2384" spans="1:48">
      <c r="A2384" s="1432"/>
      <c r="B2384" s="1433"/>
      <c r="C2384" s="1434"/>
      <c r="D2384" s="1433"/>
      <c r="E2384" s="1433"/>
      <c r="F2384" s="1433"/>
      <c r="G2384" s="1433"/>
      <c r="H2384" s="1433"/>
      <c r="I2384" s="1434"/>
      <c r="J2384" s="1435"/>
      <c r="K2384" s="1433"/>
      <c r="L2384" s="1433"/>
      <c r="M2384" s="1433"/>
      <c r="N2384" s="1433"/>
      <c r="O2384" s="1433"/>
      <c r="P2384" s="1433"/>
      <c r="Q2384" s="1433"/>
      <c r="R2384" s="1434"/>
      <c r="S2384" s="1433"/>
      <c r="T2384" s="1433"/>
      <c r="U2384" s="1433"/>
      <c r="V2384" s="1433"/>
      <c r="W2384" s="1436"/>
      <c r="AC2384" s="1563"/>
      <c r="AD2384" s="1563"/>
      <c r="AE2384" s="1563"/>
      <c r="AF2384" s="1563"/>
      <c r="AG2384" s="1563"/>
      <c r="AH2384" s="1563"/>
      <c r="AI2384" s="1563"/>
      <c r="AJ2384" s="1563"/>
      <c r="AK2384" s="1563"/>
      <c r="AL2384" s="1563"/>
      <c r="AM2384" s="1563"/>
      <c r="AN2384" s="1563"/>
      <c r="AO2384" s="1563"/>
      <c r="AP2384" s="1563"/>
      <c r="AQ2384" s="1563"/>
      <c r="AR2384" s="1563"/>
      <c r="AS2384" s="1563"/>
      <c r="AT2384" s="1563"/>
      <c r="AU2384" s="1563"/>
      <c r="AV2384" s="1563"/>
    </row>
    <row r="2385" spans="1:23">
      <c r="A2385" s="1432"/>
      <c r="B2385" s="1433"/>
      <c r="C2385" s="1434"/>
      <c r="D2385" s="1433"/>
      <c r="E2385" s="1433"/>
      <c r="F2385" s="1433"/>
      <c r="G2385" s="1433"/>
      <c r="H2385" s="1433"/>
      <c r="I2385" s="1434"/>
      <c r="J2385" s="1435"/>
      <c r="K2385" s="1433"/>
      <c r="L2385" s="1433"/>
      <c r="M2385" s="1433"/>
      <c r="N2385" s="1433"/>
      <c r="O2385" s="1433"/>
      <c r="P2385" s="1433"/>
      <c r="Q2385" s="1433"/>
      <c r="R2385" s="1434"/>
      <c r="S2385" s="1433"/>
      <c r="T2385" s="1433"/>
      <c r="U2385" s="1433"/>
      <c r="V2385" s="1433"/>
      <c r="W2385" s="1436"/>
    </row>
    <row r="2386" spans="1:23">
      <c r="A2386" s="1432"/>
      <c r="B2386" s="1433"/>
      <c r="C2386" s="1434"/>
      <c r="D2386" s="1433"/>
      <c r="E2386" s="1433"/>
      <c r="F2386" s="1433"/>
      <c r="G2386" s="1433"/>
      <c r="H2386" s="1433"/>
      <c r="I2386" s="1434"/>
      <c r="J2386" s="1435"/>
      <c r="K2386" s="1433"/>
      <c r="L2386" s="1433"/>
      <c r="M2386" s="1433"/>
      <c r="N2386" s="1433"/>
      <c r="O2386" s="1433"/>
      <c r="P2386" s="1433"/>
      <c r="Q2386" s="1433"/>
      <c r="R2386" s="1434"/>
      <c r="S2386" s="1433"/>
      <c r="T2386" s="1433"/>
      <c r="U2386" s="1433"/>
      <c r="V2386" s="1433"/>
      <c r="W2386" s="1436"/>
    </row>
    <row r="2387" spans="1:23">
      <c r="A2387" s="1432"/>
      <c r="B2387" s="1433"/>
      <c r="C2387" s="1434"/>
      <c r="D2387" s="1433"/>
      <c r="E2387" s="1433"/>
      <c r="F2387" s="1433"/>
      <c r="G2387" s="1433"/>
      <c r="H2387" s="1433"/>
      <c r="I2387" s="1434"/>
      <c r="J2387" s="1435"/>
      <c r="K2387" s="1433"/>
      <c r="L2387" s="1433"/>
      <c r="M2387" s="1433"/>
      <c r="N2387" s="1433"/>
      <c r="O2387" s="1433"/>
      <c r="P2387" s="1433"/>
      <c r="Q2387" s="1433"/>
      <c r="R2387" s="1434"/>
      <c r="S2387" s="1433"/>
      <c r="T2387" s="1433"/>
      <c r="U2387" s="1433"/>
      <c r="V2387" s="1433"/>
      <c r="W2387" s="1436"/>
    </row>
    <row r="2388" spans="1:23">
      <c r="A2388" s="1432"/>
      <c r="B2388" s="1433"/>
      <c r="C2388" s="1434"/>
      <c r="D2388" s="1433"/>
      <c r="E2388" s="1433"/>
      <c r="F2388" s="1433"/>
      <c r="G2388" s="1433"/>
      <c r="H2388" s="1433"/>
      <c r="I2388" s="1434"/>
      <c r="J2388" s="1435"/>
      <c r="K2388" s="1433"/>
      <c r="L2388" s="1433"/>
      <c r="M2388" s="1433"/>
      <c r="N2388" s="1433"/>
      <c r="O2388" s="1433"/>
      <c r="P2388" s="1433"/>
      <c r="Q2388" s="1433"/>
      <c r="R2388" s="1434"/>
      <c r="S2388" s="1433"/>
      <c r="T2388" s="1433"/>
      <c r="U2388" s="1433"/>
      <c r="V2388" s="1433"/>
      <c r="W2388" s="1436"/>
    </row>
    <row r="2389" spans="1:23">
      <c r="A2389" s="1432"/>
      <c r="B2389" s="1433"/>
      <c r="C2389" s="1434"/>
      <c r="D2389" s="1433"/>
      <c r="E2389" s="1433"/>
      <c r="F2389" s="1433"/>
      <c r="G2389" s="1433"/>
      <c r="H2389" s="1433"/>
      <c r="I2389" s="1434"/>
      <c r="J2389" s="1435"/>
      <c r="K2389" s="1433"/>
      <c r="L2389" s="1433"/>
      <c r="M2389" s="1433"/>
      <c r="N2389" s="1433"/>
      <c r="O2389" s="1433"/>
      <c r="P2389" s="1433"/>
      <c r="Q2389" s="1433"/>
      <c r="R2389" s="1434"/>
      <c r="S2389" s="1433"/>
      <c r="T2389" s="1433"/>
      <c r="U2389" s="1433"/>
      <c r="V2389" s="1433"/>
      <c r="W2389" s="1436"/>
    </row>
    <row r="2390" spans="1:23">
      <c r="A2390" s="1432"/>
      <c r="B2390" s="1433"/>
      <c r="C2390" s="1434"/>
      <c r="D2390" s="1433"/>
      <c r="E2390" s="1433"/>
      <c r="F2390" s="1433"/>
      <c r="G2390" s="1433"/>
      <c r="H2390" s="1433"/>
      <c r="I2390" s="1434"/>
      <c r="J2390" s="1435"/>
      <c r="K2390" s="1433"/>
      <c r="L2390" s="1433"/>
      <c r="M2390" s="1433"/>
      <c r="N2390" s="1433"/>
      <c r="O2390" s="1433"/>
      <c r="P2390" s="1433"/>
      <c r="Q2390" s="1433"/>
      <c r="R2390" s="1434"/>
      <c r="S2390" s="1433"/>
      <c r="T2390" s="1433"/>
      <c r="U2390" s="1433"/>
      <c r="V2390" s="1433"/>
      <c r="W2390" s="1436"/>
    </row>
    <row r="2391" spans="1:23">
      <c r="A2391" s="1432"/>
      <c r="B2391" s="1433"/>
      <c r="C2391" s="1434"/>
      <c r="D2391" s="1433"/>
      <c r="E2391" s="1433"/>
      <c r="F2391" s="1433"/>
      <c r="G2391" s="1433"/>
      <c r="H2391" s="1433"/>
      <c r="I2391" s="1434"/>
      <c r="J2391" s="1435"/>
      <c r="K2391" s="1433"/>
      <c r="L2391" s="1433"/>
      <c r="M2391" s="1433"/>
      <c r="N2391" s="1433"/>
      <c r="O2391" s="1433"/>
      <c r="P2391" s="1433"/>
      <c r="Q2391" s="1433"/>
      <c r="R2391" s="1434"/>
      <c r="S2391" s="1433"/>
      <c r="T2391" s="1433"/>
      <c r="U2391" s="1433"/>
      <c r="V2391" s="1433"/>
      <c r="W2391" s="1436"/>
    </row>
    <row r="2392" spans="1:23">
      <c r="A2392" s="1432"/>
      <c r="B2392" s="1433"/>
      <c r="C2392" s="1434"/>
      <c r="D2392" s="1433"/>
      <c r="E2392" s="1433"/>
      <c r="F2392" s="1433"/>
      <c r="G2392" s="1433"/>
      <c r="H2392" s="1433"/>
      <c r="I2392" s="1434"/>
      <c r="J2392" s="1435"/>
      <c r="K2392" s="1433"/>
      <c r="L2392" s="1433"/>
      <c r="M2392" s="1433"/>
      <c r="N2392" s="1433"/>
      <c r="O2392" s="1433"/>
      <c r="P2392" s="1433"/>
      <c r="Q2392" s="1433"/>
      <c r="R2392" s="1434"/>
      <c r="S2392" s="1433"/>
      <c r="T2392" s="1433"/>
      <c r="U2392" s="1433"/>
      <c r="V2392" s="1433"/>
      <c r="W2392" s="1436"/>
    </row>
    <row r="2393" spans="1:23">
      <c r="A2393" s="1432"/>
      <c r="B2393" s="1433"/>
      <c r="C2393" s="1434"/>
      <c r="D2393" s="1433"/>
      <c r="E2393" s="1433"/>
      <c r="F2393" s="1433"/>
      <c r="G2393" s="1433"/>
      <c r="H2393" s="1433"/>
      <c r="I2393" s="1434"/>
      <c r="J2393" s="1435"/>
      <c r="K2393" s="1433"/>
      <c r="L2393" s="1433"/>
      <c r="M2393" s="1433"/>
      <c r="N2393" s="1433"/>
      <c r="O2393" s="1433"/>
      <c r="P2393" s="1433"/>
      <c r="Q2393" s="1433"/>
      <c r="R2393" s="1434"/>
      <c r="S2393" s="1433"/>
      <c r="T2393" s="1433"/>
      <c r="U2393" s="1433"/>
      <c r="V2393" s="1433"/>
      <c r="W2393" s="1436"/>
    </row>
    <row r="2394" spans="1:23">
      <c r="A2394" s="1432"/>
      <c r="B2394" s="1433"/>
      <c r="C2394" s="1434"/>
      <c r="D2394" s="1433"/>
      <c r="E2394" s="1433"/>
      <c r="F2394" s="1433"/>
      <c r="G2394" s="1433"/>
      <c r="H2394" s="1433"/>
      <c r="I2394" s="1434"/>
      <c r="J2394" s="1435"/>
      <c r="K2394" s="1433"/>
      <c r="L2394" s="1433"/>
      <c r="M2394" s="1433"/>
      <c r="N2394" s="1433"/>
      <c r="O2394" s="1433"/>
      <c r="P2394" s="1433"/>
      <c r="Q2394" s="1433"/>
      <c r="R2394" s="1434"/>
      <c r="S2394" s="1433"/>
      <c r="T2394" s="1433"/>
      <c r="U2394" s="1433"/>
      <c r="V2394" s="1433"/>
      <c r="W2394" s="1436"/>
    </row>
    <row r="2395" spans="1:23">
      <c r="A2395" s="1432"/>
      <c r="B2395" s="1433"/>
      <c r="C2395" s="1434"/>
      <c r="D2395" s="1433"/>
      <c r="E2395" s="1433"/>
      <c r="F2395" s="1433"/>
      <c r="G2395" s="1433"/>
      <c r="H2395" s="1433"/>
      <c r="I2395" s="1434"/>
      <c r="J2395" s="1435"/>
      <c r="K2395" s="1433"/>
      <c r="L2395" s="1433"/>
      <c r="M2395" s="1433"/>
      <c r="N2395" s="1433"/>
      <c r="O2395" s="1433"/>
      <c r="P2395" s="1433"/>
      <c r="Q2395" s="1433"/>
      <c r="R2395" s="1434"/>
      <c r="S2395" s="1433"/>
      <c r="T2395" s="1433"/>
      <c r="U2395" s="1433"/>
      <c r="V2395" s="1433"/>
      <c r="W2395" s="1436"/>
    </row>
    <row r="2396" spans="1:23">
      <c r="A2396" s="1432"/>
      <c r="B2396" s="1433"/>
      <c r="C2396" s="1434"/>
      <c r="D2396" s="1433"/>
      <c r="E2396" s="1433"/>
      <c r="F2396" s="1433"/>
      <c r="G2396" s="1433"/>
      <c r="H2396" s="1433"/>
      <c r="I2396" s="1434"/>
      <c r="J2396" s="1435"/>
      <c r="K2396" s="1433"/>
      <c r="L2396" s="1433"/>
      <c r="M2396" s="1433"/>
      <c r="N2396" s="1433"/>
      <c r="O2396" s="1433"/>
      <c r="P2396" s="1433"/>
      <c r="Q2396" s="1433"/>
      <c r="R2396" s="1434"/>
      <c r="S2396" s="1433"/>
      <c r="T2396" s="1433"/>
      <c r="U2396" s="1433"/>
      <c r="V2396" s="1433"/>
      <c r="W2396" s="1436"/>
    </row>
    <row r="2397" spans="1:23">
      <c r="A2397" s="1432"/>
      <c r="B2397" s="1433"/>
      <c r="C2397" s="1434"/>
      <c r="D2397" s="1433"/>
      <c r="E2397" s="1433"/>
      <c r="F2397" s="1433"/>
      <c r="G2397" s="1433"/>
      <c r="H2397" s="1433"/>
      <c r="I2397" s="1434"/>
      <c r="J2397" s="1435"/>
      <c r="K2397" s="1433"/>
      <c r="L2397" s="1433"/>
      <c r="M2397" s="1433"/>
      <c r="N2397" s="1433"/>
      <c r="O2397" s="1433"/>
      <c r="P2397" s="1433"/>
      <c r="Q2397" s="1433"/>
      <c r="R2397" s="1434"/>
      <c r="S2397" s="1433"/>
      <c r="T2397" s="1433"/>
      <c r="U2397" s="1433"/>
      <c r="V2397" s="1433"/>
      <c r="W2397" s="1436"/>
    </row>
    <row r="2398" spans="1:23">
      <c r="A2398" s="1432"/>
      <c r="B2398" s="1433"/>
      <c r="C2398" s="1434"/>
      <c r="D2398" s="1433"/>
      <c r="E2398" s="1433"/>
      <c r="F2398" s="1433"/>
      <c r="G2398" s="1433"/>
      <c r="H2398" s="1433"/>
      <c r="I2398" s="1434"/>
      <c r="J2398" s="1435"/>
      <c r="K2398" s="1433"/>
      <c r="L2398" s="1433"/>
      <c r="M2398" s="1433"/>
      <c r="N2398" s="1433"/>
      <c r="O2398" s="1433"/>
      <c r="P2398" s="1433"/>
      <c r="Q2398" s="1433"/>
      <c r="R2398" s="1434"/>
      <c r="S2398" s="1433"/>
      <c r="T2398" s="1433"/>
      <c r="U2398" s="1433"/>
      <c r="V2398" s="1433"/>
      <c r="W2398" s="1436"/>
    </row>
    <row r="2399" spans="1:23">
      <c r="A2399" s="1432"/>
      <c r="B2399" s="1433"/>
      <c r="C2399" s="1434"/>
      <c r="D2399" s="1433"/>
      <c r="E2399" s="1433"/>
      <c r="F2399" s="1433"/>
      <c r="G2399" s="1433"/>
      <c r="H2399" s="1433"/>
      <c r="I2399" s="1434"/>
      <c r="J2399" s="1435"/>
      <c r="K2399" s="1433"/>
      <c r="L2399" s="1433"/>
      <c r="M2399" s="1433"/>
      <c r="N2399" s="1433"/>
      <c r="O2399" s="1433"/>
      <c r="P2399" s="1433"/>
      <c r="Q2399" s="1433"/>
      <c r="R2399" s="1434"/>
      <c r="S2399" s="1433"/>
      <c r="T2399" s="1433"/>
      <c r="U2399" s="1433"/>
      <c r="V2399" s="1433"/>
      <c r="W2399" s="1436"/>
    </row>
    <row r="2400" spans="1:23">
      <c r="A2400" s="1432"/>
      <c r="B2400" s="1433"/>
      <c r="C2400" s="1434"/>
      <c r="D2400" s="1433"/>
      <c r="E2400" s="1433"/>
      <c r="F2400" s="1433"/>
      <c r="G2400" s="1433"/>
      <c r="H2400" s="1433"/>
      <c r="I2400" s="1434"/>
      <c r="J2400" s="1435"/>
      <c r="K2400" s="1433"/>
      <c r="L2400" s="1433"/>
      <c r="M2400" s="1433"/>
      <c r="N2400" s="1433"/>
      <c r="O2400" s="1433"/>
      <c r="P2400" s="1433"/>
      <c r="Q2400" s="1433"/>
      <c r="R2400" s="1434"/>
      <c r="S2400" s="1433"/>
      <c r="T2400" s="1433"/>
      <c r="U2400" s="1433"/>
      <c r="V2400" s="1433"/>
      <c r="W2400" s="1436"/>
    </row>
    <row r="2401" spans="1:23">
      <c r="A2401" s="1432"/>
      <c r="B2401" s="1433"/>
      <c r="C2401" s="1434"/>
      <c r="D2401" s="1433"/>
      <c r="E2401" s="1433"/>
      <c r="F2401" s="1433"/>
      <c r="G2401" s="1433"/>
      <c r="H2401" s="1433"/>
      <c r="I2401" s="1434"/>
      <c r="J2401" s="1435"/>
      <c r="K2401" s="1433"/>
      <c r="L2401" s="1433"/>
      <c r="M2401" s="1433"/>
      <c r="N2401" s="1433"/>
      <c r="O2401" s="1433"/>
      <c r="P2401" s="1433"/>
      <c r="Q2401" s="1433"/>
      <c r="R2401" s="1434"/>
      <c r="S2401" s="1433"/>
      <c r="T2401" s="1433"/>
      <c r="U2401" s="1433"/>
      <c r="V2401" s="1433"/>
      <c r="W2401" s="1436"/>
    </row>
    <row r="2402" spans="1:23">
      <c r="A2402" s="1432"/>
      <c r="B2402" s="1433"/>
      <c r="C2402" s="1434"/>
      <c r="D2402" s="1433"/>
      <c r="E2402" s="1433"/>
      <c r="F2402" s="1433"/>
      <c r="G2402" s="1433"/>
      <c r="H2402" s="1433"/>
      <c r="I2402" s="1434"/>
      <c r="J2402" s="1435"/>
      <c r="K2402" s="1433"/>
      <c r="L2402" s="1433"/>
      <c r="M2402" s="1433"/>
      <c r="N2402" s="1433"/>
      <c r="O2402" s="1433"/>
      <c r="P2402" s="1433"/>
      <c r="Q2402" s="1433"/>
      <c r="R2402" s="1434"/>
      <c r="S2402" s="1433"/>
      <c r="T2402" s="1433"/>
      <c r="U2402" s="1433"/>
      <c r="V2402" s="1433"/>
      <c r="W2402" s="1436"/>
    </row>
    <row r="2403" spans="1:23">
      <c r="A2403" s="1432"/>
      <c r="B2403" s="1433"/>
      <c r="C2403" s="1434"/>
      <c r="D2403" s="1433"/>
      <c r="E2403" s="1433"/>
      <c r="F2403" s="1433"/>
      <c r="G2403" s="1433"/>
      <c r="H2403" s="1433"/>
      <c r="I2403" s="1434"/>
      <c r="J2403" s="1435"/>
      <c r="K2403" s="1433"/>
      <c r="L2403" s="1433"/>
      <c r="M2403" s="1433"/>
      <c r="N2403" s="1433"/>
      <c r="O2403" s="1433"/>
      <c r="P2403" s="1433"/>
      <c r="Q2403" s="1433"/>
      <c r="R2403" s="1434"/>
      <c r="S2403" s="1433"/>
      <c r="T2403" s="1433"/>
      <c r="U2403" s="1433"/>
      <c r="V2403" s="1433"/>
      <c r="W2403" s="1436"/>
    </row>
    <row r="2404" spans="1:23">
      <c r="A2404" s="1432"/>
      <c r="B2404" s="1433"/>
      <c r="C2404" s="1434"/>
      <c r="D2404" s="1433"/>
      <c r="E2404" s="1433"/>
      <c r="F2404" s="1433"/>
      <c r="G2404" s="1433"/>
      <c r="H2404" s="1433"/>
      <c r="I2404" s="1434"/>
      <c r="J2404" s="1435"/>
      <c r="K2404" s="1433"/>
      <c r="L2404" s="1433"/>
      <c r="M2404" s="1433"/>
      <c r="N2404" s="1433"/>
      <c r="O2404" s="1433"/>
      <c r="P2404" s="1433"/>
      <c r="Q2404" s="1433"/>
      <c r="R2404" s="1434"/>
      <c r="S2404" s="1433"/>
      <c r="T2404" s="1433"/>
      <c r="U2404" s="1433"/>
      <c r="V2404" s="1433"/>
      <c r="W2404" s="1436"/>
    </row>
    <row r="2405" spans="1:23">
      <c r="A2405" s="1432"/>
      <c r="B2405" s="1433"/>
      <c r="C2405" s="1434"/>
      <c r="D2405" s="1433"/>
      <c r="E2405" s="1433"/>
      <c r="F2405" s="1433"/>
      <c r="G2405" s="1433"/>
      <c r="H2405" s="1433"/>
      <c r="I2405" s="1434"/>
      <c r="J2405" s="1435"/>
      <c r="K2405" s="1433"/>
      <c r="L2405" s="1433"/>
      <c r="M2405" s="1433"/>
      <c r="N2405" s="1433"/>
      <c r="O2405" s="1433"/>
      <c r="P2405" s="1433"/>
      <c r="Q2405" s="1433"/>
      <c r="R2405" s="1434"/>
      <c r="S2405" s="1433"/>
      <c r="T2405" s="1433"/>
      <c r="U2405" s="1433"/>
      <c r="V2405" s="1433"/>
      <c r="W2405" s="1436"/>
    </row>
    <row r="2406" spans="1:23">
      <c r="A2406" s="1432"/>
      <c r="B2406" s="1433"/>
      <c r="C2406" s="1434"/>
      <c r="D2406" s="1433"/>
      <c r="E2406" s="1433"/>
      <c r="F2406" s="1433"/>
      <c r="G2406" s="1433"/>
      <c r="H2406" s="1433"/>
      <c r="I2406" s="1434"/>
      <c r="J2406" s="1435"/>
      <c r="K2406" s="1433"/>
      <c r="L2406" s="1433"/>
      <c r="M2406" s="1433"/>
      <c r="N2406" s="1433"/>
      <c r="O2406" s="1433"/>
      <c r="P2406" s="1433"/>
      <c r="Q2406" s="1433"/>
      <c r="R2406" s="1434"/>
      <c r="S2406" s="1433"/>
      <c r="T2406" s="1433"/>
      <c r="U2406" s="1433"/>
      <c r="V2406" s="1433"/>
      <c r="W2406" s="1436"/>
    </row>
    <row r="2407" spans="1:23">
      <c r="A2407" s="1432"/>
      <c r="B2407" s="1433"/>
      <c r="C2407" s="1434"/>
      <c r="D2407" s="1433"/>
      <c r="E2407" s="1433"/>
      <c r="F2407" s="1433"/>
      <c r="G2407" s="1433"/>
      <c r="H2407" s="1433"/>
      <c r="I2407" s="1434"/>
      <c r="J2407" s="1435"/>
      <c r="K2407" s="1433"/>
      <c r="L2407" s="1433"/>
      <c r="M2407" s="1433"/>
      <c r="N2407" s="1433"/>
      <c r="O2407" s="1433"/>
      <c r="P2407" s="1433"/>
      <c r="Q2407" s="1433"/>
      <c r="R2407" s="1434"/>
      <c r="S2407" s="1433"/>
      <c r="T2407" s="1433"/>
      <c r="U2407" s="1433"/>
      <c r="V2407" s="1433"/>
      <c r="W2407" s="1436"/>
    </row>
    <row r="2408" spans="1:23">
      <c r="A2408" s="1432"/>
      <c r="B2408" s="1433"/>
      <c r="C2408" s="1434"/>
      <c r="D2408" s="1433"/>
      <c r="E2408" s="1433"/>
      <c r="F2408" s="1433"/>
      <c r="G2408" s="1433"/>
      <c r="H2408" s="1433"/>
      <c r="I2408" s="1434"/>
      <c r="J2408" s="1435"/>
      <c r="K2408" s="1433"/>
      <c r="L2408" s="1433"/>
      <c r="M2408" s="1433"/>
      <c r="N2408" s="1433"/>
      <c r="O2408" s="1433"/>
      <c r="P2408" s="1433"/>
      <c r="Q2408" s="1433"/>
      <c r="R2408" s="1434"/>
      <c r="S2408" s="1433"/>
      <c r="T2408" s="1433"/>
      <c r="U2408" s="1433"/>
      <c r="V2408" s="1433"/>
      <c r="W2408" s="1436"/>
    </row>
    <row r="2409" spans="1:23">
      <c r="A2409" s="1432"/>
      <c r="B2409" s="1433"/>
      <c r="C2409" s="1434"/>
      <c r="D2409" s="1433"/>
      <c r="E2409" s="1433"/>
      <c r="F2409" s="1433"/>
      <c r="G2409" s="1433"/>
      <c r="H2409" s="1433"/>
      <c r="I2409" s="1434"/>
      <c r="J2409" s="1435"/>
      <c r="K2409" s="1433"/>
      <c r="L2409" s="1433"/>
      <c r="M2409" s="1433"/>
      <c r="N2409" s="1433"/>
      <c r="O2409" s="1433"/>
      <c r="P2409" s="1433"/>
      <c r="Q2409" s="1433"/>
      <c r="R2409" s="1434"/>
      <c r="S2409" s="1433"/>
      <c r="T2409" s="1433"/>
      <c r="U2409" s="1433"/>
      <c r="V2409" s="1433"/>
      <c r="W2409" s="1436"/>
    </row>
    <row r="2410" spans="1:23">
      <c r="A2410" s="1432"/>
      <c r="B2410" s="1433"/>
      <c r="C2410" s="1434"/>
      <c r="D2410" s="1433"/>
      <c r="E2410" s="1433"/>
      <c r="F2410" s="1433"/>
      <c r="G2410" s="1433"/>
      <c r="H2410" s="1433"/>
      <c r="I2410" s="1434"/>
      <c r="J2410" s="1435"/>
      <c r="K2410" s="1433"/>
      <c r="L2410" s="1433"/>
      <c r="M2410" s="1433"/>
      <c r="N2410" s="1433"/>
      <c r="O2410" s="1433"/>
      <c r="P2410" s="1433"/>
      <c r="Q2410" s="1433"/>
      <c r="R2410" s="1434"/>
      <c r="S2410" s="1433"/>
      <c r="T2410" s="1433"/>
      <c r="U2410" s="1433"/>
      <c r="V2410" s="1433"/>
      <c r="W2410" s="1436"/>
    </row>
    <row r="2411" spans="1:23">
      <c r="A2411" s="1432"/>
      <c r="B2411" s="1433"/>
      <c r="C2411" s="1434"/>
      <c r="D2411" s="1433"/>
      <c r="E2411" s="1433"/>
      <c r="F2411" s="1433"/>
      <c r="G2411" s="1433"/>
      <c r="H2411" s="1433"/>
      <c r="I2411" s="1434"/>
      <c r="J2411" s="1435"/>
      <c r="K2411" s="1433"/>
      <c r="L2411" s="1433"/>
      <c r="M2411" s="1433"/>
      <c r="N2411" s="1433"/>
      <c r="O2411" s="1433"/>
      <c r="P2411" s="1433"/>
      <c r="Q2411" s="1433"/>
      <c r="R2411" s="1434"/>
      <c r="S2411" s="1433"/>
      <c r="T2411" s="1433"/>
      <c r="U2411" s="1433"/>
      <c r="V2411" s="1433"/>
      <c r="W2411" s="1436"/>
    </row>
    <row r="2412" spans="1:23">
      <c r="A2412" s="1432"/>
      <c r="B2412" s="1433"/>
      <c r="C2412" s="1434"/>
      <c r="D2412" s="1433"/>
      <c r="E2412" s="1433"/>
      <c r="F2412" s="1433"/>
      <c r="G2412" s="1433"/>
      <c r="H2412" s="1433"/>
      <c r="I2412" s="1434"/>
      <c r="J2412" s="1435"/>
      <c r="K2412" s="1433"/>
      <c r="L2412" s="1433"/>
      <c r="M2412" s="1433"/>
      <c r="N2412" s="1433"/>
      <c r="O2412" s="1433"/>
      <c r="P2412" s="1433"/>
      <c r="Q2412" s="1433"/>
      <c r="R2412" s="1434"/>
      <c r="S2412" s="1433"/>
      <c r="T2412" s="1433"/>
      <c r="U2412" s="1433"/>
      <c r="V2412" s="1433"/>
      <c r="W2412" s="1436"/>
    </row>
    <row r="2413" spans="1:23">
      <c r="A2413" s="1432"/>
      <c r="B2413" s="1433"/>
      <c r="C2413" s="1434"/>
      <c r="D2413" s="1433"/>
      <c r="E2413" s="1433"/>
      <c r="F2413" s="1433"/>
      <c r="G2413" s="1433"/>
      <c r="H2413" s="1433"/>
      <c r="I2413" s="1434"/>
      <c r="J2413" s="1435"/>
      <c r="K2413" s="1433"/>
      <c r="L2413" s="1433"/>
      <c r="M2413" s="1433"/>
      <c r="N2413" s="1433"/>
      <c r="O2413" s="1433"/>
      <c r="P2413" s="1433"/>
      <c r="Q2413" s="1433"/>
      <c r="R2413" s="1434"/>
      <c r="S2413" s="1433"/>
      <c r="T2413" s="1433"/>
      <c r="U2413" s="1433"/>
      <c r="V2413" s="1433"/>
      <c r="W2413" s="1436"/>
    </row>
    <row r="2414" spans="1:23">
      <c r="A2414" s="1432"/>
      <c r="B2414" s="1433"/>
      <c r="C2414" s="1434"/>
      <c r="D2414" s="1433"/>
      <c r="E2414" s="1433"/>
      <c r="F2414" s="1433"/>
      <c r="G2414" s="1433"/>
      <c r="H2414" s="1433"/>
      <c r="I2414" s="1434"/>
      <c r="J2414" s="1435"/>
      <c r="K2414" s="1433"/>
      <c r="L2414" s="1433"/>
      <c r="M2414" s="1433"/>
      <c r="N2414" s="1433"/>
      <c r="O2414" s="1433"/>
      <c r="P2414" s="1433"/>
      <c r="Q2414" s="1433"/>
      <c r="R2414" s="1434"/>
      <c r="S2414" s="1433"/>
      <c r="T2414" s="1433"/>
      <c r="U2414" s="1433"/>
      <c r="V2414" s="1433"/>
      <c r="W2414" s="1436"/>
    </row>
    <row r="2415" spans="1:23">
      <c r="A2415" s="1432"/>
      <c r="B2415" s="1433"/>
      <c r="C2415" s="1434"/>
      <c r="D2415" s="1433"/>
      <c r="E2415" s="1433"/>
      <c r="F2415" s="1433"/>
      <c r="G2415" s="1433"/>
      <c r="H2415" s="1433"/>
      <c r="I2415" s="1434"/>
      <c r="J2415" s="1435"/>
      <c r="K2415" s="1433"/>
      <c r="L2415" s="1433"/>
      <c r="M2415" s="1433"/>
      <c r="N2415" s="1433"/>
      <c r="O2415" s="1433"/>
      <c r="P2415" s="1433"/>
      <c r="Q2415" s="1433"/>
      <c r="R2415" s="1434"/>
      <c r="S2415" s="1433"/>
      <c r="T2415" s="1433"/>
      <c r="U2415" s="1433"/>
      <c r="V2415" s="1433"/>
      <c r="W2415" s="1436"/>
    </row>
    <row r="2416" spans="1:23">
      <c r="A2416" s="1432"/>
      <c r="B2416" s="1433"/>
      <c r="C2416" s="1434"/>
      <c r="D2416" s="1433"/>
      <c r="E2416" s="1433"/>
      <c r="F2416" s="1433"/>
      <c r="G2416" s="1433"/>
      <c r="H2416" s="1433"/>
      <c r="I2416" s="1434"/>
      <c r="J2416" s="1435"/>
      <c r="K2416" s="1433"/>
      <c r="L2416" s="1433"/>
      <c r="M2416" s="1433"/>
      <c r="N2416" s="1433"/>
      <c r="O2416" s="1433"/>
      <c r="P2416" s="1433"/>
      <c r="Q2416" s="1433"/>
      <c r="R2416" s="1434"/>
      <c r="S2416" s="1433"/>
      <c r="T2416" s="1433"/>
      <c r="U2416" s="1433"/>
      <c r="V2416" s="1433"/>
      <c r="W2416" s="1436"/>
    </row>
    <row r="2417" spans="1:23">
      <c r="A2417" s="1432"/>
      <c r="B2417" s="1433"/>
      <c r="C2417" s="1434"/>
      <c r="D2417" s="1433"/>
      <c r="E2417" s="1433"/>
      <c r="F2417" s="1433"/>
      <c r="G2417" s="1433"/>
      <c r="H2417" s="1433"/>
      <c r="I2417" s="1434"/>
      <c r="J2417" s="1435"/>
      <c r="K2417" s="1433"/>
      <c r="L2417" s="1433"/>
      <c r="M2417" s="1433"/>
      <c r="N2417" s="1433"/>
      <c r="O2417" s="1433"/>
      <c r="P2417" s="1433"/>
      <c r="Q2417" s="1433"/>
      <c r="R2417" s="1434"/>
      <c r="S2417" s="1433"/>
      <c r="T2417" s="1433"/>
      <c r="U2417" s="1433"/>
      <c r="V2417" s="1433"/>
      <c r="W2417" s="1436"/>
    </row>
    <row r="2418" spans="1:23">
      <c r="A2418" s="1432"/>
      <c r="B2418" s="1433"/>
      <c r="C2418" s="1434"/>
      <c r="D2418" s="1433"/>
      <c r="E2418" s="1433"/>
      <c r="F2418" s="1433"/>
      <c r="G2418" s="1433"/>
      <c r="H2418" s="1433"/>
      <c r="I2418" s="1434"/>
      <c r="J2418" s="1435"/>
      <c r="K2418" s="1433"/>
      <c r="L2418" s="1433"/>
      <c r="M2418" s="1433"/>
      <c r="N2418" s="1433"/>
      <c r="O2418" s="1433"/>
      <c r="P2418" s="1433"/>
      <c r="Q2418" s="1433"/>
      <c r="R2418" s="1434"/>
      <c r="S2418" s="1433"/>
      <c r="T2418" s="1433"/>
      <c r="U2418" s="1433"/>
      <c r="V2418" s="1433"/>
      <c r="W2418" s="1436"/>
    </row>
    <row r="2419" spans="1:23">
      <c r="A2419" s="1432"/>
      <c r="B2419" s="1433"/>
      <c r="C2419" s="1434"/>
      <c r="D2419" s="1433"/>
      <c r="E2419" s="1433"/>
      <c r="F2419" s="1433"/>
      <c r="G2419" s="1433"/>
      <c r="H2419" s="1433"/>
      <c r="I2419" s="1434"/>
      <c r="J2419" s="1435"/>
      <c r="K2419" s="1433"/>
      <c r="L2419" s="1433"/>
      <c r="M2419" s="1433"/>
      <c r="N2419" s="1433"/>
      <c r="O2419" s="1433"/>
      <c r="P2419" s="1433"/>
      <c r="Q2419" s="1433"/>
      <c r="R2419" s="1434"/>
      <c r="S2419" s="1433"/>
      <c r="T2419" s="1433"/>
      <c r="U2419" s="1433"/>
      <c r="V2419" s="1433"/>
      <c r="W2419" s="1436"/>
    </row>
    <row r="2420" spans="1:23">
      <c r="A2420" s="1432"/>
      <c r="B2420" s="1433"/>
      <c r="C2420" s="1434"/>
      <c r="D2420" s="1433"/>
      <c r="E2420" s="1433"/>
      <c r="F2420" s="1433"/>
      <c r="G2420" s="1433"/>
      <c r="H2420" s="1433"/>
      <c r="I2420" s="1434"/>
      <c r="J2420" s="1435"/>
      <c r="K2420" s="1433"/>
      <c r="L2420" s="1433"/>
      <c r="M2420" s="1433"/>
      <c r="N2420" s="1433"/>
      <c r="O2420" s="1433"/>
      <c r="P2420" s="1433"/>
      <c r="Q2420" s="1433"/>
      <c r="R2420" s="1434"/>
      <c r="S2420" s="1433"/>
      <c r="T2420" s="1433"/>
      <c r="U2420" s="1433"/>
      <c r="V2420" s="1433"/>
      <c r="W2420" s="1436"/>
    </row>
    <row r="2421" spans="1:23">
      <c r="A2421" s="1432"/>
      <c r="B2421" s="1433"/>
      <c r="C2421" s="1434"/>
      <c r="D2421" s="1433"/>
      <c r="E2421" s="1433"/>
      <c r="F2421" s="1433"/>
      <c r="G2421" s="1433"/>
      <c r="H2421" s="1433"/>
      <c r="I2421" s="1434"/>
      <c r="J2421" s="1435"/>
      <c r="K2421" s="1433"/>
      <c r="L2421" s="1433"/>
      <c r="M2421" s="1433"/>
      <c r="N2421" s="1433"/>
      <c r="O2421" s="1433"/>
      <c r="P2421" s="1433"/>
      <c r="Q2421" s="1433"/>
      <c r="R2421" s="1434"/>
      <c r="S2421" s="1433"/>
      <c r="T2421" s="1433"/>
      <c r="U2421" s="1433"/>
      <c r="V2421" s="1433"/>
      <c r="W2421" s="1436"/>
    </row>
    <row r="2422" spans="1:23">
      <c r="A2422" s="1432"/>
      <c r="B2422" s="1433"/>
      <c r="C2422" s="1434"/>
      <c r="D2422" s="1433"/>
      <c r="E2422" s="1433"/>
      <c r="F2422" s="1433"/>
      <c r="G2422" s="1433"/>
      <c r="H2422" s="1433"/>
      <c r="I2422" s="1434"/>
      <c r="J2422" s="1435"/>
      <c r="K2422" s="1433"/>
      <c r="L2422" s="1433"/>
      <c r="M2422" s="1433"/>
      <c r="N2422" s="1433"/>
      <c r="O2422" s="1433"/>
      <c r="P2422" s="1433"/>
      <c r="Q2422" s="1433"/>
      <c r="R2422" s="1434"/>
      <c r="S2422" s="1433"/>
      <c r="T2422" s="1433"/>
      <c r="U2422" s="1433"/>
      <c r="V2422" s="1433"/>
      <c r="W2422" s="1436"/>
    </row>
    <row r="2423" spans="1:23">
      <c r="A2423" s="1432"/>
      <c r="B2423" s="1433"/>
      <c r="C2423" s="1434"/>
      <c r="D2423" s="1433"/>
      <c r="E2423" s="1433"/>
      <c r="F2423" s="1433"/>
      <c r="G2423" s="1433"/>
      <c r="H2423" s="1433"/>
      <c r="I2423" s="1434"/>
      <c r="J2423" s="1435"/>
      <c r="K2423" s="1433"/>
      <c r="L2423" s="1433"/>
      <c r="M2423" s="1433"/>
      <c r="N2423" s="1433"/>
      <c r="O2423" s="1433"/>
      <c r="P2423" s="1433"/>
      <c r="Q2423" s="1433"/>
      <c r="R2423" s="1434"/>
      <c r="S2423" s="1433"/>
      <c r="T2423" s="1433"/>
      <c r="U2423" s="1433"/>
      <c r="V2423" s="1433"/>
      <c r="W2423" s="1436"/>
    </row>
    <row r="2424" spans="1:23">
      <c r="A2424" s="1432"/>
      <c r="B2424" s="1433"/>
      <c r="C2424" s="1434"/>
      <c r="D2424" s="1433"/>
      <c r="E2424" s="1433"/>
      <c r="F2424" s="1433"/>
      <c r="G2424" s="1433"/>
      <c r="H2424" s="1433"/>
      <c r="I2424" s="1434"/>
      <c r="J2424" s="1435"/>
      <c r="K2424" s="1433"/>
      <c r="L2424" s="1433"/>
      <c r="M2424" s="1433"/>
      <c r="N2424" s="1433"/>
      <c r="O2424" s="1433"/>
      <c r="P2424" s="1433"/>
      <c r="Q2424" s="1433"/>
      <c r="R2424" s="1434"/>
      <c r="S2424" s="1433"/>
      <c r="T2424" s="1433"/>
      <c r="U2424" s="1433"/>
      <c r="V2424" s="1433"/>
      <c r="W2424" s="1436"/>
    </row>
    <row r="2425" spans="1:23">
      <c r="A2425" s="1432"/>
      <c r="B2425" s="1433"/>
      <c r="C2425" s="1434"/>
      <c r="D2425" s="1433"/>
      <c r="E2425" s="1433"/>
      <c r="F2425" s="1433"/>
      <c r="G2425" s="1433"/>
      <c r="H2425" s="1433"/>
      <c r="I2425" s="1434"/>
      <c r="J2425" s="1435"/>
      <c r="K2425" s="1433"/>
      <c r="L2425" s="1433"/>
      <c r="M2425" s="1433"/>
      <c r="N2425" s="1433"/>
      <c r="O2425" s="1433"/>
      <c r="P2425" s="1433"/>
      <c r="Q2425" s="1433"/>
      <c r="R2425" s="1434"/>
      <c r="S2425" s="1433"/>
      <c r="T2425" s="1433"/>
      <c r="U2425" s="1433"/>
      <c r="V2425" s="1433"/>
      <c r="W2425" s="1436"/>
    </row>
    <row r="2426" spans="1:23">
      <c r="A2426" s="1432"/>
      <c r="B2426" s="1433"/>
      <c r="C2426" s="1434"/>
      <c r="D2426" s="1433"/>
      <c r="E2426" s="1433"/>
      <c r="F2426" s="1433"/>
      <c r="G2426" s="1433"/>
      <c r="H2426" s="1433"/>
      <c r="I2426" s="1434"/>
      <c r="J2426" s="1435"/>
      <c r="K2426" s="1433"/>
      <c r="L2426" s="1433"/>
      <c r="M2426" s="1433"/>
      <c r="N2426" s="1433"/>
      <c r="O2426" s="1433"/>
      <c r="P2426" s="1433"/>
      <c r="Q2426" s="1433"/>
      <c r="R2426" s="1434"/>
      <c r="S2426" s="1433"/>
      <c r="T2426" s="1433"/>
      <c r="U2426" s="1433"/>
      <c r="V2426" s="1433"/>
      <c r="W2426" s="1436"/>
    </row>
    <row r="2427" spans="1:23">
      <c r="A2427" s="1432"/>
      <c r="B2427" s="1433"/>
      <c r="C2427" s="1434"/>
      <c r="D2427" s="1433"/>
      <c r="E2427" s="1433"/>
      <c r="F2427" s="1433"/>
      <c r="G2427" s="1433"/>
      <c r="H2427" s="1433"/>
      <c r="I2427" s="1434"/>
      <c r="J2427" s="1435"/>
      <c r="K2427" s="1433"/>
      <c r="L2427" s="1433"/>
      <c r="M2427" s="1433"/>
      <c r="N2427" s="1433"/>
      <c r="O2427" s="1433"/>
      <c r="P2427" s="1433"/>
      <c r="Q2427" s="1433"/>
      <c r="R2427" s="1434"/>
      <c r="S2427" s="1433"/>
      <c r="T2427" s="1433"/>
      <c r="U2427" s="1433"/>
      <c r="V2427" s="1433"/>
      <c r="W2427" s="1436"/>
    </row>
    <row r="2428" spans="1:23">
      <c r="A2428" s="1432"/>
      <c r="B2428" s="1433"/>
      <c r="C2428" s="1434"/>
      <c r="D2428" s="1433"/>
      <c r="E2428" s="1433"/>
      <c r="F2428" s="1433"/>
      <c r="G2428" s="1433"/>
      <c r="H2428" s="1433"/>
      <c r="I2428" s="1434"/>
      <c r="J2428" s="1435"/>
      <c r="K2428" s="1433"/>
      <c r="L2428" s="1433"/>
      <c r="M2428" s="1433"/>
      <c r="N2428" s="1433"/>
      <c r="O2428" s="1433"/>
      <c r="P2428" s="1433"/>
      <c r="Q2428" s="1433"/>
      <c r="R2428" s="1434"/>
      <c r="S2428" s="1433"/>
      <c r="T2428" s="1433"/>
      <c r="U2428" s="1433"/>
      <c r="V2428" s="1433"/>
      <c r="W2428" s="1436"/>
    </row>
    <row r="2429" spans="1:23">
      <c r="A2429" s="1432"/>
      <c r="B2429" s="1433"/>
      <c r="C2429" s="1434"/>
      <c r="D2429" s="1433"/>
      <c r="E2429" s="1433"/>
      <c r="F2429" s="1433"/>
      <c r="G2429" s="1433"/>
      <c r="H2429" s="1433"/>
      <c r="I2429" s="1434"/>
      <c r="J2429" s="1435"/>
      <c r="K2429" s="1433"/>
      <c r="L2429" s="1433"/>
      <c r="M2429" s="1433"/>
      <c r="N2429" s="1433"/>
      <c r="O2429" s="1433"/>
      <c r="P2429" s="1433"/>
      <c r="Q2429" s="1433"/>
      <c r="R2429" s="1434"/>
      <c r="S2429" s="1433"/>
      <c r="T2429" s="1433"/>
      <c r="U2429" s="1433"/>
      <c r="V2429" s="1433"/>
      <c r="W2429" s="1436"/>
    </row>
    <row r="2430" spans="1:23">
      <c r="A2430" s="1432"/>
      <c r="B2430" s="1433"/>
      <c r="C2430" s="1434"/>
      <c r="D2430" s="1433"/>
      <c r="E2430" s="1433"/>
      <c r="F2430" s="1433"/>
      <c r="G2430" s="1433"/>
      <c r="H2430" s="1433"/>
      <c r="I2430" s="1434"/>
      <c r="J2430" s="1435"/>
      <c r="K2430" s="1433"/>
      <c r="L2430" s="1433"/>
      <c r="M2430" s="1433"/>
      <c r="N2430" s="1433"/>
      <c r="O2430" s="1433"/>
      <c r="P2430" s="1433"/>
      <c r="Q2430" s="1433"/>
      <c r="R2430" s="1434"/>
      <c r="S2430" s="1433"/>
      <c r="T2430" s="1433"/>
      <c r="U2430" s="1433"/>
      <c r="V2430" s="1433"/>
      <c r="W2430" s="1436"/>
    </row>
    <row r="2431" spans="1:23">
      <c r="A2431" s="1432"/>
      <c r="B2431" s="1433"/>
      <c r="C2431" s="1434"/>
      <c r="D2431" s="1433"/>
      <c r="E2431" s="1433"/>
      <c r="F2431" s="1433"/>
      <c r="G2431" s="1433"/>
      <c r="H2431" s="1433"/>
      <c r="I2431" s="1434"/>
      <c r="J2431" s="1435"/>
      <c r="K2431" s="1433"/>
      <c r="L2431" s="1433"/>
      <c r="M2431" s="1433"/>
      <c r="N2431" s="1433"/>
      <c r="O2431" s="1433"/>
      <c r="P2431" s="1433"/>
      <c r="Q2431" s="1433"/>
      <c r="R2431" s="1434"/>
      <c r="S2431" s="1433"/>
      <c r="T2431" s="1433"/>
      <c r="U2431" s="1433"/>
      <c r="V2431" s="1433"/>
      <c r="W2431" s="1436"/>
    </row>
    <row r="2432" spans="1:23">
      <c r="A2432" s="1432"/>
      <c r="B2432" s="1433"/>
      <c r="C2432" s="1434"/>
      <c r="D2432" s="1433"/>
      <c r="E2432" s="1433"/>
      <c r="F2432" s="1433"/>
      <c r="G2432" s="1433"/>
      <c r="H2432" s="1433"/>
      <c r="I2432" s="1434"/>
      <c r="J2432" s="1435"/>
      <c r="K2432" s="1433"/>
      <c r="L2432" s="1433"/>
      <c r="M2432" s="1433"/>
      <c r="N2432" s="1433"/>
      <c r="O2432" s="1433"/>
      <c r="P2432" s="1433"/>
      <c r="Q2432" s="1433"/>
      <c r="R2432" s="1434"/>
      <c r="S2432" s="1433"/>
      <c r="T2432" s="1433"/>
      <c r="U2432" s="1433"/>
      <c r="V2432" s="1433"/>
      <c r="W2432" s="1436"/>
    </row>
    <row r="2433" spans="1:23">
      <c r="A2433" s="1432"/>
      <c r="B2433" s="1433"/>
      <c r="C2433" s="1434"/>
      <c r="D2433" s="1433"/>
      <c r="E2433" s="1433"/>
      <c r="F2433" s="1433"/>
      <c r="G2433" s="1433"/>
      <c r="H2433" s="1433"/>
      <c r="I2433" s="1434"/>
      <c r="J2433" s="1435"/>
      <c r="K2433" s="1433"/>
      <c r="L2433" s="1433"/>
      <c r="M2433" s="1433"/>
      <c r="N2433" s="1433"/>
      <c r="O2433" s="1433"/>
      <c r="P2433" s="1433"/>
      <c r="Q2433" s="1433"/>
      <c r="R2433" s="1434"/>
      <c r="S2433" s="1433"/>
      <c r="T2433" s="1433"/>
      <c r="U2433" s="1433"/>
      <c r="V2433" s="1433"/>
      <c r="W2433" s="1436"/>
    </row>
    <row r="2434" spans="1:23">
      <c r="A2434" s="1432"/>
      <c r="B2434" s="1433"/>
      <c r="C2434" s="1434"/>
      <c r="D2434" s="1433"/>
      <c r="E2434" s="1433"/>
      <c r="F2434" s="1433"/>
      <c r="G2434" s="1433"/>
      <c r="H2434" s="1433"/>
      <c r="I2434" s="1434"/>
      <c r="J2434" s="1435"/>
      <c r="K2434" s="1433"/>
      <c r="L2434" s="1433"/>
      <c r="M2434" s="1433"/>
      <c r="N2434" s="1433"/>
      <c r="O2434" s="1433"/>
      <c r="P2434" s="1433"/>
      <c r="Q2434" s="1433"/>
      <c r="R2434" s="1434"/>
      <c r="S2434" s="1433"/>
      <c r="T2434" s="1433"/>
      <c r="U2434" s="1433"/>
      <c r="V2434" s="1433"/>
      <c r="W2434" s="1436"/>
    </row>
    <row r="2435" spans="1:23">
      <c r="A2435" s="1432"/>
      <c r="B2435" s="1433"/>
      <c r="C2435" s="1434"/>
      <c r="D2435" s="1433"/>
      <c r="E2435" s="1433"/>
      <c r="F2435" s="1433"/>
      <c r="G2435" s="1433"/>
      <c r="H2435" s="1433"/>
      <c r="I2435" s="1434"/>
      <c r="J2435" s="1435"/>
      <c r="K2435" s="1433"/>
      <c r="L2435" s="1433"/>
      <c r="M2435" s="1433"/>
      <c r="N2435" s="1433"/>
      <c r="O2435" s="1433"/>
      <c r="P2435" s="1433"/>
      <c r="Q2435" s="1433"/>
      <c r="R2435" s="1434"/>
      <c r="S2435" s="1433"/>
      <c r="T2435" s="1433"/>
      <c r="U2435" s="1433"/>
      <c r="V2435" s="1433"/>
      <c r="W2435" s="1436"/>
    </row>
    <row r="2436" spans="1:23">
      <c r="A2436" s="1432"/>
      <c r="B2436" s="1433"/>
      <c r="C2436" s="1434"/>
      <c r="D2436" s="1433"/>
      <c r="E2436" s="1433"/>
      <c r="F2436" s="1433"/>
      <c r="G2436" s="1433"/>
      <c r="H2436" s="1433"/>
      <c r="I2436" s="1434"/>
      <c r="J2436" s="1435"/>
      <c r="K2436" s="1433"/>
      <c r="L2436" s="1433"/>
      <c r="M2436" s="1433"/>
      <c r="N2436" s="1433"/>
      <c r="O2436" s="1433"/>
      <c r="P2436" s="1433"/>
      <c r="Q2436" s="1433"/>
      <c r="R2436" s="1434"/>
      <c r="S2436" s="1433"/>
      <c r="T2436" s="1433"/>
      <c r="U2436" s="1433"/>
      <c r="V2436" s="1433"/>
      <c r="W2436" s="1436"/>
    </row>
    <row r="2437" spans="1:23">
      <c r="A2437" s="1432"/>
      <c r="B2437" s="1433"/>
      <c r="C2437" s="1434"/>
      <c r="D2437" s="1433"/>
      <c r="E2437" s="1433"/>
      <c r="F2437" s="1433"/>
      <c r="G2437" s="1433"/>
      <c r="H2437" s="1433"/>
      <c r="I2437" s="1434"/>
      <c r="J2437" s="1435"/>
      <c r="K2437" s="1433"/>
      <c r="L2437" s="1433"/>
      <c r="M2437" s="1433"/>
      <c r="N2437" s="1433"/>
      <c r="O2437" s="1433"/>
      <c r="P2437" s="1433"/>
      <c r="Q2437" s="1433"/>
      <c r="R2437" s="1434"/>
      <c r="S2437" s="1433"/>
      <c r="T2437" s="1433"/>
      <c r="U2437" s="1433"/>
      <c r="V2437" s="1433"/>
      <c r="W2437" s="1436"/>
    </row>
    <row r="2438" spans="1:23">
      <c r="A2438" s="1432"/>
      <c r="B2438" s="1433"/>
      <c r="C2438" s="1434"/>
      <c r="D2438" s="1433"/>
      <c r="E2438" s="1433"/>
      <c r="F2438" s="1433"/>
      <c r="G2438" s="1433"/>
      <c r="H2438" s="1433"/>
      <c r="I2438" s="1434"/>
      <c r="J2438" s="1435"/>
      <c r="K2438" s="1433"/>
      <c r="L2438" s="1433"/>
      <c r="M2438" s="1433"/>
      <c r="N2438" s="1433"/>
      <c r="O2438" s="1433"/>
      <c r="P2438" s="1433"/>
      <c r="Q2438" s="1433"/>
      <c r="R2438" s="1434"/>
      <c r="S2438" s="1433"/>
      <c r="T2438" s="1433"/>
      <c r="U2438" s="1433"/>
      <c r="V2438" s="1433"/>
      <c r="W2438" s="1436"/>
    </row>
    <row r="2439" spans="1:23">
      <c r="A2439" s="1432"/>
      <c r="B2439" s="1433"/>
      <c r="C2439" s="1434"/>
      <c r="D2439" s="1433"/>
      <c r="E2439" s="1433"/>
      <c r="F2439" s="1433"/>
      <c r="G2439" s="1433"/>
      <c r="H2439" s="1433"/>
      <c r="I2439" s="1434"/>
      <c r="J2439" s="1435"/>
      <c r="K2439" s="1433"/>
      <c r="L2439" s="1433"/>
      <c r="M2439" s="1433"/>
      <c r="N2439" s="1433"/>
      <c r="O2439" s="1433"/>
      <c r="P2439" s="1433"/>
      <c r="Q2439" s="1433"/>
      <c r="R2439" s="1434"/>
      <c r="S2439" s="1433"/>
      <c r="T2439" s="1433"/>
      <c r="U2439" s="1433"/>
      <c r="V2439" s="1433"/>
      <c r="W2439" s="1436"/>
    </row>
    <row r="2440" spans="1:23">
      <c r="A2440" s="1432"/>
      <c r="B2440" s="1433"/>
      <c r="C2440" s="1434"/>
      <c r="D2440" s="1433"/>
      <c r="E2440" s="1433"/>
      <c r="F2440" s="1433"/>
      <c r="G2440" s="1433"/>
      <c r="H2440" s="1433"/>
      <c r="I2440" s="1434"/>
      <c r="J2440" s="1435"/>
      <c r="K2440" s="1433"/>
      <c r="L2440" s="1433"/>
      <c r="M2440" s="1433"/>
      <c r="N2440" s="1433"/>
      <c r="O2440" s="1433"/>
      <c r="P2440" s="1433"/>
      <c r="Q2440" s="1433"/>
      <c r="R2440" s="1434"/>
      <c r="S2440" s="1433"/>
      <c r="T2440" s="1433"/>
      <c r="U2440" s="1433"/>
      <c r="V2440" s="1433"/>
      <c r="W2440" s="1436"/>
    </row>
    <row r="2441" spans="1:23">
      <c r="A2441" s="1432"/>
      <c r="B2441" s="1433"/>
      <c r="C2441" s="1434"/>
      <c r="D2441" s="1433"/>
      <c r="E2441" s="1433"/>
      <c r="F2441" s="1433"/>
      <c r="G2441" s="1433"/>
      <c r="H2441" s="1433"/>
      <c r="I2441" s="1434"/>
      <c r="J2441" s="1435"/>
      <c r="K2441" s="1433"/>
      <c r="L2441" s="1433"/>
      <c r="M2441" s="1433"/>
      <c r="N2441" s="1433"/>
      <c r="O2441" s="1433"/>
      <c r="P2441" s="1433"/>
      <c r="Q2441" s="1433"/>
      <c r="R2441" s="1434"/>
      <c r="S2441" s="1433"/>
      <c r="T2441" s="1433"/>
      <c r="U2441" s="1433"/>
      <c r="V2441" s="1433"/>
      <c r="W2441" s="1436"/>
    </row>
    <row r="2442" spans="1:23">
      <c r="A2442" s="1432"/>
      <c r="B2442" s="1433"/>
      <c r="C2442" s="1434"/>
      <c r="D2442" s="1433"/>
      <c r="E2442" s="1433"/>
      <c r="F2442" s="1433"/>
      <c r="G2442" s="1433"/>
      <c r="H2442" s="1433"/>
      <c r="I2442" s="1434"/>
      <c r="J2442" s="1435"/>
      <c r="K2442" s="1433"/>
      <c r="L2442" s="1433"/>
      <c r="M2442" s="1433"/>
      <c r="N2442" s="1433"/>
      <c r="O2442" s="1433"/>
      <c r="P2442" s="1433"/>
      <c r="Q2442" s="1433"/>
      <c r="R2442" s="1434"/>
      <c r="S2442" s="1433"/>
      <c r="T2442" s="1433"/>
      <c r="U2442" s="1433"/>
      <c r="V2442" s="1433"/>
      <c r="W2442" s="1436"/>
    </row>
    <row r="2443" spans="1:23">
      <c r="A2443" s="1432"/>
      <c r="B2443" s="1433"/>
      <c r="C2443" s="1434"/>
      <c r="D2443" s="1433"/>
      <c r="E2443" s="1433"/>
      <c r="F2443" s="1433"/>
      <c r="G2443" s="1433"/>
      <c r="H2443" s="1433"/>
      <c r="I2443" s="1434"/>
      <c r="J2443" s="1435"/>
      <c r="K2443" s="1433"/>
      <c r="L2443" s="1433"/>
      <c r="M2443" s="1433"/>
      <c r="N2443" s="1433"/>
      <c r="O2443" s="1433"/>
      <c r="P2443" s="1433"/>
      <c r="Q2443" s="1433"/>
      <c r="R2443" s="1434"/>
      <c r="S2443" s="1433"/>
      <c r="T2443" s="1433"/>
      <c r="U2443" s="1433"/>
      <c r="V2443" s="1433"/>
      <c r="W2443" s="1436"/>
    </row>
    <row r="2444" spans="1:23">
      <c r="A2444" s="1432"/>
      <c r="B2444" s="1433"/>
      <c r="C2444" s="1434"/>
      <c r="D2444" s="1433"/>
      <c r="E2444" s="1433"/>
      <c r="F2444" s="1433"/>
      <c r="G2444" s="1433"/>
      <c r="H2444" s="1433"/>
      <c r="I2444" s="1434"/>
      <c r="J2444" s="1435"/>
      <c r="K2444" s="1433"/>
      <c r="L2444" s="1433"/>
      <c r="M2444" s="1433"/>
      <c r="N2444" s="1433"/>
      <c r="O2444" s="1433"/>
      <c r="P2444" s="1433"/>
      <c r="Q2444" s="1433"/>
      <c r="R2444" s="1434"/>
      <c r="S2444" s="1433"/>
      <c r="T2444" s="1433"/>
      <c r="U2444" s="1433"/>
      <c r="V2444" s="1433"/>
      <c r="W2444" s="1436"/>
    </row>
    <row r="2445" spans="1:23">
      <c r="A2445" s="1432"/>
      <c r="B2445" s="1433"/>
      <c r="C2445" s="1434"/>
      <c r="D2445" s="1433"/>
      <c r="E2445" s="1433"/>
      <c r="F2445" s="1433"/>
      <c r="G2445" s="1433"/>
      <c r="H2445" s="1433"/>
      <c r="I2445" s="1434"/>
      <c r="J2445" s="1435"/>
      <c r="K2445" s="1433"/>
      <c r="L2445" s="1433"/>
      <c r="M2445" s="1433"/>
      <c r="N2445" s="1433"/>
      <c r="O2445" s="1433"/>
      <c r="P2445" s="1433"/>
      <c r="Q2445" s="1433"/>
      <c r="R2445" s="1434"/>
      <c r="S2445" s="1433"/>
      <c r="T2445" s="1433"/>
      <c r="U2445" s="1433"/>
      <c r="V2445" s="1433"/>
      <c r="W2445" s="1436"/>
    </row>
    <row r="2446" spans="1:23">
      <c r="A2446" s="1432"/>
      <c r="B2446" s="1433"/>
      <c r="C2446" s="1434"/>
      <c r="D2446" s="1433"/>
      <c r="E2446" s="1433"/>
      <c r="F2446" s="1433"/>
      <c r="G2446" s="1433"/>
      <c r="H2446" s="1433"/>
      <c r="I2446" s="1434"/>
      <c r="J2446" s="1435"/>
      <c r="K2446" s="1433"/>
      <c r="L2446" s="1433"/>
      <c r="M2446" s="1433"/>
      <c r="N2446" s="1433"/>
      <c r="O2446" s="1433"/>
      <c r="P2446" s="1433"/>
      <c r="Q2446" s="1433"/>
      <c r="R2446" s="1434"/>
      <c r="S2446" s="1433"/>
      <c r="T2446" s="1433"/>
      <c r="U2446" s="1433"/>
      <c r="V2446" s="1433"/>
      <c r="W2446" s="1436"/>
    </row>
    <row r="2447" spans="1:23">
      <c r="A2447" s="1432"/>
      <c r="B2447" s="1433"/>
      <c r="C2447" s="1434"/>
      <c r="D2447" s="1433"/>
      <c r="E2447" s="1433"/>
      <c r="F2447" s="1433"/>
      <c r="G2447" s="1433"/>
      <c r="H2447" s="1433"/>
      <c r="I2447" s="1434"/>
      <c r="J2447" s="1435"/>
      <c r="K2447" s="1433"/>
      <c r="L2447" s="1433"/>
      <c r="M2447" s="1433"/>
      <c r="N2447" s="1433"/>
      <c r="O2447" s="1433"/>
      <c r="P2447" s="1433"/>
      <c r="Q2447" s="1433"/>
      <c r="R2447" s="1434"/>
      <c r="S2447" s="1433"/>
      <c r="T2447" s="1433"/>
      <c r="U2447" s="1433"/>
      <c r="V2447" s="1433"/>
      <c r="W2447" s="1436"/>
    </row>
    <row r="2448" spans="1:23">
      <c r="A2448" s="1432"/>
      <c r="B2448" s="1433"/>
      <c r="C2448" s="1434"/>
      <c r="D2448" s="1433"/>
      <c r="E2448" s="1433"/>
      <c r="F2448" s="1433"/>
      <c r="G2448" s="1433"/>
      <c r="H2448" s="1433"/>
      <c r="I2448" s="1434"/>
      <c r="J2448" s="1435"/>
      <c r="K2448" s="1433"/>
      <c r="L2448" s="1433"/>
      <c r="M2448" s="1433"/>
      <c r="N2448" s="1433"/>
      <c r="O2448" s="1433"/>
      <c r="P2448" s="1433"/>
      <c r="Q2448" s="1433"/>
      <c r="R2448" s="1434"/>
      <c r="S2448" s="1433"/>
      <c r="T2448" s="1433"/>
      <c r="U2448" s="1433"/>
      <c r="V2448" s="1433"/>
      <c r="W2448" s="1436"/>
    </row>
    <row r="2449" spans="1:23">
      <c r="A2449" s="1432"/>
      <c r="B2449" s="1433"/>
      <c r="C2449" s="1434"/>
      <c r="D2449" s="1433"/>
      <c r="E2449" s="1433"/>
      <c r="F2449" s="1433"/>
      <c r="G2449" s="1433"/>
      <c r="H2449" s="1433"/>
      <c r="I2449" s="1434"/>
      <c r="J2449" s="1435"/>
      <c r="K2449" s="1433"/>
      <c r="L2449" s="1433"/>
      <c r="M2449" s="1433"/>
      <c r="N2449" s="1433"/>
      <c r="O2449" s="1433"/>
      <c r="P2449" s="1433"/>
      <c r="Q2449" s="1433"/>
      <c r="R2449" s="1434"/>
      <c r="S2449" s="1433"/>
      <c r="T2449" s="1433"/>
      <c r="U2449" s="1433"/>
      <c r="V2449" s="1433"/>
      <c r="W2449" s="1436"/>
    </row>
    <row r="2450" spans="1:23">
      <c r="A2450" s="1432"/>
      <c r="B2450" s="1433"/>
      <c r="C2450" s="1434"/>
      <c r="D2450" s="1433"/>
      <c r="E2450" s="1433"/>
      <c r="F2450" s="1433"/>
      <c r="G2450" s="1433"/>
      <c r="H2450" s="1433"/>
      <c r="I2450" s="1434"/>
      <c r="J2450" s="1435"/>
      <c r="K2450" s="1433"/>
      <c r="L2450" s="1433"/>
      <c r="M2450" s="1433"/>
      <c r="N2450" s="1433"/>
      <c r="O2450" s="1433"/>
      <c r="P2450" s="1433"/>
      <c r="Q2450" s="1433"/>
      <c r="R2450" s="1434"/>
      <c r="S2450" s="1433"/>
      <c r="T2450" s="1433"/>
      <c r="U2450" s="1433"/>
      <c r="V2450" s="1433"/>
      <c r="W2450" s="1436"/>
    </row>
    <row r="2451" spans="1:23">
      <c r="A2451" s="1432"/>
      <c r="B2451" s="1433"/>
      <c r="C2451" s="1434"/>
      <c r="D2451" s="1433"/>
      <c r="E2451" s="1433"/>
      <c r="F2451" s="1433"/>
      <c r="G2451" s="1433"/>
      <c r="H2451" s="1433"/>
      <c r="I2451" s="1434"/>
      <c r="J2451" s="1435"/>
      <c r="K2451" s="1433"/>
      <c r="L2451" s="1433"/>
      <c r="M2451" s="1433"/>
      <c r="N2451" s="1433"/>
      <c r="O2451" s="1433"/>
      <c r="P2451" s="1433"/>
      <c r="Q2451" s="1433"/>
      <c r="R2451" s="1434"/>
      <c r="S2451" s="1433"/>
      <c r="T2451" s="1433"/>
      <c r="U2451" s="1433"/>
      <c r="V2451" s="1433"/>
      <c r="W2451" s="1436"/>
    </row>
    <row r="2452" spans="1:23">
      <c r="A2452" s="1432"/>
      <c r="B2452" s="1433"/>
      <c r="C2452" s="1434"/>
      <c r="D2452" s="1433"/>
      <c r="E2452" s="1433"/>
      <c r="F2452" s="1433"/>
      <c r="G2452" s="1433"/>
      <c r="H2452" s="1433"/>
      <c r="I2452" s="1434"/>
      <c r="J2452" s="1435"/>
      <c r="K2452" s="1433"/>
      <c r="L2452" s="1433"/>
      <c r="M2452" s="1433"/>
      <c r="N2452" s="1433"/>
      <c r="O2452" s="1433"/>
      <c r="P2452" s="1433"/>
      <c r="Q2452" s="1433"/>
      <c r="R2452" s="1434"/>
      <c r="S2452" s="1433"/>
      <c r="T2452" s="1433"/>
      <c r="U2452" s="1433"/>
      <c r="V2452" s="1433"/>
      <c r="W2452" s="1436"/>
    </row>
    <row r="2453" spans="1:23">
      <c r="A2453" s="1432"/>
      <c r="B2453" s="1433"/>
      <c r="C2453" s="1434"/>
      <c r="D2453" s="1433"/>
      <c r="E2453" s="1433"/>
      <c r="F2453" s="1433"/>
      <c r="G2453" s="1433"/>
      <c r="H2453" s="1433"/>
      <c r="I2453" s="1434"/>
      <c r="J2453" s="1435"/>
      <c r="K2453" s="1433"/>
      <c r="L2453" s="1433"/>
      <c r="M2453" s="1433"/>
      <c r="N2453" s="1433"/>
      <c r="O2453" s="1433"/>
      <c r="P2453" s="1433"/>
      <c r="Q2453" s="1433"/>
      <c r="R2453" s="1434"/>
      <c r="S2453" s="1433"/>
      <c r="T2453" s="1433"/>
      <c r="U2453" s="1433"/>
      <c r="V2453" s="1433"/>
      <c r="W2453" s="1436"/>
    </row>
    <row r="2454" spans="1:23">
      <c r="A2454" s="1432"/>
      <c r="B2454" s="1433"/>
      <c r="C2454" s="1434"/>
      <c r="D2454" s="1433"/>
      <c r="E2454" s="1433"/>
      <c r="F2454" s="1433"/>
      <c r="G2454" s="1433"/>
      <c r="H2454" s="1433"/>
      <c r="I2454" s="1434"/>
      <c r="J2454" s="1435"/>
      <c r="K2454" s="1433"/>
      <c r="L2454" s="1433"/>
      <c r="M2454" s="1433"/>
      <c r="N2454" s="1433"/>
      <c r="O2454" s="1433"/>
      <c r="P2454" s="1433"/>
      <c r="Q2454" s="1433"/>
      <c r="R2454" s="1434"/>
      <c r="S2454" s="1433"/>
      <c r="T2454" s="1433"/>
      <c r="U2454" s="1433"/>
      <c r="V2454" s="1433"/>
      <c r="W2454" s="1436"/>
    </row>
    <row r="2455" spans="1:23">
      <c r="A2455" s="1432"/>
      <c r="B2455" s="1433"/>
      <c r="C2455" s="1434"/>
      <c r="D2455" s="1433"/>
      <c r="E2455" s="1433"/>
      <c r="F2455" s="1433"/>
      <c r="G2455" s="1433"/>
      <c r="H2455" s="1433"/>
      <c r="I2455" s="1434"/>
      <c r="J2455" s="1435"/>
      <c r="K2455" s="1433"/>
      <c r="L2455" s="1433"/>
      <c r="M2455" s="1433"/>
      <c r="N2455" s="1433"/>
      <c r="O2455" s="1433"/>
      <c r="P2455" s="1433"/>
      <c r="Q2455" s="1433"/>
      <c r="R2455" s="1434"/>
      <c r="S2455" s="1433"/>
      <c r="T2455" s="1433"/>
      <c r="U2455" s="1433"/>
      <c r="V2455" s="1433"/>
      <c r="W2455" s="1436"/>
    </row>
    <row r="2456" spans="1:23">
      <c r="A2456" s="1432"/>
      <c r="B2456" s="1433"/>
      <c r="C2456" s="1434"/>
      <c r="D2456" s="1433"/>
      <c r="E2456" s="1433"/>
      <c r="F2456" s="1433"/>
      <c r="G2456" s="1433"/>
      <c r="H2456" s="1433"/>
      <c r="I2456" s="1434"/>
      <c r="J2456" s="1435"/>
      <c r="K2456" s="1433"/>
      <c r="L2456" s="1433"/>
      <c r="M2456" s="1433"/>
      <c r="N2456" s="1433"/>
      <c r="O2456" s="1433"/>
      <c r="P2456" s="1433"/>
      <c r="Q2456" s="1433"/>
      <c r="R2456" s="1434"/>
      <c r="S2456" s="1433"/>
      <c r="T2456" s="1433"/>
      <c r="U2456" s="1433"/>
      <c r="V2456" s="1433"/>
      <c r="W2456" s="1436"/>
    </row>
    <row r="2457" spans="1:23">
      <c r="A2457" s="1432"/>
      <c r="B2457" s="1433"/>
      <c r="C2457" s="1434"/>
      <c r="D2457" s="1433"/>
      <c r="E2457" s="1433"/>
      <c r="F2457" s="1433"/>
      <c r="G2457" s="1433"/>
      <c r="H2457" s="1433"/>
      <c r="I2457" s="1434"/>
      <c r="J2457" s="1435"/>
      <c r="K2457" s="1433"/>
      <c r="L2457" s="1433"/>
      <c r="M2457" s="1433"/>
      <c r="N2457" s="1433"/>
      <c r="O2457" s="1433"/>
      <c r="P2457" s="1433"/>
      <c r="Q2457" s="1433"/>
      <c r="R2457" s="1434"/>
      <c r="S2457" s="1433"/>
      <c r="T2457" s="1433"/>
      <c r="U2457" s="1433"/>
      <c r="V2457" s="1433"/>
      <c r="W2457" s="1436"/>
    </row>
    <row r="2458" spans="1:23">
      <c r="A2458" s="1432"/>
      <c r="B2458" s="1433"/>
      <c r="C2458" s="1434"/>
      <c r="D2458" s="1433"/>
      <c r="E2458" s="1433"/>
      <c r="F2458" s="1433"/>
      <c r="G2458" s="1433"/>
      <c r="H2458" s="1433"/>
      <c r="I2458" s="1434"/>
      <c r="J2458" s="1435"/>
      <c r="K2458" s="1433"/>
      <c r="L2458" s="1433"/>
      <c r="M2458" s="1433"/>
      <c r="N2458" s="1433"/>
      <c r="O2458" s="1433"/>
      <c r="P2458" s="1433"/>
      <c r="Q2458" s="1433"/>
      <c r="R2458" s="1434"/>
      <c r="S2458" s="1433"/>
      <c r="T2458" s="1433"/>
      <c r="U2458" s="1433"/>
      <c r="V2458" s="1433"/>
      <c r="W2458" s="1436"/>
    </row>
    <row r="2459" spans="1:23">
      <c r="A2459" s="1432"/>
      <c r="B2459" s="1433"/>
      <c r="C2459" s="1434"/>
      <c r="D2459" s="1433"/>
      <c r="E2459" s="1433"/>
      <c r="F2459" s="1433"/>
      <c r="G2459" s="1433"/>
      <c r="H2459" s="1433"/>
      <c r="I2459" s="1434"/>
      <c r="J2459" s="1435"/>
      <c r="K2459" s="1433"/>
      <c r="L2459" s="1433"/>
      <c r="M2459" s="1433"/>
      <c r="N2459" s="1433"/>
      <c r="O2459" s="1433"/>
      <c r="P2459" s="1433"/>
      <c r="Q2459" s="1433"/>
      <c r="R2459" s="1434"/>
      <c r="S2459" s="1433"/>
      <c r="T2459" s="1433"/>
      <c r="U2459" s="1433"/>
      <c r="V2459" s="1433"/>
      <c r="W2459" s="1436"/>
    </row>
    <row r="2460" spans="1:23">
      <c r="A2460" s="1432"/>
      <c r="B2460" s="1433"/>
      <c r="C2460" s="1434"/>
      <c r="D2460" s="1433"/>
      <c r="E2460" s="1433"/>
      <c r="F2460" s="1433"/>
      <c r="G2460" s="1433"/>
      <c r="H2460" s="1433"/>
      <c r="I2460" s="1434"/>
      <c r="J2460" s="1435"/>
      <c r="K2460" s="1433"/>
      <c r="L2460" s="1433"/>
      <c r="M2460" s="1433"/>
      <c r="N2460" s="1433"/>
      <c r="O2460" s="1433"/>
      <c r="P2460" s="1433"/>
      <c r="Q2460" s="1433"/>
      <c r="R2460" s="1434"/>
      <c r="S2460" s="1433"/>
      <c r="T2460" s="1433"/>
      <c r="U2460" s="1433"/>
      <c r="V2460" s="1433"/>
      <c r="W2460" s="1436"/>
    </row>
    <row r="2461" spans="1:23">
      <c r="A2461" s="1432"/>
      <c r="B2461" s="1433"/>
      <c r="C2461" s="1434"/>
      <c r="D2461" s="1433"/>
      <c r="E2461" s="1433"/>
      <c r="F2461" s="1433"/>
      <c r="G2461" s="1433"/>
      <c r="H2461" s="1433"/>
      <c r="I2461" s="1434"/>
      <c r="J2461" s="1435"/>
      <c r="K2461" s="1433"/>
      <c r="L2461" s="1433"/>
      <c r="M2461" s="1433"/>
      <c r="N2461" s="1433"/>
      <c r="O2461" s="1433"/>
      <c r="P2461" s="1433"/>
      <c r="Q2461" s="1433"/>
      <c r="R2461" s="1434"/>
      <c r="S2461" s="1433"/>
      <c r="T2461" s="1433"/>
      <c r="U2461" s="1433"/>
      <c r="V2461" s="1433"/>
      <c r="W2461" s="1436"/>
    </row>
    <row r="2462" spans="1:23">
      <c r="A2462" s="1432"/>
      <c r="B2462" s="1433"/>
      <c r="C2462" s="1434"/>
      <c r="D2462" s="1433"/>
      <c r="E2462" s="1433"/>
      <c r="F2462" s="1433"/>
      <c r="G2462" s="1433"/>
      <c r="H2462" s="1433"/>
      <c r="I2462" s="1434"/>
      <c r="J2462" s="1435"/>
      <c r="K2462" s="1433"/>
      <c r="L2462" s="1433"/>
      <c r="M2462" s="1433"/>
      <c r="N2462" s="1433"/>
      <c r="O2462" s="1433"/>
      <c r="P2462" s="1433"/>
      <c r="Q2462" s="1433"/>
      <c r="R2462" s="1434"/>
      <c r="S2462" s="1433"/>
      <c r="T2462" s="1433"/>
      <c r="U2462" s="1433"/>
      <c r="V2462" s="1433"/>
      <c r="W2462" s="1436"/>
    </row>
    <row r="2463" spans="1:23">
      <c r="A2463" s="1432"/>
      <c r="B2463" s="1433"/>
      <c r="C2463" s="1434"/>
      <c r="D2463" s="1433"/>
      <c r="E2463" s="1433"/>
      <c r="F2463" s="1433"/>
      <c r="G2463" s="1433"/>
      <c r="H2463" s="1433"/>
      <c r="I2463" s="1434"/>
      <c r="J2463" s="1435"/>
      <c r="K2463" s="1433"/>
      <c r="L2463" s="1433"/>
      <c r="M2463" s="1433"/>
      <c r="N2463" s="1433"/>
      <c r="O2463" s="1433"/>
      <c r="P2463" s="1433"/>
      <c r="Q2463" s="1433"/>
      <c r="R2463" s="1434"/>
      <c r="S2463" s="1433"/>
      <c r="T2463" s="1433"/>
      <c r="U2463" s="1433"/>
      <c r="V2463" s="1433"/>
      <c r="W2463" s="1436"/>
    </row>
    <row r="2464" spans="1:23">
      <c r="A2464" s="1432"/>
      <c r="B2464" s="1433"/>
      <c r="C2464" s="1434"/>
      <c r="D2464" s="1433"/>
      <c r="E2464" s="1433"/>
      <c r="F2464" s="1433"/>
      <c r="G2464" s="1433"/>
      <c r="H2464" s="1433"/>
      <c r="I2464" s="1434"/>
      <c r="J2464" s="1435"/>
      <c r="K2464" s="1433"/>
      <c r="L2464" s="1433"/>
      <c r="M2464" s="1433"/>
      <c r="N2464" s="1433"/>
      <c r="O2464" s="1433"/>
      <c r="P2464" s="1433"/>
      <c r="Q2464" s="1433"/>
      <c r="R2464" s="1434"/>
      <c r="S2464" s="1433"/>
      <c r="T2464" s="1433"/>
      <c r="U2464" s="1433"/>
      <c r="V2464" s="1433"/>
      <c r="W2464" s="1436"/>
    </row>
    <row r="2465" spans="1:23">
      <c r="A2465" s="1432"/>
      <c r="B2465" s="1433"/>
      <c r="C2465" s="1434"/>
      <c r="D2465" s="1433"/>
      <c r="E2465" s="1433"/>
      <c r="F2465" s="1433"/>
      <c r="G2465" s="1433"/>
      <c r="H2465" s="1433"/>
      <c r="I2465" s="1434"/>
      <c r="J2465" s="1435"/>
      <c r="K2465" s="1433"/>
      <c r="L2465" s="1433"/>
      <c r="M2465" s="1433"/>
      <c r="N2465" s="1433"/>
      <c r="O2465" s="1433"/>
      <c r="P2465" s="1433"/>
      <c r="Q2465" s="1433"/>
      <c r="R2465" s="1434"/>
      <c r="S2465" s="1433"/>
      <c r="T2465" s="1433"/>
      <c r="U2465" s="1433"/>
      <c r="V2465" s="1433"/>
      <c r="W2465" s="1436"/>
    </row>
    <row r="2466" spans="1:23">
      <c r="A2466" s="1432"/>
      <c r="B2466" s="1433"/>
      <c r="C2466" s="1434"/>
      <c r="D2466" s="1433"/>
      <c r="E2466" s="1433"/>
      <c r="F2466" s="1433"/>
      <c r="G2466" s="1433"/>
      <c r="H2466" s="1433"/>
      <c r="I2466" s="1434"/>
      <c r="J2466" s="1435"/>
      <c r="K2466" s="1433"/>
      <c r="L2466" s="1433"/>
      <c r="M2466" s="1433"/>
      <c r="N2466" s="1433"/>
      <c r="O2466" s="1433"/>
      <c r="P2466" s="1433"/>
      <c r="Q2466" s="1433"/>
      <c r="R2466" s="1434"/>
      <c r="S2466" s="1433"/>
      <c r="T2466" s="1433"/>
      <c r="U2466" s="1433"/>
      <c r="V2466" s="1433"/>
      <c r="W2466" s="1436"/>
    </row>
    <row r="2467" spans="1:23">
      <c r="A2467" s="1432"/>
      <c r="B2467" s="1433"/>
      <c r="C2467" s="1434"/>
      <c r="D2467" s="1433"/>
      <c r="E2467" s="1433"/>
      <c r="F2467" s="1433"/>
      <c r="G2467" s="1433"/>
      <c r="H2467" s="1433"/>
      <c r="I2467" s="1434"/>
      <c r="J2467" s="1435"/>
      <c r="K2467" s="1433"/>
      <c r="L2467" s="1433"/>
      <c r="M2467" s="1433"/>
      <c r="N2467" s="1433"/>
      <c r="O2467" s="1433"/>
      <c r="P2467" s="1433"/>
      <c r="Q2467" s="1433"/>
      <c r="R2467" s="1434"/>
      <c r="S2467" s="1433"/>
      <c r="T2467" s="1433"/>
      <c r="U2467" s="1433"/>
      <c r="V2467" s="1433"/>
      <c r="W2467" s="1436"/>
    </row>
    <row r="2468" spans="1:23">
      <c r="A2468" s="1432"/>
      <c r="B2468" s="1433"/>
      <c r="C2468" s="1434"/>
      <c r="D2468" s="1433"/>
      <c r="E2468" s="1433"/>
      <c r="F2468" s="1433"/>
      <c r="G2468" s="1433"/>
      <c r="H2468" s="1433"/>
      <c r="I2468" s="1434"/>
      <c r="J2468" s="1435"/>
      <c r="K2468" s="1433"/>
      <c r="L2468" s="1433"/>
      <c r="M2468" s="1433"/>
      <c r="N2468" s="1433"/>
      <c r="O2468" s="1433"/>
      <c r="P2468" s="1433"/>
      <c r="Q2468" s="1433"/>
      <c r="R2468" s="1434"/>
      <c r="S2468" s="1433"/>
      <c r="T2468" s="1433"/>
      <c r="U2468" s="1433"/>
      <c r="V2468" s="1433"/>
      <c r="W2468" s="1436"/>
    </row>
    <row r="2469" spans="1:23">
      <c r="A2469" s="1432"/>
      <c r="B2469" s="1433"/>
      <c r="C2469" s="1434"/>
      <c r="D2469" s="1433"/>
      <c r="E2469" s="1433"/>
      <c r="F2469" s="1433"/>
      <c r="G2469" s="1433"/>
      <c r="H2469" s="1433"/>
      <c r="I2469" s="1434"/>
      <c r="J2469" s="1435"/>
      <c r="K2469" s="1433"/>
      <c r="L2469" s="1433"/>
      <c r="M2469" s="1433"/>
      <c r="N2469" s="1433"/>
      <c r="O2469" s="1433"/>
      <c r="P2469" s="1433"/>
      <c r="Q2469" s="1433"/>
      <c r="R2469" s="1434"/>
      <c r="S2469" s="1433"/>
      <c r="T2469" s="1433"/>
      <c r="U2469" s="1433"/>
      <c r="V2469" s="1433"/>
      <c r="W2469" s="1436"/>
    </row>
    <row r="2470" spans="1:23">
      <c r="A2470" s="1432"/>
      <c r="B2470" s="1433"/>
      <c r="C2470" s="1434"/>
      <c r="D2470" s="1433"/>
      <c r="E2470" s="1433"/>
      <c r="F2470" s="1433"/>
      <c r="G2470" s="1433"/>
      <c r="H2470" s="1433"/>
      <c r="I2470" s="1434"/>
      <c r="J2470" s="1435"/>
      <c r="K2470" s="1433"/>
      <c r="L2470" s="1433"/>
      <c r="M2470" s="1433"/>
      <c r="N2470" s="1433"/>
      <c r="O2470" s="1433"/>
      <c r="P2470" s="1433"/>
      <c r="Q2470" s="1433"/>
      <c r="R2470" s="1434"/>
      <c r="S2470" s="1433"/>
      <c r="T2470" s="1433"/>
      <c r="U2470" s="1433"/>
      <c r="V2470" s="1433"/>
      <c r="W2470" s="1436"/>
    </row>
    <row r="2471" spans="1:23">
      <c r="A2471" s="1432"/>
      <c r="B2471" s="1433"/>
      <c r="C2471" s="1434"/>
      <c r="D2471" s="1433"/>
      <c r="E2471" s="1433"/>
      <c r="F2471" s="1433"/>
      <c r="G2471" s="1433"/>
      <c r="H2471" s="1433"/>
      <c r="I2471" s="1434"/>
      <c r="J2471" s="1435"/>
      <c r="K2471" s="1433"/>
      <c r="L2471" s="1433"/>
      <c r="M2471" s="1433"/>
      <c r="N2471" s="1433"/>
      <c r="O2471" s="1433"/>
      <c r="P2471" s="1433"/>
      <c r="Q2471" s="1433"/>
      <c r="R2471" s="1434"/>
      <c r="S2471" s="1433"/>
      <c r="T2471" s="1433"/>
      <c r="U2471" s="1433"/>
      <c r="V2471" s="1433"/>
      <c r="W2471" s="1436"/>
    </row>
    <row r="2472" spans="1:23">
      <c r="A2472" s="1432"/>
      <c r="B2472" s="1433"/>
      <c r="C2472" s="1434"/>
      <c r="D2472" s="1433"/>
      <c r="E2472" s="1433"/>
      <c r="F2472" s="1433"/>
      <c r="G2472" s="1433"/>
      <c r="H2472" s="1433"/>
      <c r="I2472" s="1434"/>
      <c r="J2472" s="1435"/>
      <c r="K2472" s="1433"/>
      <c r="L2472" s="1433"/>
      <c r="M2472" s="1433"/>
      <c r="N2472" s="1433"/>
      <c r="O2472" s="1433"/>
      <c r="P2472" s="1433"/>
      <c r="Q2472" s="1433"/>
      <c r="R2472" s="1434"/>
      <c r="S2472" s="1433"/>
      <c r="T2472" s="1433"/>
      <c r="U2472" s="1433"/>
      <c r="V2472" s="1433"/>
      <c r="W2472" s="1436"/>
    </row>
    <row r="2473" spans="1:23">
      <c r="A2473" s="1432"/>
      <c r="B2473" s="1433"/>
      <c r="C2473" s="1434"/>
      <c r="D2473" s="1433"/>
      <c r="E2473" s="1433"/>
      <c r="F2473" s="1433"/>
      <c r="G2473" s="1433"/>
      <c r="H2473" s="1433"/>
      <c r="I2473" s="1434"/>
      <c r="J2473" s="1435"/>
      <c r="K2473" s="1433"/>
      <c r="L2473" s="1433"/>
      <c r="M2473" s="1433"/>
      <c r="N2473" s="1433"/>
      <c r="O2473" s="1433"/>
      <c r="P2473" s="1433"/>
      <c r="Q2473" s="1433"/>
      <c r="R2473" s="1434"/>
      <c r="S2473" s="1433"/>
      <c r="T2473" s="1433"/>
      <c r="U2473" s="1433"/>
      <c r="V2473" s="1433"/>
      <c r="W2473" s="1436"/>
    </row>
    <row r="2474" spans="1:23">
      <c r="A2474" s="1432"/>
      <c r="B2474" s="1433"/>
      <c r="C2474" s="1434"/>
      <c r="D2474" s="1433"/>
      <c r="E2474" s="1433"/>
      <c r="F2474" s="1433"/>
      <c r="G2474" s="1433"/>
      <c r="H2474" s="1433"/>
      <c r="I2474" s="1434"/>
      <c r="J2474" s="1435"/>
      <c r="K2474" s="1433"/>
      <c r="L2474" s="1433"/>
      <c r="M2474" s="1433"/>
      <c r="N2474" s="1433"/>
      <c r="O2474" s="1433"/>
      <c r="P2474" s="1433"/>
      <c r="Q2474" s="1433"/>
      <c r="R2474" s="1434"/>
      <c r="S2474" s="1433"/>
      <c r="T2474" s="1433"/>
      <c r="U2474" s="1433"/>
      <c r="V2474" s="1433"/>
      <c r="W2474" s="1436"/>
    </row>
    <row r="2475" spans="1:23">
      <c r="A2475" s="1432"/>
      <c r="B2475" s="1433"/>
      <c r="C2475" s="1434"/>
      <c r="D2475" s="1433"/>
      <c r="E2475" s="1433"/>
      <c r="F2475" s="1433"/>
      <c r="G2475" s="1433"/>
      <c r="H2475" s="1433"/>
      <c r="I2475" s="1434"/>
      <c r="J2475" s="1435"/>
      <c r="K2475" s="1433"/>
      <c r="L2475" s="1433"/>
      <c r="M2475" s="1433"/>
      <c r="N2475" s="1433"/>
      <c r="O2475" s="1433"/>
      <c r="P2475" s="1433"/>
      <c r="Q2475" s="1433"/>
      <c r="R2475" s="1434"/>
      <c r="S2475" s="1433"/>
      <c r="T2475" s="1433"/>
      <c r="U2475" s="1433"/>
      <c r="V2475" s="1433"/>
      <c r="W2475" s="1436"/>
    </row>
    <row r="2476" spans="1:23">
      <c r="A2476" s="1432"/>
      <c r="B2476" s="1433"/>
      <c r="C2476" s="1434"/>
      <c r="D2476" s="1433"/>
      <c r="E2476" s="1433"/>
      <c r="F2476" s="1433"/>
      <c r="G2476" s="1433"/>
      <c r="H2476" s="1433"/>
      <c r="I2476" s="1434"/>
      <c r="J2476" s="1435"/>
      <c r="K2476" s="1433"/>
      <c r="L2476" s="1433"/>
      <c r="M2476" s="1433"/>
      <c r="N2476" s="1433"/>
      <c r="O2476" s="1433"/>
      <c r="P2476" s="1433"/>
      <c r="Q2476" s="1433"/>
      <c r="R2476" s="1434"/>
      <c r="S2476" s="1433"/>
      <c r="T2476" s="1433"/>
      <c r="U2476" s="1433"/>
      <c r="V2476" s="1433"/>
      <c r="W2476" s="1436"/>
    </row>
    <row r="2477" spans="1:23">
      <c r="A2477" s="1432"/>
      <c r="B2477" s="1433"/>
      <c r="C2477" s="1434"/>
      <c r="D2477" s="1433"/>
      <c r="E2477" s="1433"/>
      <c r="F2477" s="1433"/>
      <c r="G2477" s="1433"/>
      <c r="H2477" s="1433"/>
      <c r="I2477" s="1434"/>
      <c r="J2477" s="1435"/>
      <c r="K2477" s="1433"/>
      <c r="L2477" s="1433"/>
      <c r="M2477" s="1433"/>
      <c r="N2477" s="1433"/>
      <c r="O2477" s="1433"/>
      <c r="P2477" s="1433"/>
      <c r="Q2477" s="1433"/>
      <c r="R2477" s="1434"/>
      <c r="S2477" s="1433"/>
      <c r="T2477" s="1433"/>
      <c r="U2477" s="1433"/>
      <c r="V2477" s="1433"/>
      <c r="W2477" s="1436"/>
    </row>
    <row r="2478" spans="1:23">
      <c r="A2478" s="1432"/>
      <c r="B2478" s="1433"/>
      <c r="C2478" s="1434"/>
      <c r="D2478" s="1433"/>
      <c r="E2478" s="1433"/>
      <c r="F2478" s="1433"/>
      <c r="G2478" s="1433"/>
      <c r="H2478" s="1433"/>
      <c r="I2478" s="1434"/>
      <c r="J2478" s="1435"/>
      <c r="K2478" s="1433"/>
      <c r="L2478" s="1433"/>
      <c r="M2478" s="1433"/>
      <c r="N2478" s="1433"/>
      <c r="O2478" s="1433"/>
      <c r="P2478" s="1433"/>
      <c r="Q2478" s="1433"/>
      <c r="R2478" s="1434"/>
      <c r="S2478" s="1433"/>
      <c r="T2478" s="1433"/>
      <c r="U2478" s="1433"/>
      <c r="V2478" s="1433"/>
      <c r="W2478" s="1436"/>
    </row>
    <row r="2479" spans="1:23">
      <c r="A2479" s="1432"/>
      <c r="B2479" s="1433"/>
      <c r="C2479" s="1434"/>
      <c r="D2479" s="1433"/>
      <c r="E2479" s="1433"/>
      <c r="F2479" s="1433"/>
      <c r="G2479" s="1433"/>
      <c r="H2479" s="1433"/>
      <c r="I2479" s="1434"/>
      <c r="J2479" s="1435"/>
      <c r="K2479" s="1433"/>
      <c r="L2479" s="1433"/>
      <c r="M2479" s="1433"/>
      <c r="N2479" s="1433"/>
      <c r="O2479" s="1433"/>
      <c r="P2479" s="1433"/>
      <c r="Q2479" s="1433"/>
      <c r="R2479" s="1434"/>
      <c r="S2479" s="1433"/>
      <c r="T2479" s="1433"/>
      <c r="U2479" s="1433"/>
      <c r="V2479" s="1433"/>
      <c r="W2479" s="1436"/>
    </row>
    <row r="2480" spans="1:23">
      <c r="A2480" s="1432"/>
      <c r="B2480" s="1433"/>
      <c r="C2480" s="1434"/>
      <c r="D2480" s="1433"/>
      <c r="E2480" s="1433"/>
      <c r="F2480" s="1433"/>
      <c r="G2480" s="1433"/>
      <c r="H2480" s="1433"/>
      <c r="I2480" s="1434"/>
      <c r="J2480" s="1435"/>
      <c r="K2480" s="1433"/>
      <c r="L2480" s="1433"/>
      <c r="M2480" s="1433"/>
      <c r="N2480" s="1433"/>
      <c r="O2480" s="1433"/>
      <c r="P2480" s="1433"/>
      <c r="Q2480" s="1433"/>
      <c r="R2480" s="1434"/>
      <c r="S2480" s="1433"/>
      <c r="T2480" s="1433"/>
      <c r="U2480" s="1433"/>
      <c r="V2480" s="1433"/>
      <c r="W2480" s="1436"/>
    </row>
    <row r="2481" spans="1:27">
      <c r="A2481" s="1432"/>
      <c r="B2481" s="1433"/>
      <c r="C2481" s="1434"/>
      <c r="D2481" s="1433"/>
      <c r="E2481" s="1433"/>
      <c r="F2481" s="1433"/>
      <c r="G2481" s="1433"/>
      <c r="H2481" s="1433"/>
      <c r="I2481" s="1434"/>
      <c r="J2481" s="1435"/>
      <c r="K2481" s="1433"/>
      <c r="L2481" s="1433"/>
      <c r="M2481" s="1433"/>
      <c r="N2481" s="1433"/>
      <c r="O2481" s="1433"/>
      <c r="P2481" s="1433"/>
      <c r="Q2481" s="1433"/>
      <c r="R2481" s="1434"/>
      <c r="S2481" s="1433"/>
      <c r="T2481" s="1433"/>
      <c r="U2481" s="1433"/>
      <c r="V2481" s="1433"/>
      <c r="W2481" s="1436"/>
    </row>
    <row r="2482" spans="1:27">
      <c r="A2482" s="1432"/>
      <c r="B2482" s="1433"/>
      <c r="C2482" s="1434"/>
      <c r="D2482" s="1433"/>
      <c r="E2482" s="1433"/>
      <c r="F2482" s="1433"/>
      <c r="G2482" s="1433"/>
      <c r="H2482" s="1433"/>
      <c r="I2482" s="1434"/>
      <c r="J2482" s="1435"/>
      <c r="K2482" s="1433"/>
      <c r="L2482" s="1433"/>
      <c r="M2482" s="1433"/>
      <c r="N2482" s="1433"/>
      <c r="O2482" s="1433"/>
      <c r="P2482" s="1433"/>
      <c r="Q2482" s="1433"/>
      <c r="R2482" s="1434"/>
      <c r="S2482" s="1433"/>
      <c r="T2482" s="1433"/>
      <c r="U2482" s="1433"/>
      <c r="V2482" s="1433"/>
      <c r="W2482" s="1436"/>
    </row>
    <row r="2483" spans="1:27">
      <c r="A2483" s="1432"/>
      <c r="B2483" s="1433"/>
      <c r="C2483" s="1434"/>
      <c r="D2483" s="1433"/>
      <c r="E2483" s="1433"/>
      <c r="F2483" s="1433"/>
      <c r="G2483" s="1433"/>
      <c r="H2483" s="1433"/>
      <c r="I2483" s="1434"/>
      <c r="J2483" s="1435"/>
      <c r="K2483" s="1433"/>
      <c r="L2483" s="1433"/>
      <c r="M2483" s="1433"/>
      <c r="N2483" s="1433"/>
      <c r="O2483" s="1433"/>
      <c r="P2483" s="1433"/>
      <c r="Q2483" s="1433"/>
      <c r="R2483" s="1434"/>
      <c r="S2483" s="1433"/>
      <c r="T2483" s="1433"/>
      <c r="U2483" s="1433"/>
      <c r="V2483" s="1433"/>
      <c r="W2483" s="1436"/>
    </row>
    <row r="2484" spans="1:27">
      <c r="A2484" s="1432"/>
      <c r="B2484" s="1433"/>
      <c r="C2484" s="1434"/>
      <c r="D2484" s="1433"/>
      <c r="E2484" s="1433"/>
      <c r="F2484" s="1433"/>
      <c r="G2484" s="1433"/>
      <c r="H2484" s="1433"/>
      <c r="I2484" s="1434"/>
      <c r="J2484" s="1435"/>
      <c r="K2484" s="1433"/>
      <c r="L2484" s="1433"/>
      <c r="M2484" s="1433"/>
      <c r="N2484" s="1433"/>
      <c r="O2484" s="1433"/>
      <c r="P2484" s="1433"/>
      <c r="Q2484" s="1433"/>
      <c r="R2484" s="1434"/>
      <c r="S2484" s="1433"/>
      <c r="T2484" s="1433"/>
      <c r="U2484" s="1433"/>
      <c r="V2484" s="1433"/>
      <c r="W2484" s="1436"/>
    </row>
    <row r="2485" spans="1:27">
      <c r="A2485" s="1432"/>
      <c r="B2485" s="1433"/>
      <c r="C2485" s="1434"/>
      <c r="D2485" s="1433"/>
      <c r="E2485" s="1433"/>
      <c r="F2485" s="1433"/>
      <c r="G2485" s="1433"/>
      <c r="H2485" s="1433"/>
      <c r="I2485" s="1434"/>
      <c r="J2485" s="1435"/>
      <c r="K2485" s="1433"/>
      <c r="L2485" s="1433"/>
      <c r="M2485" s="1433"/>
      <c r="N2485" s="1433"/>
      <c r="O2485" s="1433"/>
      <c r="P2485" s="1433"/>
      <c r="Q2485" s="1433"/>
      <c r="R2485" s="1434"/>
      <c r="S2485" s="1433"/>
      <c r="T2485" s="1433"/>
      <c r="U2485" s="1433"/>
      <c r="V2485" s="1433"/>
      <c r="W2485" s="1436"/>
    </row>
    <row r="2486" spans="1:27">
      <c r="A2486" s="1432"/>
      <c r="B2486" s="1433"/>
      <c r="C2486" s="1434"/>
      <c r="D2486" s="1433"/>
      <c r="E2486" s="1433"/>
      <c r="F2486" s="1433"/>
      <c r="G2486" s="1433"/>
      <c r="H2486" s="1433"/>
      <c r="I2486" s="1434"/>
      <c r="J2486" s="1435"/>
      <c r="K2486" s="1433"/>
      <c r="L2486" s="1433"/>
      <c r="M2486" s="1433"/>
      <c r="N2486" s="1433"/>
      <c r="O2486" s="1433"/>
      <c r="P2486" s="1433"/>
      <c r="Q2486" s="1433"/>
      <c r="R2486" s="1434"/>
      <c r="S2486" s="1433"/>
      <c r="T2486" s="1433"/>
      <c r="U2486" s="1433"/>
      <c r="V2486" s="1433"/>
      <c r="W2486" s="1436"/>
    </row>
    <row r="2487" spans="1:27">
      <c r="A2487" s="1432"/>
      <c r="B2487" s="1433"/>
      <c r="C2487" s="1434"/>
      <c r="D2487" s="1433"/>
      <c r="E2487" s="1433"/>
      <c r="F2487" s="1433"/>
      <c r="G2487" s="1433"/>
      <c r="H2487" s="1433"/>
      <c r="I2487" s="1434"/>
      <c r="J2487" s="1435"/>
      <c r="K2487" s="1433"/>
      <c r="L2487" s="1433"/>
      <c r="M2487" s="1433"/>
      <c r="N2487" s="1433"/>
      <c r="O2487" s="1433"/>
      <c r="P2487" s="1433"/>
      <c r="Q2487" s="1433"/>
      <c r="R2487" s="1434"/>
      <c r="S2487" s="1433"/>
      <c r="T2487" s="1433"/>
      <c r="U2487" s="1433"/>
      <c r="V2487" s="1433"/>
      <c r="W2487" s="1436"/>
    </row>
    <row r="2488" spans="1:27">
      <c r="A2488" s="1432"/>
      <c r="B2488" s="1433"/>
      <c r="C2488" s="1434"/>
      <c r="D2488" s="1433"/>
      <c r="E2488" s="1433"/>
      <c r="F2488" s="1433"/>
      <c r="G2488" s="1433"/>
      <c r="H2488" s="1433"/>
      <c r="I2488" s="1434"/>
      <c r="J2488" s="1435"/>
      <c r="K2488" s="1433"/>
      <c r="L2488" s="1433"/>
      <c r="M2488" s="1433"/>
      <c r="N2488" s="1433"/>
      <c r="O2488" s="1433"/>
      <c r="P2488" s="1433"/>
      <c r="Q2488" s="1433"/>
      <c r="R2488" s="1434"/>
      <c r="S2488" s="1433"/>
      <c r="T2488" s="1433"/>
      <c r="U2488" s="1433"/>
      <c r="V2488" s="1433"/>
      <c r="W2488" s="1436"/>
    </row>
    <row r="2489" spans="1:27">
      <c r="A2489" s="1790"/>
      <c r="B2489" s="1790"/>
      <c r="C2489" s="1790"/>
      <c r="D2489" s="1790"/>
      <c r="E2489" s="1790"/>
      <c r="F2489" s="1790"/>
      <c r="G2489" s="1790"/>
      <c r="H2489" s="1790" t="s">
        <v>0</v>
      </c>
      <c r="I2489" s="1790" t="s">
        <v>0</v>
      </c>
      <c r="J2489" s="1790" t="s">
        <v>0</v>
      </c>
      <c r="K2489" s="1790" t="s">
        <v>0</v>
      </c>
      <c r="L2489" s="1790" t="s">
        <v>0</v>
      </c>
      <c r="M2489" s="1790" t="s">
        <v>0</v>
      </c>
      <c r="N2489" s="1790" t="s">
        <v>0</v>
      </c>
      <c r="O2489" s="1790" t="s">
        <v>0</v>
      </c>
      <c r="P2489" s="1790" t="s">
        <v>0</v>
      </c>
      <c r="Q2489" s="1790" t="s">
        <v>0</v>
      </c>
      <c r="R2489" s="1790" t="s">
        <v>0</v>
      </c>
      <c r="S2489" s="1790" t="s">
        <v>0</v>
      </c>
      <c r="T2489" s="1790" t="s">
        <v>0</v>
      </c>
      <c r="U2489" s="1790" t="s">
        <v>0</v>
      </c>
      <c r="V2489" s="1790" t="s">
        <v>0</v>
      </c>
      <c r="W2489" s="1790" t="s">
        <v>0</v>
      </c>
      <c r="X2489" s="1790" t="s">
        <v>0</v>
      </c>
      <c r="Y2489" s="1790" t="s">
        <v>0</v>
      </c>
      <c r="Z2489" s="1790" t="s">
        <v>0</v>
      </c>
      <c r="AA2489" s="1790" t="s">
        <v>0</v>
      </c>
    </row>
  </sheetData>
  <autoFilter ref="A2:W2311">
    <filterColumn colId="0">
      <filters>
        <filter val="פנסיה"/>
      </filters>
    </filterColumn>
  </autoFilter>
  <mergeCells count="1">
    <mergeCell ref="AN21:AO21"/>
  </mergeCells>
  <pageMargins left="0.78740157480314965" right="0.78740157480314965" top="0.78740157480314965" bottom="0.78740157480314965" header="0.78740157480314965" footer="0.78740157480314965"/>
  <pageSetup paperSize="9" orientation="portrait" horizontalDpi="0" verticalDpi="0"/>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T20"/>
  <sheetViews>
    <sheetView rightToLeft="1" workbookViewId="0"/>
  </sheetViews>
  <sheetFormatPr defaultColWidth="8.81640625" defaultRowHeight="14"/>
  <cols>
    <col min="1" max="1" width="4.453125" style="1185" customWidth="1"/>
    <col min="2" max="2" width="21.54296875" style="1185" customWidth="1"/>
    <col min="3" max="3" width="17.54296875" style="1185" customWidth="1"/>
    <col min="4" max="5" width="15.453125" style="1185" customWidth="1"/>
    <col min="6" max="6" width="16.54296875" style="1185" customWidth="1"/>
    <col min="7" max="7" width="18.54296875" style="1185" customWidth="1"/>
    <col min="8" max="8" width="9.81640625" style="1185" bestFit="1" customWidth="1"/>
    <col min="9" max="9" width="8.81640625" style="1185"/>
    <col min="10" max="10" width="11.54296875" style="1185" customWidth="1"/>
    <col min="11" max="16384" width="8.81640625" style="1185"/>
  </cols>
  <sheetData>
    <row r="1" spans="1:20" ht="18">
      <c r="B1" s="15" t="str">
        <f>company</f>
        <v>_____חברה מנהלת</v>
      </c>
      <c r="C1"/>
      <c r="D1"/>
      <c r="E1"/>
    </row>
    <row r="2" spans="1:20" ht="18">
      <c r="B2" s="23" t="str">
        <f>Information!F13</f>
        <v>דיווח על חשבונות קטנים בקופות גמל</v>
      </c>
      <c r="C2"/>
      <c r="D2" s="642" t="s">
        <v>263</v>
      </c>
      <c r="H2" s="1557" t="s">
        <v>4579</v>
      </c>
      <c r="I2" s="1557"/>
      <c r="J2" s="1557"/>
    </row>
    <row r="3" spans="1:20" ht="18">
      <c r="B3" s="1424" t="str">
        <f>Information!$M$21</f>
        <v>הנתונים באלפי ש"ח</v>
      </c>
      <c r="C3"/>
      <c r="D3" s="1224" t="s">
        <v>2775</v>
      </c>
      <c r="E3" s="1223" t="str">
        <f>'1'!C4</f>
        <v>31.12.2021</v>
      </c>
      <c r="G3" s="1458" t="s">
        <v>4580</v>
      </c>
    </row>
    <row r="4" spans="1:20">
      <c r="B4" s="1550"/>
      <c r="C4" s="1797" t="s">
        <v>2772</v>
      </c>
      <c r="D4" s="1797"/>
      <c r="E4" s="1797"/>
      <c r="F4" s="1797"/>
      <c r="G4" s="1798"/>
      <c r="H4" s="1799" t="s">
        <v>4870</v>
      </c>
      <c r="I4" s="1800"/>
    </row>
    <row r="5" spans="1:20" ht="56">
      <c r="B5" s="1551"/>
      <c r="C5" s="1547" t="s">
        <v>4575</v>
      </c>
      <c r="D5" s="1547" t="s">
        <v>2779</v>
      </c>
      <c r="E5" s="1547" t="s">
        <v>4576</v>
      </c>
      <c r="F5" s="1547" t="s">
        <v>4577</v>
      </c>
      <c r="G5" s="1552" t="s">
        <v>4578</v>
      </c>
      <c r="H5" s="1576" t="s">
        <v>4871</v>
      </c>
      <c r="I5" s="1576" t="s">
        <v>4872</v>
      </c>
    </row>
    <row r="6" spans="1:20">
      <c r="B6" s="1551"/>
      <c r="C6" s="1547" t="s">
        <v>29</v>
      </c>
      <c r="D6" s="1547" t="s">
        <v>41</v>
      </c>
      <c r="E6" s="1547" t="s">
        <v>63</v>
      </c>
      <c r="F6" s="1547" t="s">
        <v>65</v>
      </c>
      <c r="G6" s="1552" t="s">
        <v>86</v>
      </c>
      <c r="H6" s="1577"/>
      <c r="I6" s="1577"/>
    </row>
    <row r="7" spans="1:20" ht="15.5">
      <c r="A7" s="1185">
        <v>1</v>
      </c>
      <c r="B7" s="1553" t="s">
        <v>2776</v>
      </c>
      <c r="C7" s="1548"/>
      <c r="D7" s="1548"/>
      <c r="E7" s="1548"/>
      <c r="F7" s="1548"/>
      <c r="G7" s="1554"/>
      <c r="H7" s="1587" t="str">
        <f>IFERROR(SUM(E7:F7)/C7,"")</f>
        <v/>
      </c>
      <c r="I7" s="1588" t="str">
        <f>IFERROR(G7/C7,"")</f>
        <v/>
      </c>
    </row>
    <row r="8" spans="1:20" ht="15.5">
      <c r="A8" s="1185">
        <v>2</v>
      </c>
      <c r="B8" s="1553" t="s">
        <v>2777</v>
      </c>
      <c r="C8" s="1548"/>
      <c r="D8" s="1548"/>
      <c r="E8" s="1548"/>
      <c r="F8" s="1548"/>
      <c r="G8" s="1554"/>
      <c r="H8" s="1589" t="str">
        <f t="shared" ref="H8:H10" si="0">IFERROR(SUM(E8:F8)/C8,"")</f>
        <v/>
      </c>
      <c r="I8" s="1590" t="str">
        <f t="shared" ref="I8:I10" si="1">IFERROR(G8/C8,"")</f>
        <v/>
      </c>
    </row>
    <row r="9" spans="1:20" ht="15.5">
      <c r="A9" s="1185">
        <v>3</v>
      </c>
      <c r="B9" s="1553" t="s">
        <v>2770</v>
      </c>
      <c r="C9" s="1548"/>
      <c r="D9" s="1548"/>
      <c r="E9" s="1548"/>
      <c r="F9" s="1548"/>
      <c r="G9" s="1554"/>
      <c r="H9" s="1589" t="str">
        <f t="shared" si="0"/>
        <v/>
      </c>
      <c r="I9" s="1590" t="str">
        <f t="shared" si="1"/>
        <v/>
      </c>
    </row>
    <row r="10" spans="1:20" ht="28">
      <c r="A10" s="1185">
        <v>4</v>
      </c>
      <c r="B10" s="1555" t="s">
        <v>2771</v>
      </c>
      <c r="C10" s="1549"/>
      <c r="D10" s="1549"/>
      <c r="E10" s="1549"/>
      <c r="F10" s="1549"/>
      <c r="G10" s="1556"/>
      <c r="H10" s="1591" t="str">
        <f t="shared" si="0"/>
        <v/>
      </c>
      <c r="I10" s="1592" t="str">
        <f t="shared" si="1"/>
        <v/>
      </c>
    </row>
    <row r="11" spans="1:20" ht="22.5">
      <c r="A11" s="1425" t="str">
        <f>IF(AND($C$9&gt;0,$C$12&gt;7000),1,"")</f>
        <v/>
      </c>
      <c r="B11" s="1580" t="str">
        <f>IF(AND(C7="",D14&gt;0),mess1,"")</f>
        <v/>
      </c>
      <c r="S11" s="1420" t="s">
        <v>0</v>
      </c>
      <c r="T11" s="1420" t="s">
        <v>2680</v>
      </c>
    </row>
    <row r="12" spans="1:20">
      <c r="B12" s="1185" t="s">
        <v>2926</v>
      </c>
      <c r="C12" s="1582" t="str">
        <f>IF(OR(C7=0,C9=0),"",C7*1000/C9)</f>
        <v/>
      </c>
      <c r="D12" s="1582" t="str">
        <f>IF(OR(D7=0,D9=0),"",D7*1000/D9)</f>
        <v/>
      </c>
      <c r="G12" s="1582" t="str">
        <f>IF(OR(G7=0,G9=0),"",G7*1000/G9)</f>
        <v/>
      </c>
      <c r="S12" s="1420" t="s">
        <v>2925</v>
      </c>
      <c r="T12" s="1420" t="s">
        <v>2681</v>
      </c>
    </row>
    <row r="13" spans="1:20">
      <c r="B13" s="1584" t="s">
        <v>4879</v>
      </c>
      <c r="D13" s="1586"/>
      <c r="G13" s="1420" t="s">
        <v>2778</v>
      </c>
    </row>
    <row r="14" spans="1:20">
      <c r="B14" s="1584" t="s">
        <v>4878</v>
      </c>
      <c r="C14" s="1584"/>
      <c r="D14" s="1585">
        <f>Dir1A!F26</f>
        <v>0</v>
      </c>
      <c r="E14" s="1581"/>
      <c r="H14" s="1583"/>
      <c r="S14" s="1578" t="s">
        <v>4873</v>
      </c>
      <c r="T14" s="1578" t="s">
        <v>2680</v>
      </c>
    </row>
    <row r="15" spans="1:20">
      <c r="B15" s="1581"/>
      <c r="D15" s="1579"/>
      <c r="E15" s="1581"/>
      <c r="H15" s="1583"/>
      <c r="S15" s="1578"/>
      <c r="T15" s="1578"/>
    </row>
    <row r="16" spans="1:20">
      <c r="B16" s="1581" t="s">
        <v>4880</v>
      </c>
      <c r="T16" s="1581" t="s">
        <v>2681</v>
      </c>
    </row>
    <row r="17" spans="2:2">
      <c r="B17" s="1581" t="s">
        <v>4874</v>
      </c>
    </row>
    <row r="18" spans="2:2">
      <c r="B18" s="1581" t="s">
        <v>4875</v>
      </c>
    </row>
    <row r="19" spans="2:2">
      <c r="B19" s="1581" t="s">
        <v>4876</v>
      </c>
    </row>
    <row r="20" spans="2:2">
      <c r="B20" s="1581" t="s">
        <v>4877</v>
      </c>
    </row>
  </sheetData>
  <sheetProtection password="83E7" sheet="1" objects="1" scenarios="1" formatCells="0" formatColumns="0" formatRows="0" autoFilter="0"/>
  <mergeCells count="2">
    <mergeCell ref="C4:G4"/>
    <mergeCell ref="H4:I4"/>
  </mergeCells>
  <hyperlinks>
    <hyperlink ref="D2" location="Information!A1" display="חזרה"/>
    <hyperlink ref="G3" r:id="rId1"/>
  </hyperlinks>
  <pageMargins left="0.70866141732283472" right="0.70866141732283472" top="0.74803149606299213" bottom="0.74803149606299213" header="0.31496062992125984" footer="0.31496062992125984"/>
  <pageSetup paperSize="9" orientation="landscape" r:id="rId2"/>
  <headerFooter>
    <oddFooter>&amp;L&amp;Z&amp;F&amp;A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pageSetUpPr fitToPage="1"/>
  </sheetPr>
  <dimension ref="A1:AC164"/>
  <sheetViews>
    <sheetView rightToLeft="1" topLeftCell="A13" workbookViewId="0">
      <selection activeCell="K30" sqref="K30"/>
    </sheetView>
  </sheetViews>
  <sheetFormatPr defaultColWidth="8.81640625" defaultRowHeight="12.5"/>
  <cols>
    <col min="1" max="1" width="4.453125" style="188" customWidth="1"/>
    <col min="2" max="2" width="3.453125" customWidth="1"/>
    <col min="3" max="3" width="6.1796875" customWidth="1"/>
    <col min="4" max="4" width="8.54296875" customWidth="1"/>
    <col min="5" max="5" width="16.54296875" customWidth="1"/>
    <col min="6" max="6" width="11.81640625" customWidth="1"/>
    <col min="7" max="7" width="10.54296875" customWidth="1"/>
    <col min="8" max="8" width="12.81640625" customWidth="1"/>
    <col min="9" max="9" width="11.453125" customWidth="1"/>
    <col min="10" max="10" width="10.54296875" customWidth="1"/>
    <col min="11" max="11" width="9.54296875" customWidth="1"/>
    <col min="12" max="12" width="10.453125" bestFit="1" customWidth="1"/>
    <col min="13" max="13" width="11.54296875" customWidth="1"/>
    <col min="14" max="14" width="0.81640625" customWidth="1"/>
    <col min="15" max="15" width="9.81640625" bestFit="1" customWidth="1"/>
    <col min="16" max="16" width="11.54296875" customWidth="1"/>
    <col min="17" max="20" width="8.81640625" style="188" customWidth="1"/>
    <col min="21" max="21" width="10.1796875" style="188" customWidth="1"/>
    <col min="22" max="16384" width="8.81640625" style="188"/>
  </cols>
  <sheetData>
    <row r="1" spans="1:22" s="105" customFormat="1" ht="20">
      <c r="B1" s="15" t="str">
        <f>company</f>
        <v>_____חברה מנהלת</v>
      </c>
      <c r="C1" s="106"/>
      <c r="D1" s="106"/>
      <c r="E1" s="107"/>
      <c r="F1" s="106"/>
      <c r="G1" s="19"/>
      <c r="H1" s="106"/>
      <c r="I1" s="106"/>
      <c r="J1" s="108" t="str">
        <f>Information!$E$1</f>
        <v>חזרה</v>
      </c>
      <c r="K1" s="106"/>
      <c r="L1" s="106"/>
      <c r="M1" s="109"/>
      <c r="Q1" s="110"/>
    </row>
    <row r="2" spans="1:22" s="105" customFormat="1" ht="20">
      <c r="B2" s="111" t="s">
        <v>762</v>
      </c>
      <c r="C2" s="112"/>
      <c r="D2" s="113"/>
      <c r="E2" s="114"/>
      <c r="F2" s="115"/>
      <c r="G2" s="115"/>
      <c r="H2" s="115"/>
      <c r="I2" s="115"/>
      <c r="J2" s="114"/>
      <c r="K2" s="114"/>
      <c r="L2" s="114"/>
      <c r="M2" s="114"/>
      <c r="Q2" s="110"/>
    </row>
    <row r="3" spans="1:22" s="105" customFormat="1" ht="20">
      <c r="B3" s="28" t="str">
        <f>Information!$M$21</f>
        <v>הנתונים באלפי ש"ח</v>
      </c>
      <c r="C3" s="116"/>
      <c r="D3" s="100"/>
      <c r="E3" s="114"/>
      <c r="F3" s="115"/>
      <c r="G3" s="115"/>
      <c r="H3" s="115"/>
      <c r="I3" s="115"/>
      <c r="J3" s="114"/>
      <c r="K3" s="114"/>
      <c r="L3" s="114"/>
      <c r="M3" s="114"/>
      <c r="Q3" s="110"/>
    </row>
    <row r="4" spans="1:22" s="105" customFormat="1" ht="9.75" customHeight="1">
      <c r="A4" s="117"/>
      <c r="B4" s="118"/>
      <c r="C4" s="116"/>
      <c r="D4" s="116"/>
      <c r="E4" s="114"/>
      <c r="F4" s="115"/>
      <c r="G4" s="115"/>
      <c r="H4" s="115"/>
      <c r="I4" s="115"/>
      <c r="J4" s="114"/>
      <c r="K4" s="114"/>
      <c r="L4" s="114"/>
      <c r="M4" s="114"/>
      <c r="N4" s="119"/>
      <c r="O4" s="119"/>
      <c r="Q4" s="110"/>
    </row>
    <row r="5" spans="1:22" s="105" customFormat="1" ht="20">
      <c r="A5" s="120"/>
      <c r="B5" s="121" t="s">
        <v>248</v>
      </c>
      <c r="C5" s="249" t="s">
        <v>249</v>
      </c>
      <c r="D5" s="122"/>
      <c r="E5" s="123"/>
      <c r="F5" s="124"/>
      <c r="G5" s="114"/>
      <c r="H5" s="114"/>
      <c r="I5" s="114"/>
      <c r="J5" s="114"/>
      <c r="K5" s="114"/>
      <c r="L5" s="114"/>
      <c r="M5" s="114"/>
      <c r="N5" s="119"/>
      <c r="O5" s="119"/>
      <c r="Q5" s="110"/>
    </row>
    <row r="6" spans="1:22" s="105" customFormat="1" ht="20">
      <c r="A6" s="125"/>
      <c r="B6" s="118"/>
      <c r="C6" s="126" t="s">
        <v>31</v>
      </c>
      <c r="D6" s="127" t="s">
        <v>286</v>
      </c>
      <c r="E6" s="128"/>
      <c r="F6" s="128"/>
      <c r="G6" s="129"/>
      <c r="H6" s="130"/>
      <c r="I6" s="131"/>
      <c r="K6" s="132">
        <f>T101_N!D5</f>
        <v>0</v>
      </c>
      <c r="M6" s="128"/>
      <c r="N6" s="133"/>
      <c r="O6" s="133"/>
      <c r="Q6" s="110"/>
    </row>
    <row r="7" spans="1:22" s="105" customFormat="1" ht="14.25" customHeight="1">
      <c r="B7" s="134"/>
      <c r="D7" s="126"/>
      <c r="K7" s="135"/>
      <c r="M7" s="135"/>
      <c r="N7" s="136"/>
      <c r="O7" s="136"/>
      <c r="Q7" s="110"/>
    </row>
    <row r="8" spans="1:22" s="105" customFormat="1" ht="20">
      <c r="A8" s="137"/>
      <c r="B8" s="146"/>
      <c r="C8" s="126" t="s">
        <v>44</v>
      </c>
      <c r="D8" s="127" t="s">
        <v>287</v>
      </c>
      <c r="E8" s="144"/>
      <c r="F8" s="147"/>
      <c r="G8" s="139"/>
      <c r="H8" s="138"/>
      <c r="I8" s="143"/>
      <c r="J8" s="145"/>
      <c r="K8" s="148"/>
      <c r="M8" s="139"/>
      <c r="N8" s="140"/>
      <c r="O8" s="140"/>
      <c r="P8" s="149"/>
      <c r="Q8" s="150"/>
      <c r="R8" s="149"/>
      <c r="S8" s="149"/>
      <c r="T8" s="149"/>
      <c r="U8" s="149"/>
      <c r="V8" s="149"/>
    </row>
    <row r="9" spans="1:22" s="105" customFormat="1" ht="20">
      <c r="A9" s="137"/>
      <c r="B9" s="151"/>
      <c r="C9" s="152" t="s">
        <v>29</v>
      </c>
      <c r="D9" s="206" t="s">
        <v>288</v>
      </c>
      <c r="E9" s="153"/>
      <c r="F9" s="124"/>
      <c r="G9" s="124"/>
      <c r="H9" s="154"/>
      <c r="I9" s="155"/>
      <c r="J9" s="156"/>
      <c r="K9" s="154"/>
      <c r="M9" s="124"/>
      <c r="N9" s="149"/>
      <c r="O9" s="149"/>
      <c r="P9" s="149"/>
      <c r="Q9" s="150"/>
      <c r="R9" s="149"/>
      <c r="S9" s="149"/>
      <c r="T9" s="149"/>
      <c r="U9" s="149"/>
      <c r="V9" s="149"/>
    </row>
    <row r="10" spans="1:22" s="105" customFormat="1" ht="19.5" customHeight="1">
      <c r="A10" s="137"/>
      <c r="B10" s="151"/>
      <c r="C10" s="157"/>
      <c r="D10" s="203">
        <v>1E-3</v>
      </c>
      <c r="E10" s="142" t="s">
        <v>250</v>
      </c>
      <c r="F10" s="166">
        <f>IF(T101_N!$D$6&lt;T101_N!$L$6,T101_N!$D$6,T101_N!$L$6)</f>
        <v>0</v>
      </c>
      <c r="G10" s="139"/>
      <c r="H10" s="166">
        <f>$F$10*$D$10</f>
        <v>0</v>
      </c>
      <c r="I10" s="159"/>
      <c r="J10" s="145"/>
      <c r="K10" s="138"/>
      <c r="M10" s="139"/>
      <c r="N10" s="149"/>
      <c r="O10" s="149"/>
      <c r="P10" s="149"/>
      <c r="Q10" s="150"/>
      <c r="R10" s="149"/>
      <c r="S10" s="149"/>
      <c r="T10" s="149"/>
      <c r="U10" s="149"/>
      <c r="V10" s="149"/>
    </row>
    <row r="11" spans="1:22" s="105" customFormat="1" ht="20">
      <c r="A11" s="137"/>
      <c r="B11" s="151"/>
      <c r="C11" s="157"/>
      <c r="D11" s="203">
        <v>5.0000000000000001E-4</v>
      </c>
      <c r="E11" s="142" t="s">
        <v>250</v>
      </c>
      <c r="F11" s="166">
        <f>IF(T101_N!$D$6&gt;T101_N!$L$6,(T101_N!$D$6-T101_N!$L$6),0)</f>
        <v>0</v>
      </c>
      <c r="G11" s="139"/>
      <c r="H11" s="166">
        <f>$F$11*$D$11</f>
        <v>0</v>
      </c>
      <c r="I11" s="159"/>
      <c r="J11" s="159">
        <f>H11+H10</f>
        <v>0</v>
      </c>
      <c r="K11" s="138"/>
      <c r="M11" s="139"/>
      <c r="N11" s="149"/>
      <c r="O11" s="149"/>
      <c r="P11" s="149"/>
      <c r="Q11" s="150"/>
      <c r="R11" s="149"/>
      <c r="S11" s="149"/>
      <c r="T11" s="149"/>
      <c r="U11" s="149"/>
      <c r="V11" s="149"/>
    </row>
    <row r="12" spans="1:22" s="105" customFormat="1" ht="20">
      <c r="A12" s="137"/>
      <c r="B12" s="151"/>
      <c r="C12" s="152" t="s">
        <v>41</v>
      </c>
      <c r="D12" s="206" t="s">
        <v>291</v>
      </c>
      <c r="E12" s="160"/>
      <c r="F12" s="139"/>
      <c r="G12" s="139"/>
      <c r="H12" s="138"/>
      <c r="I12" s="143"/>
      <c r="K12" s="138"/>
      <c r="M12" s="139"/>
      <c r="N12" s="149"/>
      <c r="O12" s="149"/>
      <c r="P12" s="149"/>
      <c r="Q12" s="150"/>
      <c r="R12" s="149"/>
      <c r="S12" s="149"/>
      <c r="T12" s="149"/>
      <c r="U12" s="149"/>
      <c r="V12" s="149"/>
    </row>
    <row r="13" spans="1:22" s="105" customFormat="1" ht="20">
      <c r="A13" s="137"/>
      <c r="B13" s="151"/>
      <c r="C13" s="157"/>
      <c r="D13" s="158">
        <v>0.25</v>
      </c>
      <c r="E13" s="142" t="s">
        <v>250</v>
      </c>
      <c r="F13" s="166">
        <f>T101_N!$D$7</f>
        <v>0</v>
      </c>
      <c r="G13" s="139"/>
      <c r="H13" s="138">
        <f>$F$13*$D$13</f>
        <v>0</v>
      </c>
      <c r="I13" s="159"/>
      <c r="J13" s="159">
        <f>H13</f>
        <v>0</v>
      </c>
      <c r="K13" s="138"/>
      <c r="M13" s="139"/>
      <c r="N13" s="149"/>
      <c r="O13" s="149"/>
      <c r="P13" s="149"/>
      <c r="Q13" s="150"/>
      <c r="R13" s="149"/>
      <c r="S13" s="149"/>
      <c r="T13" s="149"/>
      <c r="U13" s="149"/>
      <c r="V13" s="149"/>
    </row>
    <row r="14" spans="1:22" s="105" customFormat="1" ht="9" customHeight="1">
      <c r="A14" s="137"/>
      <c r="B14" s="151"/>
      <c r="C14" s="157"/>
      <c r="D14" s="202"/>
      <c r="E14" s="142"/>
      <c r="F14" s="159"/>
      <c r="G14" s="139"/>
      <c r="H14" s="138"/>
      <c r="I14" s="159"/>
      <c r="J14" s="159"/>
      <c r="K14" s="138"/>
      <c r="M14" s="139"/>
      <c r="N14" s="149"/>
      <c r="O14" s="149"/>
      <c r="P14" s="149"/>
      <c r="Q14" s="150"/>
      <c r="R14" s="149"/>
      <c r="S14" s="149"/>
      <c r="T14" s="149"/>
      <c r="U14" s="149"/>
      <c r="V14" s="149"/>
    </row>
    <row r="15" spans="1:22" s="105" customFormat="1" ht="20">
      <c r="A15" s="137"/>
      <c r="B15" s="151"/>
      <c r="C15" s="161"/>
      <c r="D15" s="162"/>
      <c r="E15" s="135"/>
      <c r="F15" s="163"/>
      <c r="G15" s="164"/>
      <c r="H15" s="138"/>
      <c r="I15" s="143"/>
      <c r="J15" s="159"/>
      <c r="K15" s="143">
        <f>J11+J13</f>
        <v>0</v>
      </c>
      <c r="N15" s="149"/>
      <c r="O15" s="149"/>
      <c r="P15" s="149"/>
      <c r="Q15" s="150"/>
      <c r="R15" s="149"/>
      <c r="S15" s="149"/>
      <c r="T15" s="149"/>
      <c r="U15" s="149"/>
      <c r="V15" s="149"/>
    </row>
    <row r="16" spans="1:22" s="105" customFormat="1" ht="21" customHeight="1">
      <c r="A16" s="137"/>
      <c r="B16" s="121" t="s">
        <v>251</v>
      </c>
      <c r="C16" s="247" t="s">
        <v>298</v>
      </c>
      <c r="D16" s="169"/>
      <c r="E16" s="142"/>
      <c r="F16" s="139"/>
      <c r="G16" s="139"/>
      <c r="H16" s="138"/>
      <c r="I16" s="138"/>
      <c r="J16" s="138"/>
      <c r="K16" s="138"/>
      <c r="L16" s="165">
        <f>IF(Information!J25=Information!K22,'T101'!K6,MAX(K6:K15))</f>
        <v>0</v>
      </c>
      <c r="M16" s="139"/>
      <c r="N16" s="149"/>
      <c r="O16" s="149"/>
      <c r="P16" s="149"/>
      <c r="Q16" s="150"/>
      <c r="R16" s="149"/>
      <c r="S16" s="149"/>
      <c r="T16" s="149"/>
      <c r="U16" s="149"/>
      <c r="V16" s="149"/>
    </row>
    <row r="17" spans="1:29" s="105" customFormat="1" ht="21" customHeight="1">
      <c r="A17" s="137"/>
      <c r="D17" s="169"/>
      <c r="E17" s="142"/>
      <c r="F17" s="139"/>
      <c r="G17" s="139"/>
      <c r="H17" s="138"/>
      <c r="I17" s="138"/>
      <c r="J17" s="138"/>
      <c r="K17" s="138"/>
      <c r="L17" s="205"/>
      <c r="M17" s="139"/>
      <c r="N17" s="149"/>
      <c r="O17" s="149"/>
      <c r="P17" s="149"/>
      <c r="Q17" s="150"/>
      <c r="R17" s="149"/>
      <c r="S17" s="149"/>
      <c r="T17" s="149"/>
      <c r="U17" s="149"/>
      <c r="V17" s="149"/>
    </row>
    <row r="18" spans="1:29" s="105" customFormat="1" ht="20">
      <c r="A18" s="137"/>
      <c r="B18" s="121" t="s">
        <v>252</v>
      </c>
      <c r="C18" s="247" t="s">
        <v>294</v>
      </c>
      <c r="D18" s="122"/>
      <c r="E18" s="144"/>
      <c r="F18" s="147"/>
      <c r="G18" s="139"/>
      <c r="H18" s="138"/>
      <c r="I18" s="138"/>
      <c r="J18" s="138"/>
      <c r="K18" s="138"/>
      <c r="L18" s="165">
        <f>T101_N!$D$8</f>
        <v>0</v>
      </c>
      <c r="M18" s="139"/>
      <c r="N18" s="149"/>
      <c r="O18" s="149"/>
      <c r="P18" s="149"/>
      <c r="Q18" s="150"/>
      <c r="R18" s="149"/>
      <c r="S18" s="149"/>
      <c r="T18" s="149"/>
      <c r="U18" s="149"/>
      <c r="V18" s="149"/>
    </row>
    <row r="19" spans="1:29" s="105" customFormat="1" ht="20">
      <c r="A19" s="137"/>
      <c r="B19" s="171"/>
      <c r="C19" s="172"/>
      <c r="D19" s="122"/>
      <c r="E19" s="144"/>
      <c r="F19" s="147"/>
      <c r="G19" s="139"/>
      <c r="H19" s="138"/>
      <c r="I19" s="138"/>
      <c r="J19" s="138"/>
      <c r="K19" s="138"/>
      <c r="L19" s="138"/>
      <c r="M19" s="139"/>
      <c r="N19" s="149"/>
      <c r="O19" s="149"/>
      <c r="P19" s="149"/>
      <c r="Q19" s="150"/>
      <c r="R19" s="149"/>
      <c r="S19" s="149"/>
      <c r="T19" s="149"/>
      <c r="U19" s="149"/>
      <c r="V19" s="149"/>
    </row>
    <row r="20" spans="1:29" s="105" customFormat="1" ht="21" customHeight="1">
      <c r="A20" s="137"/>
      <c r="B20" s="121" t="s">
        <v>253</v>
      </c>
      <c r="C20" s="248" t="s">
        <v>255</v>
      </c>
      <c r="D20" s="169"/>
      <c r="E20" s="142"/>
      <c r="F20" s="139"/>
      <c r="G20" s="139"/>
      <c r="H20" s="138"/>
      <c r="I20" s="138"/>
      <c r="J20" s="138"/>
      <c r="K20" s="138"/>
      <c r="L20" s="165">
        <f>T101_N!$D$9</f>
        <v>0</v>
      </c>
      <c r="M20" s="139"/>
      <c r="N20" s="149"/>
      <c r="O20" s="149"/>
      <c r="P20" s="149"/>
      <c r="Q20" s="150"/>
      <c r="R20" s="149"/>
      <c r="S20" s="149"/>
      <c r="T20" s="149"/>
      <c r="U20" s="149"/>
      <c r="V20" s="149"/>
    </row>
    <row r="21" spans="1:29" s="105" customFormat="1" ht="20">
      <c r="A21" s="137"/>
      <c r="B21" s="151"/>
      <c r="C21" s="168"/>
      <c r="D21" s="169"/>
      <c r="E21" s="142"/>
      <c r="F21" s="139"/>
      <c r="G21" s="139"/>
      <c r="H21" s="138"/>
      <c r="I21" s="138"/>
      <c r="J21" s="138"/>
      <c r="K21" s="138"/>
      <c r="L21" s="143"/>
      <c r="M21" s="139"/>
      <c r="N21" s="149"/>
      <c r="O21" s="149"/>
      <c r="P21" s="149"/>
      <c r="Q21" s="150"/>
      <c r="R21" s="149"/>
      <c r="S21" s="149"/>
      <c r="T21" s="149"/>
      <c r="U21" s="149"/>
      <c r="V21" s="149"/>
    </row>
    <row r="22" spans="1:29" s="105" customFormat="1" ht="20">
      <c r="A22" s="137"/>
      <c r="B22" s="121" t="s">
        <v>254</v>
      </c>
      <c r="C22" s="168" t="s">
        <v>293</v>
      </c>
      <c r="D22" s="169"/>
      <c r="E22" s="142"/>
      <c r="F22" s="139"/>
      <c r="G22" s="139"/>
      <c r="H22" s="138"/>
      <c r="I22" s="138"/>
      <c r="J22" s="138"/>
      <c r="K22" s="138"/>
      <c r="L22" s="143"/>
      <c r="M22" s="139"/>
      <c r="N22" s="149"/>
      <c r="O22" s="149"/>
      <c r="P22" s="149"/>
      <c r="Q22" s="150"/>
      <c r="R22" s="149"/>
      <c r="S22" s="149"/>
      <c r="T22" s="149"/>
      <c r="U22" s="149"/>
      <c r="V22" s="149"/>
    </row>
    <row r="23" spans="1:29" s="105" customFormat="1" ht="20">
      <c r="A23" s="137"/>
      <c r="B23" s="151"/>
      <c r="C23" s="126" t="s">
        <v>31</v>
      </c>
      <c r="D23" s="184" t="s">
        <v>297</v>
      </c>
      <c r="E23" s="142"/>
      <c r="F23" s="424" t="str">
        <f>IF(T101_N!E92&lt;T101_N!E93,'T101'!AC23,"")</f>
        <v/>
      </c>
      <c r="G23" s="139"/>
      <c r="H23" s="138"/>
      <c r="I23" s="138"/>
      <c r="J23" s="138"/>
      <c r="K23" s="138"/>
      <c r="L23" s="143"/>
      <c r="M23" s="139"/>
      <c r="N23" s="149"/>
      <c r="O23" s="149"/>
      <c r="P23" s="149"/>
      <c r="Q23" s="150"/>
      <c r="S23" s="149"/>
      <c r="T23" s="149"/>
      <c r="U23" s="149"/>
      <c r="V23" s="149"/>
      <c r="AC23" s="1144" t="s">
        <v>0</v>
      </c>
    </row>
    <row r="24" spans="1:29" s="105" customFormat="1" ht="20">
      <c r="A24" s="137"/>
      <c r="B24" s="151"/>
      <c r="C24" s="126"/>
      <c r="D24" s="158">
        <v>0.2</v>
      </c>
      <c r="E24" s="142" t="s">
        <v>295</v>
      </c>
      <c r="F24" s="139">
        <f>T101_N!$E$94</f>
        <v>0</v>
      </c>
      <c r="G24" s="139"/>
      <c r="H24" s="166">
        <f>$D$24*$F$24</f>
        <v>0</v>
      </c>
      <c r="I24" s="138"/>
      <c r="J24" s="138"/>
      <c r="K24" s="138"/>
      <c r="L24" s="143"/>
      <c r="M24" s="139"/>
      <c r="N24" s="149"/>
      <c r="O24" s="149"/>
      <c r="P24" s="149"/>
      <c r="Q24" s="150"/>
      <c r="R24" s="149"/>
      <c r="S24" s="149"/>
      <c r="T24" s="149"/>
      <c r="U24" s="149"/>
      <c r="V24" s="149"/>
      <c r="AC24" s="423" t="s">
        <v>779</v>
      </c>
    </row>
    <row r="25" spans="1:29" s="105" customFormat="1" ht="20">
      <c r="A25" s="137"/>
      <c r="B25" s="151"/>
      <c r="C25" s="126"/>
      <c r="D25" s="158">
        <v>0.3</v>
      </c>
      <c r="E25" s="142" t="s">
        <v>296</v>
      </c>
      <c r="F25" s="139">
        <f>$L$16+$L$20+L32</f>
        <v>0</v>
      </c>
      <c r="G25" s="139"/>
      <c r="H25" s="166">
        <f>$D$25*$F$25</f>
        <v>0</v>
      </c>
      <c r="I25" s="138"/>
      <c r="J25" s="138"/>
      <c r="K25" s="138"/>
      <c r="L25" s="165">
        <f>-MIN(H24:H25)</f>
        <v>0</v>
      </c>
      <c r="M25" s="139"/>
      <c r="N25" s="149"/>
      <c r="O25" s="149"/>
      <c r="P25" s="149"/>
      <c r="Q25" s="150"/>
      <c r="R25" s="149"/>
      <c r="S25" s="149"/>
      <c r="T25" s="149"/>
      <c r="U25" s="149"/>
      <c r="V25" s="149"/>
    </row>
    <row r="26" spans="1:29" s="105" customFormat="1" ht="20">
      <c r="A26" s="137"/>
      <c r="B26" s="151"/>
      <c r="C26" s="126" t="s">
        <v>44</v>
      </c>
      <c r="D26" s="184" t="s">
        <v>782</v>
      </c>
      <c r="E26" s="142"/>
      <c r="F26" s="139"/>
      <c r="G26" s="139"/>
      <c r="H26" s="166"/>
      <c r="I26" s="138"/>
      <c r="J26" s="138"/>
      <c r="K26" s="138"/>
      <c r="L26" s="143"/>
      <c r="M26" s="139"/>
      <c r="N26" s="149"/>
      <c r="O26" s="149"/>
      <c r="P26" s="149"/>
      <c r="Q26" s="150"/>
      <c r="R26" s="149"/>
      <c r="S26" s="149"/>
      <c r="T26" s="149"/>
      <c r="U26" s="149"/>
      <c r="V26" s="149"/>
    </row>
    <row r="27" spans="1:29" s="105" customFormat="1" ht="20">
      <c r="A27" s="137"/>
      <c r="B27" s="151"/>
      <c r="C27" s="126"/>
      <c r="D27" s="167" t="s">
        <v>780</v>
      </c>
      <c r="E27" s="142"/>
      <c r="F27" s="139"/>
      <c r="G27" s="139"/>
      <c r="H27" s="138"/>
      <c r="I27" s="138"/>
      <c r="J27" s="138"/>
      <c r="K27" s="138"/>
      <c r="L27" s="143"/>
      <c r="M27" s="139"/>
      <c r="N27" s="149"/>
      <c r="O27" s="149"/>
      <c r="P27" s="149"/>
      <c r="Q27" s="150"/>
      <c r="R27" s="149"/>
      <c r="S27" s="149"/>
      <c r="T27" s="149"/>
      <c r="U27" s="149"/>
      <c r="V27" s="149"/>
    </row>
    <row r="28" spans="1:29" s="105" customFormat="1" ht="14">
      <c r="A28" s="137"/>
      <c r="B28" s="151"/>
      <c r="C28" s="126"/>
      <c r="D28" s="158">
        <v>0.3</v>
      </c>
      <c r="E28" s="142" t="s">
        <v>296</v>
      </c>
      <c r="F28" s="275">
        <f>T101_N!$D$10</f>
        <v>0</v>
      </c>
      <c r="G28" s="139"/>
      <c r="H28" s="138"/>
      <c r="I28" s="138"/>
      <c r="J28" s="138"/>
      <c r="K28" s="309">
        <f>-D28*F28</f>
        <v>0</v>
      </c>
      <c r="M28" s="139"/>
      <c r="N28" s="149"/>
      <c r="O28" s="149"/>
      <c r="P28" s="149"/>
      <c r="Q28" s="149"/>
      <c r="R28" s="149"/>
      <c r="S28" s="149"/>
      <c r="T28" s="149"/>
      <c r="U28" s="149"/>
      <c r="V28" s="149"/>
    </row>
    <row r="29" spans="1:29" s="105" customFormat="1" ht="20">
      <c r="A29" s="137"/>
      <c r="B29" s="151"/>
      <c r="C29" s="126"/>
      <c r="D29" s="167" t="s">
        <v>781</v>
      </c>
      <c r="E29" s="142"/>
      <c r="F29" s="139"/>
      <c r="G29" s="139"/>
      <c r="H29" s="138"/>
      <c r="I29" s="138"/>
      <c r="J29" s="138"/>
      <c r="K29" s="143"/>
      <c r="M29" s="226"/>
      <c r="N29" s="149"/>
      <c r="O29" s="149"/>
      <c r="P29" s="149"/>
      <c r="Q29" s="150"/>
      <c r="R29" s="149"/>
      <c r="S29" s="149"/>
      <c r="T29" s="149"/>
      <c r="U29" s="149"/>
      <c r="V29" s="149"/>
    </row>
    <row r="30" spans="1:29" s="105" customFormat="1" ht="14">
      <c r="A30" s="137"/>
      <c r="B30" s="151"/>
      <c r="C30" s="126"/>
      <c r="D30" s="158">
        <v>0.3</v>
      </c>
      <c r="E30" s="153" t="s">
        <v>310</v>
      </c>
      <c r="F30" s="275">
        <f>T101_N!D11</f>
        <v>0</v>
      </c>
      <c r="G30" s="139"/>
      <c r="H30" s="138"/>
      <c r="I30" s="138"/>
      <c r="J30" s="138"/>
      <c r="K30" s="309">
        <f>-D30*F30</f>
        <v>0</v>
      </c>
      <c r="M30" s="227"/>
      <c r="N30" s="149"/>
      <c r="O30" s="149"/>
      <c r="P30" s="149"/>
      <c r="Q30" s="149"/>
      <c r="R30" s="149"/>
      <c r="S30" s="149"/>
      <c r="T30" s="149"/>
      <c r="U30" s="149"/>
      <c r="V30" s="149"/>
    </row>
    <row r="31" spans="1:29" s="105" customFormat="1" ht="8.25" customHeight="1">
      <c r="A31" s="137"/>
      <c r="B31" s="151"/>
      <c r="C31" s="126"/>
      <c r="D31" s="158"/>
      <c r="E31" s="153"/>
      <c r="F31" s="275"/>
      <c r="G31" s="139"/>
      <c r="H31" s="138"/>
      <c r="I31" s="138"/>
      <c r="J31" s="138"/>
      <c r="K31" s="138"/>
      <c r="L31" s="205"/>
      <c r="M31" s="227"/>
      <c r="N31" s="149"/>
      <c r="O31" s="149"/>
      <c r="P31" s="149"/>
      <c r="Q31" s="149"/>
      <c r="R31" s="149"/>
      <c r="S31" s="149"/>
      <c r="T31" s="149"/>
      <c r="U31" s="149"/>
      <c r="V31" s="149"/>
    </row>
    <row r="32" spans="1:29" s="105" customFormat="1" ht="13.5" customHeight="1">
      <c r="A32" s="137"/>
      <c r="B32" s="151"/>
      <c r="C32" s="126"/>
      <c r="D32" s="184" t="s">
        <v>783</v>
      </c>
      <c r="F32" s="139"/>
      <c r="G32" s="139"/>
      <c r="H32" s="138"/>
      <c r="I32" s="138"/>
      <c r="J32" s="138"/>
      <c r="K32" s="138"/>
      <c r="L32" s="165">
        <f>MAX(-(L16-K6),K28+K30)</f>
        <v>0</v>
      </c>
      <c r="M32" s="205"/>
      <c r="N32" s="173"/>
      <c r="O32" s="149"/>
      <c r="P32" s="174"/>
      <c r="Q32" s="150"/>
      <c r="R32" s="149"/>
      <c r="S32" s="149"/>
      <c r="T32" s="149"/>
      <c r="U32" s="149"/>
      <c r="V32" s="149"/>
    </row>
    <row r="33" spans="1:22" s="105" customFormat="1" ht="13.5" customHeight="1">
      <c r="A33" s="137"/>
      <c r="B33" s="151"/>
      <c r="C33" s="126"/>
      <c r="D33" s="184"/>
      <c r="F33" s="139"/>
      <c r="G33" s="139"/>
      <c r="H33" s="138"/>
      <c r="I33" s="138"/>
      <c r="J33" s="138"/>
      <c r="K33" s="138"/>
      <c r="L33" s="143"/>
      <c r="M33" s="205"/>
      <c r="N33" s="173"/>
      <c r="O33" s="149"/>
      <c r="P33" s="174"/>
      <c r="Q33" s="150"/>
      <c r="R33" s="149"/>
      <c r="S33" s="149"/>
      <c r="T33" s="149"/>
      <c r="U33" s="149"/>
      <c r="V33" s="149"/>
    </row>
    <row r="34" spans="1:22" s="105" customFormat="1" ht="20">
      <c r="A34" s="137"/>
      <c r="B34" s="121" t="s">
        <v>784</v>
      </c>
      <c r="C34" s="168" t="s">
        <v>311</v>
      </c>
      <c r="D34" s="169"/>
      <c r="E34" s="142"/>
      <c r="F34" s="139"/>
      <c r="G34" s="139"/>
      <c r="H34" s="138"/>
      <c r="I34" s="138"/>
      <c r="J34" s="138"/>
      <c r="K34" s="138"/>
      <c r="L34" s="138"/>
      <c r="M34" s="170">
        <f>SUM(L16:L32)</f>
        <v>0</v>
      </c>
      <c r="N34" s="149"/>
      <c r="O34" s="149"/>
      <c r="P34" s="149"/>
      <c r="Q34" s="150"/>
      <c r="R34" s="149"/>
      <c r="S34" s="149"/>
      <c r="T34" s="149"/>
      <c r="U34" s="149"/>
      <c r="V34" s="149"/>
    </row>
    <row r="35" spans="1:22" s="105" customFormat="1" ht="20">
      <c r="A35" s="137"/>
      <c r="B35" s="151"/>
      <c r="C35" s="168"/>
      <c r="D35" s="169"/>
      <c r="E35" s="142"/>
      <c r="F35" s="139"/>
      <c r="G35" s="139"/>
      <c r="H35" s="138"/>
      <c r="I35" s="138"/>
      <c r="J35" s="138"/>
      <c r="K35" s="138"/>
      <c r="L35" s="138"/>
      <c r="M35" s="205"/>
      <c r="N35" s="149"/>
      <c r="O35" s="149"/>
      <c r="P35" s="149"/>
      <c r="Q35" s="150"/>
      <c r="R35" s="149"/>
      <c r="S35" s="149"/>
      <c r="T35" s="149"/>
      <c r="U35" s="149"/>
      <c r="V35" s="149"/>
    </row>
    <row r="36" spans="1:22" s="105" customFormat="1" ht="20">
      <c r="A36" s="137"/>
      <c r="B36" s="151"/>
      <c r="C36" s="167"/>
      <c r="D36" s="169"/>
      <c r="E36" s="142"/>
      <c r="F36" s="139"/>
      <c r="G36" s="139"/>
      <c r="H36" s="138"/>
      <c r="I36" s="138"/>
      <c r="J36" s="143"/>
      <c r="K36" s="143"/>
      <c r="N36" s="149"/>
      <c r="O36" s="149"/>
      <c r="P36" s="149"/>
      <c r="Q36" s="150"/>
      <c r="R36" s="149"/>
      <c r="S36" s="149"/>
      <c r="T36" s="149"/>
      <c r="U36" s="149"/>
      <c r="V36" s="149"/>
    </row>
    <row r="37" spans="1:22" s="105" customFormat="1" ht="20">
      <c r="A37" s="137"/>
      <c r="B37" s="171"/>
      <c r="C37" s="172" t="s">
        <v>256</v>
      </c>
      <c r="D37" s="175"/>
      <c r="E37" s="176"/>
      <c r="F37" s="177"/>
      <c r="G37" s="177"/>
      <c r="H37" s="178"/>
      <c r="I37" s="179"/>
      <c r="J37" s="178" t="s">
        <v>257</v>
      </c>
      <c r="K37" s="178"/>
      <c r="L37" s="245"/>
      <c r="M37" s="246"/>
      <c r="N37" s="149"/>
      <c r="O37" s="149"/>
      <c r="P37" s="149"/>
      <c r="Q37" s="150"/>
      <c r="R37" s="149"/>
      <c r="S37" s="149"/>
      <c r="T37" s="149"/>
      <c r="U37" s="149"/>
      <c r="V37" s="149"/>
    </row>
    <row r="38" spans="1:22" s="105" customFormat="1" ht="20">
      <c r="A38" s="137"/>
      <c r="B38" s="151"/>
      <c r="C38" s="126" t="s">
        <v>258</v>
      </c>
      <c r="D38" s="142"/>
      <c r="E38" s="142"/>
      <c r="F38" s="139"/>
      <c r="G38" s="139"/>
      <c r="H38" s="159"/>
      <c r="I38" s="227"/>
      <c r="J38" s="227">
        <f>T101_N!D12</f>
        <v>0</v>
      </c>
      <c r="K38" s="227"/>
      <c r="L38" s="205"/>
      <c r="M38" s="229"/>
      <c r="N38" s="230"/>
      <c r="O38" s="230"/>
      <c r="P38" s="244"/>
      <c r="Q38" s="150"/>
      <c r="R38" s="149"/>
      <c r="S38" s="149"/>
      <c r="T38" s="149"/>
      <c r="U38" s="149"/>
      <c r="V38" s="149"/>
    </row>
    <row r="39" spans="1:22" s="105" customFormat="1" ht="14">
      <c r="A39" s="137"/>
      <c r="B39" s="151"/>
      <c r="C39" s="126" t="s">
        <v>259</v>
      </c>
      <c r="D39" s="142"/>
      <c r="E39" s="142"/>
      <c r="F39" s="139"/>
      <c r="G39" s="139"/>
      <c r="H39" s="159"/>
      <c r="I39" s="231"/>
      <c r="J39" s="232">
        <f>$M$34</f>
        <v>0</v>
      </c>
      <c r="K39" s="227"/>
      <c r="L39" s="205"/>
      <c r="M39" s="229"/>
      <c r="N39" s="230"/>
      <c r="O39" s="230"/>
      <c r="R39" s="149"/>
      <c r="S39" s="149"/>
      <c r="T39" s="149"/>
      <c r="U39" s="180"/>
      <c r="V39" s="149"/>
    </row>
    <row r="40" spans="1:22" s="105" customFormat="1" ht="19.5" customHeight="1">
      <c r="A40" s="137"/>
      <c r="B40" s="151"/>
      <c r="C40" s="167" t="s">
        <v>256</v>
      </c>
      <c r="D40" s="123"/>
      <c r="E40" s="142"/>
      <c r="F40" s="139"/>
      <c r="G40" s="139"/>
      <c r="H40" s="143"/>
      <c r="I40" s="231"/>
      <c r="J40" s="233">
        <f>J38-J39</f>
        <v>0</v>
      </c>
      <c r="K40" s="227"/>
      <c r="L40" s="205"/>
      <c r="M40" s="229"/>
      <c r="N40" s="230"/>
      <c r="O40" s="230"/>
      <c r="R40" s="149"/>
      <c r="S40" s="149"/>
      <c r="T40" s="149"/>
    </row>
    <row r="41" spans="1:22" s="105" customFormat="1" ht="15.5">
      <c r="A41" s="137"/>
      <c r="B41" s="975" t="s">
        <v>1469</v>
      </c>
      <c r="C41" s="976" t="s">
        <v>1140</v>
      </c>
      <c r="D41" s="123"/>
      <c r="E41" s="142"/>
      <c r="F41" s="181"/>
      <c r="G41" s="181"/>
      <c r="H41" s="182"/>
      <c r="I41" s="234"/>
      <c r="J41" s="1146"/>
      <c r="K41" s="227"/>
      <c r="L41" s="205"/>
      <c r="M41" s="229"/>
      <c r="N41" s="230"/>
      <c r="O41" s="230"/>
      <c r="R41" s="149"/>
      <c r="S41" s="149"/>
      <c r="T41" s="149"/>
    </row>
    <row r="42" spans="1:22" s="105" customFormat="1" ht="18.5" thickBot="1">
      <c r="A42" s="137"/>
      <c r="B42" s="975" t="s">
        <v>1470</v>
      </c>
      <c r="C42" s="976" t="s">
        <v>1468</v>
      </c>
      <c r="D42" s="123"/>
      <c r="E42" s="977"/>
      <c r="F42" s="977"/>
      <c r="G42" s="977"/>
      <c r="H42" s="977"/>
      <c r="I42" s="977"/>
      <c r="J42" s="1145">
        <f>SUM(J40:J41)</f>
        <v>0</v>
      </c>
      <c r="K42" s="182"/>
      <c r="L42" s="182"/>
      <c r="N42" s="149"/>
      <c r="O42" s="149"/>
      <c r="R42" s="149"/>
      <c r="S42" s="149"/>
      <c r="T42" s="149"/>
      <c r="U42" s="141" t="str">
        <f>Information!K4</f>
        <v>31.12.2021</v>
      </c>
      <c r="V42" s="183">
        <f>VLOOKUP(U42,Information!M28:N39,2,0)</f>
        <v>1</v>
      </c>
    </row>
    <row r="43" spans="1:22" s="105" customFormat="1" ht="14.5" thickTop="1">
      <c r="A43" s="137"/>
      <c r="B43" s="151"/>
      <c r="C43" s="123"/>
      <c r="D43" s="123"/>
      <c r="E43" s="142"/>
      <c r="F43" s="181"/>
      <c r="G43" s="181"/>
      <c r="H43" s="181"/>
      <c r="I43" s="181"/>
      <c r="J43" s="181"/>
      <c r="K43" s="182"/>
      <c r="L43" s="181"/>
      <c r="M43" s="181"/>
      <c r="N43" s="149"/>
      <c r="O43" s="149"/>
      <c r="P43" s="244"/>
      <c r="Q43" s="158"/>
      <c r="R43" s="149"/>
      <c r="S43" s="149"/>
      <c r="T43" s="149"/>
      <c r="U43" s="149" t="s">
        <v>260</v>
      </c>
      <c r="V43" s="105">
        <f>VALUE(RIGHT(U42,4))</f>
        <v>2021</v>
      </c>
    </row>
    <row r="44" spans="1:22" s="105" customFormat="1" ht="20">
      <c r="A44" s="137"/>
      <c r="B44" s="235"/>
      <c r="C44" s="236"/>
      <c r="D44" s="123"/>
      <c r="E44" s="142"/>
      <c r="F44" s="237" t="s">
        <v>247</v>
      </c>
      <c r="G44" s="238"/>
      <c r="H44" s="239"/>
      <c r="I44" s="237" t="s">
        <v>261</v>
      </c>
      <c r="J44" s="240"/>
      <c r="K44" s="241"/>
      <c r="L44" s="142"/>
      <c r="M44" s="185"/>
      <c r="O44" s="186"/>
      <c r="P44" s="244"/>
      <c r="Q44" s="110"/>
      <c r="U44" s="244">
        <v>40999</v>
      </c>
      <c r="V44" s="158">
        <v>0.3</v>
      </c>
    </row>
    <row r="45" spans="1:22" s="105" customFormat="1" ht="20">
      <c r="A45" s="137"/>
      <c r="B45" s="235"/>
      <c r="C45" s="236"/>
      <c r="D45" s="123"/>
      <c r="E45" s="142"/>
      <c r="F45" s="237" t="s">
        <v>247</v>
      </c>
      <c r="G45" s="242"/>
      <c r="H45" s="241"/>
      <c r="I45" s="237" t="s">
        <v>261</v>
      </c>
      <c r="J45" s="242"/>
      <c r="K45" s="241"/>
      <c r="L45" s="142"/>
      <c r="M45" s="142"/>
      <c r="O45" s="186"/>
      <c r="P45" s="244"/>
      <c r="Q45" s="110"/>
      <c r="U45" s="244">
        <v>41090</v>
      </c>
      <c r="V45" s="282">
        <f>V44</f>
        <v>0.3</v>
      </c>
    </row>
    <row r="46" spans="1:22" s="105" customFormat="1" ht="20">
      <c r="A46" s="137"/>
      <c r="B46" s="235"/>
      <c r="C46" s="236"/>
      <c r="D46" s="123"/>
      <c r="E46" s="142"/>
      <c r="F46" s="236"/>
      <c r="G46" s="243"/>
      <c r="H46" s="236"/>
      <c r="I46" s="236"/>
      <c r="J46" s="243"/>
      <c r="K46" s="236"/>
      <c r="L46" s="123"/>
      <c r="M46" s="123"/>
      <c r="P46" s="244"/>
      <c r="Q46" s="110"/>
      <c r="U46" s="244">
        <v>41182</v>
      </c>
      <c r="V46" s="282">
        <f>V45</f>
        <v>0.3</v>
      </c>
    </row>
    <row r="47" spans="1:22" s="153" customFormat="1" ht="15" customHeight="1">
      <c r="A47" s="211"/>
      <c r="B47" s="211"/>
      <c r="C47" s="211"/>
      <c r="D47" s="211"/>
      <c r="E47" s="211"/>
      <c r="F47" s="211"/>
      <c r="G47" s="211"/>
      <c r="H47" s="211"/>
      <c r="I47" s="211"/>
      <c r="J47" s="211"/>
      <c r="K47" s="211"/>
      <c r="L47" s="211"/>
      <c r="M47" s="211"/>
      <c r="N47" s="207"/>
      <c r="O47" s="207"/>
      <c r="P47" s="207"/>
      <c r="Q47" s="207"/>
      <c r="U47" s="244">
        <v>41274</v>
      </c>
      <c r="V47" s="282">
        <v>0.6</v>
      </c>
    </row>
    <row r="48" spans="1:22" s="153" customFormat="1" ht="15" customHeight="1">
      <c r="A48" s="211"/>
      <c r="B48" s="211"/>
      <c r="C48" s="211"/>
      <c r="D48" s="211"/>
      <c r="E48" s="211"/>
      <c r="F48" s="211"/>
      <c r="G48" s="211"/>
      <c r="H48" s="211"/>
      <c r="I48" s="211"/>
      <c r="J48" s="211"/>
      <c r="K48" s="211"/>
      <c r="L48" s="211"/>
      <c r="M48" s="211"/>
      <c r="N48" s="207"/>
      <c r="O48" s="207"/>
      <c r="P48" s="207"/>
      <c r="Q48" s="207"/>
      <c r="U48" s="244">
        <v>41364</v>
      </c>
      <c r="V48" s="282">
        <f t="shared" ref="V48:V54" si="0">V47</f>
        <v>0.6</v>
      </c>
    </row>
    <row r="49" spans="1:22" s="153" customFormat="1" ht="15" customHeight="1">
      <c r="A49" s="211"/>
      <c r="B49" s="211"/>
      <c r="C49" s="211"/>
      <c r="D49" s="211"/>
      <c r="E49" s="211"/>
      <c r="F49" s="211"/>
      <c r="G49" s="211"/>
      <c r="H49" s="211"/>
      <c r="I49" s="211"/>
      <c r="J49" s="211"/>
      <c r="K49" s="211"/>
      <c r="L49" s="211"/>
      <c r="M49" s="211"/>
      <c r="N49" s="207"/>
      <c r="O49" s="207"/>
      <c r="P49" s="207"/>
      <c r="Q49" s="207"/>
      <c r="U49" s="244">
        <v>41455</v>
      </c>
      <c r="V49" s="282">
        <f t="shared" si="0"/>
        <v>0.6</v>
      </c>
    </row>
    <row r="50" spans="1:22" s="153" customFormat="1" ht="15" customHeight="1">
      <c r="A50" s="211"/>
      <c r="B50" s="211"/>
      <c r="C50" s="207"/>
      <c r="D50" s="207"/>
      <c r="E50" s="207"/>
      <c r="F50" s="207"/>
      <c r="G50" s="207"/>
      <c r="H50" s="207"/>
      <c r="I50" s="207"/>
      <c r="J50" s="207"/>
      <c r="K50" s="207"/>
      <c r="L50" s="207"/>
      <c r="M50" s="207"/>
      <c r="N50" s="207"/>
      <c r="O50" s="207"/>
      <c r="P50" s="207"/>
      <c r="Q50" s="207"/>
      <c r="U50" s="244">
        <v>41547</v>
      </c>
      <c r="V50" s="282">
        <f t="shared" si="0"/>
        <v>0.6</v>
      </c>
    </row>
    <row r="51" spans="1:22" s="153" customFormat="1" ht="15" customHeight="1">
      <c r="A51" s="211"/>
      <c r="B51" s="211"/>
      <c r="C51" s="207"/>
      <c r="D51" s="207"/>
      <c r="E51" s="207"/>
      <c r="F51" s="207"/>
      <c r="G51" s="207"/>
      <c r="H51" s="207"/>
      <c r="I51" s="207"/>
      <c r="J51" s="207"/>
      <c r="K51" s="207"/>
      <c r="L51" s="207"/>
      <c r="M51" s="207"/>
      <c r="N51" s="207"/>
      <c r="O51" s="207"/>
      <c r="P51" s="207"/>
      <c r="Q51" s="207"/>
      <c r="U51" s="244">
        <v>41639</v>
      </c>
      <c r="V51" s="282">
        <v>0.8</v>
      </c>
    </row>
    <row r="52" spans="1:22" s="153" customFormat="1" ht="15" customHeight="1">
      <c r="A52" s="211"/>
      <c r="B52" s="211"/>
      <c r="C52" s="207"/>
      <c r="D52" s="207"/>
      <c r="E52" s="207"/>
      <c r="F52" s="207"/>
      <c r="G52" s="207"/>
      <c r="H52" s="207"/>
      <c r="I52" s="207"/>
      <c r="J52" s="207"/>
      <c r="K52" s="207"/>
      <c r="L52" s="207"/>
      <c r="M52" s="207"/>
      <c r="N52" s="207"/>
      <c r="O52" s="207"/>
      <c r="P52" s="207"/>
      <c r="Q52" s="207"/>
      <c r="U52" s="244">
        <v>41729</v>
      </c>
      <c r="V52" s="282">
        <f t="shared" si="0"/>
        <v>0.8</v>
      </c>
    </row>
    <row r="53" spans="1:22" s="153" customFormat="1" ht="15" customHeight="1">
      <c r="A53" s="211"/>
      <c r="B53" s="211"/>
      <c r="C53" s="207"/>
      <c r="D53" s="207"/>
      <c r="E53" s="207"/>
      <c r="F53" s="207"/>
      <c r="G53" s="207"/>
      <c r="H53" s="207"/>
      <c r="I53" s="207"/>
      <c r="J53" s="207"/>
      <c r="K53" s="207"/>
      <c r="L53" s="207"/>
      <c r="M53" s="207"/>
      <c r="N53" s="207"/>
      <c r="O53" s="207"/>
      <c r="P53" s="207"/>
      <c r="Q53" s="207"/>
      <c r="U53" s="244">
        <v>41820</v>
      </c>
      <c r="V53" s="282">
        <f t="shared" si="0"/>
        <v>0.8</v>
      </c>
    </row>
    <row r="54" spans="1:22" s="153" customFormat="1" ht="15" customHeight="1">
      <c r="A54" s="211"/>
      <c r="B54" s="211"/>
      <c r="C54" s="207"/>
      <c r="D54" s="207"/>
      <c r="E54" s="207"/>
      <c r="F54" s="207"/>
      <c r="G54" s="207"/>
      <c r="H54" s="207"/>
      <c r="I54" s="207"/>
      <c r="J54" s="207"/>
      <c r="K54" s="207"/>
      <c r="L54" s="207"/>
      <c r="M54" s="207"/>
      <c r="N54" s="207"/>
      <c r="O54" s="207"/>
      <c r="P54" s="207"/>
      <c r="Q54" s="207"/>
      <c r="U54" s="244">
        <v>41912</v>
      </c>
      <c r="V54" s="282">
        <f t="shared" si="0"/>
        <v>0.8</v>
      </c>
    </row>
    <row r="55" spans="1:22" s="153" customFormat="1" ht="15" customHeight="1">
      <c r="A55" s="211"/>
      <c r="B55" s="211"/>
      <c r="C55" s="207"/>
      <c r="D55" s="207"/>
      <c r="E55" s="207"/>
      <c r="F55" s="207"/>
      <c r="G55" s="207"/>
      <c r="H55" s="207"/>
      <c r="I55" s="207"/>
      <c r="J55" s="207"/>
      <c r="K55" s="207"/>
      <c r="L55" s="207"/>
      <c r="M55" s="207"/>
      <c r="N55" s="207"/>
      <c r="O55" s="207"/>
      <c r="P55" s="207"/>
      <c r="Q55" s="207"/>
      <c r="U55" s="244">
        <v>42004</v>
      </c>
      <c r="V55" s="282">
        <v>1</v>
      </c>
    </row>
    <row r="56" spans="1:22" s="153" customFormat="1" ht="15" customHeight="1">
      <c r="A56" s="207"/>
      <c r="B56" s="207"/>
      <c r="C56" s="207"/>
      <c r="D56" s="207"/>
      <c r="E56" s="207"/>
      <c r="F56" s="207"/>
      <c r="G56" s="207"/>
      <c r="H56" s="207"/>
      <c r="I56" s="207"/>
      <c r="J56" s="207"/>
      <c r="K56" s="207"/>
      <c r="L56" s="207"/>
      <c r="M56" s="207"/>
      <c r="N56" s="207"/>
      <c r="O56" s="207"/>
      <c r="P56" s="207"/>
      <c r="Q56" s="207"/>
      <c r="U56" s="244"/>
    </row>
    <row r="57" spans="1:22" s="153" customFormat="1" ht="15" customHeight="1">
      <c r="A57" s="207"/>
      <c r="B57" s="207"/>
      <c r="C57" s="207"/>
      <c r="D57" s="207"/>
      <c r="E57" s="207"/>
      <c r="F57" s="207"/>
      <c r="G57" s="207"/>
      <c r="H57" s="207"/>
      <c r="I57" s="207"/>
      <c r="J57" s="207"/>
      <c r="K57" s="207"/>
      <c r="L57" s="207"/>
      <c r="M57" s="207"/>
      <c r="N57" s="207"/>
      <c r="O57" s="207"/>
      <c r="P57" s="207"/>
      <c r="Q57" s="207"/>
      <c r="U57" s="244"/>
    </row>
    <row r="58" spans="1:22" s="153" customFormat="1" ht="15" customHeight="1">
      <c r="A58" s="207"/>
      <c r="B58" s="207"/>
      <c r="C58" s="207"/>
      <c r="D58" s="207"/>
      <c r="E58" s="207"/>
      <c r="F58" s="207"/>
      <c r="G58" s="207"/>
      <c r="H58" s="207"/>
      <c r="I58" s="207"/>
      <c r="J58" s="207"/>
      <c r="K58" s="207"/>
      <c r="L58" s="207"/>
      <c r="M58" s="207"/>
      <c r="N58" s="207"/>
      <c r="O58" s="207"/>
      <c r="P58" s="207"/>
      <c r="Q58" s="207"/>
      <c r="U58" s="244"/>
    </row>
    <row r="59" spans="1:22" s="153" customFormat="1" ht="15" customHeight="1">
      <c r="A59" s="207"/>
      <c r="B59" s="207"/>
      <c r="C59" s="207"/>
      <c r="D59" s="207"/>
      <c r="E59" s="207"/>
      <c r="F59" s="207"/>
      <c r="G59" s="207"/>
      <c r="H59" s="207"/>
      <c r="I59" s="207"/>
      <c r="J59" s="207"/>
      <c r="K59" s="207"/>
      <c r="L59" s="207"/>
      <c r="M59" s="207"/>
      <c r="N59" s="207"/>
      <c r="O59" s="207"/>
      <c r="P59" s="207"/>
      <c r="Q59" s="207"/>
      <c r="U59" s="244"/>
    </row>
    <row r="60" spans="1:22" ht="15" customHeight="1">
      <c r="A60" s="99"/>
      <c r="B60" s="99"/>
      <c r="C60" s="99"/>
      <c r="D60" s="99"/>
      <c r="E60" s="99"/>
      <c r="F60" s="99"/>
      <c r="G60" s="99"/>
      <c r="H60" s="99"/>
      <c r="I60" s="99"/>
      <c r="J60" s="99"/>
      <c r="K60" s="99"/>
      <c r="L60" s="99"/>
      <c r="M60" s="99"/>
      <c r="N60" s="99"/>
      <c r="O60" s="99"/>
      <c r="P60" s="99"/>
      <c r="Q60" s="99"/>
    </row>
    <row r="61" spans="1:22" ht="15" customHeight="1">
      <c r="A61" s="99"/>
      <c r="B61" s="99"/>
      <c r="C61" s="99"/>
      <c r="D61" s="99"/>
      <c r="E61" s="99"/>
      <c r="F61" s="99"/>
      <c r="G61" s="99"/>
      <c r="H61" s="99"/>
      <c r="I61" s="99"/>
      <c r="J61" s="99"/>
      <c r="K61" s="99"/>
      <c r="L61" s="99"/>
      <c r="M61" s="99"/>
      <c r="N61" s="99"/>
      <c r="O61" s="99"/>
      <c r="P61" s="99"/>
      <c r="Q61" s="99"/>
    </row>
    <row r="62" spans="1:22" ht="15" customHeight="1">
      <c r="A62" s="99"/>
      <c r="B62" s="99"/>
      <c r="C62" s="99"/>
      <c r="D62" s="99"/>
      <c r="E62" s="99"/>
      <c r="F62" s="99"/>
      <c r="G62" s="99"/>
      <c r="H62" s="99"/>
      <c r="I62" s="99"/>
      <c r="J62" s="99"/>
      <c r="K62" s="99"/>
      <c r="L62" s="99"/>
      <c r="M62" s="99"/>
      <c r="N62" s="99"/>
      <c r="O62" s="99"/>
      <c r="P62" s="99"/>
      <c r="Q62" s="99"/>
    </row>
    <row r="63" spans="1:22" ht="15" customHeight="1">
      <c r="A63" s="99"/>
      <c r="B63" s="99"/>
      <c r="C63" s="99"/>
      <c r="D63" s="99"/>
      <c r="E63" s="99"/>
      <c r="F63" s="99"/>
      <c r="G63" s="99"/>
      <c r="H63" s="99"/>
      <c r="I63" s="99"/>
      <c r="J63" s="99"/>
      <c r="K63" s="99"/>
      <c r="L63" s="99"/>
      <c r="M63" s="99"/>
      <c r="N63" s="99"/>
      <c r="O63" s="99"/>
      <c r="P63" s="99"/>
      <c r="Q63" s="99"/>
    </row>
    <row r="64" spans="1:22" ht="15" customHeight="1">
      <c r="A64" s="99"/>
      <c r="B64" s="99"/>
      <c r="C64" s="99"/>
      <c r="D64" s="99"/>
      <c r="E64" s="99"/>
      <c r="F64" s="99"/>
      <c r="G64" s="99"/>
      <c r="H64" s="99"/>
      <c r="I64" s="99"/>
      <c r="J64" s="99"/>
      <c r="K64" s="99"/>
      <c r="L64" s="99"/>
      <c r="M64" s="99"/>
      <c r="N64" s="99"/>
      <c r="O64" s="99"/>
      <c r="P64" s="99"/>
      <c r="Q64" s="99"/>
    </row>
    <row r="65" spans="1:17" ht="15" customHeight="1">
      <c r="A65" s="99"/>
      <c r="B65" s="99"/>
      <c r="C65" s="99"/>
      <c r="D65" s="99"/>
      <c r="E65" s="99"/>
      <c r="F65" s="99"/>
      <c r="G65" s="99"/>
      <c r="H65" s="99"/>
      <c r="I65" s="99"/>
      <c r="J65" s="99"/>
      <c r="K65" s="99"/>
      <c r="L65" s="99"/>
      <c r="M65" s="99"/>
      <c r="N65" s="99"/>
      <c r="O65" s="99"/>
      <c r="P65" s="99"/>
      <c r="Q65" s="99"/>
    </row>
    <row r="66" spans="1:17" ht="15" customHeight="1">
      <c r="A66" s="99"/>
      <c r="B66" s="99"/>
      <c r="C66" s="99"/>
      <c r="D66" s="99"/>
      <c r="E66" s="99"/>
      <c r="F66" s="99"/>
      <c r="G66" s="99"/>
      <c r="H66" s="99"/>
      <c r="I66" s="99"/>
      <c r="J66" s="99"/>
      <c r="K66" s="99"/>
      <c r="L66" s="99"/>
      <c r="M66" s="99"/>
      <c r="N66" s="99"/>
      <c r="O66" s="99"/>
      <c r="P66" s="99"/>
      <c r="Q66" s="99"/>
    </row>
    <row r="67" spans="1:17" ht="15" customHeight="1">
      <c r="A67" s="99"/>
      <c r="B67" s="99"/>
      <c r="C67" s="99"/>
      <c r="D67" s="99"/>
      <c r="E67" s="99"/>
      <c r="F67" s="99"/>
      <c r="G67" s="99"/>
      <c r="H67" s="99"/>
      <c r="I67" s="99"/>
      <c r="J67" s="99"/>
      <c r="K67" s="99"/>
      <c r="L67" s="99"/>
      <c r="M67" s="99"/>
      <c r="N67" s="99"/>
      <c r="O67" s="99"/>
      <c r="P67" s="99"/>
      <c r="Q67" s="99"/>
    </row>
    <row r="68" spans="1:17" ht="15" customHeight="1">
      <c r="A68" s="99"/>
      <c r="B68" s="99"/>
      <c r="C68" s="99"/>
      <c r="D68" s="99"/>
      <c r="E68" s="99"/>
      <c r="F68" s="99"/>
      <c r="G68" s="99"/>
      <c r="H68" s="99"/>
      <c r="I68" s="99"/>
      <c r="J68" s="99"/>
      <c r="K68" s="99"/>
      <c r="L68" s="99"/>
      <c r="M68" s="99"/>
      <c r="N68" s="99"/>
      <c r="O68" s="99"/>
      <c r="P68" s="99"/>
      <c r="Q68" s="99"/>
    </row>
    <row r="69" spans="1:17" ht="15" customHeight="1">
      <c r="A69" s="99"/>
      <c r="B69" s="99"/>
      <c r="C69" s="99"/>
      <c r="D69" s="99"/>
      <c r="E69" s="99"/>
      <c r="F69" s="99"/>
      <c r="G69" s="99"/>
      <c r="H69" s="99"/>
      <c r="I69" s="99"/>
      <c r="J69" s="99"/>
      <c r="K69" s="99"/>
      <c r="L69" s="99"/>
      <c r="M69" s="99"/>
      <c r="N69" s="99"/>
      <c r="O69" s="99"/>
      <c r="P69" s="99"/>
      <c r="Q69" s="99"/>
    </row>
    <row r="70" spans="1:17" ht="15" customHeight="1">
      <c r="A70" s="99"/>
      <c r="B70" s="99"/>
      <c r="C70" s="99"/>
      <c r="D70" s="99"/>
      <c r="E70" s="99"/>
      <c r="F70" s="99"/>
      <c r="G70" s="99"/>
      <c r="H70" s="99"/>
      <c r="I70" s="99"/>
      <c r="J70" s="99"/>
      <c r="K70" s="99"/>
      <c r="L70" s="99"/>
      <c r="M70" s="99"/>
      <c r="N70" s="99"/>
      <c r="O70" s="99"/>
      <c r="P70" s="99"/>
      <c r="Q70" s="99"/>
    </row>
    <row r="71" spans="1:17" ht="15" customHeight="1">
      <c r="A71" s="99"/>
      <c r="B71" s="99"/>
      <c r="C71" s="99"/>
      <c r="D71" s="99"/>
      <c r="E71" s="99"/>
      <c r="F71" s="99"/>
      <c r="G71" s="99"/>
      <c r="H71" s="99"/>
      <c r="I71" s="99"/>
      <c r="J71" s="99"/>
      <c r="K71" s="99"/>
      <c r="L71" s="99"/>
      <c r="M71" s="99"/>
      <c r="N71" s="99"/>
      <c r="O71" s="99"/>
      <c r="P71" s="99"/>
      <c r="Q71" s="99"/>
    </row>
    <row r="72" spans="1:17" ht="15" customHeight="1">
      <c r="A72" s="99"/>
      <c r="B72" s="99"/>
      <c r="C72" s="99"/>
      <c r="D72" s="99"/>
      <c r="E72" s="99"/>
      <c r="F72" s="99"/>
      <c r="G72" s="99"/>
      <c r="H72" s="99"/>
      <c r="I72" s="99"/>
      <c r="J72" s="99"/>
      <c r="K72" s="99"/>
      <c r="L72" s="99"/>
      <c r="M72" s="99"/>
      <c r="N72" s="99"/>
      <c r="O72" s="99"/>
      <c r="P72" s="99"/>
      <c r="Q72" s="99"/>
    </row>
    <row r="73" spans="1:17" ht="15" customHeight="1">
      <c r="A73" s="99"/>
      <c r="B73" s="99"/>
      <c r="C73" s="99"/>
      <c r="D73" s="99"/>
      <c r="E73" s="99"/>
      <c r="F73" s="99"/>
      <c r="G73" s="99"/>
      <c r="H73" s="99"/>
      <c r="I73" s="99"/>
      <c r="J73" s="99"/>
      <c r="K73" s="99"/>
      <c r="L73" s="99"/>
      <c r="M73" s="99"/>
      <c r="N73" s="99"/>
      <c r="O73" s="99"/>
      <c r="P73" s="99"/>
      <c r="Q73" s="99"/>
    </row>
    <row r="74" spans="1:17" ht="15" customHeight="1">
      <c r="A74" s="99"/>
      <c r="B74" s="99"/>
      <c r="C74" s="99"/>
      <c r="D74" s="99"/>
      <c r="E74" s="99"/>
      <c r="F74" s="99"/>
      <c r="G74" s="99"/>
      <c r="H74" s="99"/>
      <c r="I74" s="99"/>
      <c r="J74" s="99"/>
      <c r="K74" s="99"/>
      <c r="L74" s="99"/>
      <c r="M74" s="99"/>
      <c r="N74" s="99"/>
      <c r="O74" s="99"/>
      <c r="P74" s="99"/>
      <c r="Q74" s="99"/>
    </row>
    <row r="75" spans="1:17" ht="15" customHeight="1">
      <c r="A75" s="99"/>
      <c r="B75" s="99"/>
      <c r="C75" s="99"/>
      <c r="D75" s="99"/>
      <c r="E75" s="99"/>
      <c r="F75" s="99"/>
      <c r="G75" s="99"/>
      <c r="H75" s="99"/>
      <c r="I75" s="99"/>
      <c r="J75" s="99"/>
      <c r="K75" s="99"/>
      <c r="L75" s="99"/>
      <c r="M75" s="99"/>
      <c r="N75" s="99"/>
      <c r="O75" s="99"/>
      <c r="P75" s="99"/>
      <c r="Q75" s="99"/>
    </row>
    <row r="76" spans="1:17" ht="15" customHeight="1">
      <c r="A76" s="99"/>
      <c r="B76" s="99"/>
      <c r="C76" s="99"/>
      <c r="D76" s="99"/>
      <c r="E76" s="99"/>
      <c r="F76" s="99"/>
      <c r="G76" s="99"/>
      <c r="H76" s="99"/>
      <c r="I76" s="99"/>
      <c r="J76" s="99"/>
      <c r="K76" s="99"/>
      <c r="L76" s="99"/>
      <c r="M76" s="99"/>
      <c r="N76" s="99"/>
      <c r="O76" s="99"/>
      <c r="P76" s="99"/>
      <c r="Q76" s="99"/>
    </row>
    <row r="77" spans="1:17" ht="15" customHeight="1">
      <c r="A77" s="99"/>
      <c r="B77" s="99"/>
      <c r="C77" s="99"/>
      <c r="D77" s="99"/>
      <c r="E77" s="99"/>
      <c r="F77" s="99"/>
      <c r="G77" s="99"/>
      <c r="H77" s="99"/>
      <c r="I77" s="99"/>
      <c r="J77" s="99"/>
      <c r="K77" s="99"/>
      <c r="L77" s="99"/>
      <c r="M77" s="99"/>
      <c r="N77" s="99"/>
      <c r="O77" s="99"/>
      <c r="P77" s="99"/>
      <c r="Q77" s="99"/>
    </row>
    <row r="78" spans="1:17" ht="15" customHeight="1">
      <c r="A78" s="99"/>
      <c r="B78" s="99"/>
      <c r="C78" s="99"/>
      <c r="D78" s="99"/>
      <c r="E78" s="99"/>
      <c r="F78" s="99"/>
      <c r="G78" s="99"/>
      <c r="H78" s="99"/>
      <c r="I78" s="99"/>
      <c r="J78" s="99"/>
      <c r="K78" s="99"/>
      <c r="L78" s="99"/>
      <c r="M78" s="99"/>
      <c r="N78" s="99"/>
      <c r="O78" s="99"/>
      <c r="P78" s="99"/>
      <c r="Q78" s="99"/>
    </row>
    <row r="79" spans="1:17" ht="15" customHeight="1">
      <c r="A79" s="99"/>
      <c r="B79" s="99"/>
      <c r="C79" s="99"/>
      <c r="D79" s="99"/>
      <c r="E79" s="99"/>
      <c r="F79" s="99"/>
      <c r="G79" s="99"/>
      <c r="H79" s="99"/>
      <c r="I79" s="99"/>
      <c r="J79" s="99"/>
      <c r="K79" s="99"/>
      <c r="L79" s="99"/>
      <c r="M79" s="99"/>
      <c r="N79" s="99"/>
      <c r="O79" s="99"/>
      <c r="P79" s="99"/>
      <c r="Q79" s="99"/>
    </row>
    <row r="80" spans="1:17" ht="15" customHeight="1">
      <c r="A80" s="99"/>
      <c r="B80" s="99"/>
      <c r="C80" s="99"/>
      <c r="D80" s="99"/>
      <c r="E80" s="99"/>
      <c r="F80" s="99"/>
      <c r="G80" s="99"/>
      <c r="H80" s="99"/>
      <c r="I80" s="99"/>
      <c r="J80" s="99"/>
      <c r="K80" s="99"/>
      <c r="L80" s="99"/>
      <c r="M80" s="99"/>
      <c r="N80" s="99"/>
      <c r="O80" s="99"/>
      <c r="P80" s="99"/>
      <c r="Q80" s="99"/>
    </row>
    <row r="81" spans="1:17" ht="15" customHeight="1">
      <c r="A81" s="99"/>
      <c r="B81" s="99"/>
      <c r="C81" s="99"/>
      <c r="D81" s="99"/>
      <c r="E81" s="99"/>
      <c r="F81" s="99"/>
      <c r="G81" s="99"/>
      <c r="H81" s="99"/>
      <c r="I81" s="99"/>
      <c r="J81" s="99"/>
      <c r="K81" s="99"/>
      <c r="L81" s="99"/>
      <c r="M81" s="99"/>
      <c r="N81" s="99"/>
      <c r="O81" s="99"/>
      <c r="P81" s="99"/>
      <c r="Q81" s="99"/>
    </row>
    <row r="82" spans="1:17" ht="15" customHeight="1">
      <c r="A82" s="99"/>
      <c r="B82" s="99"/>
      <c r="C82" s="99"/>
      <c r="D82" s="99"/>
      <c r="E82" s="99"/>
      <c r="F82" s="99"/>
      <c r="G82" s="99"/>
      <c r="H82" s="99"/>
      <c r="I82" s="99"/>
      <c r="J82" s="99"/>
      <c r="K82" s="99"/>
      <c r="L82" s="99"/>
      <c r="M82" s="99"/>
      <c r="N82" s="99"/>
      <c r="O82" s="99"/>
      <c r="P82" s="99"/>
      <c r="Q82" s="99"/>
    </row>
    <row r="83" spans="1:17" ht="15" customHeight="1">
      <c r="A83" s="99"/>
      <c r="B83" s="99"/>
      <c r="C83" s="99"/>
      <c r="D83" s="99"/>
      <c r="E83" s="99"/>
      <c r="F83" s="99"/>
      <c r="G83" s="99"/>
      <c r="H83" s="99"/>
      <c r="I83" s="99"/>
      <c r="J83" s="99"/>
      <c r="K83" s="99"/>
      <c r="L83" s="99"/>
      <c r="M83" s="99"/>
      <c r="N83" s="99"/>
      <c r="O83" s="99"/>
      <c r="P83" s="99"/>
      <c r="Q83" s="99"/>
    </row>
    <row r="84" spans="1:17" ht="15" customHeight="1">
      <c r="A84" s="99"/>
      <c r="B84" s="99"/>
      <c r="C84" s="99"/>
      <c r="D84" s="99"/>
      <c r="E84" s="99"/>
      <c r="F84" s="99"/>
      <c r="G84" s="99"/>
      <c r="H84" s="99"/>
      <c r="I84" s="99"/>
      <c r="J84" s="99"/>
      <c r="K84" s="99"/>
      <c r="L84" s="99"/>
      <c r="M84" s="99"/>
      <c r="N84" s="99"/>
      <c r="O84" s="99"/>
      <c r="P84" s="99"/>
      <c r="Q84" s="99"/>
    </row>
    <row r="85" spans="1:17" ht="15" customHeight="1">
      <c r="A85" s="99"/>
      <c r="B85" s="99"/>
      <c r="C85" s="99"/>
      <c r="D85" s="99"/>
      <c r="E85" s="99"/>
      <c r="F85" s="99"/>
      <c r="G85" s="99"/>
      <c r="H85" s="99"/>
      <c r="I85" s="99"/>
      <c r="J85" s="99"/>
      <c r="K85" s="99"/>
      <c r="L85" s="99"/>
      <c r="M85" s="99"/>
      <c r="N85" s="99"/>
      <c r="O85" s="99"/>
      <c r="P85" s="99"/>
      <c r="Q85" s="99"/>
    </row>
    <row r="86" spans="1:17" ht="15" customHeight="1">
      <c r="A86" s="99"/>
      <c r="B86" s="99"/>
      <c r="C86" s="99"/>
      <c r="D86" s="99"/>
      <c r="E86" s="99"/>
      <c r="F86" s="99"/>
      <c r="G86" s="99"/>
      <c r="H86" s="99"/>
      <c r="I86" s="99"/>
      <c r="J86" s="99"/>
      <c r="K86" s="99"/>
      <c r="L86" s="99"/>
      <c r="M86" s="99"/>
      <c r="N86" s="99"/>
      <c r="O86" s="99"/>
      <c r="P86" s="99"/>
      <c r="Q86" s="99"/>
    </row>
    <row r="87" spans="1:17" ht="15" customHeight="1">
      <c r="A87" s="99"/>
      <c r="B87" s="99"/>
      <c r="C87" s="99"/>
      <c r="D87" s="99"/>
      <c r="E87" s="99"/>
      <c r="F87" s="99"/>
      <c r="G87" s="99"/>
      <c r="H87" s="99"/>
      <c r="I87" s="99"/>
      <c r="J87" s="99"/>
      <c r="K87" s="99"/>
      <c r="L87" s="99"/>
      <c r="M87" s="99"/>
      <c r="N87" s="99"/>
      <c r="O87" s="99"/>
      <c r="P87" s="99"/>
      <c r="Q87" s="99"/>
    </row>
    <row r="88" spans="1:17" ht="15" customHeight="1">
      <c r="A88" s="99"/>
      <c r="B88" s="99"/>
      <c r="C88" s="99"/>
      <c r="D88" s="99"/>
      <c r="E88" s="99"/>
      <c r="F88" s="99"/>
      <c r="G88" s="99"/>
      <c r="H88" s="99"/>
      <c r="I88" s="99"/>
      <c r="J88" s="99"/>
      <c r="K88" s="99"/>
      <c r="L88" s="99"/>
      <c r="M88" s="99"/>
      <c r="N88" s="99"/>
      <c r="O88" s="99"/>
      <c r="P88" s="99"/>
      <c r="Q88" s="99"/>
    </row>
    <row r="89" spans="1:17" ht="15" customHeight="1">
      <c r="A89" s="99"/>
      <c r="B89" s="99"/>
      <c r="C89" s="99"/>
      <c r="D89" s="99"/>
      <c r="E89" s="99"/>
      <c r="F89" s="99"/>
      <c r="G89" s="99"/>
      <c r="H89" s="99"/>
      <c r="I89" s="99"/>
      <c r="J89" s="99"/>
      <c r="K89" s="99"/>
      <c r="L89" s="99"/>
      <c r="M89" s="99"/>
      <c r="N89" s="99"/>
      <c r="O89" s="99"/>
      <c r="P89" s="99"/>
      <c r="Q89" s="99"/>
    </row>
    <row r="90" spans="1:17" ht="15" customHeight="1">
      <c r="A90" s="99"/>
      <c r="B90" s="99"/>
      <c r="C90" s="99"/>
      <c r="D90" s="99"/>
      <c r="E90" s="99"/>
      <c r="F90" s="99"/>
      <c r="G90" s="99"/>
      <c r="H90" s="99"/>
      <c r="I90" s="99"/>
      <c r="J90" s="99"/>
      <c r="K90" s="99"/>
      <c r="L90" s="99"/>
      <c r="M90" s="99"/>
      <c r="N90" s="99"/>
      <c r="O90" s="99"/>
      <c r="P90" s="99"/>
      <c r="Q90" s="99"/>
    </row>
    <row r="91" spans="1:17" ht="15" customHeight="1">
      <c r="A91" s="99"/>
      <c r="B91" s="99"/>
      <c r="C91" s="99"/>
      <c r="D91" s="99"/>
      <c r="E91" s="99"/>
      <c r="F91" s="99"/>
      <c r="G91" s="99"/>
      <c r="H91" s="99"/>
      <c r="I91" s="99"/>
      <c r="J91" s="99"/>
      <c r="K91" s="99"/>
      <c r="L91" s="99"/>
      <c r="M91" s="99"/>
      <c r="N91" s="99"/>
      <c r="O91" s="99"/>
      <c r="P91" s="99"/>
      <c r="Q91" s="99"/>
    </row>
    <row r="92" spans="1:17" ht="15" customHeight="1">
      <c r="A92" s="99"/>
      <c r="B92" s="99"/>
      <c r="C92" s="99"/>
      <c r="D92" s="99"/>
      <c r="E92" s="99"/>
      <c r="F92" s="99"/>
      <c r="G92" s="99"/>
      <c r="H92" s="99"/>
      <c r="I92" s="99"/>
      <c r="J92" s="99"/>
      <c r="K92" s="99"/>
      <c r="L92" s="99"/>
      <c r="M92" s="99"/>
      <c r="N92" s="99"/>
      <c r="O92" s="99"/>
      <c r="P92" s="99"/>
      <c r="Q92" s="99"/>
    </row>
    <row r="93" spans="1:17" ht="15" customHeight="1">
      <c r="A93" s="99"/>
      <c r="B93" s="99"/>
      <c r="C93" s="99"/>
      <c r="D93" s="99"/>
      <c r="E93" s="99"/>
      <c r="F93" s="99"/>
      <c r="G93" s="99"/>
      <c r="H93" s="99"/>
      <c r="I93" s="99"/>
      <c r="J93" s="99"/>
      <c r="K93" s="99"/>
      <c r="L93" s="99"/>
      <c r="M93" s="99"/>
      <c r="N93" s="99"/>
      <c r="O93" s="99"/>
      <c r="P93" s="99"/>
      <c r="Q93" s="99"/>
    </row>
    <row r="94" spans="1:17" ht="15" customHeight="1">
      <c r="A94" s="99"/>
      <c r="B94" s="99"/>
      <c r="C94" s="99"/>
      <c r="D94" s="99"/>
      <c r="E94" s="99"/>
      <c r="F94" s="99"/>
      <c r="G94" s="99"/>
      <c r="H94" s="99"/>
      <c r="I94" s="99"/>
      <c r="J94" s="99"/>
      <c r="K94" s="99"/>
      <c r="L94" s="99"/>
      <c r="M94" s="99"/>
      <c r="N94" s="99"/>
      <c r="O94" s="99"/>
      <c r="P94" s="99"/>
      <c r="Q94" s="99"/>
    </row>
    <row r="95" spans="1:17" ht="15" customHeight="1">
      <c r="A95" s="99"/>
      <c r="B95" s="99"/>
      <c r="C95" s="99"/>
      <c r="D95" s="99"/>
      <c r="E95" s="99"/>
      <c r="F95" s="99"/>
      <c r="G95" s="99"/>
      <c r="H95" s="99"/>
      <c r="I95" s="99"/>
      <c r="J95" s="99"/>
      <c r="K95" s="99"/>
      <c r="L95" s="99"/>
      <c r="M95" s="99"/>
      <c r="N95" s="99"/>
      <c r="O95" s="99"/>
      <c r="P95" s="99"/>
      <c r="Q95" s="99"/>
    </row>
    <row r="96" spans="1:17" ht="15" customHeight="1">
      <c r="A96" s="99"/>
      <c r="B96" s="99"/>
      <c r="C96" s="99"/>
      <c r="D96" s="99"/>
      <c r="E96" s="99"/>
      <c r="F96" s="99"/>
      <c r="G96" s="99"/>
      <c r="H96" s="99"/>
      <c r="I96" s="99"/>
      <c r="J96" s="99"/>
      <c r="K96" s="99"/>
      <c r="L96" s="99"/>
      <c r="M96" s="99"/>
      <c r="N96" s="99"/>
      <c r="O96" s="99"/>
      <c r="P96" s="99"/>
      <c r="Q96" s="99"/>
    </row>
    <row r="97" spans="1:17" ht="15" customHeight="1">
      <c r="A97" s="99"/>
      <c r="B97" s="99"/>
      <c r="C97" s="99"/>
      <c r="D97" s="99"/>
      <c r="E97" s="99"/>
      <c r="F97" s="99"/>
      <c r="G97" s="99"/>
      <c r="H97" s="99"/>
      <c r="I97" s="99"/>
      <c r="J97" s="99"/>
      <c r="K97" s="99"/>
      <c r="L97" s="99"/>
      <c r="M97" s="99"/>
      <c r="N97" s="99"/>
      <c r="O97" s="99"/>
      <c r="P97" s="99"/>
      <c r="Q97" s="99"/>
    </row>
    <row r="98" spans="1:17" ht="15" customHeight="1">
      <c r="A98" s="99"/>
      <c r="B98" s="99"/>
      <c r="C98" s="99"/>
      <c r="D98" s="99"/>
      <c r="E98" s="99"/>
      <c r="F98" s="99"/>
      <c r="G98" s="99"/>
      <c r="H98" s="99"/>
      <c r="I98" s="99"/>
      <c r="J98" s="99"/>
      <c r="K98" s="99"/>
      <c r="L98" s="99"/>
      <c r="M98" s="99"/>
      <c r="N98" s="99"/>
      <c r="O98" s="99"/>
      <c r="P98" s="99"/>
      <c r="Q98" s="99"/>
    </row>
    <row r="99" spans="1:17" ht="15" customHeight="1">
      <c r="A99" s="99"/>
      <c r="B99" s="99"/>
      <c r="C99" s="99"/>
      <c r="D99" s="99"/>
      <c r="E99" s="99"/>
      <c r="F99" s="99"/>
      <c r="G99" s="99"/>
      <c r="H99" s="99"/>
      <c r="I99" s="99"/>
      <c r="J99" s="99"/>
      <c r="K99" s="99"/>
      <c r="L99" s="99"/>
      <c r="M99" s="99"/>
      <c r="N99" s="99"/>
      <c r="O99" s="99"/>
      <c r="P99" s="99"/>
      <c r="Q99" s="99"/>
    </row>
    <row r="100" spans="1:17" ht="15" customHeight="1">
      <c r="A100" s="99"/>
      <c r="B100" s="99"/>
      <c r="C100" s="99"/>
      <c r="D100" s="99"/>
      <c r="E100" s="99"/>
      <c r="F100" s="99"/>
      <c r="G100" s="99"/>
      <c r="H100" s="99"/>
      <c r="I100" s="99"/>
      <c r="J100" s="99"/>
      <c r="K100" s="99"/>
      <c r="L100" s="99"/>
      <c r="M100" s="99"/>
      <c r="N100" s="99"/>
      <c r="O100" s="99"/>
      <c r="P100" s="99"/>
      <c r="Q100" s="99"/>
    </row>
    <row r="101" spans="1:17" ht="15" customHeight="1">
      <c r="A101" s="99"/>
      <c r="B101" s="99"/>
      <c r="C101" s="99"/>
      <c r="D101" s="99"/>
      <c r="E101" s="99"/>
      <c r="F101" s="99"/>
      <c r="G101" s="99"/>
      <c r="H101" s="99"/>
      <c r="I101" s="99"/>
      <c r="J101" s="99"/>
      <c r="K101" s="99"/>
      <c r="L101" s="99"/>
      <c r="M101" s="99"/>
      <c r="N101" s="99"/>
      <c r="O101" s="99"/>
      <c r="P101" s="99"/>
      <c r="Q101" s="99"/>
    </row>
    <row r="102" spans="1:17" ht="15" customHeight="1">
      <c r="A102" s="99"/>
      <c r="B102" s="99"/>
      <c r="C102" s="99"/>
      <c r="D102" s="99"/>
      <c r="E102" s="99"/>
      <c r="F102" s="99"/>
      <c r="G102" s="99"/>
      <c r="H102" s="99"/>
      <c r="I102" s="99"/>
      <c r="J102" s="99"/>
      <c r="K102" s="99"/>
      <c r="L102" s="99"/>
      <c r="M102" s="99"/>
      <c r="N102" s="99"/>
      <c r="O102" s="99"/>
      <c r="P102" s="99"/>
      <c r="Q102" s="99"/>
    </row>
    <row r="103" spans="1:17" ht="15" customHeight="1">
      <c r="A103" s="99"/>
      <c r="B103" s="99"/>
      <c r="C103" s="99"/>
      <c r="D103" s="99"/>
      <c r="E103" s="99"/>
      <c r="F103" s="99"/>
      <c r="G103" s="99"/>
      <c r="H103" s="99"/>
      <c r="I103" s="99"/>
      <c r="J103" s="99"/>
      <c r="K103" s="99"/>
      <c r="L103" s="99"/>
      <c r="M103" s="99"/>
      <c r="N103" s="99"/>
      <c r="O103" s="99"/>
      <c r="P103" s="99"/>
      <c r="Q103" s="99"/>
    </row>
    <row r="104" spans="1:17" ht="15" customHeight="1">
      <c r="A104" s="99"/>
      <c r="B104" s="99"/>
      <c r="C104" s="99"/>
      <c r="D104" s="99"/>
      <c r="E104" s="99"/>
      <c r="F104" s="99"/>
      <c r="G104" s="99"/>
      <c r="H104" s="99"/>
      <c r="I104" s="99"/>
      <c r="J104" s="99"/>
      <c r="K104" s="99"/>
      <c r="L104" s="99"/>
      <c r="M104" s="99"/>
      <c r="N104" s="99"/>
      <c r="O104" s="99"/>
      <c r="P104" s="99"/>
      <c r="Q104" s="99"/>
    </row>
    <row r="105" spans="1:17" ht="15" customHeight="1">
      <c r="A105" s="99"/>
      <c r="B105" s="99"/>
      <c r="C105" s="99"/>
      <c r="D105" s="99"/>
      <c r="E105" s="99"/>
      <c r="F105" s="99"/>
      <c r="G105" s="99"/>
      <c r="H105" s="99"/>
      <c r="I105" s="99"/>
      <c r="J105" s="99"/>
      <c r="K105" s="99"/>
      <c r="L105" s="99"/>
      <c r="M105" s="99"/>
      <c r="N105" s="99"/>
      <c r="O105" s="99"/>
      <c r="P105" s="99"/>
      <c r="Q105" s="99"/>
    </row>
    <row r="106" spans="1:17" ht="15" customHeight="1">
      <c r="A106" s="99"/>
      <c r="B106" s="99"/>
      <c r="C106" s="99"/>
      <c r="D106" s="99"/>
      <c r="E106" s="99"/>
      <c r="F106" s="99"/>
      <c r="G106" s="99"/>
      <c r="H106" s="99"/>
      <c r="I106" s="99"/>
      <c r="J106" s="99"/>
      <c r="K106" s="99"/>
      <c r="L106" s="99"/>
      <c r="M106" s="99"/>
      <c r="N106" s="99"/>
      <c r="O106" s="99"/>
      <c r="P106" s="99"/>
      <c r="Q106" s="99"/>
    </row>
    <row r="107" spans="1:17" ht="15" customHeight="1">
      <c r="A107" s="99"/>
      <c r="B107" s="99"/>
      <c r="C107" s="99"/>
      <c r="D107" s="99"/>
      <c r="E107" s="99"/>
      <c r="F107" s="99"/>
      <c r="G107" s="99"/>
      <c r="H107" s="99"/>
      <c r="I107" s="99"/>
      <c r="J107" s="99"/>
      <c r="K107" s="99"/>
      <c r="L107" s="99"/>
      <c r="M107" s="99"/>
      <c r="N107" s="99"/>
      <c r="O107" s="99"/>
      <c r="P107" s="99"/>
      <c r="Q107" s="99"/>
    </row>
    <row r="108" spans="1:17" ht="15" customHeight="1">
      <c r="A108" s="99"/>
      <c r="B108" s="99"/>
      <c r="C108" s="99"/>
      <c r="D108" s="99"/>
      <c r="E108" s="99"/>
      <c r="F108" s="99"/>
      <c r="G108" s="99"/>
      <c r="H108" s="99"/>
      <c r="I108" s="99"/>
      <c r="J108" s="99"/>
      <c r="K108" s="99"/>
      <c r="L108" s="99"/>
      <c r="M108" s="99"/>
      <c r="N108" s="99"/>
      <c r="O108" s="99"/>
      <c r="P108" s="99"/>
      <c r="Q108" s="99"/>
    </row>
    <row r="109" spans="1:17" ht="15" customHeight="1">
      <c r="A109" s="99"/>
      <c r="B109" s="99"/>
      <c r="C109" s="99"/>
      <c r="D109" s="99"/>
      <c r="E109" s="99"/>
      <c r="F109" s="99"/>
      <c r="G109" s="99"/>
      <c r="H109" s="99"/>
      <c r="I109" s="99"/>
      <c r="J109" s="99"/>
      <c r="K109" s="99"/>
      <c r="L109" s="99"/>
      <c r="M109" s="99"/>
      <c r="N109" s="99"/>
      <c r="O109" s="99"/>
      <c r="P109" s="99"/>
      <c r="Q109" s="99"/>
    </row>
    <row r="110" spans="1:17" ht="15" customHeight="1">
      <c r="A110" s="99"/>
      <c r="B110" s="99"/>
      <c r="C110" s="99"/>
      <c r="D110" s="99"/>
      <c r="E110" s="99"/>
      <c r="F110" s="99"/>
      <c r="G110" s="99"/>
      <c r="H110" s="99"/>
      <c r="I110" s="99"/>
      <c r="J110" s="99"/>
      <c r="K110" s="99"/>
      <c r="L110" s="99"/>
      <c r="M110" s="99"/>
      <c r="N110" s="99"/>
      <c r="O110" s="99"/>
      <c r="P110" s="99"/>
      <c r="Q110" s="99"/>
    </row>
    <row r="111" spans="1:17" ht="15" customHeight="1">
      <c r="A111" s="99"/>
      <c r="B111" s="99"/>
      <c r="C111" s="99"/>
      <c r="D111" s="99"/>
      <c r="E111" s="99"/>
      <c r="F111" s="99"/>
      <c r="G111" s="99"/>
      <c r="H111" s="99"/>
      <c r="I111" s="99"/>
      <c r="J111" s="99"/>
      <c r="K111" s="99"/>
      <c r="L111" s="99"/>
      <c r="M111" s="99"/>
      <c r="N111" s="99"/>
      <c r="O111" s="99"/>
      <c r="P111" s="99"/>
      <c r="Q111" s="99"/>
    </row>
    <row r="112" spans="1:17" ht="15" customHeight="1">
      <c r="A112" s="99"/>
      <c r="B112" s="99"/>
      <c r="C112" s="99"/>
      <c r="D112" s="99"/>
      <c r="E112" s="99"/>
      <c r="F112" s="99"/>
      <c r="G112" s="99"/>
      <c r="H112" s="99"/>
      <c r="I112" s="99"/>
      <c r="J112" s="99"/>
      <c r="K112" s="99"/>
      <c r="L112" s="99"/>
      <c r="M112" s="99"/>
      <c r="N112" s="99"/>
      <c r="O112" s="99"/>
      <c r="P112" s="99"/>
      <c r="Q112" s="99"/>
    </row>
    <row r="113" spans="1:17" ht="15" customHeight="1">
      <c r="A113" s="99"/>
      <c r="B113" s="99"/>
      <c r="C113" s="99"/>
      <c r="D113" s="99"/>
      <c r="E113" s="99"/>
      <c r="F113" s="99"/>
      <c r="G113" s="99"/>
      <c r="H113" s="99"/>
      <c r="I113" s="99"/>
      <c r="J113" s="99"/>
      <c r="K113" s="99"/>
      <c r="L113" s="99"/>
      <c r="M113" s="99"/>
      <c r="N113" s="99"/>
      <c r="O113" s="99"/>
      <c r="P113" s="99"/>
      <c r="Q113" s="99"/>
    </row>
    <row r="114" spans="1:17" ht="15" customHeight="1">
      <c r="A114" s="99"/>
      <c r="B114" s="99"/>
      <c r="C114" s="99"/>
      <c r="D114" s="99"/>
      <c r="E114" s="99"/>
      <c r="F114" s="99"/>
      <c r="G114" s="99"/>
      <c r="H114" s="99"/>
      <c r="I114" s="99"/>
      <c r="J114" s="99"/>
      <c r="K114" s="99"/>
      <c r="L114" s="99"/>
      <c r="M114" s="99"/>
      <c r="N114" s="99"/>
      <c r="O114" s="99"/>
      <c r="P114" s="99"/>
      <c r="Q114" s="99"/>
    </row>
    <row r="115" spans="1:17" ht="15" customHeight="1">
      <c r="A115" s="99"/>
      <c r="B115" s="99"/>
      <c r="C115" s="99"/>
      <c r="D115" s="99"/>
      <c r="E115" s="99"/>
      <c r="F115" s="99"/>
      <c r="G115" s="99"/>
      <c r="H115" s="99"/>
      <c r="I115" s="99"/>
      <c r="J115" s="99"/>
      <c r="K115" s="99"/>
      <c r="L115" s="99"/>
      <c r="M115" s="99"/>
      <c r="N115" s="99"/>
      <c r="O115" s="99"/>
      <c r="P115" s="99"/>
      <c r="Q115" s="99"/>
    </row>
    <row r="116" spans="1:17" ht="15" customHeight="1">
      <c r="A116" s="99"/>
      <c r="B116" s="99"/>
      <c r="C116" s="99"/>
      <c r="D116" s="99"/>
      <c r="E116" s="99"/>
      <c r="F116" s="99"/>
      <c r="G116" s="99"/>
      <c r="H116" s="99"/>
      <c r="I116" s="99"/>
      <c r="J116" s="99"/>
      <c r="K116" s="99"/>
      <c r="L116" s="99"/>
      <c r="M116" s="99"/>
      <c r="N116" s="99"/>
      <c r="O116" s="99"/>
      <c r="P116" s="99"/>
      <c r="Q116" s="99"/>
    </row>
    <row r="117" spans="1:17" ht="15" customHeight="1">
      <c r="A117" s="99"/>
      <c r="B117" s="99"/>
      <c r="C117" s="99"/>
      <c r="D117" s="99"/>
      <c r="E117" s="99"/>
      <c r="F117" s="99"/>
      <c r="G117" s="99"/>
      <c r="H117" s="99"/>
      <c r="I117" s="99"/>
      <c r="J117" s="99"/>
      <c r="K117" s="99"/>
      <c r="L117" s="99"/>
      <c r="M117" s="99"/>
      <c r="N117" s="99"/>
      <c r="O117" s="99"/>
      <c r="P117" s="99"/>
      <c r="Q117" s="99"/>
    </row>
    <row r="118" spans="1:17" ht="15" customHeight="1">
      <c r="A118" s="99"/>
      <c r="B118" s="99"/>
      <c r="C118" s="99"/>
      <c r="D118" s="99"/>
      <c r="E118" s="99"/>
      <c r="F118" s="99"/>
      <c r="G118" s="99"/>
      <c r="H118" s="99"/>
      <c r="I118" s="99"/>
      <c r="J118" s="99"/>
      <c r="K118" s="99"/>
      <c r="L118" s="99"/>
      <c r="M118" s="99"/>
      <c r="N118" s="99"/>
      <c r="O118" s="99"/>
      <c r="P118" s="99"/>
      <c r="Q118" s="99"/>
    </row>
    <row r="119" spans="1:17" ht="15" customHeight="1">
      <c r="A119" s="99"/>
      <c r="B119" s="99"/>
      <c r="C119" s="99"/>
      <c r="D119" s="99"/>
      <c r="E119" s="99"/>
      <c r="F119" s="99"/>
      <c r="G119" s="99"/>
      <c r="H119" s="99"/>
      <c r="I119" s="99"/>
      <c r="J119" s="99"/>
      <c r="K119" s="99"/>
      <c r="L119" s="99"/>
      <c r="M119" s="99"/>
      <c r="N119" s="99"/>
      <c r="O119" s="99"/>
      <c r="P119" s="99"/>
      <c r="Q119" s="99"/>
    </row>
    <row r="120" spans="1:17" ht="15" customHeight="1">
      <c r="A120" s="99"/>
      <c r="B120" s="99"/>
      <c r="C120" s="99"/>
      <c r="D120" s="99"/>
      <c r="E120" s="99"/>
      <c r="F120" s="99"/>
      <c r="G120" s="99"/>
      <c r="H120" s="99"/>
      <c r="I120" s="99"/>
      <c r="J120" s="99"/>
      <c r="K120" s="99"/>
      <c r="L120" s="99"/>
      <c r="M120" s="99"/>
      <c r="N120" s="99"/>
      <c r="O120" s="99"/>
      <c r="P120" s="99"/>
      <c r="Q120" s="99"/>
    </row>
    <row r="121" spans="1:17" ht="15" customHeight="1">
      <c r="A121" s="99"/>
      <c r="B121" s="99"/>
      <c r="C121" s="99"/>
      <c r="D121" s="99"/>
      <c r="E121" s="99"/>
      <c r="F121" s="99"/>
      <c r="G121" s="99"/>
      <c r="H121" s="99"/>
      <c r="I121" s="99"/>
      <c r="J121" s="99"/>
      <c r="K121" s="99"/>
      <c r="L121" s="99"/>
      <c r="M121" s="99"/>
      <c r="N121" s="99"/>
      <c r="O121" s="99"/>
      <c r="P121" s="99"/>
      <c r="Q121" s="99"/>
    </row>
    <row r="122" spans="1:17" ht="15" customHeight="1">
      <c r="A122" s="99"/>
      <c r="B122" s="99"/>
      <c r="C122" s="99"/>
      <c r="D122" s="99"/>
      <c r="E122" s="99"/>
      <c r="F122" s="99"/>
      <c r="G122" s="99"/>
      <c r="H122" s="99"/>
      <c r="I122" s="99"/>
      <c r="J122" s="99"/>
      <c r="K122" s="99"/>
      <c r="L122" s="99"/>
      <c r="M122" s="99"/>
      <c r="N122" s="99"/>
      <c r="O122" s="99"/>
      <c r="P122" s="99"/>
      <c r="Q122" s="99"/>
    </row>
    <row r="123" spans="1:17" ht="15" customHeight="1">
      <c r="A123" s="99"/>
      <c r="B123" s="99"/>
      <c r="C123" s="99"/>
      <c r="D123" s="99"/>
      <c r="E123" s="99"/>
      <c r="F123" s="99"/>
      <c r="G123" s="99"/>
      <c r="H123" s="99"/>
      <c r="I123" s="99"/>
      <c r="J123" s="99"/>
      <c r="K123" s="99"/>
      <c r="L123" s="99"/>
      <c r="M123" s="99"/>
      <c r="N123" s="99"/>
      <c r="O123" s="99"/>
      <c r="P123" s="99"/>
      <c r="Q123" s="99"/>
    </row>
    <row r="124" spans="1:17" ht="15" customHeight="1">
      <c r="A124" s="99"/>
      <c r="B124" s="99"/>
      <c r="C124" s="99"/>
      <c r="D124" s="99"/>
      <c r="E124" s="99"/>
      <c r="F124" s="99"/>
      <c r="G124" s="99"/>
      <c r="H124" s="99"/>
      <c r="I124" s="99"/>
      <c r="J124" s="99"/>
      <c r="K124" s="99"/>
      <c r="L124" s="99"/>
      <c r="M124" s="99"/>
      <c r="N124" s="99"/>
      <c r="O124" s="99"/>
      <c r="P124" s="99"/>
      <c r="Q124" s="99"/>
    </row>
    <row r="125" spans="1:17" ht="15" customHeight="1">
      <c r="A125" s="99"/>
      <c r="B125" s="99"/>
      <c r="C125" s="99"/>
      <c r="D125" s="99"/>
      <c r="E125" s="99"/>
      <c r="F125" s="99"/>
      <c r="G125" s="99"/>
      <c r="H125" s="99"/>
      <c r="I125" s="99"/>
      <c r="J125" s="99"/>
      <c r="K125" s="99"/>
      <c r="L125" s="99"/>
      <c r="M125" s="99"/>
      <c r="N125" s="99"/>
      <c r="O125" s="99"/>
      <c r="P125" s="99"/>
      <c r="Q125" s="99"/>
    </row>
    <row r="126" spans="1:17" ht="15" customHeight="1">
      <c r="A126" s="99"/>
      <c r="B126" s="99"/>
      <c r="C126" s="99"/>
      <c r="D126" s="99"/>
      <c r="E126" s="99"/>
      <c r="F126" s="99"/>
      <c r="G126" s="99"/>
      <c r="H126" s="99"/>
      <c r="I126" s="99"/>
      <c r="J126" s="99"/>
      <c r="K126" s="99"/>
      <c r="L126" s="99"/>
      <c r="M126" s="99"/>
      <c r="N126" s="99"/>
      <c r="O126" s="99"/>
      <c r="P126" s="99"/>
      <c r="Q126" s="99"/>
    </row>
    <row r="127" spans="1:17" ht="15" customHeight="1">
      <c r="A127" s="99"/>
      <c r="B127" s="99"/>
      <c r="C127" s="99"/>
      <c r="D127" s="99"/>
      <c r="E127" s="99"/>
      <c r="F127" s="99"/>
      <c r="G127" s="99"/>
      <c r="H127" s="99"/>
      <c r="I127" s="99"/>
      <c r="J127" s="99"/>
      <c r="K127" s="99"/>
      <c r="L127" s="99"/>
      <c r="M127" s="99"/>
      <c r="N127" s="99"/>
      <c r="O127" s="99"/>
      <c r="P127" s="99"/>
      <c r="Q127" s="99"/>
    </row>
    <row r="128" spans="1:17" ht="15" customHeight="1">
      <c r="A128" s="99"/>
      <c r="B128" s="99"/>
      <c r="C128" s="99"/>
      <c r="D128" s="99"/>
      <c r="E128" s="99"/>
      <c r="F128" s="99"/>
      <c r="G128" s="99"/>
      <c r="H128" s="99"/>
      <c r="I128" s="99"/>
      <c r="J128" s="99"/>
      <c r="K128" s="99"/>
      <c r="L128" s="99"/>
      <c r="M128" s="99"/>
      <c r="N128" s="99"/>
      <c r="O128" s="99"/>
      <c r="P128" s="99"/>
      <c r="Q128" s="99"/>
    </row>
    <row r="129" spans="1:17" ht="15" customHeight="1">
      <c r="A129" s="99"/>
      <c r="B129" s="99"/>
      <c r="C129" s="99"/>
      <c r="D129" s="99"/>
      <c r="E129" s="99"/>
      <c r="F129" s="99"/>
      <c r="G129" s="99"/>
      <c r="H129" s="99"/>
      <c r="I129" s="99"/>
      <c r="J129" s="99"/>
      <c r="K129" s="99"/>
      <c r="L129" s="99"/>
      <c r="M129" s="99"/>
      <c r="N129" s="99"/>
      <c r="O129" s="99"/>
      <c r="P129" s="99"/>
      <c r="Q129" s="99"/>
    </row>
    <row r="130" spans="1:17" ht="15" customHeight="1">
      <c r="A130" s="99"/>
      <c r="B130" s="99"/>
      <c r="C130" s="99"/>
      <c r="D130" s="99"/>
      <c r="E130" s="99"/>
      <c r="F130" s="99"/>
      <c r="G130" s="99"/>
      <c r="H130" s="99"/>
      <c r="I130" s="99"/>
      <c r="J130" s="99"/>
      <c r="K130" s="99"/>
      <c r="L130" s="99"/>
      <c r="M130" s="99"/>
      <c r="N130" s="99"/>
      <c r="O130" s="99"/>
      <c r="P130" s="99"/>
      <c r="Q130" s="99"/>
    </row>
    <row r="131" spans="1:17" ht="15" customHeight="1">
      <c r="A131" s="99"/>
      <c r="B131" s="99"/>
      <c r="C131" s="99"/>
      <c r="D131" s="99"/>
      <c r="E131" s="99"/>
      <c r="F131" s="99"/>
      <c r="G131" s="99"/>
      <c r="H131" s="99"/>
      <c r="I131" s="99"/>
      <c r="J131" s="99"/>
      <c r="K131" s="99"/>
      <c r="L131" s="99"/>
      <c r="M131" s="99"/>
      <c r="N131" s="99"/>
      <c r="O131" s="99"/>
      <c r="P131" s="99"/>
      <c r="Q131" s="99"/>
    </row>
    <row r="132" spans="1:17" ht="15" customHeight="1">
      <c r="A132" s="99"/>
      <c r="B132" s="99"/>
      <c r="C132" s="99"/>
      <c r="D132" s="99"/>
      <c r="E132" s="99"/>
      <c r="F132" s="99"/>
      <c r="G132" s="99"/>
      <c r="H132" s="99"/>
      <c r="I132" s="99"/>
      <c r="J132" s="99"/>
      <c r="K132" s="99"/>
      <c r="L132" s="99"/>
      <c r="M132" s="99"/>
      <c r="N132" s="99"/>
      <c r="O132" s="99"/>
      <c r="P132" s="99"/>
      <c r="Q132" s="99"/>
    </row>
    <row r="133" spans="1:17" ht="15" customHeight="1">
      <c r="A133" s="99"/>
      <c r="B133" s="99"/>
      <c r="C133" s="99"/>
      <c r="D133" s="99"/>
      <c r="E133" s="99"/>
      <c r="F133" s="99"/>
      <c r="G133" s="99"/>
      <c r="H133" s="99"/>
      <c r="I133" s="99"/>
      <c r="J133" s="99"/>
      <c r="K133" s="99"/>
      <c r="L133" s="99"/>
      <c r="M133" s="99"/>
      <c r="N133" s="99"/>
      <c r="O133" s="99"/>
      <c r="P133" s="99"/>
      <c r="Q133" s="99"/>
    </row>
    <row r="134" spans="1:17" ht="15" customHeight="1">
      <c r="A134" s="99"/>
      <c r="B134" s="99"/>
      <c r="C134" s="99"/>
      <c r="D134" s="99"/>
      <c r="E134" s="99"/>
      <c r="F134" s="99"/>
      <c r="G134" s="99"/>
      <c r="H134" s="99"/>
      <c r="I134" s="99"/>
      <c r="J134" s="99"/>
      <c r="K134" s="99"/>
      <c r="L134" s="99"/>
      <c r="M134" s="99"/>
      <c r="N134" s="99"/>
      <c r="O134" s="99"/>
      <c r="P134" s="99"/>
      <c r="Q134" s="99"/>
    </row>
    <row r="135" spans="1:17" ht="15" customHeight="1">
      <c r="A135" s="99"/>
      <c r="B135" s="99"/>
      <c r="C135" s="99"/>
      <c r="D135" s="99"/>
      <c r="E135" s="99"/>
      <c r="F135" s="99"/>
      <c r="G135" s="99"/>
      <c r="H135" s="99"/>
      <c r="I135" s="99"/>
      <c r="J135" s="99"/>
      <c r="K135" s="99"/>
      <c r="L135" s="99"/>
      <c r="M135" s="99"/>
      <c r="N135" s="99"/>
      <c r="O135" s="99"/>
      <c r="P135" s="99"/>
      <c r="Q135" s="99"/>
    </row>
    <row r="136" spans="1:17" ht="15" customHeight="1">
      <c r="A136" s="99"/>
      <c r="B136" s="99"/>
      <c r="C136" s="99"/>
      <c r="D136" s="99"/>
      <c r="E136" s="99"/>
      <c r="F136" s="99"/>
      <c r="G136" s="99"/>
      <c r="H136" s="99"/>
      <c r="I136" s="99"/>
      <c r="J136" s="99"/>
      <c r="K136" s="99"/>
      <c r="L136" s="99"/>
      <c r="M136" s="99"/>
      <c r="N136" s="99"/>
      <c r="O136" s="99"/>
      <c r="P136" s="99"/>
      <c r="Q136" s="99"/>
    </row>
    <row r="137" spans="1:17" ht="15" customHeight="1">
      <c r="A137" s="99"/>
      <c r="B137" s="99"/>
      <c r="C137" s="99"/>
      <c r="D137" s="99"/>
      <c r="E137" s="99"/>
      <c r="F137" s="99"/>
      <c r="G137" s="99"/>
      <c r="H137" s="99"/>
      <c r="I137" s="99"/>
      <c r="J137" s="99"/>
      <c r="K137" s="99"/>
      <c r="L137" s="99"/>
      <c r="M137" s="99"/>
      <c r="N137" s="99"/>
      <c r="O137" s="99"/>
      <c r="P137" s="99"/>
      <c r="Q137" s="99"/>
    </row>
    <row r="138" spans="1:17" ht="15" customHeight="1">
      <c r="A138" s="99"/>
      <c r="B138" s="99"/>
      <c r="C138" s="99"/>
      <c r="D138" s="99"/>
      <c r="E138" s="99"/>
      <c r="F138" s="99"/>
      <c r="G138" s="99"/>
      <c r="H138" s="99"/>
      <c r="I138" s="99"/>
      <c r="J138" s="99"/>
      <c r="K138" s="99"/>
      <c r="L138" s="99"/>
      <c r="M138" s="99"/>
      <c r="N138" s="99"/>
      <c r="O138" s="99"/>
      <c r="P138" s="99"/>
      <c r="Q138" s="99"/>
    </row>
    <row r="139" spans="1:17" ht="15" customHeight="1">
      <c r="A139" s="99"/>
      <c r="B139" s="99"/>
      <c r="C139" s="99"/>
      <c r="D139" s="99"/>
      <c r="E139" s="99"/>
      <c r="F139" s="99"/>
      <c r="G139" s="99"/>
      <c r="H139" s="99"/>
      <c r="I139" s="99"/>
      <c r="J139" s="99"/>
      <c r="K139" s="99"/>
      <c r="L139" s="99"/>
      <c r="M139" s="99"/>
      <c r="N139" s="99"/>
      <c r="O139" s="99"/>
      <c r="P139" s="99"/>
      <c r="Q139" s="99"/>
    </row>
    <row r="140" spans="1:17" ht="15" customHeight="1">
      <c r="A140" s="99"/>
      <c r="B140" s="99"/>
      <c r="C140" s="99"/>
      <c r="D140" s="99"/>
      <c r="E140" s="99"/>
      <c r="F140" s="99"/>
      <c r="G140" s="99"/>
      <c r="H140" s="99"/>
      <c r="I140" s="99"/>
      <c r="J140" s="99"/>
      <c r="K140" s="99"/>
      <c r="L140" s="99"/>
      <c r="M140" s="99"/>
      <c r="N140" s="99"/>
      <c r="O140" s="99"/>
      <c r="P140" s="99"/>
      <c r="Q140" s="99"/>
    </row>
    <row r="141" spans="1:17" ht="15" customHeight="1">
      <c r="A141" s="99"/>
      <c r="B141" s="99"/>
      <c r="C141" s="99"/>
      <c r="D141" s="99"/>
      <c r="E141" s="99"/>
      <c r="F141" s="99"/>
      <c r="G141" s="99"/>
      <c r="H141" s="99"/>
      <c r="I141" s="99"/>
      <c r="J141" s="99"/>
      <c r="K141" s="99"/>
      <c r="L141" s="99"/>
      <c r="M141" s="99"/>
      <c r="N141" s="99"/>
      <c r="O141" s="99"/>
      <c r="P141" s="99"/>
      <c r="Q141" s="99"/>
    </row>
    <row r="142" spans="1:17" ht="15" customHeight="1">
      <c r="A142" s="99"/>
      <c r="B142" s="99"/>
      <c r="C142" s="99"/>
      <c r="D142" s="99"/>
      <c r="E142" s="99"/>
      <c r="F142" s="99"/>
      <c r="G142" s="99"/>
      <c r="H142" s="99"/>
      <c r="I142" s="99"/>
      <c r="J142" s="99"/>
      <c r="K142" s="99"/>
      <c r="L142" s="99"/>
      <c r="M142" s="99"/>
      <c r="N142" s="99"/>
      <c r="O142" s="99"/>
      <c r="P142" s="99"/>
      <c r="Q142" s="99"/>
    </row>
    <row r="143" spans="1:17" ht="15" customHeight="1">
      <c r="A143" s="99"/>
      <c r="B143" s="99"/>
      <c r="C143" s="99"/>
      <c r="D143" s="99"/>
      <c r="E143" s="99"/>
      <c r="F143" s="99"/>
      <c r="G143" s="99"/>
      <c r="H143" s="99"/>
      <c r="I143" s="99"/>
      <c r="J143" s="99"/>
      <c r="K143" s="99"/>
      <c r="L143" s="99"/>
      <c r="M143" s="99"/>
      <c r="N143" s="99"/>
      <c r="O143" s="99"/>
      <c r="P143" s="99"/>
      <c r="Q143" s="99"/>
    </row>
    <row r="144" spans="1:17" ht="15" customHeight="1">
      <c r="A144" s="99"/>
      <c r="B144" s="99"/>
      <c r="C144" s="99"/>
      <c r="D144" s="99"/>
      <c r="E144" s="99"/>
      <c r="F144" s="99"/>
      <c r="G144" s="99"/>
      <c r="H144" s="99"/>
      <c r="I144" s="99"/>
      <c r="J144" s="99"/>
      <c r="K144" s="99"/>
      <c r="L144" s="99"/>
      <c r="M144" s="99"/>
      <c r="N144" s="99"/>
      <c r="O144" s="99"/>
      <c r="P144" s="99"/>
      <c r="Q144" s="99"/>
    </row>
    <row r="145" spans="1:17" ht="15" customHeight="1">
      <c r="A145" s="99"/>
      <c r="B145" s="99"/>
      <c r="C145" s="99"/>
      <c r="D145" s="99"/>
      <c r="E145" s="99"/>
      <c r="F145" s="99"/>
      <c r="G145" s="99"/>
      <c r="H145" s="99"/>
      <c r="I145" s="99"/>
      <c r="J145" s="99"/>
      <c r="K145" s="99"/>
      <c r="L145" s="99"/>
      <c r="M145" s="99"/>
      <c r="N145" s="99"/>
      <c r="O145" s="99"/>
      <c r="P145" s="99"/>
      <c r="Q145" s="99"/>
    </row>
    <row r="146" spans="1:17" ht="15" customHeight="1">
      <c r="A146" s="99"/>
      <c r="B146" s="99"/>
      <c r="C146" s="99"/>
      <c r="D146" s="99"/>
      <c r="E146" s="99"/>
      <c r="F146" s="99"/>
      <c r="G146" s="99"/>
      <c r="H146" s="99"/>
      <c r="I146" s="99"/>
      <c r="J146" s="99"/>
      <c r="K146" s="99"/>
      <c r="L146" s="99"/>
      <c r="M146" s="99"/>
      <c r="N146" s="99"/>
      <c r="O146" s="99"/>
      <c r="P146" s="99"/>
      <c r="Q146" s="99"/>
    </row>
    <row r="147" spans="1:17" ht="15" customHeight="1">
      <c r="A147" s="99"/>
      <c r="B147" s="99"/>
      <c r="C147" s="99"/>
      <c r="D147" s="99"/>
      <c r="E147" s="99"/>
      <c r="F147" s="99"/>
      <c r="G147" s="99"/>
      <c r="H147" s="99"/>
      <c r="I147" s="99"/>
      <c r="J147" s="99"/>
      <c r="K147" s="99"/>
      <c r="L147" s="99"/>
      <c r="M147" s="99"/>
      <c r="N147" s="99"/>
      <c r="O147" s="99"/>
      <c r="P147" s="99"/>
      <c r="Q147" s="99"/>
    </row>
    <row r="148" spans="1:17" ht="15" customHeight="1">
      <c r="A148" s="99"/>
      <c r="B148" s="99"/>
      <c r="C148" s="99"/>
      <c r="D148" s="99"/>
      <c r="E148" s="99"/>
      <c r="F148" s="99"/>
      <c r="G148" s="99"/>
      <c r="H148" s="99"/>
      <c r="I148" s="99"/>
      <c r="J148" s="99"/>
      <c r="K148" s="99"/>
      <c r="L148" s="99"/>
      <c r="M148" s="99"/>
      <c r="N148" s="99"/>
      <c r="O148" s="99"/>
      <c r="P148" s="99"/>
      <c r="Q148" s="99"/>
    </row>
    <row r="149" spans="1:17" ht="15" customHeight="1">
      <c r="A149" s="99"/>
      <c r="B149" s="99"/>
      <c r="C149" s="99"/>
      <c r="D149" s="99"/>
      <c r="E149" s="99"/>
      <c r="F149" s="99"/>
      <c r="G149" s="99"/>
      <c r="H149" s="99"/>
      <c r="I149" s="99"/>
      <c r="J149" s="99"/>
      <c r="K149" s="99"/>
      <c r="L149" s="99"/>
      <c r="M149" s="99"/>
      <c r="N149" s="99"/>
      <c r="O149" s="99"/>
      <c r="P149" s="99"/>
      <c r="Q149" s="99"/>
    </row>
    <row r="150" spans="1:17" ht="15" customHeight="1">
      <c r="A150" s="99"/>
      <c r="B150" s="99"/>
      <c r="C150" s="99"/>
      <c r="D150" s="99"/>
      <c r="E150" s="99"/>
      <c r="F150" s="99"/>
      <c r="G150" s="99"/>
      <c r="H150" s="99"/>
      <c r="I150" s="99"/>
      <c r="J150" s="99"/>
      <c r="K150" s="99"/>
      <c r="L150" s="99"/>
      <c r="M150" s="99"/>
      <c r="N150" s="99"/>
      <c r="O150" s="99"/>
      <c r="P150" s="99"/>
      <c r="Q150" s="99"/>
    </row>
    <row r="151" spans="1:17" ht="15" customHeight="1">
      <c r="A151" s="99"/>
      <c r="B151" s="99"/>
      <c r="C151" s="99"/>
      <c r="D151" s="99"/>
      <c r="E151" s="99"/>
      <c r="F151" s="99"/>
      <c r="G151" s="99"/>
      <c r="H151" s="99"/>
      <c r="I151" s="99"/>
      <c r="J151" s="99"/>
      <c r="K151" s="99"/>
      <c r="L151" s="99"/>
      <c r="M151" s="99"/>
      <c r="N151" s="99"/>
      <c r="O151" s="99"/>
      <c r="P151" s="99"/>
      <c r="Q151" s="99"/>
    </row>
    <row r="152" spans="1:17" ht="15" customHeight="1">
      <c r="A152" s="99"/>
      <c r="B152" s="99"/>
      <c r="C152" s="99"/>
      <c r="D152" s="99"/>
      <c r="E152" s="99"/>
      <c r="F152" s="99"/>
      <c r="G152" s="99"/>
      <c r="H152" s="99"/>
      <c r="I152" s="99"/>
      <c r="J152" s="99"/>
      <c r="K152" s="99"/>
      <c r="L152" s="99"/>
      <c r="M152" s="99"/>
      <c r="N152" s="99"/>
      <c r="O152" s="99"/>
      <c r="P152" s="99"/>
      <c r="Q152" s="99"/>
    </row>
    <row r="153" spans="1:17" ht="15" customHeight="1">
      <c r="A153" s="99"/>
      <c r="B153" s="99"/>
      <c r="C153" s="99"/>
      <c r="D153" s="99"/>
      <c r="E153" s="99"/>
      <c r="F153" s="99"/>
      <c r="G153" s="99"/>
      <c r="H153" s="99"/>
      <c r="I153" s="99"/>
      <c r="J153" s="99"/>
      <c r="K153" s="99"/>
      <c r="L153" s="99"/>
      <c r="M153" s="99"/>
      <c r="N153" s="99"/>
      <c r="O153" s="99"/>
      <c r="P153" s="99"/>
      <c r="Q153" s="99"/>
    </row>
    <row r="154" spans="1:17" ht="15" customHeight="1">
      <c r="A154" s="99"/>
      <c r="B154" s="99"/>
      <c r="C154" s="99"/>
      <c r="D154" s="99"/>
      <c r="E154" s="99"/>
      <c r="F154" s="99"/>
      <c r="G154" s="99"/>
      <c r="H154" s="99"/>
      <c r="I154" s="99"/>
      <c r="J154" s="99"/>
      <c r="K154" s="99"/>
      <c r="L154" s="99"/>
      <c r="M154" s="99"/>
      <c r="N154" s="99"/>
      <c r="O154" s="99"/>
      <c r="P154" s="99"/>
      <c r="Q154" s="99"/>
    </row>
    <row r="155" spans="1:17" ht="15" customHeight="1">
      <c r="A155" s="99"/>
      <c r="B155" s="99"/>
      <c r="C155" s="99"/>
      <c r="D155" s="99"/>
      <c r="E155" s="99"/>
      <c r="F155" s="99"/>
      <c r="G155" s="99"/>
      <c r="H155" s="99"/>
      <c r="I155" s="99"/>
      <c r="J155" s="99"/>
      <c r="K155" s="99"/>
      <c r="L155" s="99"/>
      <c r="M155" s="99"/>
      <c r="N155" s="99"/>
      <c r="O155" s="99"/>
      <c r="P155" s="99"/>
      <c r="Q155" s="99"/>
    </row>
    <row r="156" spans="1:17" ht="15" customHeight="1">
      <c r="A156" s="99"/>
      <c r="B156" s="99"/>
      <c r="C156" s="99"/>
      <c r="D156" s="99"/>
      <c r="E156" s="99"/>
      <c r="F156" s="99"/>
      <c r="G156" s="99"/>
      <c r="H156" s="99"/>
      <c r="I156" s="99"/>
      <c r="J156" s="99"/>
      <c r="K156" s="99"/>
      <c r="L156" s="99"/>
      <c r="M156" s="99"/>
      <c r="N156" s="99"/>
      <c r="O156" s="99"/>
      <c r="P156" s="99"/>
      <c r="Q156" s="99"/>
    </row>
    <row r="157" spans="1:17" ht="15" customHeight="1">
      <c r="A157" s="99"/>
      <c r="B157" s="99"/>
      <c r="C157" s="99"/>
      <c r="D157" s="99"/>
      <c r="E157" s="99"/>
      <c r="F157" s="99"/>
      <c r="G157" s="99"/>
      <c r="H157" s="99"/>
      <c r="I157" s="99"/>
      <c r="J157" s="99"/>
      <c r="K157" s="99"/>
      <c r="L157" s="99"/>
      <c r="M157" s="99"/>
      <c r="N157" s="99"/>
      <c r="O157" s="99"/>
      <c r="P157" s="99"/>
      <c r="Q157" s="99"/>
    </row>
    <row r="158" spans="1:17" ht="15" customHeight="1">
      <c r="A158" s="99"/>
      <c r="B158" s="99"/>
      <c r="C158" s="99"/>
      <c r="D158" s="99"/>
      <c r="E158" s="99"/>
      <c r="F158" s="99"/>
      <c r="G158" s="99"/>
      <c r="H158" s="99"/>
      <c r="I158" s="99"/>
      <c r="J158" s="99"/>
      <c r="K158" s="99"/>
      <c r="L158" s="99"/>
      <c r="M158" s="99"/>
      <c r="N158" s="99"/>
      <c r="O158" s="99"/>
      <c r="P158" s="99"/>
      <c r="Q158" s="99"/>
    </row>
    <row r="159" spans="1:17" ht="15" customHeight="1">
      <c r="A159" s="99"/>
      <c r="B159" s="99"/>
      <c r="C159" s="99"/>
      <c r="D159" s="99"/>
      <c r="E159" s="99"/>
      <c r="F159" s="99"/>
      <c r="G159" s="99"/>
      <c r="H159" s="99"/>
      <c r="I159" s="99"/>
      <c r="J159" s="99"/>
      <c r="K159" s="99"/>
      <c r="L159" s="99"/>
      <c r="M159" s="99"/>
      <c r="N159" s="99"/>
      <c r="O159" s="99"/>
      <c r="P159" s="99"/>
      <c r="Q159" s="99"/>
    </row>
    <row r="160" spans="1:17" ht="15" customHeight="1">
      <c r="A160" s="99"/>
      <c r="B160" s="99"/>
      <c r="C160" s="99"/>
      <c r="D160" s="99"/>
      <c r="E160" s="99"/>
      <c r="F160" s="99"/>
      <c r="G160" s="99"/>
      <c r="H160" s="99"/>
      <c r="I160" s="99"/>
      <c r="J160" s="99"/>
      <c r="K160" s="99"/>
      <c r="L160" s="99"/>
      <c r="M160" s="99"/>
      <c r="N160" s="99"/>
      <c r="O160" s="99"/>
      <c r="P160" s="99"/>
      <c r="Q160" s="99"/>
    </row>
    <row r="161" spans="1:17" ht="15" customHeight="1">
      <c r="A161" s="99"/>
      <c r="B161" s="99"/>
      <c r="C161" s="99"/>
      <c r="D161" s="99"/>
      <c r="E161" s="99"/>
      <c r="F161" s="99"/>
      <c r="G161" s="99"/>
      <c r="H161" s="99"/>
      <c r="I161" s="99"/>
      <c r="J161" s="99"/>
      <c r="K161" s="99"/>
      <c r="L161" s="99"/>
      <c r="M161" s="99"/>
      <c r="N161" s="99"/>
      <c r="O161" s="99"/>
      <c r="P161" s="99"/>
      <c r="Q161" s="99"/>
    </row>
    <row r="162" spans="1:17" ht="15" customHeight="1">
      <c r="A162" s="99"/>
      <c r="B162" s="99"/>
      <c r="C162" s="99"/>
      <c r="D162" s="99"/>
      <c r="E162" s="99"/>
      <c r="F162" s="99"/>
      <c r="G162" s="99"/>
      <c r="H162" s="99"/>
      <c r="I162" s="99"/>
      <c r="J162" s="99"/>
      <c r="K162" s="99"/>
      <c r="L162" s="99"/>
      <c r="M162" s="99"/>
      <c r="N162" s="99"/>
      <c r="O162" s="99"/>
      <c r="P162" s="99"/>
      <c r="Q162" s="99"/>
    </row>
    <row r="163" spans="1:17" ht="15" customHeight="1">
      <c r="A163" s="99"/>
      <c r="B163" s="99"/>
      <c r="C163" s="99"/>
      <c r="D163" s="99"/>
      <c r="E163" s="99"/>
      <c r="F163" s="99"/>
      <c r="G163" s="99"/>
      <c r="H163" s="99"/>
      <c r="I163" s="99"/>
      <c r="J163" s="99"/>
      <c r="K163" s="99"/>
      <c r="L163" s="99"/>
      <c r="M163" s="99"/>
      <c r="N163" s="99"/>
      <c r="O163" s="99"/>
      <c r="P163" s="99"/>
      <c r="Q163" s="99"/>
    </row>
    <row r="164" spans="1:17">
      <c r="A164" s="99"/>
      <c r="B164" s="99"/>
      <c r="C164" s="99"/>
      <c r="D164" s="99"/>
      <c r="E164" s="99"/>
      <c r="F164" s="99"/>
      <c r="G164" s="99"/>
      <c r="H164" s="99"/>
      <c r="I164" s="99"/>
      <c r="J164" s="99"/>
      <c r="K164" s="99"/>
      <c r="L164" s="99"/>
      <c r="M164" s="99"/>
      <c r="N164" s="99"/>
      <c r="O164" s="99"/>
      <c r="P164" s="99"/>
      <c r="Q164" s="99"/>
    </row>
  </sheetData>
  <sheetProtection password="8BBD" sheet="1" objects="1" scenarios="1" formatCells="0" formatColumns="0" formatRows="0" autoFilter="0"/>
  <conditionalFormatting sqref="E42:I42">
    <cfRule type="expression" dxfId="714" priority="9" stopIfTrue="1">
      <formula>#REF!&gt;0</formula>
    </cfRule>
  </conditionalFormatting>
  <hyperlinks>
    <hyperlink ref="J1" location="Information!A1" display="חזרה"/>
  </hyperlinks>
  <printOptions horizontalCentered="1"/>
  <pageMargins left="0" right="0" top="0" bottom="0.70866141732283472" header="0" footer="0.39370078740157483"/>
  <pageSetup paperSize="9" scale="78" orientation="portrait" blackAndWhite="1" horizontalDpi="300" verticalDpi="300" r:id="rId1"/>
  <headerFooter alignWithMargins="0">
    <oddHeader>&amp;L&amp;F&amp;R&amp;A</oddHeader>
    <oddFooter>&amp;L&amp;Z</oddFooter>
  </headerFooter>
  <rowBreaks count="1" manualBreakCount="1">
    <brk id="40"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T247"/>
  <sheetViews>
    <sheetView rightToLeft="1" zoomScale="120" zoomScaleNormal="120" workbookViewId="0">
      <selection activeCell="C20" sqref="C20"/>
    </sheetView>
  </sheetViews>
  <sheetFormatPr defaultColWidth="8.81640625" defaultRowHeight="12.5"/>
  <cols>
    <col min="1" max="1" width="7.54296875" style="188" customWidth="1"/>
    <col min="2" max="2" width="4.1796875" customWidth="1"/>
    <col min="3" max="3" width="50.81640625" customWidth="1"/>
    <col min="4" max="4" width="14.81640625" style="187" customWidth="1"/>
    <col min="5" max="7" width="10.54296875" customWidth="1"/>
    <col min="8" max="8" width="9.54296875" customWidth="1"/>
    <col min="9" max="9" width="10.453125" bestFit="1" customWidth="1"/>
    <col min="10" max="10" width="11.54296875" customWidth="1"/>
    <col min="11" max="11" width="24.81640625" customWidth="1"/>
    <col min="12" max="12" width="11.54296875" bestFit="1" customWidth="1"/>
    <col min="13" max="13" width="11.54296875" customWidth="1"/>
    <col min="14" max="17" width="8.81640625" style="188" customWidth="1"/>
    <col min="18" max="18" width="10.1796875" style="188" customWidth="1"/>
    <col min="19" max="16384" width="8.81640625" style="188"/>
  </cols>
  <sheetData>
    <row r="1" spans="1:14" s="105" customFormat="1" ht="20">
      <c r="B1" s="15" t="str">
        <f>company</f>
        <v>_____חברה מנהלת</v>
      </c>
      <c r="C1" s="106"/>
      <c r="D1" s="108" t="str">
        <f>Information!$E$1</f>
        <v>חזרה</v>
      </c>
      <c r="E1" s="106"/>
      <c r="F1" s="106"/>
      <c r="H1" s="106"/>
      <c r="I1" s="106"/>
      <c r="J1" s="109"/>
      <c r="N1" s="110"/>
    </row>
    <row r="2" spans="1:14" s="105" customFormat="1" ht="20">
      <c r="B2" s="111" t="s">
        <v>774</v>
      </c>
      <c r="C2" s="112"/>
      <c r="D2" s="326"/>
      <c r="E2" s="115"/>
      <c r="F2" s="115"/>
      <c r="G2" s="114"/>
      <c r="H2" s="114"/>
      <c r="I2" s="114"/>
      <c r="J2" s="114"/>
      <c r="N2" s="110"/>
    </row>
    <row r="3" spans="1:14" s="105" customFormat="1" ht="20">
      <c r="A3" s="393"/>
      <c r="B3" s="28" t="str">
        <f>Information!$M$21</f>
        <v>הנתונים באלפי ש"ח</v>
      </c>
      <c r="C3" s="116"/>
      <c r="D3" s="326"/>
      <c r="E3" s="115"/>
      <c r="F3" s="115"/>
      <c r="G3" s="114"/>
      <c r="H3" s="114"/>
      <c r="I3" s="114"/>
      <c r="J3" s="114"/>
      <c r="L3" s="105" t="s">
        <v>792</v>
      </c>
      <c r="N3" s="110"/>
    </row>
    <row r="4" spans="1:14" ht="14">
      <c r="A4" s="184"/>
      <c r="B4" s="210"/>
      <c r="C4" s="449" t="s">
        <v>792</v>
      </c>
      <c r="D4" s="327"/>
      <c r="E4" s="1802" t="str">
        <f>IF(AND(D12&gt;0,C4=L3),mess6,"")</f>
        <v/>
      </c>
      <c r="F4" s="1802"/>
      <c r="G4" s="184"/>
      <c r="H4" s="184"/>
      <c r="I4" s="184"/>
      <c r="J4" s="184"/>
      <c r="K4" s="184"/>
      <c r="L4" s="322" t="s">
        <v>342</v>
      </c>
      <c r="M4">
        <v>2500</v>
      </c>
    </row>
    <row r="5" spans="1:14" s="99" customFormat="1" ht="26">
      <c r="A5" s="104"/>
      <c r="B5" s="411" t="s">
        <v>315</v>
      </c>
      <c r="C5" s="250" t="s">
        <v>286</v>
      </c>
      <c r="D5" s="441">
        <f>VLOOKUP(C4,L3:M5,2,0)</f>
        <v>0</v>
      </c>
      <c r="E5" s="184"/>
      <c r="F5" s="184"/>
      <c r="G5" s="184"/>
      <c r="H5" s="101"/>
      <c r="I5" s="102"/>
      <c r="J5" s="103"/>
      <c r="L5" s="99" t="s">
        <v>341</v>
      </c>
      <c r="M5" s="99">
        <v>10000</v>
      </c>
    </row>
    <row r="6" spans="1:14" s="99" customFormat="1" ht="15.5">
      <c r="A6" s="104"/>
      <c r="B6" s="412">
        <f>B5+1</f>
        <v>2</v>
      </c>
      <c r="C6" s="413" t="s">
        <v>289</v>
      </c>
      <c r="D6" s="414">
        <f>D19</f>
        <v>0</v>
      </c>
      <c r="E6" s="401" t="s">
        <v>316</v>
      </c>
      <c r="F6" s="184"/>
      <c r="G6" s="184"/>
      <c r="I6" s="102"/>
      <c r="L6" s="260">
        <v>15000000</v>
      </c>
    </row>
    <row r="7" spans="1:14" s="99" customFormat="1" ht="15.5">
      <c r="A7" s="104"/>
      <c r="B7" s="412">
        <f t="shared" ref="B7:B12" si="0">B6+1</f>
        <v>3</v>
      </c>
      <c r="C7" s="413" t="s">
        <v>290</v>
      </c>
      <c r="D7" s="277"/>
      <c r="E7" s="184"/>
      <c r="F7" s="184"/>
      <c r="G7" s="184"/>
      <c r="H7" s="101"/>
      <c r="I7" s="102"/>
    </row>
    <row r="8" spans="1:14" s="99" customFormat="1" ht="15.5">
      <c r="A8" s="104"/>
      <c r="B8" s="412">
        <f t="shared" si="0"/>
        <v>4</v>
      </c>
      <c r="C8" s="413" t="s">
        <v>294</v>
      </c>
      <c r="D8" s="414">
        <f>F72</f>
        <v>0</v>
      </c>
      <c r="E8" s="401" t="s">
        <v>317</v>
      </c>
      <c r="F8" s="184"/>
      <c r="G8" s="184"/>
      <c r="H8" s="101"/>
      <c r="I8" s="102"/>
    </row>
    <row r="9" spans="1:14" s="99" customFormat="1" ht="15.5">
      <c r="A9" s="104"/>
      <c r="B9" s="412">
        <f t="shared" si="0"/>
        <v>5</v>
      </c>
      <c r="C9" s="413" t="s">
        <v>292</v>
      </c>
      <c r="D9" s="414">
        <f>D82</f>
        <v>0</v>
      </c>
      <c r="E9" s="401" t="s">
        <v>737</v>
      </c>
      <c r="F9" s="184"/>
      <c r="G9" s="184"/>
      <c r="H9" s="101"/>
      <c r="I9" s="102"/>
    </row>
    <row r="10" spans="1:14" s="99" customFormat="1" ht="15.5">
      <c r="A10" s="104"/>
      <c r="B10" s="412">
        <f t="shared" si="0"/>
        <v>6</v>
      </c>
      <c r="C10" s="413" t="s">
        <v>776</v>
      </c>
      <c r="D10" s="414">
        <f>SUM(D99:E99)</f>
        <v>0</v>
      </c>
      <c r="E10" s="401" t="s">
        <v>321</v>
      </c>
      <c r="F10" s="184"/>
      <c r="G10" s="184"/>
      <c r="H10" s="101"/>
      <c r="I10" s="102"/>
    </row>
    <row r="11" spans="1:14" s="99" customFormat="1" ht="15.5">
      <c r="A11" s="104"/>
      <c r="B11" s="412">
        <f t="shared" si="0"/>
        <v>7</v>
      </c>
      <c r="C11" s="413" t="s">
        <v>777</v>
      </c>
      <c r="D11" s="414">
        <f>D110</f>
        <v>0</v>
      </c>
      <c r="E11" s="401" t="s">
        <v>768</v>
      </c>
      <c r="F11" s="184"/>
      <c r="G11" s="184"/>
      <c r="H11" s="101"/>
      <c r="I11" s="102"/>
    </row>
    <row r="12" spans="1:14" s="99" customFormat="1" ht="15.5">
      <c r="A12" s="104"/>
      <c r="B12" s="412">
        <f t="shared" si="0"/>
        <v>8</v>
      </c>
      <c r="C12" s="413" t="s">
        <v>324</v>
      </c>
      <c r="D12" s="277"/>
      <c r="F12" s="184"/>
      <c r="G12" s="184"/>
      <c r="H12" s="101"/>
      <c r="I12" s="102"/>
    </row>
    <row r="13" spans="1:14" s="99" customFormat="1" ht="15.5" hidden="1">
      <c r="A13" s="104"/>
      <c r="B13" s="323"/>
      <c r="C13" s="436" t="s">
        <v>325</v>
      </c>
      <c r="D13" s="435"/>
      <c r="E13" s="184"/>
      <c r="F13" s="184"/>
      <c r="G13" s="184"/>
      <c r="H13" s="101"/>
      <c r="I13" s="102"/>
    </row>
    <row r="14" spans="1:14" s="99" customFormat="1" ht="15.5" hidden="1">
      <c r="A14" s="104"/>
      <c r="B14" s="412">
        <f>B12+1</f>
        <v>9</v>
      </c>
      <c r="C14" s="450" t="s">
        <v>793</v>
      </c>
      <c r="D14" s="414">
        <f>VLOOKUP(C14,K122:M127,3,0)</f>
        <v>0</v>
      </c>
      <c r="E14" s="184"/>
      <c r="F14" s="184"/>
      <c r="G14" s="184"/>
      <c r="H14" s="101"/>
      <c r="I14" s="102"/>
    </row>
    <row r="15" spans="1:14" ht="15.5" hidden="1">
      <c r="B15" s="415">
        <f>B14+1</f>
        <v>10</v>
      </c>
      <c r="C15" s="251" t="s">
        <v>326</v>
      </c>
      <c r="D15" s="1431"/>
    </row>
    <row r="16" spans="1:14" ht="8.25" customHeight="1">
      <c r="B16" s="261"/>
    </row>
    <row r="17" spans="1:4" ht="14">
      <c r="B17" s="210" t="s">
        <v>2673</v>
      </c>
    </row>
    <row r="18" spans="1:4" ht="26">
      <c r="B18" s="258"/>
      <c r="C18" s="403" t="s">
        <v>2675</v>
      </c>
      <c r="D18" s="257" t="s">
        <v>343</v>
      </c>
    </row>
    <row r="19" spans="1:4" ht="28.5">
      <c r="A19" s="425" t="s">
        <v>2674</v>
      </c>
      <c r="B19" s="323" t="s">
        <v>315</v>
      </c>
      <c r="C19" s="254" t="s">
        <v>272</v>
      </c>
      <c r="D19" s="334">
        <f>SUM(D20:D68)</f>
        <v>0</v>
      </c>
    </row>
    <row r="20" spans="1:4" ht="13.5" customHeight="1">
      <c r="A20" s="388"/>
      <c r="B20" s="323">
        <f>B19+1</f>
        <v>2</v>
      </c>
      <c r="C20" s="387" t="str">
        <f>IF(A20=0,"",VLOOKUP(A20,List,3,0))</f>
        <v/>
      </c>
      <c r="D20" s="277"/>
    </row>
    <row r="21" spans="1:4" ht="13.5" customHeight="1">
      <c r="A21" s="389"/>
      <c r="B21" s="323">
        <f t="shared" ref="B21:B53" si="1">B20+1</f>
        <v>3</v>
      </c>
      <c r="C21" s="387" t="str">
        <f t="shared" ref="C21:C67" si="2">IF(A21=0,"",VLOOKUP(A21,List,3,0))</f>
        <v/>
      </c>
      <c r="D21" s="277"/>
    </row>
    <row r="22" spans="1:4" ht="13.5" customHeight="1">
      <c r="A22" s="389"/>
      <c r="B22" s="323">
        <f t="shared" si="1"/>
        <v>4</v>
      </c>
      <c r="C22" s="387" t="str">
        <f t="shared" si="2"/>
        <v/>
      </c>
      <c r="D22" s="277"/>
    </row>
    <row r="23" spans="1:4" ht="13.5" customHeight="1">
      <c r="A23" s="389"/>
      <c r="B23" s="323">
        <f t="shared" si="1"/>
        <v>5</v>
      </c>
      <c r="C23" s="387" t="str">
        <f t="shared" si="2"/>
        <v/>
      </c>
      <c r="D23" s="277"/>
    </row>
    <row r="24" spans="1:4" ht="13.5" customHeight="1">
      <c r="A24" s="389"/>
      <c r="B24" s="323">
        <f t="shared" si="1"/>
        <v>6</v>
      </c>
      <c r="C24" s="387" t="str">
        <f t="shared" si="2"/>
        <v/>
      </c>
      <c r="D24" s="277"/>
    </row>
    <row r="25" spans="1:4" ht="13.5" customHeight="1">
      <c r="A25" s="389"/>
      <c r="B25" s="323">
        <f t="shared" si="1"/>
        <v>7</v>
      </c>
      <c r="C25" s="387" t="str">
        <f t="shared" si="2"/>
        <v/>
      </c>
      <c r="D25" s="277"/>
    </row>
    <row r="26" spans="1:4" ht="13.5" customHeight="1">
      <c r="A26" s="389"/>
      <c r="B26" s="323">
        <f t="shared" si="1"/>
        <v>8</v>
      </c>
      <c r="C26" s="387" t="str">
        <f t="shared" si="2"/>
        <v/>
      </c>
      <c r="D26" s="277"/>
    </row>
    <row r="27" spans="1:4" ht="13.5" customHeight="1">
      <c r="A27" s="389"/>
      <c r="B27" s="323">
        <f t="shared" si="1"/>
        <v>9</v>
      </c>
      <c r="C27" s="387" t="str">
        <f t="shared" si="2"/>
        <v/>
      </c>
      <c r="D27" s="277"/>
    </row>
    <row r="28" spans="1:4" ht="13.5" customHeight="1">
      <c r="A28" s="389"/>
      <c r="B28" s="323">
        <f t="shared" si="1"/>
        <v>10</v>
      </c>
      <c r="C28" s="387" t="str">
        <f t="shared" si="2"/>
        <v/>
      </c>
      <c r="D28" s="277"/>
    </row>
    <row r="29" spans="1:4" ht="13.5" customHeight="1">
      <c r="A29" s="389"/>
      <c r="B29" s="323">
        <f t="shared" si="1"/>
        <v>11</v>
      </c>
      <c r="C29" s="387" t="str">
        <f t="shared" si="2"/>
        <v/>
      </c>
      <c r="D29" s="277"/>
    </row>
    <row r="30" spans="1:4" ht="13.5" customHeight="1">
      <c r="A30" s="389"/>
      <c r="B30" s="323">
        <f t="shared" si="1"/>
        <v>12</v>
      </c>
      <c r="C30" s="387" t="str">
        <f t="shared" si="2"/>
        <v/>
      </c>
      <c r="D30" s="277"/>
    </row>
    <row r="31" spans="1:4" ht="13.5" customHeight="1">
      <c r="A31" s="389"/>
      <c r="B31" s="323">
        <f t="shared" si="1"/>
        <v>13</v>
      </c>
      <c r="C31" s="387" t="str">
        <f t="shared" si="2"/>
        <v/>
      </c>
      <c r="D31" s="277"/>
    </row>
    <row r="32" spans="1:4" ht="13.5" customHeight="1">
      <c r="A32" s="389"/>
      <c r="B32" s="323">
        <f t="shared" si="1"/>
        <v>14</v>
      </c>
      <c r="C32" s="387" t="str">
        <f t="shared" si="2"/>
        <v/>
      </c>
      <c r="D32" s="277"/>
    </row>
    <row r="33" spans="1:4" ht="13.5" customHeight="1">
      <c r="A33" s="389"/>
      <c r="B33" s="323">
        <f t="shared" si="1"/>
        <v>15</v>
      </c>
      <c r="C33" s="387" t="str">
        <f t="shared" si="2"/>
        <v/>
      </c>
      <c r="D33" s="277"/>
    </row>
    <row r="34" spans="1:4" ht="13.5" customHeight="1">
      <c r="A34" s="389"/>
      <c r="B34" s="323">
        <f t="shared" si="1"/>
        <v>16</v>
      </c>
      <c r="C34" s="387" t="str">
        <f t="shared" si="2"/>
        <v/>
      </c>
      <c r="D34" s="277"/>
    </row>
    <row r="35" spans="1:4" ht="13.5" customHeight="1">
      <c r="A35" s="389"/>
      <c r="B35" s="323">
        <f t="shared" si="1"/>
        <v>17</v>
      </c>
      <c r="C35" s="387" t="str">
        <f t="shared" si="2"/>
        <v/>
      </c>
      <c r="D35" s="277"/>
    </row>
    <row r="36" spans="1:4" ht="13.5" customHeight="1">
      <c r="A36" s="389"/>
      <c r="B36" s="323">
        <f t="shared" si="1"/>
        <v>18</v>
      </c>
      <c r="C36" s="387" t="str">
        <f t="shared" si="2"/>
        <v/>
      </c>
      <c r="D36" s="277"/>
    </row>
    <row r="37" spans="1:4" ht="13.5" customHeight="1">
      <c r="A37" s="389"/>
      <c r="B37" s="323">
        <f t="shared" si="1"/>
        <v>19</v>
      </c>
      <c r="C37" s="387" t="str">
        <f t="shared" si="2"/>
        <v/>
      </c>
      <c r="D37" s="277"/>
    </row>
    <row r="38" spans="1:4" ht="13.5" customHeight="1">
      <c r="A38" s="389"/>
      <c r="B38" s="323">
        <f t="shared" si="1"/>
        <v>20</v>
      </c>
      <c r="C38" s="387" t="str">
        <f t="shared" si="2"/>
        <v/>
      </c>
      <c r="D38" s="277"/>
    </row>
    <row r="39" spans="1:4" ht="13.5" customHeight="1">
      <c r="A39" s="389"/>
      <c r="B39" s="323">
        <f t="shared" si="1"/>
        <v>21</v>
      </c>
      <c r="C39" s="387" t="str">
        <f t="shared" si="2"/>
        <v/>
      </c>
      <c r="D39" s="277"/>
    </row>
    <row r="40" spans="1:4" ht="13.5" customHeight="1">
      <c r="A40" s="389"/>
      <c r="B40" s="323">
        <f t="shared" si="1"/>
        <v>22</v>
      </c>
      <c r="C40" s="387" t="str">
        <f t="shared" si="2"/>
        <v/>
      </c>
      <c r="D40" s="277"/>
    </row>
    <row r="41" spans="1:4" ht="13.5" customHeight="1">
      <c r="A41" s="389"/>
      <c r="B41" s="323">
        <f t="shared" si="1"/>
        <v>23</v>
      </c>
      <c r="C41" s="387" t="str">
        <f t="shared" si="2"/>
        <v/>
      </c>
      <c r="D41" s="277"/>
    </row>
    <row r="42" spans="1:4" ht="13.5" customHeight="1">
      <c r="A42" s="389"/>
      <c r="B42" s="323">
        <f t="shared" si="1"/>
        <v>24</v>
      </c>
      <c r="C42" s="387" t="str">
        <f t="shared" si="2"/>
        <v/>
      </c>
      <c r="D42" s="277"/>
    </row>
    <row r="43" spans="1:4" ht="13.5" customHeight="1">
      <c r="A43" s="389"/>
      <c r="B43" s="323">
        <f t="shared" si="1"/>
        <v>25</v>
      </c>
      <c r="C43" s="387" t="str">
        <f t="shared" si="2"/>
        <v/>
      </c>
      <c r="D43" s="277"/>
    </row>
    <row r="44" spans="1:4" ht="13.5" customHeight="1">
      <c r="A44" s="389"/>
      <c r="B44" s="323">
        <f t="shared" si="1"/>
        <v>26</v>
      </c>
      <c r="C44" s="387" t="str">
        <f t="shared" si="2"/>
        <v/>
      </c>
      <c r="D44" s="277"/>
    </row>
    <row r="45" spans="1:4" ht="13.5" customHeight="1">
      <c r="A45" s="389"/>
      <c r="B45" s="323">
        <f t="shared" si="1"/>
        <v>27</v>
      </c>
      <c r="C45" s="387" t="str">
        <f t="shared" si="2"/>
        <v/>
      </c>
      <c r="D45" s="277"/>
    </row>
    <row r="46" spans="1:4" ht="13.5" customHeight="1">
      <c r="A46" s="389"/>
      <c r="B46" s="323">
        <f t="shared" si="1"/>
        <v>28</v>
      </c>
      <c r="C46" s="387" t="str">
        <f t="shared" si="2"/>
        <v/>
      </c>
      <c r="D46" s="277"/>
    </row>
    <row r="47" spans="1:4" ht="13.5" customHeight="1">
      <c r="A47" s="389"/>
      <c r="B47" s="323">
        <f t="shared" si="1"/>
        <v>29</v>
      </c>
      <c r="C47" s="387" t="str">
        <f t="shared" si="2"/>
        <v/>
      </c>
      <c r="D47" s="277"/>
    </row>
    <row r="48" spans="1:4" ht="13.5" customHeight="1">
      <c r="A48" s="389"/>
      <c r="B48" s="323">
        <f t="shared" si="1"/>
        <v>30</v>
      </c>
      <c r="C48" s="387" t="str">
        <f t="shared" si="2"/>
        <v/>
      </c>
      <c r="D48" s="277"/>
    </row>
    <row r="49" spans="1:4" ht="13.5" customHeight="1">
      <c r="A49" s="389"/>
      <c r="B49" s="323">
        <f t="shared" si="1"/>
        <v>31</v>
      </c>
      <c r="C49" s="387" t="str">
        <f t="shared" si="2"/>
        <v/>
      </c>
      <c r="D49" s="277"/>
    </row>
    <row r="50" spans="1:4" ht="13.5" customHeight="1">
      <c r="A50" s="389"/>
      <c r="B50" s="323">
        <f t="shared" si="1"/>
        <v>32</v>
      </c>
      <c r="C50" s="387" t="str">
        <f t="shared" si="2"/>
        <v/>
      </c>
      <c r="D50" s="277"/>
    </row>
    <row r="51" spans="1:4" ht="13.5" customHeight="1">
      <c r="A51" s="389"/>
      <c r="B51" s="323">
        <f t="shared" si="1"/>
        <v>33</v>
      </c>
      <c r="C51" s="387" t="str">
        <f t="shared" si="2"/>
        <v/>
      </c>
      <c r="D51" s="277"/>
    </row>
    <row r="52" spans="1:4" ht="13.5" customHeight="1">
      <c r="A52" s="389"/>
      <c r="B52" s="323">
        <f t="shared" si="1"/>
        <v>34</v>
      </c>
      <c r="C52" s="387" t="str">
        <f t="shared" si="2"/>
        <v/>
      </c>
      <c r="D52" s="277"/>
    </row>
    <row r="53" spans="1:4" ht="13.5" customHeight="1">
      <c r="A53" s="389"/>
      <c r="B53" s="323">
        <f t="shared" si="1"/>
        <v>35</v>
      </c>
      <c r="C53" s="387" t="str">
        <f t="shared" si="2"/>
        <v/>
      </c>
      <c r="D53" s="277"/>
    </row>
    <row r="54" spans="1:4" ht="13.5" customHeight="1">
      <c r="A54" s="389"/>
      <c r="B54" s="323">
        <f>B53+1</f>
        <v>36</v>
      </c>
      <c r="C54" s="387" t="str">
        <f t="shared" si="2"/>
        <v/>
      </c>
      <c r="D54" s="277"/>
    </row>
    <row r="55" spans="1:4" ht="13.5" customHeight="1">
      <c r="A55" s="389"/>
      <c r="B55" s="323">
        <f>B54+1</f>
        <v>37</v>
      </c>
      <c r="C55" s="387" t="str">
        <f t="shared" si="2"/>
        <v/>
      </c>
      <c r="D55" s="277"/>
    </row>
    <row r="56" spans="1:4" ht="13.5" customHeight="1">
      <c r="A56" s="389"/>
      <c r="B56" s="323">
        <f>B55+1</f>
        <v>38</v>
      </c>
      <c r="C56" s="387" t="str">
        <f t="shared" si="2"/>
        <v/>
      </c>
      <c r="D56" s="277"/>
    </row>
    <row r="57" spans="1:4" ht="13.5" customHeight="1">
      <c r="A57" s="389"/>
      <c r="B57" s="323">
        <f>B56+1</f>
        <v>39</v>
      </c>
      <c r="C57" s="387" t="str">
        <f t="shared" si="2"/>
        <v/>
      </c>
      <c r="D57" s="277"/>
    </row>
    <row r="58" spans="1:4" ht="13.5" customHeight="1">
      <c r="A58" s="389"/>
      <c r="B58" s="323">
        <f>B57+1</f>
        <v>40</v>
      </c>
      <c r="C58" s="387" t="str">
        <f t="shared" si="2"/>
        <v/>
      </c>
      <c r="D58" s="277"/>
    </row>
    <row r="59" spans="1:4" ht="13.5" customHeight="1">
      <c r="A59" s="389"/>
      <c r="B59" s="323">
        <f t="shared" ref="B59:B68" si="3">B58+1</f>
        <v>41</v>
      </c>
      <c r="C59" s="387" t="str">
        <f t="shared" si="2"/>
        <v/>
      </c>
      <c r="D59" s="277"/>
    </row>
    <row r="60" spans="1:4" ht="13.5" customHeight="1">
      <c r="A60" s="389"/>
      <c r="B60" s="323">
        <f t="shared" si="3"/>
        <v>42</v>
      </c>
      <c r="C60" s="387" t="str">
        <f t="shared" si="2"/>
        <v/>
      </c>
      <c r="D60" s="277"/>
    </row>
    <row r="61" spans="1:4" ht="13.5" customHeight="1">
      <c r="A61" s="389"/>
      <c r="B61" s="323">
        <f t="shared" si="3"/>
        <v>43</v>
      </c>
      <c r="C61" s="387" t="str">
        <f t="shared" si="2"/>
        <v/>
      </c>
      <c r="D61" s="277"/>
    </row>
    <row r="62" spans="1:4" ht="13.5" customHeight="1">
      <c r="A62" s="389"/>
      <c r="B62" s="323">
        <f t="shared" si="3"/>
        <v>44</v>
      </c>
      <c r="C62" s="387" t="str">
        <f t="shared" si="2"/>
        <v/>
      </c>
      <c r="D62" s="277"/>
    </row>
    <row r="63" spans="1:4" ht="13.5" customHeight="1">
      <c r="A63" s="389"/>
      <c r="B63" s="323">
        <f t="shared" si="3"/>
        <v>45</v>
      </c>
      <c r="C63" s="387" t="str">
        <f t="shared" si="2"/>
        <v/>
      </c>
      <c r="D63" s="277"/>
    </row>
    <row r="64" spans="1:4" ht="13.5" customHeight="1">
      <c r="A64" s="389"/>
      <c r="B64" s="323">
        <f t="shared" si="3"/>
        <v>46</v>
      </c>
      <c r="C64" s="387" t="str">
        <f t="shared" si="2"/>
        <v/>
      </c>
      <c r="D64" s="277"/>
    </row>
    <row r="65" spans="1:14" ht="13.5" customHeight="1">
      <c r="A65" s="390"/>
      <c r="B65" s="323">
        <f t="shared" si="3"/>
        <v>47</v>
      </c>
      <c r="C65" s="387" t="str">
        <f t="shared" si="2"/>
        <v/>
      </c>
      <c r="D65" s="277"/>
    </row>
    <row r="66" spans="1:14" ht="13.5" customHeight="1">
      <c r="A66" s="390"/>
      <c r="B66" s="323">
        <f t="shared" si="3"/>
        <v>48</v>
      </c>
      <c r="C66" s="387" t="str">
        <f t="shared" si="2"/>
        <v/>
      </c>
      <c r="D66" s="277"/>
    </row>
    <row r="67" spans="1:14" ht="13.5" customHeight="1">
      <c r="A67" s="390"/>
      <c r="B67" s="323">
        <f t="shared" si="3"/>
        <v>49</v>
      </c>
      <c r="C67" s="387" t="str">
        <f t="shared" si="2"/>
        <v/>
      </c>
      <c r="D67" s="277"/>
    </row>
    <row r="68" spans="1:14" ht="13.5" customHeight="1">
      <c r="A68" s="391"/>
      <c r="B68" s="324">
        <f t="shared" si="3"/>
        <v>50</v>
      </c>
      <c r="C68" s="418" t="s">
        <v>2693</v>
      </c>
      <c r="D68" s="278"/>
    </row>
    <row r="69" spans="1:14" ht="6.75" customHeight="1">
      <c r="B69" s="261"/>
    </row>
    <row r="70" spans="1:14" s="153" customFormat="1" ht="14">
      <c r="A70" s="207"/>
      <c r="B70" s="210" t="s">
        <v>736</v>
      </c>
      <c r="C70" s="167"/>
      <c r="D70" s="402"/>
      <c r="E70" s="167"/>
      <c r="F70" s="402" t="s">
        <v>263</v>
      </c>
      <c r="G70" s="207"/>
      <c r="H70" s="207"/>
      <c r="I70" s="207"/>
      <c r="J70" s="207"/>
      <c r="K70" s="207"/>
      <c r="L70" s="207"/>
      <c r="M70" s="207"/>
      <c r="N70" s="207"/>
    </row>
    <row r="71" spans="1:14" s="209" customFormat="1" ht="38.25" customHeight="1">
      <c r="A71" s="208"/>
      <c r="B71" s="407"/>
      <c r="C71" s="403" t="s">
        <v>300</v>
      </c>
      <c r="D71" s="328" t="s">
        <v>775</v>
      </c>
      <c r="E71" s="262" t="s">
        <v>301</v>
      </c>
      <c r="F71" s="257" t="s">
        <v>302</v>
      </c>
      <c r="H71" s="208"/>
      <c r="I71" s="208"/>
      <c r="J71" s="208"/>
      <c r="K71" s="208"/>
      <c r="L71" s="208"/>
      <c r="M71" s="208"/>
    </row>
    <row r="72" spans="1:14" s="153" customFormat="1" ht="15.5">
      <c r="A72" s="207"/>
      <c r="B72" s="204" t="s">
        <v>315</v>
      </c>
      <c r="C72" s="254" t="s">
        <v>272</v>
      </c>
      <c r="D72" s="284"/>
      <c r="E72" s="284"/>
      <c r="F72" s="285">
        <f>SUM(F73:F77)</f>
        <v>0</v>
      </c>
      <c r="H72" s="207"/>
      <c r="I72" s="207"/>
      <c r="J72" s="207"/>
      <c r="K72" s="207"/>
      <c r="L72" s="207"/>
      <c r="M72" s="207"/>
    </row>
    <row r="73" spans="1:14" s="153" customFormat="1" ht="15.5">
      <c r="A73" s="207"/>
      <c r="B73" s="252">
        <f>B72+1</f>
        <v>2</v>
      </c>
      <c r="C73" s="264"/>
      <c r="D73" s="437"/>
      <c r="E73" s="438"/>
      <c r="F73" s="274">
        <f>D73*E73</f>
        <v>0</v>
      </c>
      <c r="H73" s="207"/>
      <c r="I73" s="207"/>
      <c r="J73" s="207"/>
      <c r="K73" s="207"/>
      <c r="L73" s="207"/>
      <c r="M73" s="207"/>
    </row>
    <row r="74" spans="1:14" s="153" customFormat="1" ht="15.5">
      <c r="A74" s="207"/>
      <c r="B74" s="252">
        <f>B73+1</f>
        <v>3</v>
      </c>
      <c r="C74" s="264"/>
      <c r="D74" s="439"/>
      <c r="E74" s="438"/>
      <c r="F74" s="274">
        <f>D74*E74</f>
        <v>0</v>
      </c>
      <c r="H74" s="207"/>
      <c r="I74" s="207"/>
      <c r="J74" s="207"/>
      <c r="K74" s="207"/>
      <c r="L74" s="207"/>
      <c r="M74" s="207"/>
    </row>
    <row r="75" spans="1:14" s="153" customFormat="1" ht="15.5">
      <c r="A75" s="207"/>
      <c r="B75" s="252">
        <f>B74+1</f>
        <v>4</v>
      </c>
      <c r="C75" s="264"/>
      <c r="D75" s="439"/>
      <c r="E75" s="438"/>
      <c r="F75" s="274">
        <f>D75*E75</f>
        <v>0</v>
      </c>
      <c r="H75" s="207"/>
      <c r="I75" s="207"/>
      <c r="J75" s="207"/>
      <c r="K75" s="207"/>
      <c r="L75" s="207"/>
      <c r="M75" s="207"/>
    </row>
    <row r="76" spans="1:14" s="153" customFormat="1" ht="15.5">
      <c r="A76" s="207"/>
      <c r="B76" s="252">
        <f>B75+1</f>
        <v>5</v>
      </c>
      <c r="C76" s="264"/>
      <c r="D76" s="439"/>
      <c r="E76" s="438"/>
      <c r="F76" s="274">
        <f>D76*E76</f>
        <v>0</v>
      </c>
      <c r="H76" s="207"/>
      <c r="I76" s="207"/>
      <c r="J76" s="207"/>
      <c r="K76" s="207"/>
      <c r="L76" s="207"/>
      <c r="M76" s="207"/>
    </row>
    <row r="77" spans="1:14" s="153" customFormat="1" ht="15.5" hidden="1">
      <c r="A77" s="207"/>
      <c r="B77" s="255">
        <f>B76+1</f>
        <v>6</v>
      </c>
      <c r="C77" s="265"/>
      <c r="D77" s="416"/>
      <c r="E77" s="286"/>
      <c r="F77" s="287">
        <f>D77*E77</f>
        <v>0</v>
      </c>
      <c r="H77" s="207"/>
      <c r="I77" s="207"/>
      <c r="J77" s="207"/>
      <c r="K77" s="207"/>
      <c r="L77" s="207"/>
      <c r="M77" s="207"/>
    </row>
    <row r="78" spans="1:14" s="153" customFormat="1" ht="13">
      <c r="A78" s="207"/>
      <c r="B78" s="207"/>
      <c r="C78" s="207"/>
      <c r="D78" s="259"/>
      <c r="E78" s="207"/>
      <c r="F78" s="207"/>
      <c r="G78" s="207"/>
      <c r="H78" s="207"/>
      <c r="I78" s="207"/>
      <c r="J78" s="207"/>
      <c r="K78" s="207"/>
      <c r="L78" s="207"/>
      <c r="M78" s="207"/>
      <c r="N78" s="207"/>
    </row>
    <row r="79" spans="1:14" s="153" customFormat="1" ht="13" hidden="1">
      <c r="A79" s="207"/>
      <c r="B79" s="207"/>
      <c r="C79" s="207"/>
      <c r="D79" s="259"/>
      <c r="E79" s="207"/>
      <c r="F79" s="207"/>
      <c r="G79" s="207"/>
      <c r="H79" s="207"/>
      <c r="I79" s="207"/>
      <c r="J79" s="207"/>
      <c r="K79" s="207"/>
      <c r="L79" s="207"/>
      <c r="M79" s="207"/>
      <c r="N79" s="207"/>
    </row>
    <row r="80" spans="1:14" s="153" customFormat="1" ht="14">
      <c r="A80" s="207"/>
      <c r="B80" s="210" t="s">
        <v>769</v>
      </c>
      <c r="C80" s="207"/>
      <c r="D80" s="402" t="s">
        <v>263</v>
      </c>
      <c r="E80" s="207"/>
      <c r="F80" s="207"/>
      <c r="G80" s="207"/>
      <c r="H80" s="207"/>
      <c r="I80" s="207"/>
      <c r="J80" s="207"/>
      <c r="K80" s="207"/>
      <c r="L80" s="207"/>
      <c r="M80" s="207"/>
      <c r="N80" s="207"/>
    </row>
    <row r="81" spans="1:18" s="153" customFormat="1" ht="13">
      <c r="A81" s="207"/>
      <c r="B81" s="258"/>
      <c r="C81" s="256" t="s">
        <v>303</v>
      </c>
      <c r="D81" s="329" t="s">
        <v>304</v>
      </c>
      <c r="F81" s="207"/>
      <c r="G81" s="207"/>
      <c r="H81" s="207"/>
      <c r="I81" s="207"/>
      <c r="J81" s="207"/>
      <c r="K81" s="207"/>
      <c r="L81" s="207"/>
      <c r="M81" s="207"/>
      <c r="N81" s="207"/>
    </row>
    <row r="82" spans="1:18" s="153" customFormat="1" ht="15.5">
      <c r="A82" s="207"/>
      <c r="B82" s="204" t="s">
        <v>315</v>
      </c>
      <c r="C82" s="254" t="s">
        <v>272</v>
      </c>
      <c r="D82" s="334">
        <f>SUM(D83:D87)</f>
        <v>0</v>
      </c>
      <c r="F82" s="207"/>
      <c r="G82" s="207"/>
      <c r="H82" s="207"/>
      <c r="I82" s="207"/>
      <c r="J82" s="207"/>
      <c r="K82" s="207"/>
      <c r="L82" s="207"/>
      <c r="M82" s="207"/>
      <c r="N82" s="207"/>
    </row>
    <row r="83" spans="1:18" s="153" customFormat="1" ht="15.5">
      <c r="A83" s="207"/>
      <c r="B83" s="252">
        <f>B82+1</f>
        <v>2</v>
      </c>
      <c r="C83" s="276"/>
      <c r="D83" s="277"/>
      <c r="F83" s="207"/>
      <c r="G83" s="207"/>
      <c r="H83" s="207"/>
      <c r="I83" s="207"/>
      <c r="J83" s="207"/>
      <c r="K83" s="207"/>
      <c r="L83" s="207"/>
      <c r="M83" s="207"/>
      <c r="N83" s="207"/>
    </row>
    <row r="84" spans="1:18" s="153" customFormat="1" ht="15.5">
      <c r="A84" s="207"/>
      <c r="B84" s="252">
        <f>B83+1</f>
        <v>3</v>
      </c>
      <c r="C84" s="264"/>
      <c r="D84" s="277"/>
      <c r="F84" s="207"/>
      <c r="G84" s="207"/>
      <c r="H84" s="207"/>
      <c r="I84" s="207"/>
      <c r="J84" s="207"/>
      <c r="K84" s="207"/>
      <c r="L84" s="207"/>
      <c r="M84" s="207"/>
      <c r="N84" s="207"/>
    </row>
    <row r="85" spans="1:18" s="153" customFormat="1" ht="15.5">
      <c r="A85" s="207"/>
      <c r="B85" s="252">
        <f>B84+1</f>
        <v>4</v>
      </c>
      <c r="C85" s="264"/>
      <c r="D85" s="277"/>
      <c r="F85" s="207"/>
      <c r="G85" s="207"/>
      <c r="H85" s="207"/>
      <c r="I85" s="207"/>
      <c r="J85" s="207"/>
      <c r="K85" s="207"/>
      <c r="L85" s="207"/>
      <c r="M85" s="207"/>
      <c r="N85" s="207"/>
    </row>
    <row r="86" spans="1:18" s="153" customFormat="1" ht="15.5">
      <c r="A86" s="207"/>
      <c r="B86" s="252">
        <f>B85+1</f>
        <v>5</v>
      </c>
      <c r="C86" s="264"/>
      <c r="D86" s="277"/>
      <c r="F86" s="207"/>
      <c r="G86" s="207"/>
      <c r="H86" s="207"/>
      <c r="I86" s="207"/>
      <c r="J86" s="207"/>
      <c r="K86" s="207"/>
      <c r="L86" s="207"/>
      <c r="M86" s="207"/>
      <c r="N86" s="207"/>
    </row>
    <row r="87" spans="1:18" s="153" customFormat="1" ht="15.5" hidden="1">
      <c r="A87" s="207"/>
      <c r="B87" s="255">
        <f>B86+1</f>
        <v>6</v>
      </c>
      <c r="C87" s="265"/>
      <c r="D87" s="278"/>
      <c r="F87" s="207"/>
      <c r="G87" s="207"/>
      <c r="H87" s="207"/>
      <c r="I87" s="207"/>
      <c r="J87" s="207"/>
      <c r="K87" s="207"/>
      <c r="L87" s="259">
        <f>D6</f>
        <v>0</v>
      </c>
      <c r="M87" s="263">
        <f>VLOOKUP(L87,L91:N100,3)</f>
        <v>0</v>
      </c>
      <c r="N87" s="207"/>
    </row>
    <row r="88" spans="1:18" s="153" customFormat="1" ht="13" hidden="1">
      <c r="A88" s="207"/>
      <c r="B88" s="261"/>
      <c r="D88" s="267"/>
      <c r="E88" s="207"/>
      <c r="F88" s="207"/>
      <c r="G88" s="207"/>
      <c r="H88" s="207"/>
      <c r="I88" s="207"/>
      <c r="J88" s="207"/>
      <c r="K88" s="207"/>
      <c r="L88" s="222" t="s">
        <v>307</v>
      </c>
      <c r="M88" s="207"/>
      <c r="N88" s="207"/>
    </row>
    <row r="89" spans="1:18" s="153" customFormat="1" ht="13">
      <c r="A89" s="207"/>
      <c r="B89" s="261"/>
      <c r="D89" s="267"/>
      <c r="E89" s="207"/>
      <c r="F89" s="207"/>
      <c r="G89" s="207"/>
      <c r="H89" s="207"/>
      <c r="I89" s="207"/>
      <c r="J89" s="207"/>
      <c r="K89" s="207"/>
      <c r="L89" s="222"/>
      <c r="M89" s="207"/>
      <c r="N89" s="207"/>
    </row>
    <row r="90" spans="1:18" s="153" customFormat="1" ht="14">
      <c r="A90" s="207"/>
      <c r="B90" s="210" t="s">
        <v>738</v>
      </c>
      <c r="C90" s="207"/>
      <c r="D90" s="259"/>
      <c r="E90" s="402" t="s">
        <v>263</v>
      </c>
      <c r="F90" s="207"/>
      <c r="G90" s="207"/>
      <c r="H90" s="207"/>
      <c r="I90" s="207"/>
      <c r="J90" s="207"/>
      <c r="K90" s="207"/>
      <c r="L90" s="1805" t="s">
        <v>309</v>
      </c>
      <c r="M90" s="1806"/>
      <c r="N90" s="215" t="s">
        <v>308</v>
      </c>
    </row>
    <row r="91" spans="1:18" s="153" customFormat="1" ht="18">
      <c r="A91" s="207"/>
      <c r="B91" s="1166" t="s">
        <v>2719</v>
      </c>
      <c r="C91" s="404"/>
      <c r="D91" s="405"/>
      <c r="E91" s="1167" t="s">
        <v>2682</v>
      </c>
      <c r="F91" s="207"/>
      <c r="G91" s="207"/>
      <c r="H91" s="207"/>
      <c r="I91" s="207"/>
      <c r="J91" s="207"/>
      <c r="K91" s="207"/>
      <c r="L91" s="224">
        <v>0</v>
      </c>
      <c r="M91" s="224">
        <v>10000</v>
      </c>
      <c r="N91" s="225">
        <f>MIN(O91:P91)</f>
        <v>0</v>
      </c>
      <c r="O91" s="266">
        <f>L87*0.5</f>
        <v>0</v>
      </c>
      <c r="P91" s="267">
        <v>1500</v>
      </c>
    </row>
    <row r="92" spans="1:18" s="153" customFormat="1" ht="18.75" customHeight="1">
      <c r="A92" s="207"/>
      <c r="B92" s="219" t="s">
        <v>306</v>
      </c>
      <c r="C92" s="212"/>
      <c r="D92" s="330"/>
      <c r="E92" s="442"/>
      <c r="F92" s="207"/>
      <c r="G92" s="207"/>
      <c r="H92" s="207"/>
      <c r="I92" s="207"/>
      <c r="J92" s="207"/>
      <c r="K92" s="207"/>
      <c r="L92" s="224">
        <f t="shared" ref="L92:L98" si="4">M91</f>
        <v>10000</v>
      </c>
      <c r="M92" s="224">
        <v>20000</v>
      </c>
      <c r="N92" s="225">
        <v>2500</v>
      </c>
      <c r="P92" s="153" t="s">
        <v>2682</v>
      </c>
    </row>
    <row r="93" spans="1:18" s="153" customFormat="1" ht="15" customHeight="1">
      <c r="A93" s="207"/>
      <c r="B93" s="223" t="s">
        <v>307</v>
      </c>
      <c r="C93" s="213"/>
      <c r="D93" s="330"/>
      <c r="E93" s="406">
        <f>M87</f>
        <v>0</v>
      </c>
      <c r="F93" s="207"/>
      <c r="G93" s="207"/>
      <c r="H93" s="207"/>
      <c r="I93" s="207"/>
      <c r="J93" s="207"/>
      <c r="K93" s="220"/>
      <c r="L93" s="224">
        <f t="shared" si="4"/>
        <v>20000</v>
      </c>
      <c r="M93" s="224">
        <v>100000</v>
      </c>
      <c r="N93" s="225">
        <v>5000</v>
      </c>
      <c r="P93" s="153" t="s">
        <v>2683</v>
      </c>
    </row>
    <row r="94" spans="1:18" s="153" customFormat="1" ht="15" customHeight="1">
      <c r="A94" s="207"/>
      <c r="B94" s="410" t="s">
        <v>305</v>
      </c>
      <c r="C94" s="409"/>
      <c r="D94" s="331"/>
      <c r="E94" s="408">
        <f>IF(E91="לא",0,IF((E92-E93)&gt;0,E92-E93,0))</f>
        <v>0</v>
      </c>
      <c r="F94" s="207"/>
      <c r="G94" s="207"/>
      <c r="H94" s="207"/>
      <c r="I94" s="207"/>
      <c r="J94" s="207"/>
      <c r="K94" s="220"/>
      <c r="L94" s="224">
        <f t="shared" si="4"/>
        <v>100000</v>
      </c>
      <c r="M94" s="224">
        <v>500000</v>
      </c>
      <c r="N94" s="225">
        <v>10000</v>
      </c>
    </row>
    <row r="95" spans="1:18" s="221" customFormat="1" ht="15" customHeight="1">
      <c r="A95" s="220"/>
      <c r="B95" s="220"/>
      <c r="C95" s="220"/>
      <c r="D95" s="266"/>
      <c r="E95" s="220"/>
      <c r="F95" s="220"/>
      <c r="G95" s="220"/>
      <c r="H95" s="220"/>
      <c r="I95" s="220"/>
      <c r="J95" s="220"/>
      <c r="K95" s="207"/>
      <c r="L95" s="224">
        <f t="shared" si="4"/>
        <v>500000</v>
      </c>
      <c r="M95" s="224">
        <v>2000000</v>
      </c>
      <c r="N95" s="225">
        <v>15000</v>
      </c>
      <c r="P95" s="153"/>
      <c r="Q95" s="153"/>
      <c r="R95" s="153"/>
    </row>
    <row r="96" spans="1:18" s="221" customFormat="1" ht="15" hidden="1" customHeight="1">
      <c r="A96" s="220"/>
      <c r="B96" s="220"/>
      <c r="C96" s="220"/>
      <c r="D96" s="266"/>
      <c r="E96" s="220"/>
      <c r="F96" s="220"/>
      <c r="G96" s="220"/>
      <c r="H96" s="220"/>
      <c r="I96" s="220"/>
      <c r="J96" s="220"/>
      <c r="K96" s="207"/>
      <c r="L96" s="224"/>
      <c r="M96" s="224"/>
      <c r="N96" s="225"/>
      <c r="P96" s="153"/>
      <c r="Q96" s="153"/>
      <c r="R96" s="153"/>
    </row>
    <row r="97" spans="1:18" s="221" customFormat="1" ht="15" customHeight="1">
      <c r="A97" s="220"/>
      <c r="B97" s="210" t="s">
        <v>770</v>
      </c>
      <c r="C97" s="207"/>
      <c r="D97" s="259"/>
      <c r="E97" s="402" t="s">
        <v>263</v>
      </c>
      <c r="I97" s="220"/>
      <c r="J97" s="220"/>
      <c r="K97" s="207"/>
      <c r="L97" s="224">
        <f>M95</f>
        <v>2000000</v>
      </c>
      <c r="M97" s="224">
        <v>5000000</v>
      </c>
      <c r="N97" s="225">
        <v>22000</v>
      </c>
      <c r="P97" s="153"/>
      <c r="Q97" s="153"/>
      <c r="R97" s="153"/>
    </row>
    <row r="98" spans="1:18" s="153" customFormat="1" ht="26">
      <c r="A98" s="207"/>
      <c r="B98" s="258"/>
      <c r="C98" s="253" t="s">
        <v>771</v>
      </c>
      <c r="D98" s="328" t="s">
        <v>289</v>
      </c>
      <c r="E98" s="257" t="s">
        <v>290</v>
      </c>
      <c r="K98" s="207"/>
      <c r="L98" s="224">
        <f t="shared" si="4"/>
        <v>5000000</v>
      </c>
      <c r="M98" s="216"/>
      <c r="N98" s="225">
        <v>30000</v>
      </c>
    </row>
    <row r="99" spans="1:18" s="153" customFormat="1" ht="15.75" customHeight="1">
      <c r="A99" s="1807" t="s">
        <v>778</v>
      </c>
      <c r="B99" s="399"/>
      <c r="C99" s="400" t="s">
        <v>318</v>
      </c>
      <c r="D99" s="271">
        <f>J103</f>
        <v>0</v>
      </c>
      <c r="E99" s="272">
        <f>E100*'T101'!$D$13</f>
        <v>0</v>
      </c>
      <c r="I99" s="267"/>
      <c r="K99" s="207"/>
      <c r="L99" s="268"/>
      <c r="M99" s="269"/>
      <c r="N99" s="270"/>
    </row>
    <row r="100" spans="1:18" s="153" customFormat="1" ht="15" customHeight="1">
      <c r="A100" s="1808"/>
      <c r="B100" s="323" t="s">
        <v>315</v>
      </c>
      <c r="C100" s="400" t="s">
        <v>319</v>
      </c>
      <c r="D100" s="273">
        <f>SUM(D101:D105)</f>
        <v>0</v>
      </c>
      <c r="E100" s="274">
        <f>SUM(E101:E105)</f>
        <v>0</v>
      </c>
      <c r="G100" s="1208" t="s">
        <v>2766</v>
      </c>
      <c r="J100" s="267">
        <f>K100</f>
        <v>0</v>
      </c>
      <c r="K100" s="267">
        <f>$D$19</f>
        <v>0</v>
      </c>
      <c r="L100" s="214"/>
      <c r="M100" s="218"/>
      <c r="N100" s="217"/>
    </row>
    <row r="101" spans="1:18" s="153" customFormat="1" ht="15" customHeight="1">
      <c r="A101" s="388"/>
      <c r="B101" s="323">
        <f>B100+1</f>
        <v>2</v>
      </c>
      <c r="C101" s="387" t="str">
        <f>IF(A101=0,"",VLOOKUP(A101,List,3,0))</f>
        <v/>
      </c>
      <c r="D101" s="432" t="str">
        <f>IF(C101="","",VLOOKUP(A101,$A$20:$D$68,4,0))</f>
        <v/>
      </c>
      <c r="E101" s="277"/>
      <c r="J101" s="267">
        <f>D100</f>
        <v>0</v>
      </c>
    </row>
    <row r="102" spans="1:18" s="153" customFormat="1" ht="15" customHeight="1">
      <c r="A102" s="389"/>
      <c r="B102" s="412">
        <f>B101+1</f>
        <v>3</v>
      </c>
      <c r="C102" s="387" t="str">
        <f>IF(A102=0,"",VLOOKUP(A102,List,3,0))</f>
        <v/>
      </c>
      <c r="D102" s="432" t="str">
        <f>IF(C102="","",VLOOKUP(A102,$A$20:$D$68,4,0))</f>
        <v/>
      </c>
      <c r="E102" s="277"/>
      <c r="J102" s="267">
        <f>J100-J101</f>
        <v>0</v>
      </c>
      <c r="K102" s="267">
        <v>15000000</v>
      </c>
    </row>
    <row r="103" spans="1:18" s="153" customFormat="1" ht="15" customHeight="1">
      <c r="A103" s="389"/>
      <c r="B103" s="412">
        <f>B102+1</f>
        <v>4</v>
      </c>
      <c r="C103" s="387" t="str">
        <f>IF(A103=0,"",VLOOKUP(A103,List,3,0))</f>
        <v/>
      </c>
      <c r="D103" s="432" t="str">
        <f>IF(C103="","",VLOOKUP(A103,$A$20:$D$68,4,0))</f>
        <v/>
      </c>
      <c r="E103" s="277"/>
      <c r="J103" s="1209">
        <f>IF(J102&gt;K102,J101*K104,IF(AND(J100&gt;K102,J102&lt;K102),((K102-J102)*K103)+((J100-K102)*K104),J101*K103))</f>
        <v>0</v>
      </c>
      <c r="K103" s="1210">
        <v>1E-3</v>
      </c>
      <c r="L103" s="207"/>
      <c r="M103" s="207"/>
      <c r="N103" s="207"/>
    </row>
    <row r="104" spans="1:18" s="153" customFormat="1" ht="15" customHeight="1">
      <c r="A104" s="389"/>
      <c r="B104" s="412">
        <f>B103+1</f>
        <v>5</v>
      </c>
      <c r="C104" s="387" t="str">
        <f>IF(A104=0,"",VLOOKUP(A104,List,3,0))</f>
        <v/>
      </c>
      <c r="D104" s="432" t="str">
        <f>IF(C104="","",VLOOKUP(A104,$A$20:$D$68,4,0))</f>
        <v/>
      </c>
      <c r="E104" s="277"/>
      <c r="J104" s="1211" t="s">
        <v>2767</v>
      </c>
      <c r="K104" s="1210">
        <v>5.0000000000000001E-4</v>
      </c>
      <c r="L104" s="207"/>
      <c r="M104" s="207"/>
      <c r="N104" s="207"/>
    </row>
    <row r="105" spans="1:18" s="153" customFormat="1" ht="15" hidden="1" customHeight="1">
      <c r="A105" s="417"/>
      <c r="B105" s="415">
        <f>B104+1</f>
        <v>6</v>
      </c>
      <c r="C105" s="418" t="str">
        <f>IF(A105=0,"",VLOOKUP(A105,List,3,0))</f>
        <v/>
      </c>
      <c r="D105" s="433" t="str">
        <f>IF(C105="","",VLOOKUP(A105,$A$20:$D$68,4,0))</f>
        <v/>
      </c>
      <c r="E105" s="278"/>
      <c r="K105" s="207"/>
      <c r="L105" s="207"/>
      <c r="M105" s="207"/>
      <c r="N105" s="207"/>
    </row>
    <row r="106" spans="1:18" s="153" customFormat="1" ht="15" customHeight="1">
      <c r="A106" s="207"/>
      <c r="D106" s="267"/>
      <c r="J106" s="153">
        <f>((K102-J102)*K103)+((J100-K102)*K104)</f>
        <v>7500</v>
      </c>
      <c r="K106" s="207"/>
      <c r="L106" s="207"/>
      <c r="M106" s="207"/>
      <c r="N106" s="207"/>
    </row>
    <row r="107" spans="1:18" s="153" customFormat="1" ht="15" hidden="1" customHeight="1">
      <c r="A107" s="207"/>
      <c r="D107" s="267"/>
      <c r="K107" s="207"/>
      <c r="L107" s="207"/>
      <c r="M107" s="207"/>
      <c r="N107" s="207"/>
    </row>
    <row r="108" spans="1:18" s="153" customFormat="1" ht="15" customHeight="1">
      <c r="A108" s="207"/>
      <c r="B108" s="210" t="s">
        <v>767</v>
      </c>
      <c r="C108" s="207"/>
      <c r="D108" s="402" t="s">
        <v>263</v>
      </c>
      <c r="J108" s="1212" t="s">
        <v>2768</v>
      </c>
      <c r="K108" s="207"/>
      <c r="L108" s="207"/>
      <c r="M108" s="207"/>
      <c r="N108" s="207"/>
    </row>
    <row r="109" spans="1:18" s="153" customFormat="1" ht="15" customHeight="1">
      <c r="A109" s="207"/>
      <c r="B109" s="258"/>
      <c r="C109" s="253" t="s">
        <v>320</v>
      </c>
      <c r="D109" s="419" t="s">
        <v>289</v>
      </c>
      <c r="K109" s="207"/>
      <c r="L109" s="207"/>
      <c r="M109" s="207"/>
      <c r="N109" s="207"/>
    </row>
    <row r="110" spans="1:18" s="153" customFormat="1" ht="15" customHeight="1">
      <c r="A110" s="1807" t="s">
        <v>735</v>
      </c>
      <c r="B110" s="420"/>
      <c r="C110" s="421" t="str">
        <f>C99</f>
        <v xml:space="preserve">דרישת הון - </v>
      </c>
      <c r="D110" s="422">
        <f>J113</f>
        <v>0</v>
      </c>
      <c r="G110" s="1208" t="s">
        <v>2766</v>
      </c>
      <c r="J110" s="267">
        <f>K100</f>
        <v>0</v>
      </c>
      <c r="K110" s="207"/>
      <c r="L110" s="207"/>
      <c r="M110" s="207"/>
      <c r="N110" s="207"/>
    </row>
    <row r="111" spans="1:18" s="153" customFormat="1" ht="15" customHeight="1">
      <c r="A111" s="1808"/>
      <c r="B111" s="323" t="s">
        <v>315</v>
      </c>
      <c r="C111" s="421" t="s">
        <v>272</v>
      </c>
      <c r="D111" s="334">
        <f>SUM(D112:D117)</f>
        <v>0</v>
      </c>
      <c r="J111" s="1213">
        <f>D111</f>
        <v>0</v>
      </c>
      <c r="K111" s="207"/>
      <c r="L111" s="207"/>
      <c r="M111" s="207"/>
      <c r="N111" s="207"/>
    </row>
    <row r="112" spans="1:18" s="153" customFormat="1" ht="15" customHeight="1">
      <c r="A112" s="388"/>
      <c r="B112" s="323">
        <f t="shared" ref="B112:B117" si="5">B111+1</f>
        <v>2</v>
      </c>
      <c r="C112" s="387" t="str">
        <f t="shared" ref="C112:C117" si="6">IF(A112=0,"",VLOOKUP(A112,List,3,0))</f>
        <v/>
      </c>
      <c r="D112" s="414" t="str">
        <f t="shared" ref="D112:D117" si="7">IF(C112="","",VLOOKUP(A112,$A$20:$D$68,4,0))</f>
        <v/>
      </c>
      <c r="J112" s="267">
        <f>J110-J111</f>
        <v>0</v>
      </c>
      <c r="K112" s="267">
        <v>15000000</v>
      </c>
      <c r="L112" s="207"/>
      <c r="M112" s="207"/>
      <c r="N112" s="207"/>
    </row>
    <row r="113" spans="1:20" s="153" customFormat="1" ht="15" customHeight="1">
      <c r="A113" s="389"/>
      <c r="B113" s="412">
        <f t="shared" si="5"/>
        <v>3</v>
      </c>
      <c r="C113" s="387" t="str">
        <f t="shared" si="6"/>
        <v/>
      </c>
      <c r="D113" s="414" t="str">
        <f t="shared" si="7"/>
        <v/>
      </c>
      <c r="I113" s="153">
        <f>K112*K113+(D111-K112)*K114</f>
        <v>7500</v>
      </c>
      <c r="J113" s="1209">
        <f>IF(J112&gt;K112,J111*K114,IF(AND(J110&gt;K112,J112&lt;K112),((K112-J112)*K113)+((J110-K112)*K114),J111*K113))</f>
        <v>0</v>
      </c>
      <c r="K113" s="1210">
        <f>K103</f>
        <v>1E-3</v>
      </c>
      <c r="L113" s="207"/>
      <c r="M113" s="207"/>
      <c r="N113" s="207"/>
    </row>
    <row r="114" spans="1:20" s="153" customFormat="1" ht="15" customHeight="1">
      <c r="A114" s="389"/>
      <c r="B114" s="412">
        <f t="shared" si="5"/>
        <v>4</v>
      </c>
      <c r="C114" s="387" t="str">
        <f t="shared" si="6"/>
        <v/>
      </c>
      <c r="D114" s="414" t="str">
        <f t="shared" si="7"/>
        <v/>
      </c>
      <c r="J114" s="1214"/>
      <c r="K114" s="1210">
        <f>K104</f>
        <v>5.0000000000000001E-4</v>
      </c>
      <c r="L114" s="207"/>
      <c r="M114" s="207"/>
      <c r="N114" s="207"/>
      <c r="O114" s="1801" t="s">
        <v>803</v>
      </c>
      <c r="P114" s="1801"/>
      <c r="Q114" s="1801"/>
      <c r="R114" s="1801"/>
    </row>
    <row r="115" spans="1:20" s="153" customFormat="1" ht="15" customHeight="1">
      <c r="A115" s="389"/>
      <c r="B115" s="412">
        <f t="shared" si="5"/>
        <v>5</v>
      </c>
      <c r="C115" s="387" t="str">
        <f t="shared" si="6"/>
        <v/>
      </c>
      <c r="D115" s="414" t="str">
        <f t="shared" si="7"/>
        <v/>
      </c>
      <c r="K115" s="207"/>
      <c r="L115" s="207"/>
      <c r="M115" s="207"/>
      <c r="N115" s="207"/>
      <c r="O115" s="1801"/>
      <c r="P115" s="1801"/>
      <c r="Q115" s="1801"/>
      <c r="R115" s="1801"/>
    </row>
    <row r="116" spans="1:20" s="153" customFormat="1" ht="15" customHeight="1">
      <c r="A116" s="389"/>
      <c r="B116" s="412">
        <f t="shared" si="5"/>
        <v>6</v>
      </c>
      <c r="C116" s="387" t="str">
        <f t="shared" si="6"/>
        <v/>
      </c>
      <c r="D116" s="414" t="str">
        <f t="shared" si="7"/>
        <v/>
      </c>
      <c r="K116" s="207"/>
      <c r="L116" s="207"/>
      <c r="M116" s="207"/>
      <c r="N116" s="207"/>
      <c r="O116" s="1801"/>
      <c r="P116" s="1801"/>
      <c r="Q116" s="1801"/>
      <c r="R116" s="1801"/>
    </row>
    <row r="117" spans="1:20" s="153" customFormat="1" ht="15" customHeight="1">
      <c r="A117" s="417"/>
      <c r="B117" s="415">
        <f t="shared" si="5"/>
        <v>7</v>
      </c>
      <c r="C117" s="387" t="str">
        <f t="shared" si="6"/>
        <v/>
      </c>
      <c r="D117" s="434" t="str">
        <f t="shared" si="7"/>
        <v/>
      </c>
      <c r="K117" s="207"/>
      <c r="L117" s="207"/>
      <c r="M117" s="207"/>
      <c r="N117" s="207"/>
      <c r="O117" s="1801"/>
      <c r="P117" s="1801"/>
      <c r="Q117" s="1801"/>
      <c r="R117" s="1801"/>
    </row>
    <row r="118" spans="1:20" s="153" customFormat="1" ht="15" customHeight="1">
      <c r="A118" s="207"/>
      <c r="B118" s="207"/>
      <c r="C118" s="207"/>
      <c r="D118" s="259"/>
      <c r="E118" s="207"/>
      <c r="F118" s="207"/>
      <c r="G118" s="207"/>
      <c r="H118" s="207"/>
      <c r="I118" s="207"/>
      <c r="J118" s="207"/>
      <c r="K118" s="207"/>
      <c r="L118" s="207" t="s">
        <v>312</v>
      </c>
      <c r="M118" s="207"/>
      <c r="N118" s="207"/>
      <c r="O118" s="1801"/>
      <c r="P118" s="1801"/>
      <c r="Q118" s="1801"/>
      <c r="R118" s="1801"/>
    </row>
    <row r="119" spans="1:20" s="153" customFormat="1" ht="15" customHeight="1">
      <c r="A119" s="207"/>
      <c r="B119" s="207"/>
      <c r="C119" s="207"/>
      <c r="D119" s="259"/>
      <c r="E119" s="207"/>
      <c r="F119" s="207"/>
      <c r="G119" s="207"/>
      <c r="H119" s="207"/>
      <c r="I119" s="207"/>
      <c r="J119" s="207"/>
      <c r="K119" s="207"/>
      <c r="L119" s="280" t="s">
        <v>322</v>
      </c>
      <c r="M119" s="281" t="s">
        <v>323</v>
      </c>
      <c r="N119" s="207"/>
      <c r="O119" s="153" t="s">
        <v>260</v>
      </c>
    </row>
    <row r="120" spans="1:20" s="153" customFormat="1" ht="15" customHeight="1">
      <c r="A120" s="207"/>
      <c r="B120" s="207"/>
      <c r="C120" s="207"/>
      <c r="D120" s="259"/>
      <c r="E120" s="207"/>
      <c r="F120" s="207"/>
      <c r="J120" s="207"/>
      <c r="K120" s="228">
        <v>37196</v>
      </c>
      <c r="L120" s="1803" t="s">
        <v>312</v>
      </c>
      <c r="M120" s="1804"/>
      <c r="N120" s="319">
        <v>171.07811280000001</v>
      </c>
      <c r="O120" s="279">
        <v>37196</v>
      </c>
    </row>
    <row r="121" spans="1:20" s="153" customFormat="1" ht="15" customHeight="1">
      <c r="A121" s="207"/>
      <c r="B121" s="207"/>
      <c r="C121" s="207"/>
      <c r="D121" s="259"/>
      <c r="E121" s="207"/>
      <c r="F121" s="207"/>
      <c r="J121" s="207"/>
      <c r="K121" s="211"/>
      <c r="L121" s="310"/>
      <c r="M121" s="455" t="e">
        <f>N121/N120</f>
        <v>#N/A</v>
      </c>
      <c r="N121" s="320" t="e">
        <f>VLOOKUP($P$121,$Q$124:$S$136,2,0)</f>
        <v>#N/A</v>
      </c>
      <c r="O121" s="320" t="e">
        <f>VLOOKUP($P$121,$Q$124:$S$136,3,0)</f>
        <v>#N/A</v>
      </c>
      <c r="P121" s="452" t="str">
        <f>Information!K4</f>
        <v>31.12.2021</v>
      </c>
    </row>
    <row r="122" spans="1:20" s="153" customFormat="1" ht="15" customHeight="1">
      <c r="A122" s="207"/>
      <c r="B122" s="207"/>
      <c r="C122" s="207"/>
      <c r="D122" s="259"/>
      <c r="E122" s="207"/>
      <c r="F122" s="207"/>
      <c r="J122" s="207"/>
      <c r="K122" s="211" t="s">
        <v>793</v>
      </c>
      <c r="L122" s="458"/>
      <c r="M122" s="459"/>
      <c r="N122" s="320"/>
      <c r="O122" s="279"/>
      <c r="R122" s="1142" t="str">
        <f>Information!$E$1</f>
        <v>חזרה</v>
      </c>
    </row>
    <row r="123" spans="1:20" s="153" customFormat="1" ht="15" customHeight="1">
      <c r="A123" s="207"/>
      <c r="B123" s="207"/>
      <c r="C123" s="207"/>
      <c r="D123" s="259"/>
      <c r="E123" s="207"/>
      <c r="F123" s="207"/>
      <c r="J123" s="207"/>
      <c r="K123" s="311" t="s">
        <v>299</v>
      </c>
      <c r="L123" s="312">
        <v>1000</v>
      </c>
      <c r="M123" s="313" t="e">
        <f>L123*$M$121</f>
        <v>#N/A</v>
      </c>
      <c r="Q123" s="153" t="s">
        <v>798</v>
      </c>
      <c r="R123" s="453">
        <v>171.07811280000001</v>
      </c>
      <c r="S123" s="452" t="s">
        <v>796</v>
      </c>
    </row>
    <row r="124" spans="1:20" s="153" customFormat="1" ht="15" customHeight="1">
      <c r="A124" s="207"/>
      <c r="B124" s="207"/>
      <c r="C124" s="207"/>
      <c r="D124" s="259"/>
      <c r="E124" s="207"/>
      <c r="F124" s="207"/>
      <c r="J124" s="207"/>
      <c r="K124" s="314" t="s">
        <v>314</v>
      </c>
      <c r="L124" s="315">
        <v>7000</v>
      </c>
      <c r="M124" s="316" t="e">
        <f>L124*$M$121</f>
        <v>#N/A</v>
      </c>
      <c r="Q124" s="153" t="s">
        <v>797</v>
      </c>
      <c r="R124" s="454">
        <f>R140</f>
        <v>216.26863707333001</v>
      </c>
      <c r="S124" s="452" t="s">
        <v>799</v>
      </c>
    </row>
    <row r="125" spans="1:20" s="153" customFormat="1" ht="15" customHeight="1">
      <c r="A125" s="207"/>
      <c r="B125" s="207"/>
      <c r="C125" s="207"/>
      <c r="D125" s="259"/>
      <c r="E125" s="207"/>
      <c r="F125" s="207"/>
      <c r="J125" s="207"/>
      <c r="K125" s="314" t="s">
        <v>313</v>
      </c>
      <c r="L125" s="315">
        <f>L123+L124</f>
        <v>8000</v>
      </c>
      <c r="M125" s="316" t="e">
        <f>L125*$M$121</f>
        <v>#N/A</v>
      </c>
      <c r="Q125" s="153" t="s">
        <v>331</v>
      </c>
      <c r="R125" s="453">
        <f>I141</f>
        <v>216.26863707333001</v>
      </c>
      <c r="S125" s="452" t="s">
        <v>799</v>
      </c>
      <c r="T125" s="452"/>
    </row>
    <row r="126" spans="1:20" s="153" customFormat="1" ht="15" customHeight="1">
      <c r="A126" s="207"/>
      <c r="B126" s="207"/>
      <c r="C126" s="207"/>
      <c r="D126" s="259"/>
      <c r="E126" s="207"/>
      <c r="F126" s="207"/>
      <c r="J126" s="207"/>
      <c r="K126" s="457" t="s">
        <v>772</v>
      </c>
      <c r="L126" s="317">
        <f>L123</f>
        <v>1000</v>
      </c>
      <c r="M126" s="318" t="e">
        <f>M123</f>
        <v>#N/A</v>
      </c>
      <c r="Q126" s="153" t="s">
        <v>330</v>
      </c>
      <c r="R126" s="453">
        <f>L141</f>
        <v>218.97199503675</v>
      </c>
      <c r="S126" s="452" t="s">
        <v>799</v>
      </c>
      <c r="T126" s="452"/>
    </row>
    <row r="127" spans="1:20" s="153" customFormat="1" ht="15" customHeight="1">
      <c r="A127" s="207"/>
      <c r="B127" s="207"/>
      <c r="C127" s="207"/>
      <c r="D127" s="259"/>
      <c r="E127" s="207"/>
      <c r="F127" s="207"/>
      <c r="K127" s="314" t="s">
        <v>2744</v>
      </c>
      <c r="L127" s="315">
        <f>L125+L126</f>
        <v>9000</v>
      </c>
      <c r="M127" s="316" t="e">
        <f>L127*$M$121</f>
        <v>#N/A</v>
      </c>
      <c r="Q127" s="153" t="s">
        <v>332</v>
      </c>
      <c r="R127" s="453">
        <f>O141</f>
        <v>220.84355054989001</v>
      </c>
      <c r="S127" s="452" t="s">
        <v>799</v>
      </c>
      <c r="T127" s="452"/>
    </row>
    <row r="128" spans="1:20" s="153" customFormat="1" ht="15" customHeight="1">
      <c r="A128" s="207"/>
      <c r="B128" s="207"/>
      <c r="C128" s="207"/>
      <c r="D128" s="259"/>
      <c r="E128" s="207"/>
      <c r="F128" s="207"/>
      <c r="J128" s="207"/>
      <c r="K128" s="207"/>
      <c r="L128" s="207"/>
      <c r="M128" s="207"/>
      <c r="N128" s="207"/>
      <c r="Q128" s="153" t="s">
        <v>333</v>
      </c>
      <c r="R128" s="456">
        <f>R141</f>
        <v>219.38789626189001</v>
      </c>
      <c r="S128" s="452" t="s">
        <v>800</v>
      </c>
      <c r="T128" s="452"/>
    </row>
    <row r="129" spans="1:20" s="153" customFormat="1" ht="15" customHeight="1">
      <c r="A129" s="211"/>
      <c r="D129" s="267"/>
      <c r="E129" s="207"/>
      <c r="F129" s="207"/>
      <c r="G129" s="211"/>
      <c r="H129" s="211"/>
      <c r="I129" s="211"/>
      <c r="J129" s="207"/>
      <c r="K129" s="207"/>
      <c r="L129" s="207"/>
      <c r="M129" s="207"/>
      <c r="N129" s="207"/>
      <c r="Q129" s="153" t="s">
        <v>334</v>
      </c>
      <c r="R129" s="453">
        <f>I142</f>
        <v>219.42033655745001</v>
      </c>
      <c r="S129" s="452" t="str">
        <f>S128</f>
        <v>12/12</v>
      </c>
      <c r="T129" s="452"/>
    </row>
    <row r="130" spans="1:20" s="153" customFormat="1" ht="15" customHeight="1">
      <c r="A130" s="211"/>
      <c r="B130" s="211"/>
      <c r="C130" s="211"/>
      <c r="D130" s="332"/>
      <c r="E130" s="207"/>
      <c r="F130" s="211"/>
      <c r="G130" s="211"/>
      <c r="H130" s="211"/>
      <c r="I130" s="211"/>
      <c r="J130" s="207"/>
      <c r="K130" s="207"/>
      <c r="L130" s="207"/>
      <c r="M130" s="207"/>
      <c r="N130" s="207"/>
      <c r="Q130" s="153" t="s">
        <v>283</v>
      </c>
      <c r="R130" s="453">
        <f>L142</f>
        <v>220.95168486841999</v>
      </c>
      <c r="S130" s="452" t="str">
        <f>S129</f>
        <v>12/12</v>
      </c>
      <c r="T130" s="452"/>
    </row>
    <row r="131" spans="1:20" s="153" customFormat="1" ht="15" customHeight="1">
      <c r="A131" s="211"/>
      <c r="B131" s="211"/>
      <c r="C131" s="211"/>
      <c r="D131" s="332"/>
      <c r="E131" s="207"/>
      <c r="F131" s="211"/>
      <c r="G131" s="211"/>
      <c r="H131" s="211"/>
      <c r="I131" s="211"/>
      <c r="J131" s="211"/>
      <c r="K131" s="207"/>
      <c r="L131" s="207"/>
      <c r="M131" s="207"/>
      <c r="N131" s="207"/>
      <c r="Q131" s="153" t="s">
        <v>335</v>
      </c>
      <c r="R131" s="453">
        <f>O142</f>
        <v>223.79561744594</v>
      </c>
      <c r="S131" s="452" t="str">
        <f>S130</f>
        <v>12/12</v>
      </c>
      <c r="T131" s="452"/>
    </row>
    <row r="132" spans="1:20" s="153" customFormat="1" ht="15" customHeight="1">
      <c r="A132" s="211"/>
      <c r="B132" s="211"/>
      <c r="C132" s="211"/>
      <c r="D132" s="332"/>
      <c r="E132" s="207"/>
      <c r="F132" s="211"/>
      <c r="G132" s="211"/>
      <c r="H132" s="211"/>
      <c r="I132" s="211"/>
      <c r="J132" s="211"/>
      <c r="K132" s="207"/>
      <c r="L132" s="207"/>
      <c r="M132" s="207"/>
      <c r="N132" s="207"/>
      <c r="Q132" s="153" t="s">
        <v>336</v>
      </c>
      <c r="R132" s="456">
        <f>R142</f>
        <v>223.57685340150999</v>
      </c>
      <c r="S132" s="452" t="s">
        <v>801</v>
      </c>
      <c r="T132" s="452"/>
    </row>
    <row r="133" spans="1:20" s="153" customFormat="1" ht="15" customHeight="1">
      <c r="A133" s="211"/>
      <c r="B133" s="211"/>
      <c r="C133" s="207"/>
      <c r="D133" s="259"/>
      <c r="E133" s="207"/>
      <c r="F133" s="207"/>
      <c r="G133" s="207"/>
      <c r="H133" s="207"/>
      <c r="I133" s="207"/>
      <c r="J133" s="207"/>
      <c r="K133" s="207"/>
      <c r="L133" s="207"/>
      <c r="M133" s="207"/>
      <c r="N133" s="207"/>
      <c r="Q133" s="153" t="s">
        <v>337</v>
      </c>
      <c r="R133" s="453">
        <f>I143</f>
        <v>222.04550510000001</v>
      </c>
      <c r="S133" s="452" t="str">
        <f>S132</f>
        <v>12/13</v>
      </c>
      <c r="T133" s="452"/>
    </row>
    <row r="134" spans="1:20" s="153" customFormat="1" ht="15" customHeight="1">
      <c r="A134" s="211"/>
      <c r="B134" s="211"/>
      <c r="C134" s="207"/>
      <c r="D134" s="259"/>
      <c r="E134" s="207"/>
      <c r="F134" s="207"/>
      <c r="G134" s="207"/>
      <c r="H134" s="207"/>
      <c r="I134" s="207"/>
      <c r="J134" s="207"/>
      <c r="K134" s="207"/>
      <c r="L134" s="207"/>
      <c r="M134" s="207"/>
      <c r="N134" s="207"/>
      <c r="Q134" s="153" t="s">
        <v>338</v>
      </c>
      <c r="R134" s="453">
        <f>L143</f>
        <v>223.13932531265999</v>
      </c>
      <c r="S134" s="452" t="str">
        <f>S133</f>
        <v>12/13</v>
      </c>
      <c r="T134" s="452"/>
    </row>
    <row r="135" spans="1:20" s="153" customFormat="1" ht="15" customHeight="1">
      <c r="A135" s="211"/>
      <c r="B135" s="211"/>
      <c r="C135" s="207"/>
      <c r="D135" s="259"/>
      <c r="E135" s="207"/>
      <c r="F135" s="207"/>
      <c r="G135" s="207"/>
      <c r="H135" s="207"/>
      <c r="I135" s="207"/>
      <c r="J135" s="207"/>
      <c r="K135" s="207"/>
      <c r="L135" s="207"/>
      <c r="M135" s="207"/>
      <c r="N135" s="1141" t="s">
        <v>2583</v>
      </c>
      <c r="Q135" s="153" t="s">
        <v>339</v>
      </c>
      <c r="R135" s="453">
        <f>O143</f>
        <v>223.79561744594</v>
      </c>
      <c r="S135" s="452" t="str">
        <f>S134</f>
        <v>12/13</v>
      </c>
      <c r="T135" s="452"/>
    </row>
    <row r="136" spans="1:20" s="153" customFormat="1" ht="15" customHeight="1">
      <c r="A136" s="211"/>
      <c r="B136" s="211"/>
      <c r="C136" s="207"/>
      <c r="D136" s="259"/>
      <c r="E136" s="207"/>
      <c r="F136" s="207"/>
      <c r="G136" s="207"/>
      <c r="H136" s="207"/>
      <c r="I136" s="207"/>
      <c r="J136" s="207"/>
      <c r="K136" s="207"/>
      <c r="L136" s="207"/>
      <c r="M136" s="207"/>
      <c r="N136" s="207"/>
      <c r="Q136" s="153" t="s">
        <v>340</v>
      </c>
      <c r="R136" s="456">
        <f>R143</f>
        <v>223.35808935708999</v>
      </c>
      <c r="S136" s="452" t="s">
        <v>802</v>
      </c>
      <c r="T136" s="452"/>
    </row>
    <row r="137" spans="1:20" s="153" customFormat="1" ht="15" customHeight="1">
      <c r="A137" s="211"/>
      <c r="B137" s="211"/>
      <c r="C137" s="207"/>
      <c r="D137" s="259"/>
      <c r="E137" s="207"/>
      <c r="F137" s="207"/>
      <c r="G137" s="207"/>
      <c r="H137" s="1140">
        <v>1</v>
      </c>
      <c r="I137" s="1140">
        <v>2</v>
      </c>
      <c r="J137" s="1140">
        <f t="shared" ref="J137:R137" si="8">I137+1</f>
        <v>3</v>
      </c>
      <c r="K137" s="1140">
        <f t="shared" si="8"/>
        <v>4</v>
      </c>
      <c r="L137" s="1140">
        <f t="shared" si="8"/>
        <v>5</v>
      </c>
      <c r="M137" s="1140">
        <f t="shared" si="8"/>
        <v>6</v>
      </c>
      <c r="N137" s="1140">
        <f t="shared" si="8"/>
        <v>7</v>
      </c>
      <c r="O137" s="1140">
        <f t="shared" si="8"/>
        <v>8</v>
      </c>
      <c r="P137" s="1140">
        <f t="shared" si="8"/>
        <v>9</v>
      </c>
      <c r="Q137" s="1140">
        <f t="shared" si="8"/>
        <v>10</v>
      </c>
      <c r="R137" s="1140">
        <f t="shared" si="8"/>
        <v>11</v>
      </c>
      <c r="S137" s="1138">
        <v>12</v>
      </c>
    </row>
    <row r="138" spans="1:20" s="153" customFormat="1" ht="15" customHeight="1">
      <c r="A138" s="211"/>
      <c r="B138" s="211"/>
      <c r="C138" s="207"/>
      <c r="D138" s="259"/>
      <c r="E138" s="207"/>
      <c r="F138" s="207"/>
      <c r="G138" s="1139">
        <v>2009</v>
      </c>
      <c r="H138" s="1217">
        <v>197.36688676579001</v>
      </c>
      <c r="I138" s="1217">
        <v>197.17089184348001</v>
      </c>
      <c r="J138" s="1217">
        <v>198.15086645503001</v>
      </c>
      <c r="K138" s="1217">
        <v>200.11081567813</v>
      </c>
      <c r="L138" s="1217">
        <v>200.89479536736999</v>
      </c>
      <c r="M138" s="1217">
        <v>202.65874966814999</v>
      </c>
      <c r="N138" s="1217">
        <v>204.81469381356001</v>
      </c>
      <c r="O138" s="1217">
        <v>205.79466842510999</v>
      </c>
      <c r="P138" s="1217">
        <v>205.20668365818</v>
      </c>
      <c r="Q138" s="1217">
        <v>205.59867350280001</v>
      </c>
      <c r="R138" s="1217">
        <v>206.18665826973</v>
      </c>
      <c r="S138" s="1217">
        <v>206.18665826973</v>
      </c>
    </row>
    <row r="139" spans="1:20" s="153" customFormat="1" ht="15" customHeight="1">
      <c r="A139" s="207"/>
      <c r="B139" s="207"/>
      <c r="C139" s="207"/>
      <c r="D139" s="259"/>
      <c r="E139" s="207"/>
      <c r="F139" s="207"/>
      <c r="G139" s="1139">
        <v>2010</v>
      </c>
      <c r="H139" s="1217">
        <v>204.81469381356001</v>
      </c>
      <c r="I139" s="1217">
        <v>204.22670904662999</v>
      </c>
      <c r="J139" s="1217">
        <v>204.42270396894</v>
      </c>
      <c r="K139" s="1217">
        <v>206.18665826973</v>
      </c>
      <c r="L139" s="1217">
        <v>206.97063795897</v>
      </c>
      <c r="M139" s="1217">
        <v>207.55862272588999</v>
      </c>
      <c r="N139" s="1217">
        <v>208.53859733744</v>
      </c>
      <c r="O139" s="1217">
        <v>209.51857194899</v>
      </c>
      <c r="P139" s="1217">
        <v>210.10655671591999</v>
      </c>
      <c r="Q139" s="1217">
        <v>210.69454148285001</v>
      </c>
      <c r="R139" s="1217">
        <v>210.89053640515999</v>
      </c>
      <c r="S139" s="1217">
        <v>211.67451609439999</v>
      </c>
    </row>
    <row r="140" spans="1:20" s="153" customFormat="1" ht="15" customHeight="1">
      <c r="A140" s="207"/>
      <c r="B140" s="207"/>
      <c r="C140" s="207"/>
      <c r="D140" s="259"/>
      <c r="E140" s="207"/>
      <c r="F140" s="207"/>
      <c r="G140" s="1139">
        <v>2011</v>
      </c>
      <c r="H140" s="1217">
        <v>212.10962482191999</v>
      </c>
      <c r="I140" s="1217">
        <v>212.73347665963999</v>
      </c>
      <c r="J140" s="1217">
        <v>213.14937788477999</v>
      </c>
      <c r="K140" s="1217">
        <v>214.39708156020001</v>
      </c>
      <c r="L140" s="1217">
        <v>215.43683462305</v>
      </c>
      <c r="M140" s="1217">
        <v>216.26863707333001</v>
      </c>
      <c r="N140" s="1217">
        <v>215.64478523561999</v>
      </c>
      <c r="O140" s="1217">
        <v>216.68453829846999</v>
      </c>
      <c r="P140" s="1217">
        <v>216.26863707333001</v>
      </c>
      <c r="Q140" s="1217">
        <v>216.4765876859</v>
      </c>
      <c r="R140" s="1218">
        <v>216.26863707333001</v>
      </c>
      <c r="S140" s="1217">
        <v>216.26863707333001</v>
      </c>
    </row>
    <row r="141" spans="1:20" s="153" customFormat="1" ht="15" customHeight="1">
      <c r="A141" s="207"/>
      <c r="B141" s="207"/>
      <c r="C141" s="207"/>
      <c r="D141" s="259"/>
      <c r="E141" s="207"/>
      <c r="F141" s="207"/>
      <c r="G141" s="1139">
        <v>2012</v>
      </c>
      <c r="H141" s="1217">
        <v>216.26863707333001</v>
      </c>
      <c r="I141" s="1218">
        <v>216.26863707333001</v>
      </c>
      <c r="J141" s="1217">
        <v>217.10043952362</v>
      </c>
      <c r="K141" s="1217">
        <v>218.97199503675</v>
      </c>
      <c r="L141" s="1218">
        <v>218.97199503675</v>
      </c>
      <c r="M141" s="1217">
        <v>218.34814319904001</v>
      </c>
      <c r="N141" s="1217">
        <v>218.55609381161</v>
      </c>
      <c r="O141" s="1218">
        <v>220.84355054989001</v>
      </c>
      <c r="P141" s="1217">
        <v>220.84355054989001</v>
      </c>
      <c r="Q141" s="1217">
        <v>220.42764932474</v>
      </c>
      <c r="R141" s="1218">
        <v>219.38789626189001</v>
      </c>
      <c r="S141" s="1217">
        <v>219.80379748703001</v>
      </c>
    </row>
    <row r="142" spans="1:20" s="153" customFormat="1" ht="15" customHeight="1">
      <c r="A142" s="207"/>
      <c r="B142" s="207"/>
      <c r="C142" s="207"/>
      <c r="D142" s="259"/>
      <c r="E142" s="207"/>
      <c r="F142" s="207"/>
      <c r="G142" s="1139">
        <v>2013</v>
      </c>
      <c r="H142" s="1217">
        <v>219.42033655745001</v>
      </c>
      <c r="I142" s="1218">
        <v>219.42033655745001</v>
      </c>
      <c r="J142" s="1217">
        <v>219.85786464629999</v>
      </c>
      <c r="K142" s="1217">
        <v>220.73292082399999</v>
      </c>
      <c r="L142" s="1218">
        <v>220.95168486841999</v>
      </c>
      <c r="M142" s="1217">
        <v>222.70179722381999</v>
      </c>
      <c r="N142" s="1217">
        <v>223.35808935708999</v>
      </c>
      <c r="O142" s="1218">
        <v>223.79561744594</v>
      </c>
      <c r="P142" s="1217">
        <v>223.79561744594</v>
      </c>
      <c r="Q142" s="1217">
        <v>224.45190957921</v>
      </c>
      <c r="R142" s="1218">
        <v>223.57685340150999</v>
      </c>
      <c r="S142" s="1219"/>
    </row>
    <row r="143" spans="1:20" ht="15" customHeight="1">
      <c r="A143" s="99"/>
      <c r="B143" s="99"/>
      <c r="C143" s="99"/>
      <c r="D143" s="333"/>
      <c r="E143" s="99"/>
      <c r="F143" s="99"/>
      <c r="G143" s="1139">
        <v>2014</v>
      </c>
      <c r="H143" s="1217">
        <v>222.48303319999999</v>
      </c>
      <c r="I143" s="1218">
        <v>222.04550510000001</v>
      </c>
      <c r="J143" s="1217">
        <v>222.70179719999999</v>
      </c>
      <c r="K143" s="1220">
        <v>222.92056126823999</v>
      </c>
      <c r="L143" s="1218">
        <v>223.13932531265999</v>
      </c>
      <c r="M143" s="1217">
        <v>223.79561744594</v>
      </c>
      <c r="N143" s="1217">
        <v>224.01438149035999</v>
      </c>
      <c r="O143" s="1218">
        <v>223.79561744594</v>
      </c>
      <c r="P143" s="1217">
        <v>223.13932531265999</v>
      </c>
      <c r="Q143" s="1217">
        <v>223.79561744594</v>
      </c>
      <c r="R143" s="1218">
        <v>223.35808935708999</v>
      </c>
      <c r="S143" s="1221"/>
    </row>
    <row r="144" spans="1:20" ht="15" customHeight="1">
      <c r="A144" s="99"/>
      <c r="B144" s="99"/>
      <c r="C144" s="99"/>
      <c r="D144" s="333"/>
      <c r="E144" s="99"/>
      <c r="F144" s="99"/>
      <c r="G144" s="99"/>
      <c r="H144" s="99"/>
      <c r="I144" s="99"/>
      <c r="J144" s="99"/>
      <c r="K144" s="99"/>
      <c r="L144" s="99"/>
      <c r="M144" s="99"/>
      <c r="N144" s="99"/>
    </row>
    <row r="145" spans="1:20" ht="15" customHeight="1">
      <c r="A145" s="99"/>
      <c r="B145" s="99"/>
      <c r="C145" s="99"/>
      <c r="D145" s="333"/>
      <c r="E145" s="99"/>
      <c r="F145" s="99"/>
      <c r="G145" s="99"/>
      <c r="H145" s="1258"/>
      <c r="I145" s="1258"/>
      <c r="J145" s="1258"/>
      <c r="K145" s="1257"/>
      <c r="L145" s="1257">
        <v>223.13932531265999</v>
      </c>
      <c r="M145" s="1257">
        <v>223.79561744594</v>
      </c>
      <c r="N145" s="1257">
        <v>224.01438149035999</v>
      </c>
      <c r="O145" s="1257">
        <v>223.79561744594</v>
      </c>
      <c r="P145" s="1257">
        <v>223.13932531265999</v>
      </c>
      <c r="Q145" s="1257"/>
      <c r="R145" s="1257"/>
      <c r="S145" s="1257"/>
      <c r="T145" s="1259">
        <v>2014</v>
      </c>
    </row>
    <row r="146" spans="1:20" ht="15" customHeight="1">
      <c r="A146" s="99"/>
      <c r="B146" s="99"/>
      <c r="C146" s="99"/>
      <c r="D146" s="333"/>
      <c r="E146" s="99"/>
      <c r="F146" s="99"/>
      <c r="G146" s="99"/>
      <c r="H146" s="1257"/>
      <c r="I146" s="1257"/>
      <c r="J146" s="1257"/>
      <c r="L146">
        <v>223.79561744594</v>
      </c>
      <c r="M146">
        <v>223.13932531265999</v>
      </c>
      <c r="N146">
        <v>223.79561744594</v>
      </c>
      <c r="O146">
        <v>223.35808935708999</v>
      </c>
      <c r="P146"/>
      <c r="Q146"/>
      <c r="R146"/>
      <c r="S146"/>
      <c r="T146"/>
    </row>
    <row r="147" spans="1:20" ht="15" customHeight="1">
      <c r="A147" s="99"/>
      <c r="B147" s="99"/>
      <c r="C147" s="99"/>
      <c r="D147" s="333"/>
      <c r="E147" s="99"/>
      <c r="F147" s="99"/>
      <c r="G147" s="99"/>
      <c r="H147" s="99"/>
      <c r="I147" s="99"/>
      <c r="J147" s="99"/>
      <c r="K147" s="99"/>
      <c r="L147" s="99"/>
      <c r="M147" s="99"/>
      <c r="N147" s="99"/>
    </row>
    <row r="148" spans="1:20" ht="15" customHeight="1">
      <c r="A148" s="99"/>
      <c r="B148" s="99"/>
      <c r="C148" s="99"/>
      <c r="D148" s="333"/>
      <c r="E148" s="99"/>
      <c r="F148" s="99"/>
      <c r="G148" s="99"/>
      <c r="H148" s="99"/>
      <c r="I148" s="99"/>
      <c r="J148" s="99"/>
      <c r="K148" s="99"/>
      <c r="L148" s="99"/>
      <c r="M148" s="99"/>
      <c r="N148" s="99"/>
    </row>
    <row r="149" spans="1:20" ht="15" customHeight="1">
      <c r="A149" s="99"/>
      <c r="B149" s="99"/>
      <c r="C149" s="99"/>
      <c r="D149" s="333"/>
      <c r="E149" s="99"/>
      <c r="F149" s="99"/>
      <c r="G149" s="99"/>
      <c r="H149" s="99"/>
      <c r="I149" s="99"/>
      <c r="J149" s="99"/>
      <c r="K149" s="99"/>
      <c r="L149" s="99"/>
      <c r="M149" s="99"/>
      <c r="N149" s="99"/>
    </row>
    <row r="150" spans="1:20" ht="15" customHeight="1">
      <c r="A150" s="99"/>
      <c r="B150" s="99"/>
      <c r="C150" s="99"/>
      <c r="D150" s="333"/>
      <c r="E150" s="99"/>
      <c r="F150" s="99"/>
      <c r="G150" s="99"/>
      <c r="H150" s="99"/>
      <c r="I150" s="99"/>
      <c r="J150" s="99"/>
      <c r="K150" s="99"/>
      <c r="L150" s="99"/>
      <c r="M150" s="99"/>
      <c r="N150" s="99"/>
    </row>
    <row r="151" spans="1:20" ht="15" customHeight="1">
      <c r="A151" s="99"/>
      <c r="B151" s="99"/>
      <c r="C151" s="99"/>
      <c r="D151" s="333"/>
      <c r="E151" s="99"/>
      <c r="F151" s="99"/>
      <c r="G151" s="99"/>
      <c r="H151" s="99"/>
      <c r="I151" s="99"/>
      <c r="J151" s="99"/>
      <c r="K151" s="99"/>
      <c r="L151" s="99"/>
      <c r="M151" s="99"/>
      <c r="N151" s="99"/>
    </row>
    <row r="152" spans="1:20" ht="15" customHeight="1">
      <c r="A152" s="99"/>
      <c r="B152" s="99"/>
      <c r="C152" s="99"/>
      <c r="D152" s="333"/>
      <c r="E152" s="99"/>
      <c r="F152" s="99"/>
      <c r="G152" s="99"/>
      <c r="H152" s="99"/>
      <c r="I152" s="99"/>
      <c r="J152" s="99"/>
      <c r="K152" s="99"/>
      <c r="L152" s="99"/>
      <c r="M152" s="99"/>
      <c r="N152" s="99"/>
    </row>
    <row r="153" spans="1:20" ht="15" customHeight="1">
      <c r="A153" s="99"/>
      <c r="B153" s="99"/>
      <c r="C153" s="99"/>
      <c r="D153" s="333"/>
      <c r="E153" s="99"/>
      <c r="F153" s="99"/>
      <c r="G153" s="99"/>
      <c r="H153" s="99"/>
      <c r="I153" s="99"/>
      <c r="J153" s="99"/>
      <c r="K153" s="99"/>
      <c r="L153" s="99"/>
      <c r="M153" s="99"/>
      <c r="N153" s="99"/>
    </row>
    <row r="154" spans="1:20" ht="15" customHeight="1">
      <c r="A154" s="99"/>
      <c r="B154" s="99"/>
      <c r="C154" s="99"/>
      <c r="D154" s="333"/>
      <c r="E154" s="99"/>
      <c r="F154" s="99"/>
      <c r="G154" s="99"/>
      <c r="H154" s="99"/>
      <c r="I154" s="99"/>
      <c r="J154" s="99"/>
      <c r="K154" s="99"/>
      <c r="L154" s="99"/>
      <c r="M154" s="99"/>
      <c r="N154" s="99"/>
    </row>
    <row r="155" spans="1:20" ht="15" customHeight="1">
      <c r="A155" s="99"/>
      <c r="B155" s="99"/>
      <c r="C155" s="99"/>
      <c r="D155" s="333"/>
      <c r="E155" s="99"/>
      <c r="F155" s="99"/>
      <c r="G155" s="99"/>
      <c r="H155" s="99"/>
      <c r="I155" s="99"/>
      <c r="J155" s="99"/>
      <c r="K155" s="99"/>
      <c r="L155" s="99"/>
      <c r="M155" s="99"/>
      <c r="N155" s="99"/>
    </row>
    <row r="156" spans="1:20" ht="15" customHeight="1">
      <c r="A156" s="99"/>
      <c r="B156" s="99"/>
      <c r="C156" s="99"/>
      <c r="D156" s="333"/>
      <c r="E156" s="99"/>
      <c r="F156" s="99"/>
      <c r="G156" s="99"/>
      <c r="H156" s="99"/>
      <c r="I156" s="99"/>
      <c r="J156" s="99"/>
      <c r="K156" s="99"/>
      <c r="L156" s="99"/>
      <c r="M156" s="99"/>
      <c r="N156" s="99"/>
    </row>
    <row r="157" spans="1:20" ht="15" customHeight="1">
      <c r="A157" s="99"/>
      <c r="B157" s="99"/>
      <c r="C157" s="99"/>
      <c r="D157" s="333"/>
      <c r="E157" s="99"/>
      <c r="F157" s="99"/>
      <c r="G157" s="99"/>
      <c r="H157" s="99"/>
      <c r="I157" s="99"/>
      <c r="J157" s="99"/>
      <c r="K157" s="99"/>
      <c r="L157" s="99"/>
      <c r="M157" s="99"/>
      <c r="N157" s="99"/>
    </row>
    <row r="158" spans="1:20" ht="15" customHeight="1">
      <c r="A158" s="99"/>
      <c r="B158" s="99"/>
      <c r="C158" s="99"/>
      <c r="D158" s="333"/>
      <c r="E158" s="99"/>
      <c r="F158" s="99"/>
      <c r="G158" s="99"/>
      <c r="H158" s="99"/>
      <c r="I158" s="99"/>
      <c r="J158" s="99"/>
      <c r="K158" s="99"/>
      <c r="L158" s="99"/>
      <c r="M158" s="99"/>
      <c r="N158" s="99"/>
    </row>
    <row r="159" spans="1:20" ht="15" customHeight="1">
      <c r="A159" s="99"/>
      <c r="B159" s="99"/>
      <c r="C159" s="99"/>
      <c r="D159" s="333"/>
      <c r="E159" s="99"/>
      <c r="F159" s="99"/>
      <c r="G159" s="99"/>
      <c r="H159" s="99"/>
      <c r="I159" s="99"/>
      <c r="J159" s="99"/>
      <c r="K159" s="99"/>
      <c r="L159" s="99"/>
      <c r="M159" s="99"/>
      <c r="N159" s="99"/>
    </row>
    <row r="160" spans="1:20" ht="15" customHeight="1">
      <c r="A160" s="99"/>
      <c r="B160" s="99"/>
      <c r="C160" s="99"/>
      <c r="D160" s="333"/>
      <c r="E160" s="99"/>
      <c r="F160" s="99"/>
      <c r="G160" s="99"/>
      <c r="H160" s="99"/>
      <c r="I160" s="99"/>
      <c r="J160" s="99"/>
      <c r="K160" s="99"/>
      <c r="L160" s="99"/>
      <c r="M160" s="99"/>
      <c r="N160" s="99"/>
    </row>
    <row r="161" spans="1:14" ht="15" customHeight="1">
      <c r="A161" s="99"/>
      <c r="B161" s="99"/>
      <c r="C161" s="99"/>
      <c r="D161" s="333"/>
      <c r="E161" s="99"/>
      <c r="F161" s="99"/>
      <c r="G161" s="99"/>
      <c r="H161" s="99"/>
      <c r="I161" s="99"/>
      <c r="J161" s="99"/>
      <c r="K161" s="99"/>
      <c r="L161" s="99"/>
      <c r="M161" s="99"/>
      <c r="N161" s="99"/>
    </row>
    <row r="162" spans="1:14" ht="15" customHeight="1">
      <c r="A162" s="99"/>
      <c r="B162" s="99"/>
      <c r="C162" s="99"/>
      <c r="D162" s="333"/>
      <c r="E162" s="99"/>
      <c r="F162" s="99"/>
      <c r="G162" s="99"/>
      <c r="H162" s="99"/>
      <c r="I162" s="99"/>
      <c r="J162" s="99"/>
      <c r="K162" s="99"/>
      <c r="L162" s="99"/>
      <c r="M162" s="99"/>
      <c r="N162" s="99"/>
    </row>
    <row r="163" spans="1:14" ht="15" customHeight="1">
      <c r="A163" s="99"/>
      <c r="B163" s="99"/>
      <c r="C163" s="99"/>
      <c r="D163" s="333"/>
      <c r="E163" s="99"/>
      <c r="F163" s="99"/>
      <c r="G163" s="99"/>
      <c r="H163" s="99"/>
      <c r="I163" s="99"/>
      <c r="J163" s="99"/>
      <c r="K163" s="99"/>
      <c r="L163" s="99"/>
      <c r="M163" s="99"/>
      <c r="N163" s="99"/>
    </row>
    <row r="164" spans="1:14" ht="15" customHeight="1">
      <c r="A164" s="99"/>
      <c r="B164" s="99"/>
      <c r="C164" s="99"/>
      <c r="D164" s="333"/>
      <c r="E164" s="99"/>
      <c r="F164" s="99"/>
      <c r="G164" s="99"/>
      <c r="H164" s="99"/>
      <c r="I164" s="99"/>
      <c r="J164" s="99"/>
      <c r="K164" s="99"/>
      <c r="L164" s="99"/>
      <c r="M164" s="99"/>
      <c r="N164" s="99"/>
    </row>
    <row r="165" spans="1:14" ht="15" customHeight="1">
      <c r="A165" s="99"/>
      <c r="B165" s="99"/>
      <c r="C165" s="99"/>
      <c r="D165" s="333"/>
      <c r="E165" s="99"/>
      <c r="F165" s="99"/>
      <c r="G165" s="99"/>
      <c r="H165" s="99"/>
      <c r="I165" s="99"/>
      <c r="J165" s="99"/>
      <c r="K165" s="99"/>
      <c r="L165" s="99"/>
      <c r="M165" s="99"/>
      <c r="N165" s="99"/>
    </row>
    <row r="166" spans="1:14" ht="15" customHeight="1">
      <c r="A166" s="99"/>
      <c r="B166" s="99"/>
      <c r="C166" s="99"/>
      <c r="D166" s="333"/>
      <c r="E166" s="99"/>
      <c r="F166" s="99"/>
      <c r="G166" s="99"/>
      <c r="H166" s="99"/>
      <c r="I166" s="99"/>
      <c r="J166" s="99"/>
      <c r="K166" s="99"/>
      <c r="L166" s="99"/>
      <c r="M166" s="99"/>
      <c r="N166" s="99"/>
    </row>
    <row r="167" spans="1:14" ht="15" customHeight="1">
      <c r="A167" s="99"/>
      <c r="B167" s="99"/>
      <c r="C167" s="99"/>
      <c r="D167" s="333"/>
      <c r="E167" s="99"/>
      <c r="F167" s="99"/>
      <c r="G167" s="99"/>
      <c r="H167" s="99"/>
      <c r="I167" s="99"/>
      <c r="J167" s="99"/>
      <c r="K167" s="99"/>
      <c r="L167" s="99"/>
      <c r="M167" s="99"/>
      <c r="N167" s="99"/>
    </row>
    <row r="168" spans="1:14" ht="15" customHeight="1">
      <c r="A168" s="99"/>
      <c r="B168" s="99"/>
      <c r="C168" s="99"/>
      <c r="D168" s="333"/>
      <c r="E168" s="99"/>
      <c r="F168" s="99"/>
      <c r="G168" s="99"/>
      <c r="H168" s="99"/>
      <c r="I168" s="99"/>
      <c r="J168" s="99"/>
      <c r="K168" s="99"/>
      <c r="L168" s="99"/>
      <c r="M168" s="99"/>
      <c r="N168" s="99"/>
    </row>
    <row r="169" spans="1:14" ht="15" customHeight="1">
      <c r="A169" s="99"/>
      <c r="B169" s="99"/>
      <c r="C169" s="99"/>
      <c r="D169" s="333"/>
      <c r="E169" s="99"/>
      <c r="F169" s="99"/>
      <c r="G169" s="99"/>
      <c r="H169" s="99"/>
      <c r="I169" s="99"/>
      <c r="J169" s="99"/>
      <c r="K169" s="99"/>
      <c r="L169" s="99"/>
      <c r="M169" s="99"/>
      <c r="N169" s="99"/>
    </row>
    <row r="170" spans="1:14" ht="15" customHeight="1">
      <c r="A170" s="99"/>
      <c r="B170" s="99"/>
      <c r="C170" s="99"/>
      <c r="D170" s="333"/>
      <c r="E170" s="99"/>
      <c r="F170" s="99"/>
      <c r="G170" s="99"/>
      <c r="H170" s="99"/>
      <c r="I170" s="99"/>
      <c r="J170" s="99"/>
      <c r="K170" s="99"/>
      <c r="L170" s="99"/>
      <c r="M170" s="99"/>
      <c r="N170" s="99"/>
    </row>
    <row r="171" spans="1:14" ht="15" customHeight="1">
      <c r="A171" s="99"/>
      <c r="B171" s="99"/>
      <c r="C171" s="99"/>
      <c r="D171" s="333"/>
      <c r="E171" s="99"/>
      <c r="F171" s="99"/>
      <c r="G171" s="99"/>
      <c r="H171" s="99"/>
      <c r="I171" s="99"/>
      <c r="J171" s="99"/>
      <c r="K171" s="99"/>
      <c r="L171" s="99"/>
      <c r="M171" s="99"/>
      <c r="N171" s="99"/>
    </row>
    <row r="172" spans="1:14" ht="15" customHeight="1">
      <c r="A172" s="99"/>
      <c r="B172" s="99"/>
      <c r="C172" s="99"/>
      <c r="D172" s="333"/>
      <c r="E172" s="99"/>
      <c r="F172" s="99"/>
      <c r="G172" s="99"/>
      <c r="H172" s="99"/>
      <c r="I172" s="99"/>
      <c r="J172" s="99"/>
      <c r="K172" s="99"/>
      <c r="L172" s="99"/>
      <c r="M172" s="99"/>
      <c r="N172" s="99"/>
    </row>
    <row r="173" spans="1:14" ht="15" customHeight="1">
      <c r="A173" s="99"/>
      <c r="B173" s="99"/>
      <c r="C173" s="99"/>
      <c r="D173" s="333"/>
      <c r="E173" s="99"/>
      <c r="F173" s="99"/>
      <c r="G173" s="99"/>
      <c r="H173" s="99"/>
      <c r="I173" s="99"/>
      <c r="J173" s="99"/>
      <c r="K173" s="99"/>
      <c r="L173" s="99"/>
      <c r="M173" s="99"/>
      <c r="N173" s="99"/>
    </row>
    <row r="174" spans="1:14" ht="15" customHeight="1">
      <c r="A174" s="99"/>
      <c r="B174" s="99"/>
      <c r="C174" s="99"/>
      <c r="D174" s="333"/>
      <c r="E174" s="99"/>
      <c r="F174" s="99"/>
      <c r="G174" s="99"/>
      <c r="H174" s="99"/>
      <c r="I174" s="99"/>
      <c r="J174" s="99"/>
      <c r="K174" s="99"/>
      <c r="L174" s="99"/>
      <c r="M174" s="99"/>
      <c r="N174" s="99"/>
    </row>
    <row r="175" spans="1:14" ht="15" customHeight="1">
      <c r="A175" s="99"/>
      <c r="B175" s="99"/>
      <c r="C175" s="99"/>
      <c r="D175" s="333"/>
      <c r="E175" s="99"/>
      <c r="F175" s="99"/>
      <c r="G175" s="99"/>
      <c r="H175" s="99"/>
      <c r="I175" s="99"/>
      <c r="J175" s="99"/>
      <c r="K175" s="99"/>
      <c r="L175" s="99"/>
      <c r="M175" s="99"/>
      <c r="N175" s="99"/>
    </row>
    <row r="176" spans="1:14" ht="15" customHeight="1">
      <c r="A176" s="99"/>
      <c r="B176" s="99"/>
      <c r="C176" s="99"/>
      <c r="D176" s="333"/>
      <c r="E176" s="99"/>
      <c r="F176" s="99"/>
      <c r="G176" s="99"/>
      <c r="H176" s="99"/>
      <c r="I176" s="99"/>
      <c r="J176" s="99"/>
      <c r="K176" s="99"/>
      <c r="L176" s="99"/>
      <c r="M176" s="99"/>
      <c r="N176" s="99"/>
    </row>
    <row r="177" spans="1:14" ht="15" customHeight="1">
      <c r="A177" s="99"/>
      <c r="B177" s="99"/>
      <c r="C177" s="99"/>
      <c r="D177" s="333"/>
      <c r="E177" s="99"/>
      <c r="F177" s="99"/>
      <c r="G177" s="99"/>
      <c r="H177" s="99"/>
      <c r="I177" s="99"/>
      <c r="J177" s="99"/>
      <c r="K177" s="99"/>
      <c r="L177" s="99"/>
      <c r="M177" s="99"/>
      <c r="N177" s="99"/>
    </row>
    <row r="178" spans="1:14" ht="15" customHeight="1">
      <c r="A178" s="99"/>
      <c r="B178" s="99"/>
      <c r="C178" s="99"/>
      <c r="D178" s="333"/>
      <c r="E178" s="99"/>
      <c r="F178" s="99"/>
      <c r="G178" s="99"/>
      <c r="H178" s="99"/>
      <c r="I178" s="99"/>
      <c r="J178" s="99"/>
      <c r="K178" s="99"/>
      <c r="L178" s="99"/>
      <c r="M178" s="99"/>
      <c r="N178" s="99"/>
    </row>
    <row r="179" spans="1:14" ht="15" customHeight="1">
      <c r="A179" s="99"/>
      <c r="B179" s="99"/>
      <c r="C179" s="99"/>
      <c r="D179" s="333"/>
      <c r="E179" s="99"/>
      <c r="F179" s="99"/>
      <c r="G179" s="99"/>
      <c r="H179" s="99"/>
      <c r="I179" s="99"/>
      <c r="J179" s="99"/>
      <c r="K179" s="99"/>
      <c r="L179" s="99"/>
      <c r="M179" s="99"/>
      <c r="N179" s="99"/>
    </row>
    <row r="180" spans="1:14" ht="15" customHeight="1">
      <c r="A180" s="99"/>
      <c r="B180" s="99"/>
      <c r="C180" s="99"/>
      <c r="D180" s="333"/>
      <c r="E180" s="99"/>
      <c r="F180" s="99"/>
      <c r="G180" s="99"/>
      <c r="H180" s="99"/>
      <c r="I180" s="99"/>
      <c r="J180" s="99"/>
      <c r="K180" s="99"/>
      <c r="L180" s="99"/>
      <c r="M180" s="99"/>
      <c r="N180" s="99"/>
    </row>
    <row r="181" spans="1:14" ht="15" customHeight="1">
      <c r="A181" s="99"/>
      <c r="B181" s="99"/>
      <c r="C181" s="99"/>
      <c r="D181" s="333"/>
      <c r="E181" s="99"/>
      <c r="F181" s="99"/>
      <c r="G181" s="99"/>
      <c r="H181" s="99"/>
      <c r="I181" s="99"/>
      <c r="J181" s="99"/>
      <c r="K181" s="99"/>
      <c r="L181" s="99"/>
      <c r="M181" s="99"/>
      <c r="N181" s="99"/>
    </row>
    <row r="182" spans="1:14" ht="15" customHeight="1">
      <c r="A182" s="99"/>
      <c r="B182" s="99"/>
      <c r="C182" s="99"/>
      <c r="D182" s="333"/>
      <c r="E182" s="99"/>
      <c r="F182" s="99"/>
      <c r="G182" s="99"/>
      <c r="H182" s="99"/>
      <c r="I182" s="99"/>
      <c r="J182" s="99"/>
      <c r="K182" s="99"/>
      <c r="L182" s="99"/>
      <c r="M182" s="99"/>
      <c r="N182" s="99"/>
    </row>
    <row r="183" spans="1:14" ht="15" customHeight="1">
      <c r="A183" s="99"/>
      <c r="B183" s="99"/>
      <c r="C183" s="99"/>
      <c r="D183" s="333"/>
      <c r="E183" s="99"/>
      <c r="F183" s="99"/>
      <c r="G183" s="99"/>
      <c r="H183" s="99"/>
      <c r="I183" s="99"/>
      <c r="J183" s="99"/>
      <c r="K183" s="99"/>
      <c r="L183" s="99"/>
      <c r="M183" s="99"/>
      <c r="N183" s="99"/>
    </row>
    <row r="184" spans="1:14" ht="15" customHeight="1">
      <c r="A184" s="99"/>
      <c r="B184" s="99"/>
      <c r="C184" s="99"/>
      <c r="D184" s="333"/>
      <c r="E184" s="99"/>
      <c r="F184" s="99"/>
      <c r="G184" s="99"/>
      <c r="H184" s="99"/>
      <c r="I184" s="99"/>
      <c r="J184" s="99"/>
      <c r="K184" s="99"/>
      <c r="L184" s="99"/>
      <c r="M184" s="99"/>
      <c r="N184" s="99"/>
    </row>
    <row r="185" spans="1:14" ht="15" customHeight="1">
      <c r="A185" s="99"/>
      <c r="B185" s="99"/>
      <c r="C185" s="99"/>
      <c r="D185" s="333"/>
      <c r="E185" s="99"/>
      <c r="F185" s="99"/>
      <c r="G185" s="99"/>
      <c r="H185" s="99"/>
      <c r="I185" s="99"/>
      <c r="J185" s="99"/>
      <c r="K185" s="99"/>
      <c r="L185" s="99"/>
      <c r="M185" s="99"/>
      <c r="N185" s="99"/>
    </row>
    <row r="186" spans="1:14" ht="15" customHeight="1">
      <c r="A186" s="99"/>
      <c r="B186" s="99"/>
      <c r="C186" s="99"/>
      <c r="D186" s="333"/>
      <c r="E186" s="99"/>
      <c r="F186" s="99"/>
      <c r="G186" s="99"/>
      <c r="H186" s="99"/>
      <c r="I186" s="99"/>
      <c r="J186" s="99"/>
      <c r="K186" s="99"/>
      <c r="L186" s="99"/>
      <c r="M186" s="99"/>
      <c r="N186" s="99"/>
    </row>
    <row r="187" spans="1:14" ht="15" customHeight="1">
      <c r="A187" s="99"/>
      <c r="B187" s="99"/>
      <c r="C187" s="99"/>
      <c r="D187" s="333"/>
      <c r="E187" s="99"/>
      <c r="F187" s="99"/>
      <c r="G187" s="99"/>
      <c r="H187" s="99"/>
      <c r="I187" s="99"/>
      <c r="J187" s="99"/>
      <c r="K187" s="99"/>
      <c r="L187" s="99"/>
      <c r="M187" s="99"/>
      <c r="N187" s="99"/>
    </row>
    <row r="188" spans="1:14" ht="15" customHeight="1">
      <c r="A188" s="99"/>
      <c r="B188" s="99"/>
      <c r="C188" s="99"/>
      <c r="D188" s="333"/>
      <c r="E188" s="99"/>
      <c r="F188" s="99"/>
      <c r="G188" s="99"/>
      <c r="H188" s="99"/>
      <c r="I188" s="99"/>
      <c r="J188" s="99"/>
      <c r="K188" s="99"/>
      <c r="L188" s="99"/>
      <c r="M188" s="99"/>
      <c r="N188" s="99"/>
    </row>
    <row r="189" spans="1:14" ht="15" customHeight="1">
      <c r="A189" s="99"/>
      <c r="B189" s="99"/>
      <c r="C189" s="99"/>
      <c r="D189" s="333"/>
      <c r="E189" s="99"/>
      <c r="F189" s="99"/>
      <c r="G189" s="99"/>
      <c r="H189" s="99"/>
      <c r="I189" s="99"/>
      <c r="J189" s="99"/>
      <c r="K189" s="99"/>
      <c r="L189" s="99"/>
      <c r="M189" s="99"/>
      <c r="N189" s="99"/>
    </row>
    <row r="190" spans="1:14" ht="15" customHeight="1">
      <c r="A190" s="99"/>
      <c r="B190" s="99"/>
      <c r="C190" s="99"/>
      <c r="D190" s="333"/>
      <c r="E190" s="99"/>
      <c r="F190" s="99"/>
      <c r="G190" s="99"/>
      <c r="H190" s="99"/>
      <c r="I190" s="99"/>
      <c r="J190" s="99"/>
      <c r="K190" s="99"/>
      <c r="L190" s="99"/>
      <c r="M190" s="99"/>
      <c r="N190" s="99"/>
    </row>
    <row r="191" spans="1:14" ht="15" customHeight="1">
      <c r="A191" s="99"/>
      <c r="B191" s="99"/>
      <c r="C191" s="99"/>
      <c r="D191" s="333"/>
      <c r="E191" s="99"/>
      <c r="F191" s="99"/>
      <c r="G191" s="99"/>
      <c r="H191" s="99"/>
      <c r="I191" s="99"/>
      <c r="J191" s="99"/>
      <c r="K191" s="99"/>
      <c r="L191" s="99"/>
      <c r="M191" s="99"/>
      <c r="N191" s="99"/>
    </row>
    <row r="192" spans="1:14" ht="15" customHeight="1">
      <c r="A192" s="99"/>
      <c r="B192" s="99"/>
      <c r="C192" s="99"/>
      <c r="D192" s="333"/>
      <c r="E192" s="99"/>
      <c r="F192" s="99"/>
      <c r="G192" s="99"/>
      <c r="H192" s="99"/>
      <c r="I192" s="99"/>
      <c r="J192" s="99"/>
      <c r="K192" s="99"/>
      <c r="L192" s="99"/>
      <c r="M192" s="99"/>
      <c r="N192" s="99"/>
    </row>
    <row r="193" spans="1:14" ht="15" customHeight="1">
      <c r="A193" s="99"/>
      <c r="B193" s="99"/>
      <c r="C193" s="99"/>
      <c r="D193" s="333"/>
      <c r="E193" s="99"/>
      <c r="F193" s="99"/>
      <c r="G193" s="99"/>
      <c r="H193" s="99"/>
      <c r="I193" s="99"/>
      <c r="J193" s="99"/>
      <c r="K193" s="99"/>
      <c r="L193" s="99"/>
      <c r="M193" s="99"/>
      <c r="N193" s="99"/>
    </row>
    <row r="194" spans="1:14" ht="15" customHeight="1">
      <c r="A194" s="99"/>
      <c r="B194" s="99"/>
      <c r="C194" s="99"/>
      <c r="D194" s="333"/>
      <c r="E194" s="99"/>
      <c r="F194" s="99"/>
      <c r="G194" s="99"/>
      <c r="H194" s="99"/>
      <c r="I194" s="99"/>
      <c r="J194" s="99"/>
      <c r="K194" s="99"/>
      <c r="L194" s="99"/>
      <c r="M194" s="99"/>
      <c r="N194" s="99"/>
    </row>
    <row r="195" spans="1:14" ht="15" customHeight="1">
      <c r="A195" s="99"/>
      <c r="B195" s="99"/>
      <c r="C195" s="99"/>
      <c r="D195" s="333"/>
      <c r="E195" s="99"/>
      <c r="F195" s="99"/>
      <c r="G195" s="99"/>
      <c r="H195" s="99"/>
      <c r="I195" s="99"/>
      <c r="J195" s="99"/>
      <c r="K195" s="99"/>
      <c r="L195" s="99"/>
      <c r="M195" s="99"/>
      <c r="N195" s="99"/>
    </row>
    <row r="196" spans="1:14" ht="15" customHeight="1">
      <c r="A196" s="99"/>
      <c r="B196" s="99"/>
      <c r="C196" s="99"/>
      <c r="D196" s="333"/>
      <c r="E196" s="99"/>
      <c r="F196" s="99"/>
      <c r="G196" s="99"/>
      <c r="H196" s="99"/>
      <c r="I196" s="99"/>
      <c r="J196" s="99"/>
      <c r="K196" s="99"/>
      <c r="L196" s="99"/>
      <c r="M196" s="99"/>
      <c r="N196" s="99"/>
    </row>
    <row r="197" spans="1:14" ht="15" customHeight="1">
      <c r="A197" s="99"/>
      <c r="B197" s="99"/>
      <c r="C197" s="99"/>
      <c r="D197" s="333"/>
      <c r="E197" s="99"/>
      <c r="F197" s="99"/>
      <c r="G197" s="99"/>
      <c r="H197" s="99"/>
      <c r="I197" s="99"/>
      <c r="J197" s="99"/>
      <c r="K197" s="99"/>
      <c r="L197" s="99"/>
      <c r="M197" s="99"/>
      <c r="N197" s="99"/>
    </row>
    <row r="198" spans="1:14" ht="15" customHeight="1">
      <c r="A198" s="99"/>
      <c r="B198" s="99"/>
      <c r="C198" s="99"/>
      <c r="D198" s="333"/>
      <c r="E198" s="99"/>
      <c r="F198" s="99"/>
      <c r="G198" s="99"/>
      <c r="H198" s="99"/>
      <c r="I198" s="99"/>
      <c r="J198" s="99"/>
      <c r="K198" s="99"/>
      <c r="L198" s="99"/>
      <c r="M198" s="99"/>
      <c r="N198" s="99"/>
    </row>
    <row r="199" spans="1:14" ht="15" customHeight="1">
      <c r="A199" s="99"/>
      <c r="B199" s="99"/>
      <c r="C199" s="99"/>
      <c r="D199" s="333"/>
      <c r="E199" s="99"/>
      <c r="F199" s="99"/>
      <c r="G199" s="99"/>
      <c r="H199" s="99"/>
      <c r="I199" s="99"/>
      <c r="J199" s="99"/>
      <c r="K199" s="99"/>
      <c r="L199" s="99"/>
      <c r="M199" s="99"/>
      <c r="N199" s="99"/>
    </row>
    <row r="200" spans="1:14" ht="15" customHeight="1">
      <c r="A200" s="99"/>
      <c r="B200" s="99"/>
      <c r="C200" s="99"/>
      <c r="D200" s="333"/>
      <c r="E200" s="99"/>
      <c r="F200" s="99"/>
      <c r="G200" s="99"/>
      <c r="H200" s="99"/>
      <c r="I200" s="99"/>
      <c r="J200" s="99"/>
      <c r="K200" s="99"/>
      <c r="L200" s="99"/>
      <c r="M200" s="99"/>
      <c r="N200" s="99"/>
    </row>
    <row r="201" spans="1:14" ht="15" customHeight="1">
      <c r="A201" s="99"/>
      <c r="B201" s="99"/>
      <c r="C201" s="99"/>
      <c r="D201" s="333"/>
      <c r="E201" s="99"/>
      <c r="F201" s="99"/>
      <c r="G201" s="99"/>
      <c r="H201" s="99"/>
      <c r="I201" s="99"/>
      <c r="J201" s="99"/>
      <c r="K201" s="99"/>
      <c r="L201" s="99"/>
      <c r="M201" s="99"/>
      <c r="N201" s="99"/>
    </row>
    <row r="202" spans="1:14" ht="15" customHeight="1">
      <c r="A202" s="99"/>
      <c r="B202" s="99"/>
      <c r="C202" s="99"/>
      <c r="D202" s="333"/>
      <c r="E202" s="99"/>
      <c r="F202" s="99"/>
      <c r="G202" s="99"/>
      <c r="H202" s="99"/>
      <c r="I202" s="99"/>
      <c r="J202" s="99"/>
      <c r="K202" s="99"/>
      <c r="L202" s="99"/>
      <c r="M202" s="99"/>
      <c r="N202" s="99"/>
    </row>
    <row r="203" spans="1:14" ht="15" customHeight="1">
      <c r="A203" s="99"/>
      <c r="B203" s="99"/>
      <c r="C203" s="99"/>
      <c r="D203" s="333"/>
      <c r="E203" s="99"/>
      <c r="F203" s="99"/>
      <c r="G203" s="99"/>
      <c r="H203" s="99"/>
      <c r="I203" s="99"/>
      <c r="J203" s="99"/>
      <c r="K203" s="99"/>
      <c r="L203" s="99"/>
      <c r="M203" s="99"/>
      <c r="N203" s="99"/>
    </row>
    <row r="204" spans="1:14" ht="15" customHeight="1">
      <c r="A204" s="99"/>
      <c r="B204" s="99"/>
      <c r="C204" s="99"/>
      <c r="D204" s="333"/>
      <c r="E204" s="99"/>
      <c r="F204" s="99"/>
      <c r="G204" s="99"/>
      <c r="H204" s="99"/>
      <c r="I204" s="99"/>
      <c r="J204" s="99"/>
      <c r="K204" s="99"/>
      <c r="L204" s="99"/>
      <c r="M204" s="99"/>
      <c r="N204" s="99"/>
    </row>
    <row r="205" spans="1:14" ht="15" customHeight="1">
      <c r="A205" s="99"/>
      <c r="B205" s="99"/>
      <c r="C205" s="99"/>
      <c r="D205" s="333"/>
      <c r="E205" s="99"/>
      <c r="F205" s="99"/>
      <c r="G205" s="99"/>
      <c r="H205" s="99"/>
      <c r="I205" s="99"/>
      <c r="J205" s="99"/>
      <c r="K205" s="99"/>
      <c r="L205" s="99"/>
      <c r="M205" s="99"/>
      <c r="N205" s="99"/>
    </row>
    <row r="206" spans="1:14" ht="15" customHeight="1">
      <c r="A206" s="99"/>
      <c r="B206" s="99"/>
      <c r="C206" s="99"/>
      <c r="D206" s="333"/>
      <c r="E206" s="99"/>
      <c r="F206" s="99"/>
      <c r="G206" s="99"/>
      <c r="H206" s="99"/>
      <c r="I206" s="99"/>
      <c r="J206" s="99"/>
      <c r="K206" s="99"/>
      <c r="L206" s="99"/>
      <c r="M206" s="99"/>
      <c r="N206" s="99"/>
    </row>
    <row r="207" spans="1:14" ht="15" customHeight="1">
      <c r="A207" s="99"/>
      <c r="B207" s="99"/>
      <c r="C207" s="99"/>
      <c r="D207" s="333"/>
      <c r="E207" s="99"/>
      <c r="F207" s="99"/>
      <c r="G207" s="99"/>
      <c r="H207" s="99"/>
      <c r="I207" s="99"/>
      <c r="J207" s="99"/>
      <c r="K207" s="99"/>
      <c r="L207" s="99"/>
      <c r="M207" s="99"/>
      <c r="N207" s="99"/>
    </row>
    <row r="208" spans="1:14" ht="15" customHeight="1">
      <c r="A208" s="99"/>
      <c r="B208" s="99"/>
      <c r="C208" s="99"/>
      <c r="D208" s="333"/>
      <c r="E208" s="99"/>
      <c r="F208" s="99"/>
      <c r="G208" s="99"/>
      <c r="H208" s="99"/>
      <c r="I208" s="99"/>
      <c r="J208" s="99"/>
      <c r="K208" s="99"/>
      <c r="L208" s="99"/>
      <c r="M208" s="99"/>
      <c r="N208" s="99"/>
    </row>
    <row r="209" spans="1:14" ht="15" customHeight="1">
      <c r="A209" s="99"/>
      <c r="B209" s="99"/>
      <c r="C209" s="99"/>
      <c r="D209" s="333"/>
      <c r="E209" s="99"/>
      <c r="F209" s="99"/>
      <c r="G209" s="99"/>
      <c r="H209" s="99"/>
      <c r="I209" s="99"/>
      <c r="J209" s="99"/>
      <c r="K209" s="99"/>
      <c r="L209" s="99"/>
      <c r="M209" s="99"/>
      <c r="N209" s="99"/>
    </row>
    <row r="210" spans="1:14" ht="15" customHeight="1">
      <c r="A210" s="99"/>
      <c r="B210" s="99"/>
      <c r="C210" s="99"/>
      <c r="D210" s="333"/>
      <c r="E210" s="99"/>
      <c r="F210" s="99"/>
      <c r="G210" s="99"/>
      <c r="H210" s="99"/>
      <c r="I210" s="99"/>
      <c r="J210" s="99"/>
      <c r="K210" s="99"/>
      <c r="L210" s="99"/>
      <c r="M210" s="99"/>
      <c r="N210" s="99"/>
    </row>
    <row r="211" spans="1:14" ht="15" customHeight="1">
      <c r="A211" s="99"/>
      <c r="B211" s="99"/>
      <c r="C211" s="99"/>
      <c r="D211" s="333"/>
      <c r="E211" s="99"/>
      <c r="F211" s="99"/>
      <c r="G211" s="99"/>
      <c r="H211" s="99"/>
      <c r="I211" s="99"/>
      <c r="J211" s="99"/>
      <c r="K211" s="99"/>
      <c r="L211" s="99"/>
      <c r="M211" s="99"/>
      <c r="N211" s="99"/>
    </row>
    <row r="212" spans="1:14" ht="15" customHeight="1">
      <c r="A212" s="99"/>
      <c r="B212" s="99"/>
      <c r="C212" s="99"/>
      <c r="D212" s="333"/>
      <c r="E212" s="99"/>
      <c r="F212" s="99"/>
      <c r="G212" s="99"/>
      <c r="H212" s="99"/>
      <c r="I212" s="99"/>
      <c r="J212" s="99"/>
      <c r="K212" s="99"/>
      <c r="L212" s="99"/>
      <c r="M212" s="99"/>
      <c r="N212" s="99"/>
    </row>
    <row r="213" spans="1:14" ht="15" customHeight="1">
      <c r="A213" s="99"/>
      <c r="B213" s="99"/>
      <c r="C213" s="99"/>
      <c r="D213" s="333"/>
      <c r="E213" s="99"/>
      <c r="F213" s="99"/>
      <c r="G213" s="99"/>
      <c r="H213" s="99"/>
      <c r="I213" s="99"/>
      <c r="J213" s="99"/>
      <c r="K213" s="99"/>
      <c r="L213" s="99"/>
      <c r="M213" s="99"/>
      <c r="N213" s="99"/>
    </row>
    <row r="214" spans="1:14" ht="15" customHeight="1">
      <c r="A214" s="99"/>
      <c r="B214" s="99"/>
      <c r="C214" s="99"/>
      <c r="D214" s="333"/>
      <c r="E214" s="99"/>
      <c r="F214" s="99"/>
      <c r="G214" s="99"/>
      <c r="H214" s="99"/>
      <c r="I214" s="99"/>
      <c r="J214" s="99"/>
      <c r="K214" s="99"/>
      <c r="L214" s="99"/>
      <c r="M214" s="99"/>
      <c r="N214" s="99"/>
    </row>
    <row r="215" spans="1:14" ht="15" customHeight="1">
      <c r="A215" s="99"/>
      <c r="B215" s="99"/>
      <c r="C215" s="99"/>
      <c r="D215" s="333"/>
      <c r="E215" s="99"/>
      <c r="F215" s="99"/>
      <c r="G215" s="99"/>
      <c r="H215" s="99"/>
      <c r="I215" s="99"/>
      <c r="J215" s="99"/>
      <c r="K215" s="99"/>
      <c r="L215" s="99"/>
      <c r="M215" s="99"/>
      <c r="N215" s="99"/>
    </row>
    <row r="216" spans="1:14" ht="15" customHeight="1">
      <c r="A216" s="99"/>
      <c r="B216" s="99"/>
      <c r="C216" s="99"/>
      <c r="D216" s="333"/>
      <c r="E216" s="99"/>
      <c r="F216" s="99"/>
      <c r="G216" s="99"/>
      <c r="H216" s="99"/>
      <c r="I216" s="99"/>
      <c r="J216" s="99"/>
      <c r="K216" s="99"/>
      <c r="L216" s="99"/>
      <c r="M216" s="99"/>
      <c r="N216" s="99"/>
    </row>
    <row r="217" spans="1:14" ht="15" customHeight="1">
      <c r="A217" s="99"/>
      <c r="B217" s="99"/>
      <c r="C217" s="99"/>
      <c r="D217" s="333"/>
      <c r="E217" s="99"/>
      <c r="F217" s="99"/>
      <c r="G217" s="99"/>
      <c r="H217" s="99"/>
      <c r="I217" s="99"/>
      <c r="J217" s="99"/>
      <c r="K217" s="99"/>
      <c r="L217" s="99"/>
      <c r="M217" s="99"/>
      <c r="N217" s="99"/>
    </row>
    <row r="218" spans="1:14" ht="15" customHeight="1">
      <c r="A218" s="99"/>
      <c r="B218" s="99"/>
      <c r="C218" s="99"/>
      <c r="D218" s="333"/>
      <c r="E218" s="99"/>
      <c r="F218" s="99"/>
      <c r="G218" s="99"/>
      <c r="H218" s="99"/>
      <c r="I218" s="99"/>
      <c r="J218" s="99"/>
      <c r="K218" s="99"/>
      <c r="L218" s="99"/>
      <c r="M218" s="99"/>
      <c r="N218" s="99"/>
    </row>
    <row r="219" spans="1:14" ht="15" customHeight="1">
      <c r="A219" s="99"/>
      <c r="B219" s="99"/>
      <c r="C219" s="99"/>
      <c r="D219" s="333"/>
      <c r="E219" s="99"/>
      <c r="F219" s="99"/>
      <c r="G219" s="99"/>
      <c r="H219" s="99"/>
      <c r="I219" s="99"/>
      <c r="J219" s="99"/>
      <c r="K219" s="99"/>
      <c r="L219" s="99"/>
      <c r="M219" s="99"/>
      <c r="N219" s="99"/>
    </row>
    <row r="220" spans="1:14" ht="15" customHeight="1">
      <c r="A220" s="99"/>
      <c r="B220" s="99"/>
      <c r="C220" s="99"/>
      <c r="D220" s="333"/>
      <c r="E220" s="99"/>
      <c r="F220" s="99"/>
      <c r="G220" s="99"/>
      <c r="H220" s="99"/>
      <c r="I220" s="99"/>
      <c r="J220" s="99"/>
      <c r="K220" s="99"/>
      <c r="L220" s="99"/>
      <c r="M220" s="99"/>
      <c r="N220" s="99"/>
    </row>
    <row r="221" spans="1:14" ht="15" customHeight="1">
      <c r="A221" s="99"/>
      <c r="B221" s="99"/>
      <c r="C221" s="99"/>
      <c r="D221" s="333"/>
      <c r="E221" s="99"/>
      <c r="F221" s="99"/>
      <c r="G221" s="99"/>
      <c r="H221" s="99"/>
      <c r="I221" s="99"/>
      <c r="J221" s="99"/>
      <c r="K221" s="99"/>
      <c r="L221" s="99"/>
      <c r="M221" s="99"/>
      <c r="N221" s="99"/>
    </row>
    <row r="222" spans="1:14" ht="15" customHeight="1">
      <c r="A222" s="99"/>
      <c r="B222" s="99"/>
      <c r="C222" s="99"/>
      <c r="D222" s="333"/>
      <c r="E222" s="99"/>
      <c r="F222" s="99"/>
      <c r="G222" s="99"/>
      <c r="H222" s="99"/>
      <c r="I222" s="99"/>
      <c r="J222" s="99"/>
      <c r="K222" s="99"/>
      <c r="L222" s="99"/>
      <c r="M222" s="99"/>
      <c r="N222" s="99"/>
    </row>
    <row r="223" spans="1:14" ht="15" customHeight="1">
      <c r="A223" s="99"/>
      <c r="B223" s="99"/>
      <c r="C223" s="99"/>
      <c r="D223" s="333"/>
      <c r="E223" s="99"/>
      <c r="F223" s="99"/>
      <c r="G223" s="99"/>
      <c r="H223" s="99"/>
      <c r="I223" s="99"/>
      <c r="J223" s="99"/>
      <c r="K223" s="99"/>
      <c r="L223" s="99"/>
      <c r="M223" s="99"/>
      <c r="N223" s="99"/>
    </row>
    <row r="224" spans="1:14" ht="15" customHeight="1">
      <c r="A224" s="99"/>
      <c r="B224" s="99"/>
      <c r="C224" s="99"/>
      <c r="D224" s="333"/>
      <c r="E224" s="99"/>
      <c r="F224" s="99"/>
      <c r="G224" s="99"/>
      <c r="H224" s="99"/>
      <c r="I224" s="99"/>
      <c r="J224" s="99"/>
      <c r="K224" s="99"/>
      <c r="L224" s="99"/>
      <c r="M224" s="99"/>
      <c r="N224" s="99"/>
    </row>
    <row r="225" spans="1:14" ht="15" customHeight="1">
      <c r="A225" s="99"/>
      <c r="B225" s="99"/>
      <c r="C225" s="99"/>
      <c r="D225" s="333"/>
      <c r="E225" s="99"/>
      <c r="F225" s="99"/>
      <c r="G225" s="99"/>
      <c r="H225" s="99"/>
      <c r="I225" s="99"/>
      <c r="J225" s="99"/>
      <c r="K225" s="99"/>
      <c r="L225" s="99"/>
      <c r="M225" s="99"/>
      <c r="N225" s="99"/>
    </row>
    <row r="226" spans="1:14" ht="15" customHeight="1">
      <c r="A226" s="99"/>
      <c r="B226" s="99"/>
      <c r="C226" s="99"/>
      <c r="D226" s="333"/>
      <c r="E226" s="99"/>
      <c r="F226" s="99"/>
      <c r="G226" s="99"/>
      <c r="H226" s="99"/>
      <c r="I226" s="99"/>
      <c r="J226" s="99"/>
      <c r="K226" s="99"/>
      <c r="L226" s="99"/>
      <c r="M226" s="99"/>
      <c r="N226" s="99"/>
    </row>
    <row r="227" spans="1:14" ht="15" customHeight="1">
      <c r="A227" s="99"/>
      <c r="B227" s="99"/>
      <c r="C227" s="99"/>
      <c r="D227" s="333"/>
      <c r="E227" s="99"/>
      <c r="F227" s="99"/>
      <c r="G227" s="99"/>
      <c r="H227" s="99"/>
      <c r="I227" s="99"/>
      <c r="J227" s="99"/>
      <c r="K227" s="99"/>
      <c r="L227" s="99"/>
      <c r="M227" s="99"/>
      <c r="N227" s="99"/>
    </row>
    <row r="228" spans="1:14" ht="15" customHeight="1">
      <c r="A228" s="99"/>
      <c r="B228" s="99"/>
      <c r="C228" s="99"/>
      <c r="D228" s="333"/>
      <c r="E228" s="99"/>
      <c r="F228" s="99"/>
      <c r="G228" s="99"/>
      <c r="H228" s="99"/>
      <c r="I228" s="99"/>
      <c r="J228" s="99"/>
      <c r="K228" s="99"/>
      <c r="L228" s="99"/>
      <c r="M228" s="99"/>
      <c r="N228" s="99"/>
    </row>
    <row r="229" spans="1:14" ht="15" customHeight="1">
      <c r="A229" s="99"/>
      <c r="B229" s="99"/>
      <c r="C229" s="99"/>
      <c r="D229" s="333"/>
      <c r="E229" s="99"/>
      <c r="F229" s="99"/>
      <c r="G229" s="99"/>
      <c r="H229" s="99"/>
      <c r="I229" s="99"/>
      <c r="J229" s="99"/>
      <c r="K229" s="99"/>
      <c r="L229" s="99"/>
      <c r="M229" s="99"/>
      <c r="N229" s="99"/>
    </row>
    <row r="230" spans="1:14" ht="15" customHeight="1">
      <c r="A230" s="99"/>
      <c r="B230" s="99"/>
      <c r="C230" s="99"/>
      <c r="D230" s="333"/>
      <c r="E230" s="99"/>
      <c r="F230" s="99"/>
      <c r="G230" s="99"/>
      <c r="H230" s="99"/>
      <c r="I230" s="99"/>
      <c r="J230" s="99"/>
      <c r="K230" s="99"/>
      <c r="L230" s="99"/>
      <c r="M230" s="99"/>
      <c r="N230" s="99"/>
    </row>
    <row r="231" spans="1:14" ht="15" customHeight="1">
      <c r="A231" s="99"/>
      <c r="B231" s="99"/>
      <c r="C231" s="99"/>
      <c r="D231" s="333"/>
      <c r="E231" s="99"/>
      <c r="F231" s="99"/>
      <c r="G231" s="99"/>
      <c r="H231" s="99"/>
      <c r="I231" s="99"/>
      <c r="J231" s="99"/>
      <c r="K231" s="99"/>
      <c r="L231" s="99"/>
      <c r="M231" s="99"/>
      <c r="N231" s="99"/>
    </row>
    <row r="232" spans="1:14" ht="15" customHeight="1">
      <c r="A232" s="99"/>
      <c r="B232" s="99"/>
      <c r="C232" s="99"/>
      <c r="D232" s="333"/>
      <c r="E232" s="99"/>
      <c r="F232" s="99"/>
      <c r="G232" s="99"/>
      <c r="H232" s="99"/>
      <c r="I232" s="99"/>
      <c r="J232" s="99"/>
      <c r="K232" s="99"/>
      <c r="L232" s="99"/>
      <c r="M232" s="99"/>
      <c r="N232" s="99"/>
    </row>
    <row r="233" spans="1:14" ht="15" customHeight="1">
      <c r="A233" s="99"/>
      <c r="B233" s="99"/>
      <c r="C233" s="99"/>
      <c r="D233" s="333"/>
      <c r="E233" s="99"/>
      <c r="F233" s="99"/>
      <c r="G233" s="99"/>
      <c r="H233" s="99"/>
      <c r="I233" s="99"/>
      <c r="J233" s="99"/>
      <c r="K233" s="99"/>
      <c r="L233" s="99"/>
      <c r="M233" s="99"/>
      <c r="N233" s="99"/>
    </row>
    <row r="234" spans="1:14" ht="15" customHeight="1">
      <c r="A234" s="99"/>
      <c r="B234" s="99"/>
      <c r="C234" s="99"/>
      <c r="D234" s="333"/>
      <c r="E234" s="99"/>
      <c r="F234" s="99"/>
      <c r="G234" s="99"/>
      <c r="H234" s="99"/>
      <c r="I234" s="99"/>
      <c r="J234" s="99"/>
      <c r="K234" s="99"/>
      <c r="L234" s="99"/>
      <c r="M234" s="99"/>
      <c r="N234" s="99"/>
    </row>
    <row r="235" spans="1:14" ht="15" customHeight="1">
      <c r="A235" s="99"/>
      <c r="B235" s="99"/>
      <c r="C235" s="99"/>
      <c r="D235" s="333"/>
      <c r="E235" s="99"/>
      <c r="F235" s="99"/>
      <c r="G235" s="99"/>
      <c r="H235" s="99"/>
      <c r="I235" s="99"/>
      <c r="J235" s="99"/>
      <c r="K235" s="99"/>
      <c r="L235" s="99"/>
      <c r="M235" s="99"/>
      <c r="N235" s="99"/>
    </row>
    <row r="236" spans="1:14" ht="15" customHeight="1">
      <c r="A236" s="99"/>
      <c r="B236" s="99"/>
      <c r="C236" s="99"/>
      <c r="D236" s="333"/>
      <c r="E236" s="99"/>
      <c r="F236" s="99"/>
      <c r="G236" s="99"/>
      <c r="H236" s="99"/>
      <c r="I236" s="99"/>
      <c r="J236" s="99"/>
      <c r="K236" s="99"/>
      <c r="L236" s="99"/>
      <c r="M236" s="99"/>
      <c r="N236" s="99"/>
    </row>
    <row r="237" spans="1:14" ht="15" customHeight="1">
      <c r="A237" s="99"/>
      <c r="B237" s="99"/>
      <c r="C237" s="99"/>
      <c r="D237" s="333"/>
      <c r="E237" s="99"/>
      <c r="F237" s="99"/>
      <c r="G237" s="99"/>
      <c r="H237" s="99"/>
      <c r="I237" s="99"/>
      <c r="J237" s="99"/>
      <c r="K237" s="99"/>
      <c r="L237" s="99"/>
      <c r="M237" s="99"/>
      <c r="N237" s="99"/>
    </row>
    <row r="238" spans="1:14" ht="15" customHeight="1">
      <c r="A238" s="99"/>
      <c r="B238" s="99"/>
      <c r="C238" s="99"/>
      <c r="D238" s="333"/>
      <c r="E238" s="99"/>
      <c r="F238" s="99"/>
      <c r="G238" s="99"/>
      <c r="H238" s="99"/>
      <c r="I238" s="99"/>
      <c r="J238" s="99"/>
      <c r="K238" s="99"/>
      <c r="L238" s="99"/>
      <c r="M238" s="99"/>
      <c r="N238" s="99"/>
    </row>
    <row r="239" spans="1:14" ht="15" customHeight="1">
      <c r="A239" s="99"/>
      <c r="B239" s="99"/>
      <c r="C239" s="99"/>
      <c r="D239" s="333"/>
      <c r="E239" s="99"/>
      <c r="F239" s="99"/>
      <c r="G239" s="99"/>
      <c r="H239" s="99"/>
      <c r="I239" s="99"/>
      <c r="J239" s="99"/>
      <c r="K239" s="99"/>
      <c r="L239" s="99"/>
      <c r="M239" s="99"/>
      <c r="N239" s="99"/>
    </row>
    <row r="240" spans="1:14" ht="15" customHeight="1">
      <c r="A240" s="99"/>
      <c r="B240" s="99"/>
      <c r="C240" s="99"/>
      <c r="D240" s="333"/>
      <c r="E240" s="99"/>
      <c r="F240" s="99"/>
      <c r="G240" s="99"/>
      <c r="H240" s="99"/>
      <c r="I240" s="99"/>
      <c r="J240" s="99"/>
      <c r="K240" s="99"/>
      <c r="L240" s="99"/>
      <c r="M240" s="99"/>
      <c r="N240" s="99"/>
    </row>
    <row r="241" spans="1:14" ht="15" customHeight="1">
      <c r="A241" s="99"/>
      <c r="B241" s="99"/>
      <c r="C241" s="99"/>
      <c r="D241" s="333"/>
      <c r="E241" s="99"/>
      <c r="F241" s="99"/>
      <c r="G241" s="99"/>
      <c r="H241" s="99"/>
      <c r="I241" s="99"/>
      <c r="J241" s="99"/>
      <c r="K241" s="99"/>
      <c r="L241" s="99"/>
      <c r="M241" s="99"/>
      <c r="N241" s="99"/>
    </row>
    <row r="242" spans="1:14" ht="15" customHeight="1">
      <c r="A242" s="99"/>
      <c r="B242" s="99"/>
      <c r="C242" s="99"/>
      <c r="D242" s="333"/>
      <c r="E242" s="99"/>
      <c r="F242" s="99"/>
      <c r="G242" s="99"/>
      <c r="H242" s="99"/>
      <c r="I242" s="99"/>
      <c r="J242" s="99"/>
      <c r="K242" s="99"/>
      <c r="L242" s="99"/>
      <c r="M242" s="99"/>
      <c r="N242" s="99"/>
    </row>
    <row r="243" spans="1:14" ht="15" customHeight="1">
      <c r="A243" s="99"/>
      <c r="B243" s="99"/>
      <c r="C243" s="99"/>
      <c r="D243" s="333"/>
      <c r="E243" s="99"/>
      <c r="F243" s="99"/>
      <c r="G243" s="99"/>
      <c r="H243" s="99"/>
      <c r="I243" s="99"/>
      <c r="J243" s="99"/>
      <c r="K243" s="99"/>
      <c r="L243" s="99"/>
      <c r="M243" s="99"/>
      <c r="N243" s="99"/>
    </row>
    <row r="244" spans="1:14" ht="15" customHeight="1">
      <c r="A244" s="99"/>
      <c r="B244" s="99"/>
      <c r="C244" s="99"/>
      <c r="D244" s="333"/>
      <c r="E244" s="99"/>
      <c r="F244" s="99"/>
      <c r="G244" s="99"/>
      <c r="H244" s="99"/>
      <c r="I244" s="99"/>
      <c r="J244" s="99"/>
      <c r="K244" s="99"/>
      <c r="L244" s="99"/>
      <c r="M244" s="99"/>
      <c r="N244" s="99"/>
    </row>
    <row r="245" spans="1:14" ht="15" customHeight="1">
      <c r="A245" s="99"/>
      <c r="B245" s="99"/>
      <c r="C245" s="99"/>
      <c r="D245" s="333"/>
      <c r="E245" s="99"/>
      <c r="F245" s="99"/>
      <c r="G245" s="99"/>
      <c r="H245" s="99"/>
      <c r="I245" s="99"/>
      <c r="J245" s="99"/>
      <c r="K245" s="99"/>
      <c r="L245" s="99"/>
      <c r="M245" s="99"/>
      <c r="N245" s="99"/>
    </row>
    <row r="246" spans="1:14" ht="15" customHeight="1">
      <c r="A246" s="99"/>
      <c r="B246" s="99"/>
      <c r="C246" s="99"/>
      <c r="D246" s="333"/>
      <c r="E246" s="99"/>
      <c r="F246" s="99"/>
      <c r="G246" s="99"/>
      <c r="H246" s="99"/>
      <c r="I246" s="99"/>
      <c r="J246" s="99"/>
      <c r="K246" s="99"/>
      <c r="L246" s="99"/>
      <c r="M246" s="99"/>
      <c r="N246" s="99"/>
    </row>
    <row r="247" spans="1:14">
      <c r="A247" s="99"/>
      <c r="B247" s="99"/>
      <c r="C247" s="99"/>
      <c r="D247" s="333"/>
      <c r="E247" s="99"/>
      <c r="F247" s="99"/>
      <c r="G247" s="99"/>
      <c r="H247" s="99"/>
      <c r="I247" s="99"/>
      <c r="J247" s="99"/>
      <c r="K247" s="99"/>
      <c r="L247" s="99"/>
      <c r="M247" s="99"/>
      <c r="N247" s="99"/>
    </row>
  </sheetData>
  <sheetProtection password="C1B3" sheet="1" objects="1" scenarios="1" formatCells="0" formatColumns="0" formatRows="0" autoFilter="0"/>
  <mergeCells count="6">
    <mergeCell ref="O114:R118"/>
    <mergeCell ref="E4:F4"/>
    <mergeCell ref="L120:M120"/>
    <mergeCell ref="L90:M90"/>
    <mergeCell ref="A99:A100"/>
    <mergeCell ref="A110:A111"/>
  </mergeCells>
  <conditionalFormatting sqref="E4">
    <cfRule type="expression" dxfId="713" priority="1">
      <formula>AND($D$12&gt;0,$C$4=$L$3)</formula>
    </cfRule>
  </conditionalFormatting>
  <dataValidations disablePrompts="1" count="3">
    <dataValidation type="list" allowBlank="1" showInputMessage="1" showErrorMessage="1" sqref="C14">
      <formula1>List_Type</formula1>
    </dataValidation>
    <dataValidation type="list" allowBlank="1" showInputMessage="1" showErrorMessage="1" sqref="C4">
      <formula1>type_fund</formula1>
    </dataValidation>
    <dataValidation type="list" allowBlank="1" showInputMessage="1" showErrorMessage="1" sqref="E91">
      <formula1>answer</formula1>
    </dataValidation>
  </dataValidations>
  <hyperlinks>
    <hyperlink ref="D1" location="Information!A1" display="חזרה"/>
    <hyperlink ref="E6" location="T101_N!B19" display="נספח 1"/>
    <hyperlink ref="E8" location="נספח2" display="נספח 2"/>
    <hyperlink ref="E9" location="נספח3" display="נספח 3"/>
    <hyperlink ref="E10" location="נספח5" display="נספח 5"/>
    <hyperlink ref="E11" location="נספח6" display="נספח 6"/>
    <hyperlink ref="F70" location="ט101נ" display="חזרה"/>
    <hyperlink ref="D80" location="ט101נ" display="חזרה"/>
    <hyperlink ref="E90" location="ט101נ" display="חזרה"/>
    <hyperlink ref="E97" location="ט101נ" display="חזרה"/>
    <hyperlink ref="D108" location="ט101נ" display="חזרה"/>
    <hyperlink ref="N135" r:id="rId1" display="Israel's Database of Prices and Price Indices"/>
    <hyperlink ref="R122" location="Information!A1" display="חזרה"/>
  </hyperlinks>
  <printOptions horizontalCentered="1"/>
  <pageMargins left="0" right="0" top="0" bottom="0.70866141732283472" header="0" footer="0.39370078740157483"/>
  <pageSetup paperSize="9" scale="99" fitToHeight="2" orientation="portrait" blackAndWhite="1" horizontalDpi="300" verticalDpi="300" r:id="rId2"/>
  <headerFooter alignWithMargins="0">
    <oddFooter>&amp;L&amp;Z</oddFooter>
  </headerFooter>
  <rowBreaks count="1" manualBreakCount="1">
    <brk id="77" max="5"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00B0F0"/>
    <pageSetUpPr fitToPage="1"/>
  </sheetPr>
  <dimension ref="A1:L36"/>
  <sheetViews>
    <sheetView rightToLeft="1" workbookViewId="0">
      <selection activeCell="L10" sqref="L10"/>
    </sheetView>
  </sheetViews>
  <sheetFormatPr defaultColWidth="9.1796875" defaultRowHeight="13"/>
  <cols>
    <col min="1" max="1" width="2.1796875" style="19" customWidth="1"/>
    <col min="2" max="2" width="2.453125" style="19" customWidth="1"/>
    <col min="3" max="3" width="4.453125" style="19" customWidth="1"/>
    <col min="4" max="4" width="38.54296875" style="19" customWidth="1"/>
    <col min="5" max="5" width="10.453125" style="325" customWidth="1"/>
    <col min="6" max="6" width="7.453125" style="19" customWidth="1"/>
    <col min="7" max="7" width="11.453125" style="19" customWidth="1"/>
    <col min="8" max="8" width="11" style="325" customWidth="1"/>
    <col min="9" max="11" width="9.1796875" style="201"/>
    <col min="12" max="12" width="59.81640625" style="201" customWidth="1"/>
    <col min="13" max="16384" width="9.1796875" style="201"/>
  </cols>
  <sheetData>
    <row r="1" spans="1:12" s="190" customFormat="1" ht="18">
      <c r="A1" s="335">
        <f>SUM(F17)</f>
        <v>0</v>
      </c>
      <c r="B1" s="15" t="str">
        <f>'T101'!B1</f>
        <v>_____חברה מנהלת</v>
      </c>
      <c r="C1" s="336"/>
      <c r="D1" s="337"/>
      <c r="E1" s="337"/>
      <c r="F1" s="20" t="str">
        <f>Information!$E$1</f>
        <v>חזרה</v>
      </c>
      <c r="G1" s="337"/>
      <c r="H1" s="337"/>
      <c r="I1" s="338"/>
    </row>
    <row r="2" spans="1:12" s="190" customFormat="1" ht="12.65" customHeight="1">
      <c r="A2" s="337"/>
      <c r="B2" s="111" t="s">
        <v>757</v>
      </c>
      <c r="C2" s="339"/>
      <c r="D2" s="337"/>
      <c r="E2" s="337"/>
      <c r="F2" s="337"/>
      <c r="G2" s="337"/>
      <c r="H2" s="337"/>
      <c r="I2" s="338"/>
    </row>
    <row r="3" spans="1:12" s="343" customFormat="1" ht="14">
      <c r="A3" s="340">
        <f>SUM(F17)</f>
        <v>0</v>
      </c>
      <c r="B3" s="28" t="str">
        <f>Information!$M$21</f>
        <v>הנתונים באלפי ש"ח</v>
      </c>
      <c r="C3" s="100"/>
      <c r="D3" s="341"/>
      <c r="E3" s="18"/>
      <c r="F3" s="31"/>
      <c r="G3" s="342"/>
      <c r="H3" s="17"/>
      <c r="K3" s="1809"/>
      <c r="L3" s="1809"/>
    </row>
    <row r="4" spans="1:12" s="343" customFormat="1" ht="15.5">
      <c r="A4" s="344"/>
      <c r="B4" s="345" t="s">
        <v>758</v>
      </c>
      <c r="C4" s="346"/>
      <c r="D4" s="347"/>
      <c r="E4" s="1810"/>
      <c r="F4" s="1810"/>
      <c r="G4" s="1810"/>
      <c r="H4" s="1811"/>
      <c r="I4" s="338"/>
      <c r="J4" s="338"/>
      <c r="K4" s="1809"/>
      <c r="L4" s="1809"/>
    </row>
    <row r="5" spans="1:12" s="343" customFormat="1" ht="15.5">
      <c r="A5" s="344"/>
      <c r="B5" s="348"/>
      <c r="C5" s="349"/>
      <c r="D5" s="350"/>
      <c r="E5" s="351"/>
      <c r="F5" s="352"/>
      <c r="G5" s="352"/>
      <c r="H5" s="353"/>
      <c r="I5" s="338"/>
      <c r="J5" s="338"/>
      <c r="K5" s="1809"/>
      <c r="L5" s="1812"/>
    </row>
    <row r="6" spans="1:12" s="343" customFormat="1" ht="15.5">
      <c r="A6" s="354"/>
      <c r="B6" s="355"/>
      <c r="C6" s="356" t="s">
        <v>31</v>
      </c>
      <c r="D6" s="357" t="s">
        <v>739</v>
      </c>
      <c r="E6" s="358"/>
      <c r="F6" s="359"/>
      <c r="G6" s="359"/>
      <c r="H6" s="360"/>
      <c r="I6" s="338"/>
      <c r="J6" s="338"/>
      <c r="K6" s="1809"/>
      <c r="L6" s="1812"/>
    </row>
    <row r="7" spans="1:12" s="343" customFormat="1" ht="16.5">
      <c r="A7" s="354"/>
      <c r="B7" s="355"/>
      <c r="C7" s="361" t="s">
        <v>44</v>
      </c>
      <c r="D7" s="362" t="s">
        <v>740</v>
      </c>
      <c r="E7" s="363"/>
      <c r="F7" s="359"/>
      <c r="G7" s="359"/>
      <c r="H7" s="360"/>
      <c r="I7" s="338"/>
      <c r="J7" s="338"/>
      <c r="K7" s="364"/>
      <c r="L7" s="364"/>
    </row>
    <row r="8" spans="1:12" s="343" customFormat="1" ht="26.5">
      <c r="A8" s="354"/>
      <c r="B8" s="355"/>
      <c r="C8" s="356" t="s">
        <v>33</v>
      </c>
      <c r="D8" s="362" t="s">
        <v>741</v>
      </c>
      <c r="E8" s="363"/>
      <c r="F8" s="359"/>
      <c r="G8" s="359"/>
      <c r="H8" s="360"/>
      <c r="I8" s="338"/>
      <c r="J8" s="338"/>
      <c r="K8" s="364"/>
      <c r="L8" s="8"/>
    </row>
    <row r="9" spans="1:12" s="343" customFormat="1" ht="39.5">
      <c r="A9" s="354"/>
      <c r="B9" s="355"/>
      <c r="C9" s="361" t="s">
        <v>35</v>
      </c>
      <c r="D9" s="362" t="s">
        <v>742</v>
      </c>
      <c r="E9" s="363"/>
      <c r="F9" s="359"/>
      <c r="G9" s="359"/>
      <c r="H9" s="360"/>
      <c r="I9" s="338"/>
      <c r="J9" s="338"/>
      <c r="K9" s="364"/>
      <c r="L9" s="8"/>
    </row>
    <row r="10" spans="1:12" s="343" customFormat="1" ht="26.5">
      <c r="A10" s="354"/>
      <c r="B10" s="355"/>
      <c r="C10" s="356" t="s">
        <v>37</v>
      </c>
      <c r="D10" s="362" t="s">
        <v>743</v>
      </c>
      <c r="E10" s="363"/>
      <c r="F10" s="359"/>
      <c r="G10" s="359"/>
      <c r="H10" s="360"/>
      <c r="I10" s="338"/>
      <c r="J10" s="338"/>
      <c r="K10" s="364"/>
      <c r="L10" s="8"/>
    </row>
    <row r="11" spans="1:12" s="343" customFormat="1" ht="16.5">
      <c r="A11" s="354"/>
      <c r="B11" s="355"/>
      <c r="C11" s="361" t="s">
        <v>39</v>
      </c>
      <c r="D11" s="362" t="s">
        <v>744</v>
      </c>
      <c r="E11" s="363"/>
      <c r="F11" s="359"/>
      <c r="G11" s="359"/>
      <c r="H11" s="360"/>
      <c r="I11" s="338"/>
      <c r="J11" s="338"/>
      <c r="K11" s="364"/>
      <c r="L11" s="364"/>
    </row>
    <row r="12" spans="1:12" s="343" customFormat="1" ht="16.5">
      <c r="A12" s="354"/>
      <c r="B12" s="355"/>
      <c r="C12" s="356" t="s">
        <v>120</v>
      </c>
      <c r="D12" s="362" t="s">
        <v>745</v>
      </c>
      <c r="E12" s="363"/>
      <c r="F12" s="359"/>
      <c r="G12" s="359"/>
      <c r="H12" s="360"/>
      <c r="I12" s="338"/>
      <c r="J12" s="338"/>
      <c r="K12" s="364"/>
      <c r="L12" s="364"/>
    </row>
    <row r="13" spans="1:12" s="343" customFormat="1" ht="39.5">
      <c r="A13" s="354"/>
      <c r="B13" s="355"/>
      <c r="C13" s="361" t="s">
        <v>122</v>
      </c>
      <c r="D13" s="362" t="s">
        <v>746</v>
      </c>
      <c r="E13" s="363"/>
      <c r="F13" s="359"/>
      <c r="G13" s="359"/>
      <c r="H13" s="360"/>
      <c r="I13" s="338"/>
      <c r="J13" s="338"/>
      <c r="K13" s="364"/>
      <c r="L13" s="8"/>
    </row>
    <row r="14" spans="1:12" s="343" customFormat="1" ht="16.5">
      <c r="A14" s="354"/>
      <c r="B14" s="355"/>
      <c r="C14" s="356" t="s">
        <v>132</v>
      </c>
      <c r="D14" s="362" t="s">
        <v>747</v>
      </c>
      <c r="E14" s="363"/>
      <c r="F14" s="359"/>
      <c r="G14" s="359"/>
      <c r="H14" s="360"/>
      <c r="I14" s="338"/>
      <c r="J14" s="338"/>
      <c r="K14" s="364"/>
      <c r="L14" s="364"/>
    </row>
    <row r="15" spans="1:12" s="343" customFormat="1" ht="16.5">
      <c r="A15" s="354"/>
      <c r="B15" s="355"/>
      <c r="C15" s="356" t="s">
        <v>134</v>
      </c>
      <c r="D15" s="362" t="s">
        <v>748</v>
      </c>
      <c r="E15" s="363"/>
      <c r="F15" s="359"/>
      <c r="G15" s="359"/>
      <c r="H15" s="360"/>
      <c r="I15" s="338"/>
      <c r="J15" s="338"/>
      <c r="K15" s="364"/>
      <c r="L15" s="8"/>
    </row>
    <row r="16" spans="1:12" s="343" customFormat="1" ht="26.5">
      <c r="A16" s="354"/>
      <c r="B16" s="355"/>
      <c r="C16" s="361" t="s">
        <v>749</v>
      </c>
      <c r="D16" s="362" t="s">
        <v>750</v>
      </c>
      <c r="E16" s="363"/>
      <c r="F16" s="359"/>
      <c r="G16" s="359"/>
      <c r="H16" s="360"/>
      <c r="I16" s="338"/>
      <c r="J16" s="338"/>
      <c r="K16" s="364"/>
      <c r="L16" s="8"/>
    </row>
    <row r="17" spans="1:12" s="343" customFormat="1" ht="15" customHeight="1">
      <c r="A17" s="354"/>
      <c r="B17" s="355"/>
      <c r="C17" s="356" t="s">
        <v>751</v>
      </c>
      <c r="D17" s="362" t="s">
        <v>752</v>
      </c>
      <c r="E17" s="440">
        <f>SUM(E6:E16)</f>
        <v>0</v>
      </c>
      <c r="F17" s="359"/>
      <c r="G17" s="359"/>
      <c r="H17" s="360"/>
      <c r="I17" s="338"/>
      <c r="J17" s="338"/>
      <c r="K17" s="8"/>
      <c r="L17" s="8"/>
    </row>
    <row r="18" spans="1:12" s="343" customFormat="1" ht="16.5">
      <c r="A18" s="354"/>
      <c r="B18" s="365"/>
      <c r="C18" s="350"/>
      <c r="D18" s="349"/>
      <c r="E18" s="359"/>
      <c r="F18" s="359"/>
      <c r="G18" s="359"/>
      <c r="H18" s="360"/>
      <c r="I18" s="338"/>
      <c r="J18" s="338"/>
      <c r="K18" s="8"/>
      <c r="L18" s="8"/>
    </row>
    <row r="19" spans="1:12" s="343" customFormat="1" ht="15.5">
      <c r="A19" s="354"/>
      <c r="B19" s="366" t="s">
        <v>753</v>
      </c>
      <c r="C19" s="367"/>
      <c r="D19" s="368"/>
      <c r="E19" s="369"/>
      <c r="F19" s="369"/>
      <c r="G19" s="369"/>
      <c r="H19" s="370"/>
      <c r="I19" s="338"/>
      <c r="J19" s="338"/>
    </row>
    <row r="20" spans="1:12" s="343" customFormat="1" ht="15.5">
      <c r="A20" s="354"/>
      <c r="B20" s="373"/>
      <c r="C20" s="372" t="s">
        <v>31</v>
      </c>
      <c r="D20" s="382" t="s">
        <v>754</v>
      </c>
      <c r="E20" s="384">
        <f>'T101'!$J$39</f>
        <v>0</v>
      </c>
      <c r="F20" s="383">
        <v>0.5</v>
      </c>
      <c r="G20" s="384">
        <f>E20*F20</f>
        <v>0</v>
      </c>
      <c r="H20" s="371"/>
      <c r="I20" s="338"/>
      <c r="J20" s="338"/>
    </row>
    <row r="21" spans="1:12" s="343" customFormat="1" ht="15.5">
      <c r="A21" s="354"/>
      <c r="B21" s="365"/>
      <c r="C21" s="356" t="s">
        <v>44</v>
      </c>
      <c r="D21" s="374" t="s">
        <v>759</v>
      </c>
      <c r="E21" s="385">
        <f>'T101'!L18</f>
        <v>0</v>
      </c>
      <c r="F21" s="383">
        <v>0.5</v>
      </c>
      <c r="G21" s="384">
        <f>E21*F21</f>
        <v>0</v>
      </c>
      <c r="H21" s="360"/>
      <c r="I21" s="338"/>
      <c r="J21" s="338"/>
    </row>
    <row r="22" spans="1:12" s="343" customFormat="1" ht="15.5">
      <c r="A22" s="354"/>
      <c r="B22" s="365"/>
      <c r="C22" s="372" t="s">
        <v>33</v>
      </c>
      <c r="D22" s="375" t="s">
        <v>755</v>
      </c>
      <c r="E22" s="359"/>
      <c r="F22" s="359"/>
      <c r="G22" s="384">
        <f>G20-G21</f>
        <v>0</v>
      </c>
      <c r="H22" s="360"/>
      <c r="I22" s="338"/>
      <c r="J22" s="338"/>
    </row>
    <row r="23" spans="1:12" s="343" customFormat="1" ht="15.5">
      <c r="A23" s="354"/>
      <c r="B23" s="365"/>
      <c r="C23" s="356"/>
      <c r="D23" s="374"/>
      <c r="E23" s="359"/>
      <c r="F23" s="359"/>
      <c r="G23" s="359"/>
      <c r="H23" s="360"/>
      <c r="I23" s="338"/>
      <c r="J23" s="338"/>
    </row>
    <row r="24" spans="1:12" s="343" customFormat="1" ht="15.5">
      <c r="A24" s="354"/>
      <c r="B24" s="365"/>
      <c r="C24" s="350"/>
      <c r="D24" s="349"/>
      <c r="E24" s="359"/>
      <c r="F24" s="359"/>
      <c r="G24" s="369"/>
      <c r="H24" s="360"/>
      <c r="I24" s="338"/>
      <c r="J24" s="338"/>
    </row>
    <row r="25" spans="1:12" s="343" customFormat="1" ht="15.5">
      <c r="A25" s="354"/>
      <c r="B25" s="376" t="s">
        <v>760</v>
      </c>
      <c r="C25" s="377"/>
      <c r="D25" s="378"/>
      <c r="E25" s="379"/>
      <c r="F25" s="379"/>
      <c r="G25" s="386">
        <f>(E17-G22)</f>
        <v>0</v>
      </c>
      <c r="H25" s="380"/>
      <c r="I25" s="338"/>
      <c r="J25" s="338"/>
      <c r="K25" s="1812"/>
      <c r="L25" s="1812"/>
    </row>
    <row r="26" spans="1:12" s="343" customFormat="1">
      <c r="A26" s="344"/>
      <c r="B26" s="344"/>
      <c r="C26" s="344"/>
      <c r="D26" s="344"/>
      <c r="E26" s="344"/>
      <c r="F26" s="344"/>
      <c r="G26" s="344"/>
      <c r="H26" s="344"/>
      <c r="K26" s="1812"/>
      <c r="L26" s="1812"/>
    </row>
    <row r="27" spans="1:12" s="343" customFormat="1">
      <c r="A27" s="344"/>
      <c r="B27" s="344"/>
      <c r="C27" s="344"/>
      <c r="D27" s="344"/>
      <c r="E27" s="344"/>
      <c r="F27" s="344"/>
      <c r="G27" s="344"/>
      <c r="H27" s="344"/>
    </row>
    <row r="28" spans="1:12" s="343" customFormat="1">
      <c r="A28" s="344"/>
      <c r="B28" s="344"/>
      <c r="C28" s="344"/>
      <c r="D28" s="344"/>
      <c r="E28" s="344"/>
      <c r="F28" s="344"/>
      <c r="G28" s="344"/>
      <c r="H28" s="344"/>
    </row>
    <row r="29" spans="1:12" s="343" customFormat="1">
      <c r="A29" s="344"/>
      <c r="B29" s="344"/>
      <c r="C29" s="344"/>
      <c r="D29" s="344" t="s">
        <v>756</v>
      </c>
      <c r="E29" s="21"/>
      <c r="F29" s="344"/>
      <c r="G29" s="344"/>
      <c r="H29" s="21"/>
    </row>
    <row r="30" spans="1:12" s="343" customFormat="1">
      <c r="A30" s="344"/>
      <c r="B30" s="344"/>
      <c r="C30" s="344"/>
      <c r="D30" s="344"/>
      <c r="E30" s="21"/>
      <c r="F30" s="344"/>
      <c r="G30" s="344"/>
      <c r="H30" s="21"/>
    </row>
    <row r="31" spans="1:12" s="343" customFormat="1">
      <c r="A31" s="344"/>
      <c r="B31" s="344"/>
      <c r="C31" s="344"/>
      <c r="D31" s="344"/>
      <c r="E31" s="21"/>
      <c r="F31" s="344"/>
      <c r="G31" s="344"/>
      <c r="H31" s="21"/>
    </row>
    <row r="32" spans="1:12" s="381" customFormat="1">
      <c r="A32" s="344"/>
      <c r="B32" s="344"/>
      <c r="C32" s="344"/>
      <c r="D32" s="344"/>
      <c r="E32" s="21"/>
      <c r="F32" s="344"/>
      <c r="G32" s="344"/>
      <c r="H32" s="21"/>
    </row>
    <row r="33" spans="1:8" s="381" customFormat="1">
      <c r="A33" s="344"/>
      <c r="B33" s="344"/>
      <c r="C33" s="344"/>
      <c r="D33" s="344"/>
      <c r="E33" s="21"/>
      <c r="F33" s="344"/>
      <c r="G33" s="344"/>
      <c r="H33" s="21"/>
    </row>
    <row r="34" spans="1:8" s="381" customFormat="1">
      <c r="A34" s="344"/>
      <c r="B34" s="344"/>
      <c r="C34" s="344"/>
      <c r="D34" s="344"/>
      <c r="E34" s="21"/>
      <c r="F34" s="344"/>
      <c r="G34" s="344"/>
      <c r="H34" s="21"/>
    </row>
    <row r="35" spans="1:8" s="381" customFormat="1">
      <c r="A35" s="344"/>
      <c r="B35" s="344"/>
      <c r="C35" s="344"/>
      <c r="D35" s="344"/>
      <c r="E35" s="21"/>
      <c r="F35" s="344"/>
      <c r="G35" s="344"/>
      <c r="H35" s="21"/>
    </row>
    <row r="36" spans="1:8" s="381" customFormat="1">
      <c r="A36" s="344"/>
      <c r="B36" s="344"/>
      <c r="C36" s="344"/>
      <c r="D36" s="344"/>
      <c r="E36" s="21"/>
      <c r="F36" s="344"/>
      <c r="G36" s="344"/>
      <c r="H36" s="21"/>
    </row>
  </sheetData>
  <sheetProtection password="E968" sheet="1" objects="1" scenarios="1" formatCells="0" formatColumns="0" formatRows="0" autoFilter="0"/>
  <mergeCells count="5">
    <mergeCell ref="K3:L4"/>
    <mergeCell ref="E4:H4"/>
    <mergeCell ref="K5:K6"/>
    <mergeCell ref="L5:L6"/>
    <mergeCell ref="K25:L26"/>
  </mergeCells>
  <hyperlinks>
    <hyperlink ref="F1" location="Information!A1" display="חזרה"/>
  </hyperlinks>
  <printOptions horizontalCentered="1"/>
  <pageMargins left="0" right="0" top="0.78740157480314965" bottom="0.78740157480314965" header="0.39370078740157483" footer="0.39370078740157483"/>
  <pageSetup paperSize="9" orientation="portrait" blackAndWhite="1" horizontalDpi="300" verticalDpi="300" r:id="rId1"/>
  <headerFooter alignWithMargins="0">
    <oddFooter>&amp;L&amp;F     &amp;A&amp;C&amp;P&amp;R&amp;T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00B0F0"/>
    <pageSetUpPr fitToPage="1"/>
  </sheetPr>
  <dimension ref="A1:N550"/>
  <sheetViews>
    <sheetView rightToLeft="1" topLeftCell="A487" workbookViewId="0">
      <selection activeCell="D499" sqref="D499"/>
    </sheetView>
  </sheetViews>
  <sheetFormatPr defaultColWidth="8.81640625" defaultRowHeight="13"/>
  <cols>
    <col min="1" max="1" width="4.81640625" style="22" bestFit="1" customWidth="1"/>
    <col min="2" max="2" width="2.1796875" style="22" customWidth="1"/>
    <col min="3" max="3" width="2.453125" style="22" customWidth="1"/>
    <col min="4" max="4" width="3" style="22" customWidth="1"/>
    <col min="5" max="5" width="2.453125" style="22" customWidth="1"/>
    <col min="6" max="6" width="3.1796875" style="22" customWidth="1"/>
    <col min="7" max="7" width="3.81640625" style="22" customWidth="1"/>
    <col min="8" max="8" width="2.54296875" style="22" customWidth="1"/>
    <col min="9" max="9" width="29.54296875" style="22" customWidth="1"/>
    <col min="10" max="10" width="10.1796875" style="22" customWidth="1"/>
    <col min="11" max="12" width="9.54296875" style="22" customWidth="1"/>
    <col min="13" max="16384" width="8.81640625" style="22"/>
  </cols>
  <sheetData>
    <row r="1" spans="1:14" ht="18">
      <c r="A1" s="14">
        <f>SUM(J8:L535)</f>
        <v>0</v>
      </c>
      <c r="B1" s="15" t="str">
        <f>company</f>
        <v>_____חברה מנהלת</v>
      </c>
      <c r="C1" s="16"/>
      <c r="D1" s="17"/>
      <c r="E1" s="18"/>
      <c r="F1" s="18"/>
      <c r="G1" s="19"/>
      <c r="H1" s="18"/>
      <c r="I1" s="18"/>
      <c r="J1" s="18"/>
      <c r="K1" s="21"/>
      <c r="L1" s="20" t="str">
        <f>Information!$E$1</f>
        <v>חזרה</v>
      </c>
    </row>
    <row r="2" spans="1:14" ht="18">
      <c r="A2" s="21"/>
      <c r="B2" s="23" t="s">
        <v>773</v>
      </c>
      <c r="C2" s="24"/>
      <c r="D2" s="21"/>
      <c r="E2" s="21"/>
      <c r="F2" s="21"/>
      <c r="G2" s="21"/>
      <c r="H2" s="25"/>
      <c r="I2" s="26"/>
      <c r="J2" s="21" t="s">
        <v>2775</v>
      </c>
      <c r="K2" s="1222" t="str">
        <f>'1'!C4</f>
        <v>31.12.2021</v>
      </c>
      <c r="L2" s="21"/>
    </row>
    <row r="3" spans="1:14" ht="14">
      <c r="A3" s="27">
        <f>SUM(J8:L538)</f>
        <v>0</v>
      </c>
      <c r="B3" s="28" t="str">
        <f>Information!$M$21</f>
        <v>הנתונים באלפי ש"ח</v>
      </c>
      <c r="C3" s="29"/>
      <c r="D3" s="18"/>
      <c r="E3" s="30"/>
      <c r="F3" s="18"/>
      <c r="G3" s="30"/>
      <c r="H3" s="30"/>
      <c r="I3" s="31"/>
      <c r="J3" s="18"/>
      <c r="K3" s="21"/>
      <c r="L3" s="21"/>
    </row>
    <row r="4" spans="1:14" ht="12" customHeight="1">
      <c r="A4" s="1472"/>
      <c r="B4" s="1473"/>
      <c r="C4" s="1473"/>
      <c r="D4" s="1473"/>
      <c r="E4" s="1473"/>
      <c r="F4" s="1473"/>
      <c r="G4" s="1473"/>
      <c r="H4" s="1473"/>
      <c r="I4" s="1474"/>
      <c r="J4" s="288"/>
      <c r="K4" s="289" t="s">
        <v>0</v>
      </c>
      <c r="L4" s="290" t="s">
        <v>0</v>
      </c>
    </row>
    <row r="5" spans="1:14" ht="12" customHeight="1">
      <c r="A5" s="1475"/>
      <c r="B5" s="1476"/>
      <c r="C5" s="1476"/>
      <c r="D5" s="1476"/>
      <c r="E5" s="1476"/>
      <c r="F5" s="1476"/>
      <c r="G5" s="1476"/>
      <c r="H5" s="1476"/>
      <c r="I5" s="1477"/>
      <c r="J5" s="32"/>
      <c r="K5" s="33"/>
      <c r="L5" s="291"/>
    </row>
    <row r="6" spans="1:14" ht="39">
      <c r="A6" s="1813"/>
      <c r="B6" s="1814"/>
      <c r="C6" s="1814"/>
      <c r="D6" s="1814"/>
      <c r="E6" s="1814"/>
      <c r="F6" s="1814"/>
      <c r="G6" s="1814"/>
      <c r="H6" s="1814"/>
      <c r="I6" s="1815"/>
      <c r="J6" s="35" t="s">
        <v>1</v>
      </c>
      <c r="K6" s="34" t="s">
        <v>285</v>
      </c>
      <c r="L6" s="292" t="s">
        <v>284</v>
      </c>
    </row>
    <row r="7" spans="1:14" ht="21" customHeight="1">
      <c r="A7" s="1482" t="s">
        <v>2</v>
      </c>
      <c r="B7" s="1478"/>
      <c r="C7" s="1479"/>
      <c r="D7" s="1479"/>
      <c r="E7" s="1479"/>
      <c r="F7" s="1480"/>
      <c r="G7" s="1479"/>
      <c r="H7" s="1479"/>
      <c r="I7" s="1481"/>
      <c r="J7" s="36"/>
      <c r="K7" s="37"/>
      <c r="L7" s="293"/>
    </row>
    <row r="8" spans="1:14" ht="13" customHeight="1">
      <c r="A8" s="38">
        <v>8</v>
      </c>
      <c r="B8" s="39" t="s">
        <v>3</v>
      </c>
      <c r="C8" s="39" t="s">
        <v>4</v>
      </c>
      <c r="D8" s="39"/>
      <c r="E8" s="39"/>
      <c r="F8" s="40"/>
      <c r="G8" s="39"/>
      <c r="H8" s="39"/>
      <c r="I8" s="41"/>
      <c r="J8" s="42">
        <f>SUM(K8:L8)</f>
        <v>0</v>
      </c>
      <c r="K8" s="43">
        <f>SUM(K9,K22,K390,K415,K452,K484,K492)</f>
        <v>0</v>
      </c>
      <c r="L8" s="294">
        <f>SUM(L9,L22,L390,L415,L452,L484,L492)</f>
        <v>0</v>
      </c>
      <c r="M8" s="22">
        <v>1</v>
      </c>
      <c r="N8" s="22">
        <v>1</v>
      </c>
    </row>
    <row r="9" spans="1:14" ht="14">
      <c r="A9" s="38">
        <f t="shared" ref="A9:A72" si="0">A8+1</f>
        <v>9</v>
      </c>
      <c r="B9" s="39"/>
      <c r="C9" s="39" t="s">
        <v>5</v>
      </c>
      <c r="D9" s="39" t="s">
        <v>6</v>
      </c>
      <c r="E9" s="39"/>
      <c r="F9" s="40"/>
      <c r="G9" s="39"/>
      <c r="H9" s="39"/>
      <c r="I9" s="41"/>
      <c r="J9" s="44">
        <f>SUM(K9:L9)</f>
        <v>0</v>
      </c>
      <c r="K9" s="45">
        <f>SUM(K10,K18)</f>
        <v>0</v>
      </c>
      <c r="L9" s="295">
        <f>SUM(L10,L18)</f>
        <v>0</v>
      </c>
      <c r="M9" s="22">
        <v>1</v>
      </c>
      <c r="N9" s="22">
        <v>1</v>
      </c>
    </row>
    <row r="10" spans="1:14" ht="13" customHeight="1">
      <c r="A10" s="38">
        <f t="shared" si="0"/>
        <v>10</v>
      </c>
      <c r="B10" s="46"/>
      <c r="C10" s="46"/>
      <c r="D10" s="47" t="s">
        <v>7</v>
      </c>
      <c r="E10" s="48" t="s">
        <v>8</v>
      </c>
      <c r="F10" s="49"/>
      <c r="G10" s="46"/>
      <c r="H10" s="46"/>
      <c r="I10" s="50"/>
      <c r="J10" s="44">
        <f t="shared" ref="J10:J20" si="1">SUM(K10:L10)</f>
        <v>0</v>
      </c>
      <c r="K10" s="52">
        <f>SUM(K11:K17)</f>
        <v>0</v>
      </c>
      <c r="L10" s="296">
        <f>SUM(L11:L17)</f>
        <v>0</v>
      </c>
      <c r="M10" s="22">
        <f t="shared" ref="M10:M21" si="2">IF(J10&lt;&gt;0,1,0)</f>
        <v>0</v>
      </c>
      <c r="N10" s="22">
        <v>0</v>
      </c>
    </row>
    <row r="11" spans="1:14" ht="13" customHeight="1">
      <c r="A11" s="38">
        <f t="shared" si="0"/>
        <v>11</v>
      </c>
      <c r="B11" s="46"/>
      <c r="C11" s="46"/>
      <c r="D11" s="47"/>
      <c r="E11" s="54" t="s">
        <v>9</v>
      </c>
      <c r="F11" s="54" t="s">
        <v>10</v>
      </c>
      <c r="G11" s="46"/>
      <c r="H11" s="46"/>
      <c r="I11" s="46"/>
      <c r="J11" s="44">
        <f t="shared" si="1"/>
        <v>0</v>
      </c>
      <c r="K11" s="55"/>
      <c r="L11" s="297"/>
      <c r="M11" s="22">
        <f t="shared" si="2"/>
        <v>0</v>
      </c>
      <c r="N11" s="22">
        <v>0</v>
      </c>
    </row>
    <row r="12" spans="1:14" ht="13" customHeight="1">
      <c r="A12" s="38">
        <f t="shared" si="0"/>
        <v>12</v>
      </c>
      <c r="B12" s="46"/>
      <c r="C12" s="46"/>
      <c r="D12" s="47"/>
      <c r="E12" s="54" t="s">
        <v>11</v>
      </c>
      <c r="F12" s="54" t="s">
        <v>12</v>
      </c>
      <c r="G12" s="46"/>
      <c r="H12" s="46"/>
      <c r="I12" s="46"/>
      <c r="J12" s="44">
        <f t="shared" si="1"/>
        <v>0</v>
      </c>
      <c r="K12" s="55"/>
      <c r="L12" s="297"/>
      <c r="M12" s="22">
        <f t="shared" si="2"/>
        <v>0</v>
      </c>
      <c r="N12" s="22">
        <v>0</v>
      </c>
    </row>
    <row r="13" spans="1:14">
      <c r="A13" s="38">
        <f t="shared" si="0"/>
        <v>13</v>
      </c>
      <c r="B13" s="46"/>
      <c r="C13" s="46"/>
      <c r="D13" s="47"/>
      <c r="E13" s="54" t="s">
        <v>13</v>
      </c>
      <c r="F13" s="54" t="s">
        <v>14</v>
      </c>
      <c r="G13" s="46"/>
      <c r="H13" s="46"/>
      <c r="I13" s="46"/>
      <c r="J13" s="44">
        <f t="shared" si="1"/>
        <v>0</v>
      </c>
      <c r="K13" s="55"/>
      <c r="L13" s="297"/>
      <c r="M13" s="22">
        <f t="shared" si="2"/>
        <v>0</v>
      </c>
      <c r="N13" s="22">
        <v>0</v>
      </c>
    </row>
    <row r="14" spans="1:14" ht="13" customHeight="1">
      <c r="A14" s="38">
        <f t="shared" si="0"/>
        <v>14</v>
      </c>
      <c r="B14" s="46"/>
      <c r="C14" s="46"/>
      <c r="D14" s="47"/>
      <c r="E14" s="54" t="s">
        <v>15</v>
      </c>
      <c r="F14" s="54" t="s">
        <v>16</v>
      </c>
      <c r="G14" s="46"/>
      <c r="H14" s="46"/>
      <c r="I14" s="46"/>
      <c r="J14" s="44">
        <f t="shared" si="1"/>
        <v>0</v>
      </c>
      <c r="K14" s="55"/>
      <c r="L14" s="297"/>
      <c r="M14" s="22">
        <f t="shared" si="2"/>
        <v>0</v>
      </c>
      <c r="N14" s="22">
        <v>0</v>
      </c>
    </row>
    <row r="15" spans="1:14" ht="13" customHeight="1">
      <c r="A15" s="38">
        <f t="shared" si="0"/>
        <v>15</v>
      </c>
      <c r="B15" s="46"/>
      <c r="C15" s="46"/>
      <c r="D15" s="47"/>
      <c r="E15" s="54" t="s">
        <v>17</v>
      </c>
      <c r="F15" s="54" t="s">
        <v>18</v>
      </c>
      <c r="G15" s="46"/>
      <c r="H15" s="46"/>
      <c r="I15" s="46"/>
      <c r="J15" s="44">
        <f t="shared" si="1"/>
        <v>0</v>
      </c>
      <c r="K15" s="55"/>
      <c r="L15" s="297"/>
      <c r="M15" s="22">
        <f t="shared" si="2"/>
        <v>0</v>
      </c>
      <c r="N15" s="22">
        <v>0</v>
      </c>
    </row>
    <row r="16" spans="1:14" ht="13" customHeight="1">
      <c r="A16" s="38">
        <f t="shared" si="0"/>
        <v>16</v>
      </c>
      <c r="B16" s="46"/>
      <c r="C16" s="46"/>
      <c r="D16" s="47"/>
      <c r="E16" s="54" t="s">
        <v>19</v>
      </c>
      <c r="F16" s="54" t="s">
        <v>20</v>
      </c>
      <c r="G16" s="46"/>
      <c r="H16" s="46"/>
      <c r="I16" s="46"/>
      <c r="J16" s="44">
        <f t="shared" si="1"/>
        <v>0</v>
      </c>
      <c r="K16" s="55"/>
      <c r="L16" s="297"/>
      <c r="M16" s="22">
        <f t="shared" si="2"/>
        <v>0</v>
      </c>
      <c r="N16" s="22">
        <v>0</v>
      </c>
    </row>
    <row r="17" spans="1:14" ht="13" customHeight="1">
      <c r="A17" s="38">
        <f t="shared" si="0"/>
        <v>17</v>
      </c>
      <c r="B17" s="46"/>
      <c r="C17" s="46"/>
      <c r="D17" s="47"/>
      <c r="E17" s="54" t="s">
        <v>21</v>
      </c>
      <c r="F17" s="54" t="s">
        <v>22</v>
      </c>
      <c r="G17" s="46"/>
      <c r="H17" s="46"/>
      <c r="I17" s="46"/>
      <c r="J17" s="44">
        <f t="shared" si="1"/>
        <v>0</v>
      </c>
      <c r="K17" s="55"/>
      <c r="L17" s="297"/>
      <c r="M17" s="22">
        <f t="shared" si="2"/>
        <v>0</v>
      </c>
      <c r="N17" s="22">
        <v>0</v>
      </c>
    </row>
    <row r="18" spans="1:14" ht="13" customHeight="1">
      <c r="A18" s="38">
        <f t="shared" si="0"/>
        <v>18</v>
      </c>
      <c r="B18" s="46"/>
      <c r="C18" s="46"/>
      <c r="D18" s="47" t="s">
        <v>23</v>
      </c>
      <c r="E18" s="48" t="s">
        <v>24</v>
      </c>
      <c r="F18" s="49"/>
      <c r="G18" s="46"/>
      <c r="H18" s="46"/>
      <c r="I18" s="46"/>
      <c r="J18" s="44">
        <f t="shared" si="1"/>
        <v>0</v>
      </c>
      <c r="K18" s="52">
        <f>SUM(K19:K20)</f>
        <v>0</v>
      </c>
      <c r="L18" s="296">
        <f>SUM(L19:L20)</f>
        <v>0</v>
      </c>
      <c r="M18" s="22">
        <f t="shared" si="2"/>
        <v>0</v>
      </c>
      <c r="N18" s="22">
        <v>0</v>
      </c>
    </row>
    <row r="19" spans="1:14" ht="13" customHeight="1">
      <c r="A19" s="38">
        <f t="shared" si="0"/>
        <v>19</v>
      </c>
      <c r="B19" s="46"/>
      <c r="C19" s="46"/>
      <c r="D19" s="47"/>
      <c r="E19" s="54" t="s">
        <v>9</v>
      </c>
      <c r="F19" s="54" t="s">
        <v>25</v>
      </c>
      <c r="G19" s="46"/>
      <c r="H19" s="46"/>
      <c r="I19" s="46"/>
      <c r="J19" s="44">
        <f t="shared" si="1"/>
        <v>0</v>
      </c>
      <c r="K19" s="55"/>
      <c r="L19" s="297"/>
      <c r="M19" s="22">
        <f t="shared" si="2"/>
        <v>0</v>
      </c>
      <c r="N19" s="22">
        <v>0</v>
      </c>
    </row>
    <row r="20" spans="1:14" ht="13" customHeight="1">
      <c r="A20" s="38">
        <f t="shared" si="0"/>
        <v>20</v>
      </c>
      <c r="B20" s="46"/>
      <c r="C20" s="46"/>
      <c r="D20" s="47"/>
      <c r="E20" s="54" t="s">
        <v>11</v>
      </c>
      <c r="F20" s="54" t="s">
        <v>22</v>
      </c>
      <c r="G20" s="46"/>
      <c r="H20" s="46"/>
      <c r="I20" s="46"/>
      <c r="J20" s="44">
        <f t="shared" si="1"/>
        <v>0</v>
      </c>
      <c r="K20" s="55"/>
      <c r="L20" s="297"/>
      <c r="M20" s="22">
        <f t="shared" si="2"/>
        <v>0</v>
      </c>
      <c r="N20" s="22">
        <v>0</v>
      </c>
    </row>
    <row r="21" spans="1:14" ht="13" customHeight="1">
      <c r="A21" s="38">
        <f t="shared" si="0"/>
        <v>21</v>
      </c>
      <c r="B21" s="56"/>
      <c r="C21" s="56"/>
      <c r="D21" s="56"/>
      <c r="E21" s="54"/>
      <c r="F21" s="56"/>
      <c r="G21" s="56"/>
      <c r="H21" s="56"/>
      <c r="I21" s="57"/>
      <c r="J21" s="58"/>
      <c r="K21" s="58"/>
      <c r="L21" s="298"/>
      <c r="M21" s="22">
        <f t="shared" si="2"/>
        <v>0</v>
      </c>
      <c r="N21" s="22">
        <v>0</v>
      </c>
    </row>
    <row r="22" spans="1:14" ht="14">
      <c r="A22" s="38">
        <f t="shared" si="0"/>
        <v>22</v>
      </c>
      <c r="B22" s="54"/>
      <c r="C22" s="39" t="s">
        <v>26</v>
      </c>
      <c r="D22" s="59" t="s">
        <v>27</v>
      </c>
      <c r="E22" s="60"/>
      <c r="F22" s="61"/>
      <c r="G22" s="60"/>
      <c r="H22" s="60"/>
      <c r="I22" s="60"/>
      <c r="J22" s="51">
        <f>SUM(J23,J94,J153,J187,J195,J207,J215,J232,J42,J173,J278)</f>
        <v>0</v>
      </c>
      <c r="K22" s="62">
        <f>SUM(K23,K94,K153,K187,K195,K207,K215,K232,K42,K173,K278)</f>
        <v>0</v>
      </c>
      <c r="L22" s="51">
        <f>SUM(L23,L94,L153,L187,L195,L207,L215,L232,L42,L173,L278)</f>
        <v>0</v>
      </c>
      <c r="M22" s="22">
        <v>1</v>
      </c>
      <c r="N22" s="22">
        <v>1</v>
      </c>
    </row>
    <row r="23" spans="1:14" ht="13" customHeight="1">
      <c r="A23" s="38">
        <f t="shared" si="0"/>
        <v>23</v>
      </c>
      <c r="B23" s="54"/>
      <c r="C23" s="60"/>
      <c r="D23" s="63" t="s">
        <v>7</v>
      </c>
      <c r="E23" s="64" t="s">
        <v>28</v>
      </c>
      <c r="F23" s="61"/>
      <c r="G23" s="60"/>
      <c r="H23" s="60"/>
      <c r="I23" s="60"/>
      <c r="J23" s="51">
        <f>SUM(K23:L23)</f>
        <v>0</v>
      </c>
      <c r="K23" s="62">
        <f>SUM(K24,K34)</f>
        <v>0</v>
      </c>
      <c r="L23" s="51">
        <f>SUM(L24,L34)</f>
        <v>0</v>
      </c>
      <c r="M23" s="22">
        <v>1</v>
      </c>
      <c r="N23" s="22">
        <v>1</v>
      </c>
    </row>
    <row r="24" spans="1:14" ht="13" customHeight="1">
      <c r="A24" s="38">
        <f t="shared" si="0"/>
        <v>24</v>
      </c>
      <c r="B24" s="54"/>
      <c r="C24" s="54"/>
      <c r="D24" s="54"/>
      <c r="E24" s="46" t="s">
        <v>9</v>
      </c>
      <c r="F24" s="48" t="s">
        <v>8</v>
      </c>
      <c r="G24" s="54"/>
      <c r="H24" s="54"/>
      <c r="I24" s="54"/>
      <c r="J24" s="51">
        <f t="shared" ref="J24:J40" si="3">SUM(K24:L24)</f>
        <v>0</v>
      </c>
      <c r="K24" s="65">
        <f>SUM(K25,K32:K33)</f>
        <v>0</v>
      </c>
      <c r="L24" s="299">
        <f>SUM(L25,L32:L33)</f>
        <v>0</v>
      </c>
      <c r="M24" s="22">
        <f t="shared" ref="M24:M41" si="4">IF(J24&lt;&gt;0,1,0)</f>
        <v>0</v>
      </c>
      <c r="N24" s="22">
        <v>0</v>
      </c>
    </row>
    <row r="25" spans="1:14" ht="13" customHeight="1">
      <c r="A25" s="38">
        <f t="shared" si="0"/>
        <v>25</v>
      </c>
      <c r="B25" s="46"/>
      <c r="C25" s="46"/>
      <c r="D25" s="46"/>
      <c r="E25" s="46"/>
      <c r="F25" s="49" t="s">
        <v>29</v>
      </c>
      <c r="G25" s="66" t="s">
        <v>30</v>
      </c>
      <c r="H25" s="66"/>
      <c r="I25" s="66"/>
      <c r="J25" s="51">
        <f t="shared" si="3"/>
        <v>0</v>
      </c>
      <c r="K25" s="65">
        <f>SUM(K26:K30)</f>
        <v>0</v>
      </c>
      <c r="L25" s="299">
        <f>SUM(L26:L30)</f>
        <v>0</v>
      </c>
      <c r="M25" s="22">
        <f t="shared" si="4"/>
        <v>0</v>
      </c>
      <c r="N25" s="22">
        <v>0</v>
      </c>
    </row>
    <row r="26" spans="1:14">
      <c r="A26" s="38">
        <f t="shared" si="0"/>
        <v>26</v>
      </c>
      <c r="B26" s="54"/>
      <c r="C26" s="54"/>
      <c r="D26" s="54"/>
      <c r="E26" s="54"/>
      <c r="F26" s="56"/>
      <c r="G26" s="54" t="s">
        <v>31</v>
      </c>
      <c r="H26" s="67" t="s">
        <v>32</v>
      </c>
      <c r="I26" s="67"/>
      <c r="J26" s="51">
        <f t="shared" si="3"/>
        <v>0</v>
      </c>
      <c r="K26" s="55"/>
      <c r="L26" s="297"/>
      <c r="M26" s="22">
        <f t="shared" si="4"/>
        <v>0</v>
      </c>
      <c r="N26" s="22">
        <v>0</v>
      </c>
    </row>
    <row r="27" spans="1:14" ht="13" customHeight="1">
      <c r="A27" s="38">
        <f t="shared" si="0"/>
        <v>27</v>
      </c>
      <c r="B27" s="54"/>
      <c r="C27" s="54"/>
      <c r="D27" s="54"/>
      <c r="E27" s="54"/>
      <c r="F27" s="56"/>
      <c r="G27" s="54" t="s">
        <v>33</v>
      </c>
      <c r="H27" s="54" t="s">
        <v>34</v>
      </c>
      <c r="I27" s="54"/>
      <c r="J27" s="51">
        <f t="shared" si="3"/>
        <v>0</v>
      </c>
      <c r="K27" s="55"/>
      <c r="L27" s="297"/>
      <c r="M27" s="22">
        <f t="shared" si="4"/>
        <v>0</v>
      </c>
      <c r="N27" s="22">
        <v>0</v>
      </c>
    </row>
    <row r="28" spans="1:14" ht="13" customHeight="1">
      <c r="A28" s="38">
        <f t="shared" si="0"/>
        <v>28</v>
      </c>
      <c r="B28" s="54"/>
      <c r="C28" s="54"/>
      <c r="D28" s="54"/>
      <c r="E28" s="54"/>
      <c r="F28" s="56"/>
      <c r="G28" s="54" t="s">
        <v>35</v>
      </c>
      <c r="H28" s="54" t="s">
        <v>36</v>
      </c>
      <c r="I28" s="54"/>
      <c r="J28" s="51">
        <f t="shared" si="3"/>
        <v>0</v>
      </c>
      <c r="K28" s="55"/>
      <c r="L28" s="297"/>
      <c r="M28" s="22">
        <f t="shared" si="4"/>
        <v>0</v>
      </c>
      <c r="N28" s="22">
        <v>0</v>
      </c>
    </row>
    <row r="29" spans="1:14" ht="13" customHeight="1">
      <c r="A29" s="38">
        <f t="shared" si="0"/>
        <v>29</v>
      </c>
      <c r="B29" s="54"/>
      <c r="C29" s="54"/>
      <c r="D29" s="54"/>
      <c r="E29" s="54"/>
      <c r="F29" s="56"/>
      <c r="G29" s="54" t="s">
        <v>37</v>
      </c>
      <c r="H29" s="54" t="s">
        <v>38</v>
      </c>
      <c r="I29" s="54"/>
      <c r="J29" s="51">
        <f t="shared" si="3"/>
        <v>0</v>
      </c>
      <c r="K29" s="55"/>
      <c r="L29" s="297"/>
      <c r="M29" s="22">
        <f t="shared" si="4"/>
        <v>0</v>
      </c>
      <c r="N29" s="22">
        <v>0</v>
      </c>
    </row>
    <row r="30" spans="1:14" ht="13" customHeight="1">
      <c r="A30" s="38">
        <f t="shared" si="0"/>
        <v>30</v>
      </c>
      <c r="B30" s="54"/>
      <c r="C30" s="54"/>
      <c r="D30" s="54"/>
      <c r="E30" s="54"/>
      <c r="F30" s="56"/>
      <c r="G30" s="54" t="s">
        <v>39</v>
      </c>
      <c r="H30" s="54" t="s">
        <v>40</v>
      </c>
      <c r="I30" s="54"/>
      <c r="J30" s="51">
        <f t="shared" si="3"/>
        <v>0</v>
      </c>
      <c r="K30" s="55"/>
      <c r="L30" s="297"/>
      <c r="M30" s="22">
        <f t="shared" si="4"/>
        <v>0</v>
      </c>
      <c r="N30" s="22">
        <v>0</v>
      </c>
    </row>
    <row r="31" spans="1:14" ht="13" customHeight="1">
      <c r="A31" s="38">
        <f t="shared" si="0"/>
        <v>31</v>
      </c>
      <c r="B31" s="54"/>
      <c r="C31" s="54"/>
      <c r="D31" s="54"/>
      <c r="E31" s="54"/>
      <c r="F31" s="49" t="s">
        <v>41</v>
      </c>
      <c r="G31" s="66" t="s">
        <v>42</v>
      </c>
      <c r="H31" s="54"/>
      <c r="I31" s="54"/>
      <c r="J31" s="51">
        <f t="shared" si="3"/>
        <v>0</v>
      </c>
      <c r="K31" s="68">
        <f>SUM(K32:K33)</f>
        <v>0</v>
      </c>
      <c r="L31" s="68">
        <f>SUM(L32:L33)</f>
        <v>0</v>
      </c>
      <c r="M31" s="22">
        <f t="shared" si="4"/>
        <v>0</v>
      </c>
      <c r="N31" s="22">
        <v>0</v>
      </c>
    </row>
    <row r="32" spans="1:14" ht="13" customHeight="1">
      <c r="A32" s="38">
        <f t="shared" si="0"/>
        <v>32</v>
      </c>
      <c r="B32" s="54"/>
      <c r="C32" s="54"/>
      <c r="D32" s="54"/>
      <c r="E32" s="54"/>
      <c r="F32" s="49"/>
      <c r="G32" s="54" t="s">
        <v>31</v>
      </c>
      <c r="H32" s="69" t="s">
        <v>43</v>
      </c>
      <c r="I32" s="54"/>
      <c r="J32" s="51">
        <f t="shared" si="3"/>
        <v>0</v>
      </c>
      <c r="K32" s="70"/>
      <c r="L32" s="300"/>
      <c r="M32" s="22">
        <f t="shared" si="4"/>
        <v>0</v>
      </c>
      <c r="N32" s="22">
        <v>0</v>
      </c>
    </row>
    <row r="33" spans="1:14">
      <c r="A33" s="38">
        <f t="shared" si="0"/>
        <v>33</v>
      </c>
      <c r="B33" s="54"/>
      <c r="C33" s="54"/>
      <c r="D33" s="54"/>
      <c r="E33" s="54"/>
      <c r="F33" s="49"/>
      <c r="G33" s="54" t="s">
        <v>44</v>
      </c>
      <c r="H33" s="69" t="s">
        <v>45</v>
      </c>
      <c r="I33" s="54"/>
      <c r="J33" s="51">
        <f t="shared" si="3"/>
        <v>0</v>
      </c>
      <c r="K33" s="70"/>
      <c r="L33" s="300"/>
      <c r="M33" s="22">
        <f t="shared" si="4"/>
        <v>0</v>
      </c>
      <c r="N33" s="22">
        <v>0</v>
      </c>
    </row>
    <row r="34" spans="1:14" ht="13" customHeight="1">
      <c r="A34" s="38">
        <f t="shared" si="0"/>
        <v>34</v>
      </c>
      <c r="B34" s="54"/>
      <c r="C34" s="54"/>
      <c r="D34" s="54"/>
      <c r="E34" s="46" t="s">
        <v>11</v>
      </c>
      <c r="F34" s="49" t="s">
        <v>24</v>
      </c>
      <c r="G34" s="54"/>
      <c r="H34" s="54"/>
      <c r="I34" s="54"/>
      <c r="J34" s="51">
        <f t="shared" si="3"/>
        <v>0</v>
      </c>
      <c r="K34" s="65">
        <f>SUM(K38,K35)</f>
        <v>0</v>
      </c>
      <c r="L34" s="299">
        <f>SUM(L38,L35)</f>
        <v>0</v>
      </c>
      <c r="M34" s="22">
        <f t="shared" si="4"/>
        <v>0</v>
      </c>
      <c r="N34" s="22">
        <v>0</v>
      </c>
    </row>
    <row r="35" spans="1:14" ht="13" customHeight="1">
      <c r="A35" s="38">
        <f t="shared" si="0"/>
        <v>35</v>
      </c>
      <c r="B35" s="54"/>
      <c r="C35" s="54"/>
      <c r="D35" s="54"/>
      <c r="E35" s="54"/>
      <c r="F35" s="49" t="s">
        <v>29</v>
      </c>
      <c r="G35" s="66" t="s">
        <v>30</v>
      </c>
      <c r="H35" s="54"/>
      <c r="I35" s="54"/>
      <c r="J35" s="51">
        <f t="shared" si="3"/>
        <v>0</v>
      </c>
      <c r="K35" s="65">
        <f>SUM(K36:K37)</f>
        <v>0</v>
      </c>
      <c r="L35" s="299">
        <f>SUM(L36:L37)</f>
        <v>0</v>
      </c>
      <c r="M35" s="22">
        <f t="shared" si="4"/>
        <v>0</v>
      </c>
      <c r="N35" s="22">
        <v>0</v>
      </c>
    </row>
    <row r="36" spans="1:14" ht="13" customHeight="1">
      <c r="A36" s="38">
        <f t="shared" si="0"/>
        <v>36</v>
      </c>
      <c r="B36" s="54"/>
      <c r="C36" s="54"/>
      <c r="D36" s="54"/>
      <c r="E36" s="54"/>
      <c r="F36" s="56"/>
      <c r="G36" s="54" t="s">
        <v>31</v>
      </c>
      <c r="H36" s="69" t="s">
        <v>46</v>
      </c>
      <c r="I36" s="69"/>
      <c r="J36" s="51">
        <f t="shared" si="3"/>
        <v>0</v>
      </c>
      <c r="K36" s="55"/>
      <c r="L36" s="297"/>
      <c r="M36" s="22">
        <f t="shared" si="4"/>
        <v>0</v>
      </c>
      <c r="N36" s="22">
        <v>0</v>
      </c>
    </row>
    <row r="37" spans="1:14" ht="13" customHeight="1">
      <c r="A37" s="38">
        <f t="shared" si="0"/>
        <v>37</v>
      </c>
      <c r="B37" s="54"/>
      <c r="C37" s="54"/>
      <c r="D37" s="54"/>
      <c r="E37" s="54"/>
      <c r="F37" s="56"/>
      <c r="G37" s="54" t="s">
        <v>44</v>
      </c>
      <c r="H37" s="69" t="s">
        <v>47</v>
      </c>
      <c r="I37" s="69"/>
      <c r="J37" s="51">
        <f t="shared" si="3"/>
        <v>0</v>
      </c>
      <c r="K37" s="55"/>
      <c r="L37" s="297"/>
      <c r="M37" s="22">
        <f t="shared" si="4"/>
        <v>0</v>
      </c>
      <c r="N37" s="22">
        <v>0</v>
      </c>
    </row>
    <row r="38" spans="1:14" ht="13" customHeight="1">
      <c r="A38" s="38">
        <f t="shared" si="0"/>
        <v>38</v>
      </c>
      <c r="B38" s="54"/>
      <c r="C38" s="54"/>
      <c r="D38" s="54"/>
      <c r="E38" s="54"/>
      <c r="F38" s="49" t="s">
        <v>41</v>
      </c>
      <c r="G38" s="66" t="s">
        <v>42</v>
      </c>
      <c r="H38" s="54"/>
      <c r="I38" s="54"/>
      <c r="J38" s="51">
        <f t="shared" si="3"/>
        <v>0</v>
      </c>
      <c r="K38" s="65">
        <f>SUM(K39:K40)</f>
        <v>0</v>
      </c>
      <c r="L38" s="299">
        <f>SUM(L39:L40)</f>
        <v>0</v>
      </c>
      <c r="M38" s="22">
        <f t="shared" si="4"/>
        <v>0</v>
      </c>
      <c r="N38" s="22">
        <v>0</v>
      </c>
    </row>
    <row r="39" spans="1:14" ht="13" customHeight="1">
      <c r="A39" s="38">
        <f t="shared" si="0"/>
        <v>39</v>
      </c>
      <c r="B39" s="54"/>
      <c r="C39" s="54"/>
      <c r="D39" s="54"/>
      <c r="E39" s="54"/>
      <c r="F39" s="56"/>
      <c r="G39" s="54" t="s">
        <v>31</v>
      </c>
      <c r="H39" s="69" t="s">
        <v>46</v>
      </c>
      <c r="I39" s="69"/>
      <c r="J39" s="51">
        <f t="shared" si="3"/>
        <v>0</v>
      </c>
      <c r="K39" s="55"/>
      <c r="L39" s="297"/>
      <c r="M39" s="22">
        <f t="shared" si="4"/>
        <v>0</v>
      </c>
      <c r="N39" s="22">
        <v>0</v>
      </c>
    </row>
    <row r="40" spans="1:14">
      <c r="A40" s="38">
        <f t="shared" si="0"/>
        <v>40</v>
      </c>
      <c r="B40" s="54"/>
      <c r="C40" s="54"/>
      <c r="D40" s="54"/>
      <c r="E40" s="54"/>
      <c r="F40" s="56"/>
      <c r="G40" s="54" t="s">
        <v>44</v>
      </c>
      <c r="H40" s="69" t="s">
        <v>47</v>
      </c>
      <c r="I40" s="69"/>
      <c r="J40" s="51">
        <f t="shared" si="3"/>
        <v>0</v>
      </c>
      <c r="K40" s="55"/>
      <c r="L40" s="297"/>
      <c r="M40" s="22">
        <f t="shared" si="4"/>
        <v>0</v>
      </c>
      <c r="N40" s="22">
        <v>0</v>
      </c>
    </row>
    <row r="41" spans="1:14">
      <c r="A41" s="38">
        <f t="shared" si="0"/>
        <v>41</v>
      </c>
      <c r="B41" s="56"/>
      <c r="C41" s="56"/>
      <c r="D41" s="56"/>
      <c r="E41" s="56"/>
      <c r="F41" s="56"/>
      <c r="G41" s="56"/>
      <c r="H41" s="56"/>
      <c r="I41" s="57"/>
      <c r="J41" s="58"/>
      <c r="K41" s="58"/>
      <c r="L41" s="298"/>
      <c r="M41" s="22">
        <f t="shared" si="4"/>
        <v>0</v>
      </c>
      <c r="N41" s="22">
        <v>0</v>
      </c>
    </row>
    <row r="42" spans="1:14" ht="14">
      <c r="A42" s="38">
        <f t="shared" si="0"/>
        <v>42</v>
      </c>
      <c r="B42" s="54"/>
      <c r="C42" s="54"/>
      <c r="D42" s="63" t="s">
        <v>23</v>
      </c>
      <c r="E42" s="64" t="s">
        <v>48</v>
      </c>
      <c r="F42" s="61"/>
      <c r="G42" s="60"/>
      <c r="H42" s="60"/>
      <c r="I42" s="60"/>
      <c r="J42" s="51">
        <f>SUM(K42:L42)</f>
        <v>0</v>
      </c>
      <c r="K42" s="53">
        <f>SUM(K43,K74)</f>
        <v>0</v>
      </c>
      <c r="L42" s="301">
        <f>SUM(L43,L74)</f>
        <v>0</v>
      </c>
      <c r="M42" s="22">
        <v>1</v>
      </c>
      <c r="N42" s="22">
        <v>1</v>
      </c>
    </row>
    <row r="43" spans="1:14">
      <c r="A43" s="38">
        <f t="shared" si="0"/>
        <v>43</v>
      </c>
      <c r="B43" s="54"/>
      <c r="C43" s="54"/>
      <c r="D43" s="54"/>
      <c r="E43" s="46" t="s">
        <v>9</v>
      </c>
      <c r="F43" s="48" t="s">
        <v>8</v>
      </c>
      <c r="G43" s="54"/>
      <c r="H43" s="54"/>
      <c r="I43" s="54"/>
      <c r="J43" s="51">
        <f t="shared" ref="J43:J92" si="5">SUM(K43:L43)</f>
        <v>0</v>
      </c>
      <c r="K43" s="53">
        <f>SUM(K44,K57)</f>
        <v>0</v>
      </c>
      <c r="L43" s="301">
        <f>SUM(L44,L57)</f>
        <v>0</v>
      </c>
      <c r="M43" s="22">
        <f t="shared" ref="M43:M74" si="6">IF(J43&lt;&gt;0,1,0)</f>
        <v>0</v>
      </c>
      <c r="N43" s="22">
        <v>0</v>
      </c>
    </row>
    <row r="44" spans="1:14">
      <c r="A44" s="38">
        <f t="shared" si="0"/>
        <v>44</v>
      </c>
      <c r="B44" s="54"/>
      <c r="C44" s="54"/>
      <c r="D44" s="54"/>
      <c r="E44" s="54"/>
      <c r="F44" s="49" t="s">
        <v>29</v>
      </c>
      <c r="G44" s="66" t="s">
        <v>30</v>
      </c>
      <c r="H44" s="54"/>
      <c r="I44" s="54"/>
      <c r="J44" s="51">
        <f t="shared" si="5"/>
        <v>0</v>
      </c>
      <c r="K44" s="53">
        <f>SUM(K45,K49,K53)</f>
        <v>0</v>
      </c>
      <c r="L44" s="301">
        <f>SUM(L45,L49,L53)</f>
        <v>0</v>
      </c>
      <c r="M44" s="22">
        <f t="shared" si="6"/>
        <v>0</v>
      </c>
      <c r="N44" s="22">
        <v>0</v>
      </c>
    </row>
    <row r="45" spans="1:14">
      <c r="A45" s="38">
        <f t="shared" si="0"/>
        <v>45</v>
      </c>
      <c r="B45" s="46"/>
      <c r="C45" s="46"/>
      <c r="D45" s="46"/>
      <c r="E45" s="46"/>
      <c r="F45" s="49"/>
      <c r="G45" s="46" t="s">
        <v>31</v>
      </c>
      <c r="H45" s="66" t="s">
        <v>49</v>
      </c>
      <c r="I45" s="66"/>
      <c r="J45" s="51">
        <f t="shared" si="5"/>
        <v>0</v>
      </c>
      <c r="K45" s="65">
        <f>SUM(K46:K48)</f>
        <v>0</v>
      </c>
      <c r="L45" s="299">
        <f>SUM(L46:L48)</f>
        <v>0</v>
      </c>
      <c r="M45" s="22">
        <f t="shared" si="6"/>
        <v>0</v>
      </c>
      <c r="N45" s="22">
        <v>0</v>
      </c>
    </row>
    <row r="46" spans="1:14">
      <c r="A46" s="38">
        <f t="shared" si="0"/>
        <v>46</v>
      </c>
      <c r="B46" s="54"/>
      <c r="C46" s="54"/>
      <c r="D46" s="54"/>
      <c r="E46" s="54"/>
      <c r="F46" s="56"/>
      <c r="G46" s="54"/>
      <c r="H46" s="56" t="s">
        <v>50</v>
      </c>
      <c r="I46" s="56" t="s">
        <v>51</v>
      </c>
      <c r="J46" s="51">
        <f t="shared" si="5"/>
        <v>0</v>
      </c>
      <c r="K46" s="55"/>
      <c r="L46" s="297"/>
      <c r="M46" s="22">
        <f t="shared" si="6"/>
        <v>0</v>
      </c>
      <c r="N46" s="22">
        <v>0</v>
      </c>
    </row>
    <row r="47" spans="1:14">
      <c r="A47" s="38">
        <f t="shared" si="0"/>
        <v>47</v>
      </c>
      <c r="B47" s="54"/>
      <c r="C47" s="54"/>
      <c r="D47" s="54"/>
      <c r="E47" s="54"/>
      <c r="F47" s="56"/>
      <c r="G47" s="54"/>
      <c r="H47" s="54" t="s">
        <v>52</v>
      </c>
      <c r="I47" s="54" t="s">
        <v>53</v>
      </c>
      <c r="J47" s="51">
        <f t="shared" si="5"/>
        <v>0</v>
      </c>
      <c r="K47" s="55"/>
      <c r="L47" s="297"/>
      <c r="M47" s="22">
        <f t="shared" si="6"/>
        <v>0</v>
      </c>
      <c r="N47" s="22">
        <v>0</v>
      </c>
    </row>
    <row r="48" spans="1:14">
      <c r="A48" s="38">
        <f t="shared" si="0"/>
        <v>48</v>
      </c>
      <c r="B48" s="54"/>
      <c r="C48" s="54"/>
      <c r="D48" s="54"/>
      <c r="E48" s="54"/>
      <c r="F48" s="56"/>
      <c r="G48" s="54"/>
      <c r="H48" s="54" t="s">
        <v>54</v>
      </c>
      <c r="I48" s="54" t="s">
        <v>55</v>
      </c>
      <c r="J48" s="51">
        <f t="shared" si="5"/>
        <v>0</v>
      </c>
      <c r="K48" s="55"/>
      <c r="L48" s="297"/>
      <c r="M48" s="22">
        <f t="shared" si="6"/>
        <v>0</v>
      </c>
      <c r="N48" s="22">
        <v>0</v>
      </c>
    </row>
    <row r="49" spans="1:14">
      <c r="A49" s="38">
        <f t="shared" si="0"/>
        <v>49</v>
      </c>
      <c r="B49" s="46"/>
      <c r="C49" s="46"/>
      <c r="D49" s="46"/>
      <c r="E49" s="46"/>
      <c r="F49" s="49"/>
      <c r="G49" s="46" t="s">
        <v>44</v>
      </c>
      <c r="H49" s="46" t="s">
        <v>56</v>
      </c>
      <c r="I49" s="46"/>
      <c r="J49" s="51">
        <f t="shared" si="5"/>
        <v>0</v>
      </c>
      <c r="K49" s="65">
        <f>SUM(K50:K52)</f>
        <v>0</v>
      </c>
      <c r="L49" s="299">
        <f>SUM(L50:L52)</f>
        <v>0</v>
      </c>
      <c r="M49" s="22">
        <f t="shared" si="6"/>
        <v>0</v>
      </c>
      <c r="N49" s="22">
        <v>0</v>
      </c>
    </row>
    <row r="50" spans="1:14">
      <c r="A50" s="38">
        <f t="shared" si="0"/>
        <v>50</v>
      </c>
      <c r="B50" s="54"/>
      <c r="C50" s="54"/>
      <c r="D50" s="54"/>
      <c r="E50" s="54"/>
      <c r="F50" s="56"/>
      <c r="G50" s="54"/>
      <c r="H50" s="54" t="s">
        <v>50</v>
      </c>
      <c r="I50" s="56" t="s">
        <v>51</v>
      </c>
      <c r="J50" s="51">
        <f t="shared" si="5"/>
        <v>0</v>
      </c>
      <c r="K50" s="55"/>
      <c r="L50" s="297"/>
      <c r="M50" s="22">
        <f t="shared" si="6"/>
        <v>0</v>
      </c>
      <c r="N50" s="22">
        <v>0</v>
      </c>
    </row>
    <row r="51" spans="1:14">
      <c r="A51" s="38">
        <f t="shared" si="0"/>
        <v>51</v>
      </c>
      <c r="B51" s="54"/>
      <c r="C51" s="54"/>
      <c r="D51" s="54"/>
      <c r="E51" s="54"/>
      <c r="F51" s="56"/>
      <c r="G51" s="54"/>
      <c r="H51" s="54" t="s">
        <v>52</v>
      </c>
      <c r="I51" s="54" t="s">
        <v>53</v>
      </c>
      <c r="J51" s="51">
        <f t="shared" si="5"/>
        <v>0</v>
      </c>
      <c r="K51" s="55"/>
      <c r="L51" s="297"/>
      <c r="M51" s="22">
        <f t="shared" si="6"/>
        <v>0</v>
      </c>
      <c r="N51" s="22">
        <v>0</v>
      </c>
    </row>
    <row r="52" spans="1:14">
      <c r="A52" s="38">
        <f t="shared" si="0"/>
        <v>52</v>
      </c>
      <c r="B52" s="54"/>
      <c r="C52" s="54"/>
      <c r="D52" s="54"/>
      <c r="E52" s="54"/>
      <c r="F52" s="56"/>
      <c r="G52" s="54"/>
      <c r="H52" s="54" t="s">
        <v>54</v>
      </c>
      <c r="I52" s="54" t="s">
        <v>55</v>
      </c>
      <c r="J52" s="51">
        <f t="shared" si="5"/>
        <v>0</v>
      </c>
      <c r="K52" s="55"/>
      <c r="L52" s="297"/>
      <c r="M52" s="22">
        <f t="shared" si="6"/>
        <v>0</v>
      </c>
      <c r="N52" s="22">
        <v>0</v>
      </c>
    </row>
    <row r="53" spans="1:14">
      <c r="A53" s="38">
        <f t="shared" si="0"/>
        <v>53</v>
      </c>
      <c r="B53" s="54"/>
      <c r="C53" s="54"/>
      <c r="D53" s="54"/>
      <c r="E53" s="54"/>
      <c r="F53" s="56"/>
      <c r="G53" s="46" t="s">
        <v>33</v>
      </c>
      <c r="H53" s="66" t="s">
        <v>57</v>
      </c>
      <c r="I53" s="54"/>
      <c r="J53" s="51">
        <f t="shared" si="5"/>
        <v>0</v>
      </c>
      <c r="K53" s="65">
        <f>SUM(K54:K56)</f>
        <v>0</v>
      </c>
      <c r="L53" s="299">
        <f>SUM(L54:L56)</f>
        <v>0</v>
      </c>
      <c r="M53" s="22">
        <f t="shared" si="6"/>
        <v>0</v>
      </c>
      <c r="N53" s="22">
        <v>0</v>
      </c>
    </row>
    <row r="54" spans="1:14">
      <c r="A54" s="38">
        <f t="shared" si="0"/>
        <v>54</v>
      </c>
      <c r="B54" s="54"/>
      <c r="C54" s="54"/>
      <c r="D54" s="54"/>
      <c r="E54" s="54"/>
      <c r="F54" s="56"/>
      <c r="G54" s="54"/>
      <c r="H54" s="54" t="s">
        <v>50</v>
      </c>
      <c r="I54" s="56" t="s">
        <v>51</v>
      </c>
      <c r="J54" s="51">
        <f t="shared" si="5"/>
        <v>0</v>
      </c>
      <c r="K54" s="55"/>
      <c r="L54" s="297"/>
      <c r="M54" s="22">
        <f t="shared" si="6"/>
        <v>0</v>
      </c>
      <c r="N54" s="22">
        <v>0</v>
      </c>
    </row>
    <row r="55" spans="1:14">
      <c r="A55" s="38">
        <f t="shared" si="0"/>
        <v>55</v>
      </c>
      <c r="B55" s="54"/>
      <c r="C55" s="54"/>
      <c r="D55" s="54"/>
      <c r="E55" s="54"/>
      <c r="F55" s="56"/>
      <c r="G55" s="54"/>
      <c r="H55" s="54" t="s">
        <v>52</v>
      </c>
      <c r="I55" s="54" t="s">
        <v>53</v>
      </c>
      <c r="J55" s="51">
        <f t="shared" si="5"/>
        <v>0</v>
      </c>
      <c r="K55" s="55"/>
      <c r="L55" s="297"/>
      <c r="M55" s="22">
        <f t="shared" si="6"/>
        <v>0</v>
      </c>
      <c r="N55" s="22">
        <v>0</v>
      </c>
    </row>
    <row r="56" spans="1:14">
      <c r="A56" s="38">
        <f t="shared" si="0"/>
        <v>56</v>
      </c>
      <c r="B56" s="54"/>
      <c r="C56" s="54"/>
      <c r="D56" s="54"/>
      <c r="E56" s="54"/>
      <c r="F56" s="56"/>
      <c r="G56" s="54"/>
      <c r="H56" s="54" t="s">
        <v>54</v>
      </c>
      <c r="I56" s="54" t="s">
        <v>55</v>
      </c>
      <c r="J56" s="51">
        <f t="shared" si="5"/>
        <v>0</v>
      </c>
      <c r="K56" s="55"/>
      <c r="L56" s="297"/>
      <c r="M56" s="22">
        <f t="shared" si="6"/>
        <v>0</v>
      </c>
      <c r="N56" s="22">
        <v>0</v>
      </c>
    </row>
    <row r="57" spans="1:14">
      <c r="A57" s="38">
        <f t="shared" si="0"/>
        <v>57</v>
      </c>
      <c r="B57" s="54"/>
      <c r="C57" s="54"/>
      <c r="D57" s="54"/>
      <c r="E57" s="54"/>
      <c r="F57" s="49" t="s">
        <v>41</v>
      </c>
      <c r="G57" s="66" t="s">
        <v>42</v>
      </c>
      <c r="H57" s="54"/>
      <c r="I57" s="54"/>
      <c r="J57" s="51">
        <f t="shared" si="5"/>
        <v>0</v>
      </c>
      <c r="K57" s="53">
        <f>SUM(K58,K62,K70,K66)</f>
        <v>0</v>
      </c>
      <c r="L57" s="301">
        <f>SUM(L58,L62,L70,L66)</f>
        <v>0</v>
      </c>
      <c r="M57" s="22">
        <f t="shared" si="6"/>
        <v>0</v>
      </c>
      <c r="N57" s="22">
        <v>0</v>
      </c>
    </row>
    <row r="58" spans="1:14">
      <c r="A58" s="38">
        <f t="shared" si="0"/>
        <v>58</v>
      </c>
      <c r="B58" s="54"/>
      <c r="C58" s="54"/>
      <c r="D58" s="54"/>
      <c r="E58" s="54"/>
      <c r="F58" s="56"/>
      <c r="G58" s="46" t="s">
        <v>31</v>
      </c>
      <c r="H58" s="66" t="s">
        <v>49</v>
      </c>
      <c r="I58" s="66"/>
      <c r="J58" s="51">
        <f t="shared" si="5"/>
        <v>0</v>
      </c>
      <c r="K58" s="65">
        <f>SUM(K59:K61)</f>
        <v>0</v>
      </c>
      <c r="L58" s="299">
        <f>SUM(L59:L61)</f>
        <v>0</v>
      </c>
      <c r="M58" s="22">
        <f t="shared" si="6"/>
        <v>0</v>
      </c>
      <c r="N58" s="22">
        <v>0</v>
      </c>
    </row>
    <row r="59" spans="1:14">
      <c r="A59" s="38">
        <f t="shared" si="0"/>
        <v>59</v>
      </c>
      <c r="B59" s="54"/>
      <c r="C59" s="54"/>
      <c r="D59" s="54"/>
      <c r="E59" s="54"/>
      <c r="F59" s="56"/>
      <c r="G59" s="54"/>
      <c r="H59" s="56" t="s">
        <v>50</v>
      </c>
      <c r="I59" s="56" t="s">
        <v>51</v>
      </c>
      <c r="J59" s="51">
        <f t="shared" si="5"/>
        <v>0</v>
      </c>
      <c r="K59" s="55"/>
      <c r="L59" s="297"/>
      <c r="M59" s="22">
        <f t="shared" si="6"/>
        <v>0</v>
      </c>
      <c r="N59" s="22">
        <v>0</v>
      </c>
    </row>
    <row r="60" spans="1:14">
      <c r="A60" s="38">
        <f t="shared" si="0"/>
        <v>60</v>
      </c>
      <c r="B60" s="54"/>
      <c r="C60" s="54"/>
      <c r="D60" s="54"/>
      <c r="E60" s="54"/>
      <c r="F60" s="56"/>
      <c r="G60" s="54"/>
      <c r="H60" s="54" t="s">
        <v>52</v>
      </c>
      <c r="I60" s="54" t="s">
        <v>53</v>
      </c>
      <c r="J60" s="51">
        <f t="shared" si="5"/>
        <v>0</v>
      </c>
      <c r="K60" s="55"/>
      <c r="L60" s="297"/>
      <c r="M60" s="22">
        <f t="shared" si="6"/>
        <v>0</v>
      </c>
      <c r="N60" s="22">
        <v>0</v>
      </c>
    </row>
    <row r="61" spans="1:14">
      <c r="A61" s="38">
        <f t="shared" si="0"/>
        <v>61</v>
      </c>
      <c r="B61" s="54"/>
      <c r="C61" s="54"/>
      <c r="D61" s="54"/>
      <c r="E61" s="54"/>
      <c r="F61" s="56"/>
      <c r="G61" s="54"/>
      <c r="H61" s="54" t="s">
        <v>54</v>
      </c>
      <c r="I61" s="54" t="s">
        <v>55</v>
      </c>
      <c r="J61" s="51">
        <f t="shared" si="5"/>
        <v>0</v>
      </c>
      <c r="K61" s="55"/>
      <c r="L61" s="297"/>
      <c r="M61" s="22">
        <f t="shared" si="6"/>
        <v>0</v>
      </c>
      <c r="N61" s="22">
        <v>0</v>
      </c>
    </row>
    <row r="62" spans="1:14">
      <c r="A62" s="38">
        <f t="shared" si="0"/>
        <v>62</v>
      </c>
      <c r="B62" s="54"/>
      <c r="C62" s="54"/>
      <c r="D62" s="54"/>
      <c r="E62" s="54"/>
      <c r="F62" s="56"/>
      <c r="G62" s="46" t="s">
        <v>44</v>
      </c>
      <c r="H62" s="46" t="s">
        <v>56</v>
      </c>
      <c r="I62" s="54"/>
      <c r="J62" s="51">
        <f t="shared" si="5"/>
        <v>0</v>
      </c>
      <c r="K62" s="65">
        <f>SUM(K63:K65)</f>
        <v>0</v>
      </c>
      <c r="L62" s="299">
        <f>SUM(L63:L65)</f>
        <v>0</v>
      </c>
      <c r="M62" s="22">
        <f t="shared" si="6"/>
        <v>0</v>
      </c>
      <c r="N62" s="22">
        <v>0</v>
      </c>
    </row>
    <row r="63" spans="1:14">
      <c r="A63" s="38">
        <f t="shared" si="0"/>
        <v>63</v>
      </c>
      <c r="B63" s="54"/>
      <c r="C63" s="54"/>
      <c r="D63" s="54"/>
      <c r="E63" s="54"/>
      <c r="F63" s="56"/>
      <c r="G63" s="54"/>
      <c r="H63" s="54" t="s">
        <v>50</v>
      </c>
      <c r="I63" s="56" t="s">
        <v>51</v>
      </c>
      <c r="J63" s="51">
        <f t="shared" si="5"/>
        <v>0</v>
      </c>
      <c r="K63" s="55"/>
      <c r="L63" s="297"/>
      <c r="M63" s="22">
        <f t="shared" si="6"/>
        <v>0</v>
      </c>
      <c r="N63" s="22">
        <v>0</v>
      </c>
    </row>
    <row r="64" spans="1:14">
      <c r="A64" s="38">
        <f t="shared" si="0"/>
        <v>64</v>
      </c>
      <c r="B64" s="54"/>
      <c r="C64" s="54"/>
      <c r="D64" s="54"/>
      <c r="E64" s="54"/>
      <c r="F64" s="56"/>
      <c r="G64" s="54"/>
      <c r="H64" s="54" t="s">
        <v>52</v>
      </c>
      <c r="I64" s="54" t="s">
        <v>53</v>
      </c>
      <c r="J64" s="51">
        <f t="shared" si="5"/>
        <v>0</v>
      </c>
      <c r="K64" s="55"/>
      <c r="L64" s="297"/>
      <c r="M64" s="22">
        <f t="shared" si="6"/>
        <v>0</v>
      </c>
      <c r="N64" s="22">
        <v>0</v>
      </c>
    </row>
    <row r="65" spans="1:14">
      <c r="A65" s="38">
        <f t="shared" si="0"/>
        <v>65</v>
      </c>
      <c r="B65" s="54"/>
      <c r="C65" s="54"/>
      <c r="D65" s="54"/>
      <c r="E65" s="54"/>
      <c r="F65" s="56"/>
      <c r="G65" s="54"/>
      <c r="H65" s="54" t="s">
        <v>54</v>
      </c>
      <c r="I65" s="54" t="s">
        <v>55</v>
      </c>
      <c r="J65" s="51">
        <f t="shared" si="5"/>
        <v>0</v>
      </c>
      <c r="K65" s="55"/>
      <c r="L65" s="297"/>
      <c r="M65" s="22">
        <f t="shared" si="6"/>
        <v>0</v>
      </c>
      <c r="N65" s="22">
        <v>0</v>
      </c>
    </row>
    <row r="66" spans="1:14">
      <c r="A66" s="38">
        <f t="shared" si="0"/>
        <v>66</v>
      </c>
      <c r="B66" s="54"/>
      <c r="C66" s="54"/>
      <c r="D66" s="54"/>
      <c r="E66" s="54"/>
      <c r="F66" s="56"/>
      <c r="G66" s="46" t="s">
        <v>33</v>
      </c>
      <c r="H66" s="46" t="s">
        <v>58</v>
      </c>
      <c r="I66" s="54"/>
      <c r="J66" s="51">
        <f t="shared" si="5"/>
        <v>0</v>
      </c>
      <c r="K66" s="65">
        <f>SUM(K67:K69)</f>
        <v>0</v>
      </c>
      <c r="L66" s="299">
        <f>SUM(L67:L69)</f>
        <v>0</v>
      </c>
      <c r="M66" s="22">
        <f t="shared" si="6"/>
        <v>0</v>
      </c>
      <c r="N66" s="22">
        <v>0</v>
      </c>
    </row>
    <row r="67" spans="1:14">
      <c r="A67" s="38">
        <f t="shared" si="0"/>
        <v>67</v>
      </c>
      <c r="B67" s="54"/>
      <c r="C67" s="54"/>
      <c r="D67" s="54"/>
      <c r="E67" s="54"/>
      <c r="F67" s="56"/>
      <c r="G67" s="54"/>
      <c r="H67" s="56" t="s">
        <v>50</v>
      </c>
      <c r="I67" s="56" t="s">
        <v>51</v>
      </c>
      <c r="J67" s="51">
        <f t="shared" si="5"/>
        <v>0</v>
      </c>
      <c r="K67" s="55"/>
      <c r="L67" s="297"/>
      <c r="M67" s="22">
        <f t="shared" si="6"/>
        <v>0</v>
      </c>
      <c r="N67" s="22">
        <v>0</v>
      </c>
    </row>
    <row r="68" spans="1:14">
      <c r="A68" s="38">
        <f t="shared" si="0"/>
        <v>68</v>
      </c>
      <c r="B68" s="54"/>
      <c r="C68" s="54"/>
      <c r="D68" s="54"/>
      <c r="E68" s="54"/>
      <c r="F68" s="56"/>
      <c r="G68" s="54"/>
      <c r="H68" s="56" t="s">
        <v>52</v>
      </c>
      <c r="I68" s="56" t="s">
        <v>53</v>
      </c>
      <c r="J68" s="51">
        <f t="shared" si="5"/>
        <v>0</v>
      </c>
      <c r="K68" s="55"/>
      <c r="L68" s="297"/>
      <c r="M68" s="22">
        <f t="shared" si="6"/>
        <v>0</v>
      </c>
      <c r="N68" s="22">
        <v>0</v>
      </c>
    </row>
    <row r="69" spans="1:14">
      <c r="A69" s="38">
        <f t="shared" si="0"/>
        <v>69</v>
      </c>
      <c r="B69" s="54"/>
      <c r="C69" s="54"/>
      <c r="D69" s="54"/>
      <c r="E69" s="54"/>
      <c r="F69" s="56"/>
      <c r="G69" s="54"/>
      <c r="H69" s="56" t="s">
        <v>54</v>
      </c>
      <c r="I69" s="56" t="s">
        <v>55</v>
      </c>
      <c r="J69" s="51">
        <f t="shared" si="5"/>
        <v>0</v>
      </c>
      <c r="K69" s="55"/>
      <c r="L69" s="297"/>
      <c r="M69" s="22">
        <f t="shared" si="6"/>
        <v>0</v>
      </c>
      <c r="N69" s="22">
        <v>0</v>
      </c>
    </row>
    <row r="70" spans="1:14">
      <c r="A70" s="38">
        <f t="shared" si="0"/>
        <v>70</v>
      </c>
      <c r="B70" s="54"/>
      <c r="C70" s="54"/>
      <c r="D70" s="54"/>
      <c r="E70" s="54"/>
      <c r="F70" s="56"/>
      <c r="G70" s="46" t="s">
        <v>35</v>
      </c>
      <c r="H70" s="66" t="s">
        <v>57</v>
      </c>
      <c r="I70" s="54"/>
      <c r="J70" s="51">
        <f t="shared" si="5"/>
        <v>0</v>
      </c>
      <c r="K70" s="65">
        <f>SUM(K71:K73)</f>
        <v>0</v>
      </c>
      <c r="L70" s="299">
        <f>SUM(L71:L73)</f>
        <v>0</v>
      </c>
      <c r="M70" s="22">
        <f t="shared" si="6"/>
        <v>0</v>
      </c>
      <c r="N70" s="22">
        <v>0</v>
      </c>
    </row>
    <row r="71" spans="1:14">
      <c r="A71" s="38">
        <f t="shared" si="0"/>
        <v>71</v>
      </c>
      <c r="B71" s="54"/>
      <c r="C71" s="54"/>
      <c r="D71" s="54"/>
      <c r="E71" s="54"/>
      <c r="F71" s="56"/>
      <c r="G71" s="54"/>
      <c r="H71" s="56" t="s">
        <v>50</v>
      </c>
      <c r="I71" s="56" t="s">
        <v>51</v>
      </c>
      <c r="J71" s="51">
        <f t="shared" si="5"/>
        <v>0</v>
      </c>
      <c r="K71" s="55"/>
      <c r="L71" s="297"/>
      <c r="M71" s="22">
        <f t="shared" si="6"/>
        <v>0</v>
      </c>
      <c r="N71" s="22">
        <v>0</v>
      </c>
    </row>
    <row r="72" spans="1:14">
      <c r="A72" s="38">
        <f t="shared" si="0"/>
        <v>72</v>
      </c>
      <c r="B72" s="54"/>
      <c r="C72" s="54"/>
      <c r="D72" s="54"/>
      <c r="E72" s="54"/>
      <c r="F72" s="56"/>
      <c r="G72" s="54"/>
      <c r="H72" s="56" t="s">
        <v>52</v>
      </c>
      <c r="I72" s="56" t="s">
        <v>53</v>
      </c>
      <c r="J72" s="51">
        <f t="shared" si="5"/>
        <v>0</v>
      </c>
      <c r="K72" s="55"/>
      <c r="L72" s="297"/>
      <c r="M72" s="22">
        <f t="shared" si="6"/>
        <v>0</v>
      </c>
      <c r="N72" s="22">
        <v>0</v>
      </c>
    </row>
    <row r="73" spans="1:14">
      <c r="A73" s="38">
        <f t="shared" ref="A73:A136" si="7">A72+1</f>
        <v>73</v>
      </c>
      <c r="B73" s="54"/>
      <c r="C73" s="54"/>
      <c r="D73" s="54"/>
      <c r="E73" s="54"/>
      <c r="F73" s="56"/>
      <c r="G73" s="54"/>
      <c r="H73" s="56" t="s">
        <v>54</v>
      </c>
      <c r="I73" s="56" t="s">
        <v>55</v>
      </c>
      <c r="J73" s="51">
        <f t="shared" si="5"/>
        <v>0</v>
      </c>
      <c r="K73" s="55"/>
      <c r="L73" s="297"/>
      <c r="M73" s="22">
        <f t="shared" si="6"/>
        <v>0</v>
      </c>
      <c r="N73" s="22">
        <v>0</v>
      </c>
    </row>
    <row r="74" spans="1:14">
      <c r="A74" s="38">
        <f t="shared" si="7"/>
        <v>74</v>
      </c>
      <c r="B74" s="46"/>
      <c r="C74" s="46"/>
      <c r="D74" s="46"/>
      <c r="E74" s="46" t="s">
        <v>11</v>
      </c>
      <c r="F74" s="71" t="s">
        <v>24</v>
      </c>
      <c r="G74" s="46"/>
      <c r="H74" s="46"/>
      <c r="I74" s="46"/>
      <c r="J74" s="51">
        <f t="shared" si="5"/>
        <v>0</v>
      </c>
      <c r="K74" s="53">
        <f>SUM(K75,K79,K84,K88,)</f>
        <v>0</v>
      </c>
      <c r="L74" s="301">
        <f>SUM(L75,L79,L84,L88,)</f>
        <v>0</v>
      </c>
      <c r="M74" s="22">
        <f t="shared" si="6"/>
        <v>0</v>
      </c>
      <c r="N74" s="22">
        <v>0</v>
      </c>
    </row>
    <row r="75" spans="1:14">
      <c r="A75" s="38">
        <f t="shared" si="7"/>
        <v>75</v>
      </c>
      <c r="B75" s="46"/>
      <c r="C75" s="46"/>
      <c r="D75" s="46"/>
      <c r="E75" s="46"/>
      <c r="F75" s="49" t="s">
        <v>29</v>
      </c>
      <c r="G75" s="66" t="s">
        <v>59</v>
      </c>
      <c r="H75" s="46"/>
      <c r="I75" s="46"/>
      <c r="J75" s="51">
        <f t="shared" si="5"/>
        <v>0</v>
      </c>
      <c r="K75" s="52">
        <f>SUM(K76:K78)</f>
        <v>0</v>
      </c>
      <c r="L75" s="296">
        <f>SUM(L76:L78)</f>
        <v>0</v>
      </c>
      <c r="M75" s="22">
        <f t="shared" ref="M75:M93" si="8">IF(J75&lt;&gt;0,1,0)</f>
        <v>0</v>
      </c>
      <c r="N75" s="22">
        <v>0</v>
      </c>
    </row>
    <row r="76" spans="1:14">
      <c r="A76" s="38">
        <f t="shared" si="7"/>
        <v>76</v>
      </c>
      <c r="B76" s="54"/>
      <c r="C76" s="54"/>
      <c r="D76" s="54"/>
      <c r="E76" s="54"/>
      <c r="F76" s="49"/>
      <c r="G76" s="54" t="s">
        <v>31</v>
      </c>
      <c r="H76" s="69" t="s">
        <v>60</v>
      </c>
      <c r="I76" s="54"/>
      <c r="J76" s="51">
        <f t="shared" si="5"/>
        <v>0</v>
      </c>
      <c r="K76" s="55"/>
      <c r="L76" s="297"/>
      <c r="M76" s="22">
        <f t="shared" si="8"/>
        <v>0</v>
      </c>
      <c r="N76" s="22">
        <v>0</v>
      </c>
    </row>
    <row r="77" spans="1:14">
      <c r="A77" s="38">
        <f t="shared" si="7"/>
        <v>77</v>
      </c>
      <c r="B77" s="54"/>
      <c r="C77" s="54"/>
      <c r="D77" s="54"/>
      <c r="E77" s="54"/>
      <c r="F77" s="49"/>
      <c r="G77" s="54" t="s">
        <v>44</v>
      </c>
      <c r="H77" s="69" t="s">
        <v>61</v>
      </c>
      <c r="I77" s="54"/>
      <c r="J77" s="51">
        <f t="shared" si="5"/>
        <v>0</v>
      </c>
      <c r="K77" s="55"/>
      <c r="L77" s="297"/>
      <c r="M77" s="22">
        <f t="shared" si="8"/>
        <v>0</v>
      </c>
      <c r="N77" s="22">
        <v>0</v>
      </c>
    </row>
    <row r="78" spans="1:14">
      <c r="A78" s="38">
        <f t="shared" si="7"/>
        <v>78</v>
      </c>
      <c r="B78" s="54"/>
      <c r="C78" s="54"/>
      <c r="D78" s="54"/>
      <c r="E78" s="54"/>
      <c r="F78" s="56"/>
      <c r="G78" s="54" t="s">
        <v>33</v>
      </c>
      <c r="H78" s="69" t="s">
        <v>57</v>
      </c>
      <c r="I78" s="54"/>
      <c r="J78" s="51">
        <f t="shared" si="5"/>
        <v>0</v>
      </c>
      <c r="K78" s="55"/>
      <c r="L78" s="297"/>
      <c r="M78" s="22">
        <f t="shared" si="8"/>
        <v>0</v>
      </c>
      <c r="N78" s="22">
        <v>0</v>
      </c>
    </row>
    <row r="79" spans="1:14">
      <c r="A79" s="38">
        <f t="shared" si="7"/>
        <v>79</v>
      </c>
      <c r="B79" s="46"/>
      <c r="C79" s="46"/>
      <c r="D79" s="46"/>
      <c r="E79" s="46"/>
      <c r="F79" s="49" t="s">
        <v>41</v>
      </c>
      <c r="G79" s="66" t="s">
        <v>62</v>
      </c>
      <c r="H79" s="46"/>
      <c r="I79" s="46"/>
      <c r="J79" s="51">
        <f t="shared" si="5"/>
        <v>0</v>
      </c>
      <c r="K79" s="52">
        <f>SUM(K80:K83)</f>
        <v>0</v>
      </c>
      <c r="L79" s="296">
        <f>SUM(L80:L83)</f>
        <v>0</v>
      </c>
      <c r="M79" s="22">
        <f t="shared" si="8"/>
        <v>0</v>
      </c>
      <c r="N79" s="22">
        <v>0</v>
      </c>
    </row>
    <row r="80" spans="1:14">
      <c r="A80" s="38">
        <f t="shared" si="7"/>
        <v>80</v>
      </c>
      <c r="B80" s="54"/>
      <c r="C80" s="54"/>
      <c r="D80" s="54"/>
      <c r="E80" s="54"/>
      <c r="F80" s="49"/>
      <c r="G80" s="54" t="s">
        <v>31</v>
      </c>
      <c r="H80" s="69" t="s">
        <v>60</v>
      </c>
      <c r="I80" s="54"/>
      <c r="J80" s="51">
        <f t="shared" si="5"/>
        <v>0</v>
      </c>
      <c r="K80" s="55"/>
      <c r="L80" s="297"/>
      <c r="M80" s="22">
        <f t="shared" si="8"/>
        <v>0</v>
      </c>
      <c r="N80" s="22">
        <v>0</v>
      </c>
    </row>
    <row r="81" spans="1:14">
      <c r="A81" s="38">
        <f t="shared" si="7"/>
        <v>81</v>
      </c>
      <c r="B81" s="54"/>
      <c r="C81" s="54"/>
      <c r="D81" s="54"/>
      <c r="E81" s="54"/>
      <c r="F81" s="56"/>
      <c r="G81" s="54" t="s">
        <v>44</v>
      </c>
      <c r="H81" s="69" t="s">
        <v>61</v>
      </c>
      <c r="I81" s="54"/>
      <c r="J81" s="51">
        <f t="shared" si="5"/>
        <v>0</v>
      </c>
      <c r="K81" s="55"/>
      <c r="L81" s="297"/>
      <c r="M81" s="22">
        <f t="shared" si="8"/>
        <v>0</v>
      </c>
      <c r="N81" s="22">
        <v>0</v>
      </c>
    </row>
    <row r="82" spans="1:14">
      <c r="A82" s="38">
        <f t="shared" si="7"/>
        <v>82</v>
      </c>
      <c r="B82" s="54"/>
      <c r="C82" s="54"/>
      <c r="D82" s="54"/>
      <c r="E82" s="54"/>
      <c r="F82" s="56"/>
      <c r="G82" s="54" t="s">
        <v>33</v>
      </c>
      <c r="H82" s="69" t="s">
        <v>58</v>
      </c>
      <c r="I82" s="54"/>
      <c r="J82" s="51">
        <f t="shared" si="5"/>
        <v>0</v>
      </c>
      <c r="K82" s="55"/>
      <c r="L82" s="297"/>
      <c r="M82" s="22">
        <f t="shared" si="8"/>
        <v>0</v>
      </c>
      <c r="N82" s="22">
        <v>0</v>
      </c>
    </row>
    <row r="83" spans="1:14">
      <c r="A83" s="38">
        <f t="shared" si="7"/>
        <v>83</v>
      </c>
      <c r="B83" s="54"/>
      <c r="C83" s="54"/>
      <c r="D83" s="54"/>
      <c r="E83" s="54"/>
      <c r="F83" s="56"/>
      <c r="G83" s="54" t="s">
        <v>35</v>
      </c>
      <c r="H83" s="69" t="s">
        <v>57</v>
      </c>
      <c r="I83" s="54"/>
      <c r="J83" s="51">
        <f t="shared" si="5"/>
        <v>0</v>
      </c>
      <c r="K83" s="55"/>
      <c r="L83" s="297"/>
      <c r="M83" s="22">
        <f t="shared" si="8"/>
        <v>0</v>
      </c>
      <c r="N83" s="22">
        <v>0</v>
      </c>
    </row>
    <row r="84" spans="1:14">
      <c r="A84" s="38">
        <f t="shared" si="7"/>
        <v>84</v>
      </c>
      <c r="B84" s="54"/>
      <c r="C84" s="54"/>
      <c r="D84" s="54"/>
      <c r="E84" s="54"/>
      <c r="F84" s="49" t="s">
        <v>63</v>
      </c>
      <c r="G84" s="66" t="s">
        <v>64</v>
      </c>
      <c r="H84" s="54"/>
      <c r="I84" s="54"/>
      <c r="J84" s="51">
        <f t="shared" si="5"/>
        <v>0</v>
      </c>
      <c r="K84" s="52">
        <f>SUM(K85:K87)</f>
        <v>0</v>
      </c>
      <c r="L84" s="296">
        <f>SUM(L85:L87)</f>
        <v>0</v>
      </c>
      <c r="M84" s="22">
        <f t="shared" si="8"/>
        <v>0</v>
      </c>
      <c r="N84" s="22">
        <v>0</v>
      </c>
    </row>
    <row r="85" spans="1:14">
      <c r="A85" s="38">
        <f t="shared" si="7"/>
        <v>85</v>
      </c>
      <c r="B85" s="54"/>
      <c r="C85" s="54"/>
      <c r="D85" s="54"/>
      <c r="E85" s="54"/>
      <c r="F85" s="49"/>
      <c r="G85" s="54" t="s">
        <v>31</v>
      </c>
      <c r="H85" s="69" t="s">
        <v>60</v>
      </c>
      <c r="I85" s="54"/>
      <c r="J85" s="51">
        <f t="shared" si="5"/>
        <v>0</v>
      </c>
      <c r="K85" s="55"/>
      <c r="L85" s="297"/>
      <c r="M85" s="22">
        <f t="shared" si="8"/>
        <v>0</v>
      </c>
      <c r="N85" s="22">
        <v>0</v>
      </c>
    </row>
    <row r="86" spans="1:14">
      <c r="A86" s="38">
        <f t="shared" si="7"/>
        <v>86</v>
      </c>
      <c r="B86" s="54"/>
      <c r="C86" s="54"/>
      <c r="D86" s="54"/>
      <c r="E86" s="54"/>
      <c r="F86" s="56"/>
      <c r="G86" s="54" t="s">
        <v>44</v>
      </c>
      <c r="H86" s="69" t="s">
        <v>61</v>
      </c>
      <c r="I86" s="54"/>
      <c r="J86" s="51">
        <f t="shared" si="5"/>
        <v>0</v>
      </c>
      <c r="K86" s="55"/>
      <c r="L86" s="297"/>
      <c r="M86" s="22">
        <f t="shared" si="8"/>
        <v>0</v>
      </c>
      <c r="N86" s="22">
        <v>0</v>
      </c>
    </row>
    <row r="87" spans="1:14">
      <c r="A87" s="38">
        <f t="shared" si="7"/>
        <v>87</v>
      </c>
      <c r="B87" s="54"/>
      <c r="C87" s="54"/>
      <c r="D87" s="54"/>
      <c r="E87" s="54"/>
      <c r="F87" s="56"/>
      <c r="G87" s="54" t="s">
        <v>33</v>
      </c>
      <c r="H87" s="69" t="s">
        <v>57</v>
      </c>
      <c r="I87" s="54"/>
      <c r="J87" s="51">
        <f t="shared" si="5"/>
        <v>0</v>
      </c>
      <c r="K87" s="55"/>
      <c r="L87" s="297"/>
      <c r="M87" s="22">
        <f t="shared" si="8"/>
        <v>0</v>
      </c>
      <c r="N87" s="22">
        <v>0</v>
      </c>
    </row>
    <row r="88" spans="1:14">
      <c r="A88" s="38">
        <f t="shared" si="7"/>
        <v>88</v>
      </c>
      <c r="B88" s="54"/>
      <c r="C88" s="54"/>
      <c r="D88" s="54"/>
      <c r="E88" s="54"/>
      <c r="F88" s="49" t="s">
        <v>65</v>
      </c>
      <c r="G88" s="66" t="s">
        <v>66</v>
      </c>
      <c r="H88" s="54"/>
      <c r="I88" s="54"/>
      <c r="J88" s="51">
        <f t="shared" si="5"/>
        <v>0</v>
      </c>
      <c r="K88" s="52">
        <f>SUM(K89:K92)</f>
        <v>0</v>
      </c>
      <c r="L88" s="296">
        <f>SUM(L89:L92)</f>
        <v>0</v>
      </c>
      <c r="M88" s="22">
        <f t="shared" si="8"/>
        <v>0</v>
      </c>
      <c r="N88" s="22">
        <v>0</v>
      </c>
    </row>
    <row r="89" spans="1:14">
      <c r="A89" s="38">
        <f t="shared" si="7"/>
        <v>89</v>
      </c>
      <c r="B89" s="54"/>
      <c r="C89" s="54"/>
      <c r="D89" s="54"/>
      <c r="E89" s="54"/>
      <c r="F89" s="56"/>
      <c r="G89" s="54" t="s">
        <v>31</v>
      </c>
      <c r="H89" s="69" t="s">
        <v>60</v>
      </c>
      <c r="I89" s="54"/>
      <c r="J89" s="51">
        <f t="shared" si="5"/>
        <v>0</v>
      </c>
      <c r="K89" s="55"/>
      <c r="L89" s="297"/>
      <c r="M89" s="22">
        <f t="shared" si="8"/>
        <v>0</v>
      </c>
      <c r="N89" s="22">
        <v>0</v>
      </c>
    </row>
    <row r="90" spans="1:14">
      <c r="A90" s="38">
        <f t="shared" si="7"/>
        <v>90</v>
      </c>
      <c r="B90" s="54"/>
      <c r="C90" s="54"/>
      <c r="D90" s="54"/>
      <c r="E90" s="54"/>
      <c r="F90" s="56"/>
      <c r="G90" s="54" t="s">
        <v>44</v>
      </c>
      <c r="H90" s="69" t="s">
        <v>61</v>
      </c>
      <c r="I90" s="54"/>
      <c r="J90" s="51">
        <f t="shared" si="5"/>
        <v>0</v>
      </c>
      <c r="K90" s="55"/>
      <c r="L90" s="297"/>
      <c r="M90" s="22">
        <f t="shared" si="8"/>
        <v>0</v>
      </c>
      <c r="N90" s="22">
        <v>0</v>
      </c>
    </row>
    <row r="91" spans="1:14">
      <c r="A91" s="38">
        <f t="shared" si="7"/>
        <v>91</v>
      </c>
      <c r="B91" s="54"/>
      <c r="C91" s="54"/>
      <c r="D91" s="54"/>
      <c r="E91" s="54"/>
      <c r="F91" s="56"/>
      <c r="G91" s="54" t="s">
        <v>33</v>
      </c>
      <c r="H91" s="69" t="s">
        <v>58</v>
      </c>
      <c r="I91" s="54"/>
      <c r="J91" s="51">
        <f t="shared" si="5"/>
        <v>0</v>
      </c>
      <c r="K91" s="55"/>
      <c r="L91" s="297"/>
      <c r="M91" s="22">
        <f t="shared" si="8"/>
        <v>0</v>
      </c>
      <c r="N91" s="22">
        <v>0</v>
      </c>
    </row>
    <row r="92" spans="1:14">
      <c r="A92" s="38">
        <f t="shared" si="7"/>
        <v>92</v>
      </c>
      <c r="B92" s="54"/>
      <c r="C92" s="54"/>
      <c r="D92" s="54"/>
      <c r="E92" s="54"/>
      <c r="F92" s="56"/>
      <c r="G92" s="54" t="s">
        <v>35</v>
      </c>
      <c r="H92" s="69" t="s">
        <v>57</v>
      </c>
      <c r="I92" s="54"/>
      <c r="J92" s="51">
        <f t="shared" si="5"/>
        <v>0</v>
      </c>
      <c r="K92" s="55"/>
      <c r="L92" s="297"/>
      <c r="M92" s="22">
        <f t="shared" si="8"/>
        <v>0</v>
      </c>
      <c r="N92" s="22">
        <v>0</v>
      </c>
    </row>
    <row r="93" spans="1:14">
      <c r="A93" s="38">
        <f t="shared" si="7"/>
        <v>93</v>
      </c>
      <c r="B93" s="56"/>
      <c r="C93" s="56"/>
      <c r="D93" s="56"/>
      <c r="E93" s="56"/>
      <c r="F93" s="56"/>
      <c r="G93" s="56"/>
      <c r="H93" s="56"/>
      <c r="I93" s="56"/>
      <c r="J93" s="58"/>
      <c r="K93" s="58"/>
      <c r="L93" s="298"/>
      <c r="M93" s="22">
        <f t="shared" si="8"/>
        <v>0</v>
      </c>
      <c r="N93" s="22">
        <v>0</v>
      </c>
    </row>
    <row r="94" spans="1:14" ht="14">
      <c r="A94" s="38">
        <f t="shared" si="7"/>
        <v>94</v>
      </c>
      <c r="B94" s="54"/>
      <c r="C94" s="54"/>
      <c r="D94" s="63" t="s">
        <v>67</v>
      </c>
      <c r="E94" s="64" t="s">
        <v>68</v>
      </c>
      <c r="F94" s="61"/>
      <c r="G94" s="60"/>
      <c r="H94" s="60"/>
      <c r="I94" s="60"/>
      <c r="J94" s="51">
        <f>SUM(K94:L94)</f>
        <v>0</v>
      </c>
      <c r="K94" s="62">
        <f>SUM(K95,K133)</f>
        <v>0</v>
      </c>
      <c r="L94" s="51">
        <f>SUM(L95,L133)</f>
        <v>0</v>
      </c>
      <c r="M94" s="22">
        <v>1</v>
      </c>
      <c r="N94" s="22">
        <v>1</v>
      </c>
    </row>
    <row r="95" spans="1:14">
      <c r="A95" s="38">
        <f t="shared" si="7"/>
        <v>95</v>
      </c>
      <c r="B95" s="54"/>
      <c r="C95" s="54"/>
      <c r="D95" s="54"/>
      <c r="E95" s="46" t="s">
        <v>9</v>
      </c>
      <c r="F95" s="48" t="s">
        <v>8</v>
      </c>
      <c r="G95" s="54"/>
      <c r="H95" s="54"/>
      <c r="I95" s="54"/>
      <c r="J95" s="51">
        <f t="shared" ref="J95:J151" si="9">SUM(K95:L95)</f>
        <v>0</v>
      </c>
      <c r="K95" s="62">
        <f>SUM(K96,K112)</f>
        <v>0</v>
      </c>
      <c r="L95" s="51">
        <f>SUM(L96,L112)</f>
        <v>0</v>
      </c>
      <c r="M95" s="22">
        <f t="shared" ref="M95:M126" si="10">IF(J95&lt;&gt;0,1,0)</f>
        <v>0</v>
      </c>
      <c r="N95" s="22">
        <v>0</v>
      </c>
    </row>
    <row r="96" spans="1:14" ht="13" customHeight="1">
      <c r="A96" s="38">
        <f t="shared" si="7"/>
        <v>96</v>
      </c>
      <c r="B96" s="54"/>
      <c r="C96" s="54"/>
      <c r="D96" s="54"/>
      <c r="E96" s="54"/>
      <c r="F96" s="49" t="s">
        <v>29</v>
      </c>
      <c r="G96" s="66" t="s">
        <v>30</v>
      </c>
      <c r="H96" s="54"/>
      <c r="I96" s="54"/>
      <c r="J96" s="51">
        <f t="shared" si="9"/>
        <v>0</v>
      </c>
      <c r="K96" s="62">
        <f>SUM(K97,K102,K107)</f>
        <v>0</v>
      </c>
      <c r="L96" s="51">
        <f>SUM(L97,L102,L107)</f>
        <v>0</v>
      </c>
      <c r="M96" s="22">
        <f t="shared" si="10"/>
        <v>0</v>
      </c>
      <c r="N96" s="22">
        <v>0</v>
      </c>
    </row>
    <row r="97" spans="1:14" ht="13" customHeight="1">
      <c r="A97" s="38">
        <f t="shared" si="7"/>
        <v>97</v>
      </c>
      <c r="B97" s="46"/>
      <c r="C97" s="46"/>
      <c r="D97" s="46"/>
      <c r="E97" s="46"/>
      <c r="F97" s="49"/>
      <c r="G97" s="46" t="s">
        <v>31</v>
      </c>
      <c r="H97" s="66" t="s">
        <v>49</v>
      </c>
      <c r="I97" s="66"/>
      <c r="J97" s="51">
        <f t="shared" si="9"/>
        <v>0</v>
      </c>
      <c r="K97" s="65">
        <f>SUM(K98:K101)</f>
        <v>0</v>
      </c>
      <c r="L97" s="299">
        <f>SUM(L98:L101)</f>
        <v>0</v>
      </c>
      <c r="M97" s="22">
        <f t="shared" si="10"/>
        <v>0</v>
      </c>
      <c r="N97" s="22">
        <v>0</v>
      </c>
    </row>
    <row r="98" spans="1:14" ht="13" customHeight="1">
      <c r="A98" s="38">
        <f t="shared" si="7"/>
        <v>98</v>
      </c>
      <c r="B98" s="54"/>
      <c r="C98" s="54"/>
      <c r="D98" s="54"/>
      <c r="E98" s="54"/>
      <c r="F98" s="56"/>
      <c r="G98" s="56"/>
      <c r="H98" s="54" t="s">
        <v>50</v>
      </c>
      <c r="I98" s="54" t="s">
        <v>51</v>
      </c>
      <c r="J98" s="51">
        <f t="shared" si="9"/>
        <v>0</v>
      </c>
      <c r="K98" s="55"/>
      <c r="L98" s="297"/>
      <c r="M98" s="22">
        <f t="shared" si="10"/>
        <v>0</v>
      </c>
      <c r="N98" s="22">
        <v>0</v>
      </c>
    </row>
    <row r="99" spans="1:14">
      <c r="A99" s="38">
        <f t="shared" si="7"/>
        <v>99</v>
      </c>
      <c r="B99" s="54"/>
      <c r="C99" s="54"/>
      <c r="D99" s="54"/>
      <c r="E99" s="54"/>
      <c r="F99" s="56"/>
      <c r="G99" s="54"/>
      <c r="H99" s="54" t="s">
        <v>52</v>
      </c>
      <c r="I99" s="54" t="s">
        <v>53</v>
      </c>
      <c r="J99" s="51">
        <f t="shared" si="9"/>
        <v>0</v>
      </c>
      <c r="K99" s="55"/>
      <c r="L99" s="297"/>
      <c r="M99" s="22">
        <f t="shared" si="10"/>
        <v>0</v>
      </c>
      <c r="N99" s="22">
        <v>0</v>
      </c>
    </row>
    <row r="100" spans="1:14">
      <c r="A100" s="38">
        <f t="shared" si="7"/>
        <v>100</v>
      </c>
      <c r="B100" s="54"/>
      <c r="C100" s="54"/>
      <c r="D100" s="54"/>
      <c r="E100" s="54"/>
      <c r="F100" s="56"/>
      <c r="G100" s="54"/>
      <c r="H100" s="54" t="s">
        <v>54</v>
      </c>
      <c r="I100" s="54" t="s">
        <v>55</v>
      </c>
      <c r="J100" s="51">
        <f t="shared" si="9"/>
        <v>0</v>
      </c>
      <c r="K100" s="55"/>
      <c r="L100" s="297"/>
      <c r="M100" s="22">
        <f t="shared" si="10"/>
        <v>0</v>
      </c>
      <c r="N100" s="22">
        <v>0</v>
      </c>
    </row>
    <row r="101" spans="1:14" ht="13" customHeight="1">
      <c r="A101" s="38">
        <f t="shared" si="7"/>
        <v>101</v>
      </c>
      <c r="B101" s="54"/>
      <c r="C101" s="54"/>
      <c r="D101" s="54"/>
      <c r="E101" s="54"/>
      <c r="F101" s="56"/>
      <c r="G101" s="54"/>
      <c r="H101" s="54" t="s">
        <v>69</v>
      </c>
      <c r="I101" s="54" t="s">
        <v>70</v>
      </c>
      <c r="J101" s="51">
        <f t="shared" si="9"/>
        <v>0</v>
      </c>
      <c r="K101" s="70"/>
      <c r="L101" s="300"/>
      <c r="M101" s="22">
        <f t="shared" si="10"/>
        <v>0</v>
      </c>
      <c r="N101" s="22">
        <v>0</v>
      </c>
    </row>
    <row r="102" spans="1:14">
      <c r="A102" s="38">
        <f t="shared" si="7"/>
        <v>102</v>
      </c>
      <c r="B102" s="46"/>
      <c r="C102" s="46"/>
      <c r="D102" s="46"/>
      <c r="E102" s="46"/>
      <c r="F102" s="49"/>
      <c r="G102" s="46" t="s">
        <v>44</v>
      </c>
      <c r="H102" s="46" t="s">
        <v>56</v>
      </c>
      <c r="I102" s="46"/>
      <c r="J102" s="51">
        <f t="shared" si="9"/>
        <v>0</v>
      </c>
      <c r="K102" s="65">
        <f>SUM(K103:K106)</f>
        <v>0</v>
      </c>
      <c r="L102" s="299">
        <f>SUM(L103:L106)</f>
        <v>0</v>
      </c>
      <c r="M102" s="22">
        <f t="shared" si="10"/>
        <v>0</v>
      </c>
      <c r="N102" s="22">
        <v>0</v>
      </c>
    </row>
    <row r="103" spans="1:14">
      <c r="A103" s="38">
        <f t="shared" si="7"/>
        <v>103</v>
      </c>
      <c r="B103" s="54"/>
      <c r="C103" s="54"/>
      <c r="D103" s="54"/>
      <c r="E103" s="54"/>
      <c r="F103" s="56"/>
      <c r="G103" s="46"/>
      <c r="H103" s="54" t="s">
        <v>50</v>
      </c>
      <c r="I103" s="54" t="s">
        <v>71</v>
      </c>
      <c r="J103" s="51">
        <f t="shared" si="9"/>
        <v>0</v>
      </c>
      <c r="K103" s="55"/>
      <c r="L103" s="297"/>
      <c r="M103" s="22">
        <f t="shared" si="10"/>
        <v>0</v>
      </c>
      <c r="N103" s="22">
        <v>0</v>
      </c>
    </row>
    <row r="104" spans="1:14" ht="13" customHeight="1">
      <c r="A104" s="38">
        <f t="shared" si="7"/>
        <v>104</v>
      </c>
      <c r="B104" s="54"/>
      <c r="C104" s="54"/>
      <c r="D104" s="54"/>
      <c r="E104" s="54"/>
      <c r="F104" s="56"/>
      <c r="G104" s="54"/>
      <c r="H104" s="54" t="s">
        <v>52</v>
      </c>
      <c r="I104" s="54" t="s">
        <v>53</v>
      </c>
      <c r="J104" s="51">
        <f t="shared" si="9"/>
        <v>0</v>
      </c>
      <c r="K104" s="55"/>
      <c r="L104" s="297"/>
      <c r="M104" s="22">
        <f t="shared" si="10"/>
        <v>0</v>
      </c>
      <c r="N104" s="22">
        <v>0</v>
      </c>
    </row>
    <row r="105" spans="1:14" ht="13" customHeight="1">
      <c r="A105" s="38">
        <f t="shared" si="7"/>
        <v>105</v>
      </c>
      <c r="B105" s="54"/>
      <c r="C105" s="54"/>
      <c r="D105" s="54"/>
      <c r="E105" s="54"/>
      <c r="F105" s="56"/>
      <c r="G105" s="54"/>
      <c r="H105" s="54" t="s">
        <v>54</v>
      </c>
      <c r="I105" s="54" t="s">
        <v>55</v>
      </c>
      <c r="J105" s="51">
        <f t="shared" si="9"/>
        <v>0</v>
      </c>
      <c r="K105" s="55"/>
      <c r="L105" s="297"/>
      <c r="M105" s="22">
        <f t="shared" si="10"/>
        <v>0</v>
      </c>
      <c r="N105" s="22">
        <v>0</v>
      </c>
    </row>
    <row r="106" spans="1:14" ht="13" customHeight="1">
      <c r="A106" s="38">
        <f t="shared" si="7"/>
        <v>106</v>
      </c>
      <c r="B106" s="54"/>
      <c r="C106" s="54"/>
      <c r="D106" s="54"/>
      <c r="E106" s="54"/>
      <c r="F106" s="56"/>
      <c r="G106" s="54"/>
      <c r="H106" s="54" t="s">
        <v>69</v>
      </c>
      <c r="I106" s="54" t="s">
        <v>70</v>
      </c>
      <c r="J106" s="51">
        <f t="shared" si="9"/>
        <v>0</v>
      </c>
      <c r="K106" s="70"/>
      <c r="L106" s="300"/>
      <c r="M106" s="22">
        <f t="shared" si="10"/>
        <v>0</v>
      </c>
      <c r="N106" s="22">
        <v>0</v>
      </c>
    </row>
    <row r="107" spans="1:14" ht="13" customHeight="1">
      <c r="A107" s="38">
        <f t="shared" si="7"/>
        <v>107</v>
      </c>
      <c r="B107" s="54"/>
      <c r="C107" s="54"/>
      <c r="D107" s="54"/>
      <c r="E107" s="54"/>
      <c r="F107" s="56"/>
      <c r="G107" s="46" t="s">
        <v>33</v>
      </c>
      <c r="H107" s="66" t="s">
        <v>57</v>
      </c>
      <c r="I107" s="54"/>
      <c r="J107" s="51">
        <f t="shared" si="9"/>
        <v>0</v>
      </c>
      <c r="K107" s="65">
        <f>SUM(K108:K111)</f>
        <v>0</v>
      </c>
      <c r="L107" s="299">
        <f>SUM(L108:L111)</f>
        <v>0</v>
      </c>
      <c r="M107" s="22">
        <f t="shared" si="10"/>
        <v>0</v>
      </c>
      <c r="N107" s="22">
        <v>0</v>
      </c>
    </row>
    <row r="108" spans="1:14" ht="13" customHeight="1">
      <c r="A108" s="38">
        <f t="shared" si="7"/>
        <v>108</v>
      </c>
      <c r="B108" s="54"/>
      <c r="C108" s="54"/>
      <c r="D108" s="54"/>
      <c r="E108" s="54"/>
      <c r="F108" s="56"/>
      <c r="G108" s="54"/>
      <c r="H108" s="54" t="s">
        <v>50</v>
      </c>
      <c r="I108" s="54" t="s">
        <v>51</v>
      </c>
      <c r="J108" s="51">
        <f t="shared" si="9"/>
        <v>0</v>
      </c>
      <c r="K108" s="55"/>
      <c r="L108" s="297"/>
      <c r="M108" s="22">
        <f t="shared" si="10"/>
        <v>0</v>
      </c>
      <c r="N108" s="22">
        <v>0</v>
      </c>
    </row>
    <row r="109" spans="1:14">
      <c r="A109" s="38">
        <f t="shared" si="7"/>
        <v>109</v>
      </c>
      <c r="B109" s="54"/>
      <c r="C109" s="54"/>
      <c r="D109" s="54"/>
      <c r="E109" s="54"/>
      <c r="F109" s="56"/>
      <c r="G109" s="54"/>
      <c r="H109" s="54" t="s">
        <v>52</v>
      </c>
      <c r="I109" s="54" t="s">
        <v>53</v>
      </c>
      <c r="J109" s="51">
        <f t="shared" si="9"/>
        <v>0</v>
      </c>
      <c r="K109" s="55"/>
      <c r="L109" s="297"/>
      <c r="M109" s="22">
        <f t="shared" si="10"/>
        <v>0</v>
      </c>
      <c r="N109" s="22">
        <v>0</v>
      </c>
    </row>
    <row r="110" spans="1:14">
      <c r="A110" s="38">
        <f t="shared" si="7"/>
        <v>110</v>
      </c>
      <c r="B110" s="54"/>
      <c r="C110" s="54"/>
      <c r="D110" s="54"/>
      <c r="E110" s="54"/>
      <c r="F110" s="56"/>
      <c r="G110" s="54"/>
      <c r="H110" s="54" t="s">
        <v>54</v>
      </c>
      <c r="I110" s="54" t="s">
        <v>55</v>
      </c>
      <c r="J110" s="51">
        <f t="shared" si="9"/>
        <v>0</v>
      </c>
      <c r="K110" s="55"/>
      <c r="L110" s="297"/>
      <c r="M110" s="22">
        <f t="shared" si="10"/>
        <v>0</v>
      </c>
      <c r="N110" s="22">
        <v>0</v>
      </c>
    </row>
    <row r="111" spans="1:14">
      <c r="A111" s="38">
        <f t="shared" si="7"/>
        <v>111</v>
      </c>
      <c r="B111" s="54"/>
      <c r="C111" s="54"/>
      <c r="D111" s="54"/>
      <c r="E111" s="54"/>
      <c r="F111" s="56"/>
      <c r="G111" s="54"/>
      <c r="H111" s="54" t="s">
        <v>69</v>
      </c>
      <c r="I111" s="54" t="s">
        <v>70</v>
      </c>
      <c r="J111" s="51">
        <f t="shared" si="9"/>
        <v>0</v>
      </c>
      <c r="K111" s="70"/>
      <c r="L111" s="300"/>
      <c r="M111" s="22">
        <f t="shared" si="10"/>
        <v>0</v>
      </c>
      <c r="N111" s="22">
        <v>0</v>
      </c>
    </row>
    <row r="112" spans="1:14">
      <c r="A112" s="38">
        <f t="shared" si="7"/>
        <v>112</v>
      </c>
      <c r="B112" s="54"/>
      <c r="C112" s="54"/>
      <c r="D112" s="54"/>
      <c r="E112" s="54"/>
      <c r="F112" s="49" t="s">
        <v>41</v>
      </c>
      <c r="G112" s="66" t="s">
        <v>42</v>
      </c>
      <c r="H112" s="54"/>
      <c r="I112" s="54"/>
      <c r="J112" s="51">
        <f t="shared" si="9"/>
        <v>0</v>
      </c>
      <c r="K112" s="62">
        <f>SUM(K113,K118,K123,K128)</f>
        <v>0</v>
      </c>
      <c r="L112" s="51">
        <f>SUM(L113,L118,L123,L128)</f>
        <v>0</v>
      </c>
      <c r="M112" s="22">
        <f t="shared" si="10"/>
        <v>0</v>
      </c>
      <c r="N112" s="22">
        <v>0</v>
      </c>
    </row>
    <row r="113" spans="1:14" ht="13" customHeight="1">
      <c r="A113" s="38">
        <f t="shared" si="7"/>
        <v>113</v>
      </c>
      <c r="B113" s="54"/>
      <c r="C113" s="54"/>
      <c r="D113" s="54"/>
      <c r="E113" s="54"/>
      <c r="F113" s="56"/>
      <c r="G113" s="46" t="s">
        <v>31</v>
      </c>
      <c r="H113" s="66" t="s">
        <v>49</v>
      </c>
      <c r="I113" s="66"/>
      <c r="J113" s="51">
        <f t="shared" si="9"/>
        <v>0</v>
      </c>
      <c r="K113" s="65">
        <f>SUM(K114:K117)</f>
        <v>0</v>
      </c>
      <c r="L113" s="299">
        <f>SUM(L114:L117)</f>
        <v>0</v>
      </c>
      <c r="M113" s="22">
        <f t="shared" si="10"/>
        <v>0</v>
      </c>
      <c r="N113" s="22">
        <v>0</v>
      </c>
    </row>
    <row r="114" spans="1:14" ht="13" customHeight="1">
      <c r="A114" s="38">
        <f t="shared" si="7"/>
        <v>114</v>
      </c>
      <c r="B114" s="54"/>
      <c r="C114" s="54"/>
      <c r="D114" s="54"/>
      <c r="E114" s="54"/>
      <c r="F114" s="56"/>
      <c r="G114" s="56"/>
      <c r="H114" s="54" t="s">
        <v>50</v>
      </c>
      <c r="I114" s="54" t="s">
        <v>51</v>
      </c>
      <c r="J114" s="51">
        <f t="shared" si="9"/>
        <v>0</v>
      </c>
      <c r="K114" s="55"/>
      <c r="L114" s="297"/>
      <c r="M114" s="22">
        <f t="shared" si="10"/>
        <v>0</v>
      </c>
      <c r="N114" s="22">
        <v>0</v>
      </c>
    </row>
    <row r="115" spans="1:14" ht="13" customHeight="1">
      <c r="A115" s="38">
        <f t="shared" si="7"/>
        <v>115</v>
      </c>
      <c r="B115" s="54"/>
      <c r="C115" s="54"/>
      <c r="D115" s="54"/>
      <c r="E115" s="54"/>
      <c r="F115" s="56"/>
      <c r="G115" s="54"/>
      <c r="H115" s="54" t="s">
        <v>52</v>
      </c>
      <c r="I115" s="54" t="s">
        <v>53</v>
      </c>
      <c r="J115" s="51">
        <f t="shared" si="9"/>
        <v>0</v>
      </c>
      <c r="K115" s="55"/>
      <c r="L115" s="297"/>
      <c r="M115" s="22">
        <f t="shared" si="10"/>
        <v>0</v>
      </c>
      <c r="N115" s="22">
        <v>0</v>
      </c>
    </row>
    <row r="116" spans="1:14">
      <c r="A116" s="38">
        <f t="shared" si="7"/>
        <v>116</v>
      </c>
      <c r="B116" s="54"/>
      <c r="C116" s="54"/>
      <c r="D116" s="54"/>
      <c r="E116" s="54"/>
      <c r="F116" s="56"/>
      <c r="G116" s="54"/>
      <c r="H116" s="54" t="s">
        <v>54</v>
      </c>
      <c r="I116" s="54" t="s">
        <v>55</v>
      </c>
      <c r="J116" s="51">
        <f t="shared" si="9"/>
        <v>0</v>
      </c>
      <c r="K116" s="55"/>
      <c r="L116" s="297"/>
      <c r="M116" s="22">
        <f t="shared" si="10"/>
        <v>0</v>
      </c>
      <c r="N116" s="22">
        <v>0</v>
      </c>
    </row>
    <row r="117" spans="1:14" ht="13" customHeight="1">
      <c r="A117" s="38">
        <f t="shared" si="7"/>
        <v>117</v>
      </c>
      <c r="B117" s="54"/>
      <c r="C117" s="54"/>
      <c r="D117" s="54"/>
      <c r="E117" s="54"/>
      <c r="F117" s="56"/>
      <c r="G117" s="54"/>
      <c r="H117" s="54" t="s">
        <v>69</v>
      </c>
      <c r="I117" s="54" t="s">
        <v>70</v>
      </c>
      <c r="J117" s="51">
        <f t="shared" si="9"/>
        <v>0</v>
      </c>
      <c r="K117" s="70"/>
      <c r="L117" s="300"/>
      <c r="M117" s="22">
        <f t="shared" si="10"/>
        <v>0</v>
      </c>
      <c r="N117" s="22">
        <v>0</v>
      </c>
    </row>
    <row r="118" spans="1:14">
      <c r="A118" s="38">
        <f t="shared" si="7"/>
        <v>118</v>
      </c>
      <c r="B118" s="54"/>
      <c r="C118" s="54"/>
      <c r="D118" s="54"/>
      <c r="E118" s="54"/>
      <c r="F118" s="56"/>
      <c r="G118" s="46" t="s">
        <v>44</v>
      </c>
      <c r="H118" s="46" t="s">
        <v>56</v>
      </c>
      <c r="I118" s="54"/>
      <c r="J118" s="51">
        <f t="shared" si="9"/>
        <v>0</v>
      </c>
      <c r="K118" s="65">
        <f>SUM(K119:K122)</f>
        <v>0</v>
      </c>
      <c r="L118" s="299">
        <f>SUM(L119:L122)</f>
        <v>0</v>
      </c>
      <c r="M118" s="22">
        <f t="shared" si="10"/>
        <v>0</v>
      </c>
      <c r="N118" s="22">
        <v>0</v>
      </c>
    </row>
    <row r="119" spans="1:14">
      <c r="A119" s="38">
        <f t="shared" si="7"/>
        <v>119</v>
      </c>
      <c r="B119" s="54"/>
      <c r="C119" s="54"/>
      <c r="D119" s="54"/>
      <c r="E119" s="54"/>
      <c r="F119" s="56"/>
      <c r="G119" s="46"/>
      <c r="H119" s="54" t="s">
        <v>50</v>
      </c>
      <c r="I119" s="54" t="s">
        <v>51</v>
      </c>
      <c r="J119" s="51">
        <f t="shared" si="9"/>
        <v>0</v>
      </c>
      <c r="K119" s="55"/>
      <c r="L119" s="297"/>
      <c r="M119" s="22">
        <f t="shared" si="10"/>
        <v>0</v>
      </c>
      <c r="N119" s="22">
        <v>0</v>
      </c>
    </row>
    <row r="120" spans="1:14" ht="14.25" customHeight="1">
      <c r="A120" s="38">
        <f t="shared" si="7"/>
        <v>120</v>
      </c>
      <c r="B120" s="54"/>
      <c r="C120" s="54"/>
      <c r="D120" s="54"/>
      <c r="E120" s="54"/>
      <c r="F120" s="56"/>
      <c r="G120" s="54"/>
      <c r="H120" s="54" t="s">
        <v>52</v>
      </c>
      <c r="I120" s="54" t="s">
        <v>53</v>
      </c>
      <c r="J120" s="51">
        <f t="shared" si="9"/>
        <v>0</v>
      </c>
      <c r="K120" s="55"/>
      <c r="L120" s="297"/>
      <c r="M120" s="22">
        <f t="shared" si="10"/>
        <v>0</v>
      </c>
      <c r="N120" s="22">
        <v>0</v>
      </c>
    </row>
    <row r="121" spans="1:14" ht="15" customHeight="1">
      <c r="A121" s="38">
        <f t="shared" si="7"/>
        <v>121</v>
      </c>
      <c r="B121" s="54"/>
      <c r="C121" s="54"/>
      <c r="D121" s="54"/>
      <c r="E121" s="54"/>
      <c r="F121" s="56"/>
      <c r="G121" s="54"/>
      <c r="H121" s="54" t="s">
        <v>54</v>
      </c>
      <c r="I121" s="54" t="s">
        <v>55</v>
      </c>
      <c r="J121" s="51">
        <f t="shared" si="9"/>
        <v>0</v>
      </c>
      <c r="K121" s="55"/>
      <c r="L121" s="297"/>
      <c r="M121" s="22">
        <f t="shared" si="10"/>
        <v>0</v>
      </c>
      <c r="N121" s="22">
        <v>0</v>
      </c>
    </row>
    <row r="122" spans="1:14">
      <c r="A122" s="38">
        <f t="shared" si="7"/>
        <v>122</v>
      </c>
      <c r="B122" s="54"/>
      <c r="C122" s="54"/>
      <c r="D122" s="54"/>
      <c r="E122" s="54"/>
      <c r="F122" s="56"/>
      <c r="G122" s="54"/>
      <c r="H122" s="54" t="s">
        <v>69</v>
      </c>
      <c r="I122" s="54" t="s">
        <v>70</v>
      </c>
      <c r="J122" s="51">
        <f t="shared" si="9"/>
        <v>0</v>
      </c>
      <c r="K122" s="70"/>
      <c r="L122" s="300"/>
      <c r="M122" s="22">
        <f t="shared" si="10"/>
        <v>0</v>
      </c>
      <c r="N122" s="22">
        <v>0</v>
      </c>
    </row>
    <row r="123" spans="1:14">
      <c r="A123" s="38">
        <f t="shared" si="7"/>
        <v>123</v>
      </c>
      <c r="B123" s="54"/>
      <c r="C123" s="54"/>
      <c r="D123" s="54"/>
      <c r="E123" s="54"/>
      <c r="F123" s="56"/>
      <c r="G123" s="46" t="s">
        <v>33</v>
      </c>
      <c r="H123" s="46" t="s">
        <v>58</v>
      </c>
      <c r="I123" s="54"/>
      <c r="J123" s="51">
        <f t="shared" si="9"/>
        <v>0</v>
      </c>
      <c r="K123" s="65">
        <f>SUM(K124:K127)</f>
        <v>0</v>
      </c>
      <c r="L123" s="299">
        <f>SUM(L124:L127)</f>
        <v>0</v>
      </c>
      <c r="M123" s="22">
        <f t="shared" si="10"/>
        <v>0</v>
      </c>
      <c r="N123" s="22">
        <v>0</v>
      </c>
    </row>
    <row r="124" spans="1:14">
      <c r="A124" s="38">
        <f t="shared" si="7"/>
        <v>124</v>
      </c>
      <c r="B124" s="54"/>
      <c r="C124" s="54"/>
      <c r="D124" s="54"/>
      <c r="E124" s="54"/>
      <c r="F124" s="56"/>
      <c r="G124" s="56"/>
      <c r="H124" s="54" t="s">
        <v>50</v>
      </c>
      <c r="I124" s="54" t="s">
        <v>51</v>
      </c>
      <c r="J124" s="51">
        <f t="shared" si="9"/>
        <v>0</v>
      </c>
      <c r="K124" s="55"/>
      <c r="L124" s="297"/>
      <c r="M124" s="22">
        <f t="shared" si="10"/>
        <v>0</v>
      </c>
      <c r="N124" s="22">
        <v>0</v>
      </c>
    </row>
    <row r="125" spans="1:14">
      <c r="A125" s="38">
        <f t="shared" si="7"/>
        <v>125</v>
      </c>
      <c r="B125" s="54"/>
      <c r="C125" s="54"/>
      <c r="D125" s="54"/>
      <c r="E125" s="54"/>
      <c r="F125" s="56"/>
      <c r="G125" s="54"/>
      <c r="H125" s="54" t="s">
        <v>52</v>
      </c>
      <c r="I125" s="54" t="s">
        <v>53</v>
      </c>
      <c r="J125" s="51">
        <f t="shared" si="9"/>
        <v>0</v>
      </c>
      <c r="K125" s="55"/>
      <c r="L125" s="297"/>
      <c r="M125" s="22">
        <f t="shared" si="10"/>
        <v>0</v>
      </c>
      <c r="N125" s="22">
        <v>0</v>
      </c>
    </row>
    <row r="126" spans="1:14">
      <c r="A126" s="38">
        <f t="shared" si="7"/>
        <v>126</v>
      </c>
      <c r="B126" s="54"/>
      <c r="C126" s="54"/>
      <c r="D126" s="54"/>
      <c r="E126" s="54"/>
      <c r="F126" s="56"/>
      <c r="G126" s="54"/>
      <c r="H126" s="54" t="s">
        <v>54</v>
      </c>
      <c r="I126" s="54" t="s">
        <v>55</v>
      </c>
      <c r="J126" s="51">
        <f t="shared" si="9"/>
        <v>0</v>
      </c>
      <c r="K126" s="55"/>
      <c r="L126" s="297"/>
      <c r="M126" s="22">
        <f t="shared" si="10"/>
        <v>0</v>
      </c>
      <c r="N126" s="22">
        <v>0</v>
      </c>
    </row>
    <row r="127" spans="1:14">
      <c r="A127" s="38">
        <f t="shared" si="7"/>
        <v>127</v>
      </c>
      <c r="B127" s="54"/>
      <c r="C127" s="54"/>
      <c r="D127" s="54"/>
      <c r="E127" s="54"/>
      <c r="F127" s="56"/>
      <c r="G127" s="54"/>
      <c r="H127" s="54" t="s">
        <v>69</v>
      </c>
      <c r="I127" s="54" t="s">
        <v>70</v>
      </c>
      <c r="J127" s="51">
        <f t="shared" si="9"/>
        <v>0</v>
      </c>
      <c r="K127" s="70"/>
      <c r="L127" s="300"/>
      <c r="M127" s="22">
        <f t="shared" ref="M127:M152" si="11">IF(J127&lt;&gt;0,1,0)</f>
        <v>0</v>
      </c>
      <c r="N127" s="22">
        <v>0</v>
      </c>
    </row>
    <row r="128" spans="1:14">
      <c r="A128" s="38">
        <f t="shared" si="7"/>
        <v>128</v>
      </c>
      <c r="B128" s="54"/>
      <c r="C128" s="54"/>
      <c r="D128" s="54"/>
      <c r="E128" s="54"/>
      <c r="F128" s="56"/>
      <c r="G128" s="46" t="s">
        <v>35</v>
      </c>
      <c r="H128" s="66" t="s">
        <v>57</v>
      </c>
      <c r="I128" s="54"/>
      <c r="J128" s="51">
        <f t="shared" si="9"/>
        <v>0</v>
      </c>
      <c r="K128" s="65">
        <f>SUM(K129:K132)</f>
        <v>0</v>
      </c>
      <c r="L128" s="299">
        <f>SUM(L129:L132)</f>
        <v>0</v>
      </c>
      <c r="M128" s="22">
        <f t="shared" si="11"/>
        <v>0</v>
      </c>
      <c r="N128" s="22">
        <v>0</v>
      </c>
    </row>
    <row r="129" spans="1:14">
      <c r="A129" s="38">
        <f t="shared" si="7"/>
        <v>129</v>
      </c>
      <c r="B129" s="54"/>
      <c r="C129" s="54"/>
      <c r="D129" s="54"/>
      <c r="E129" s="54"/>
      <c r="F129" s="56"/>
      <c r="G129" s="56"/>
      <c r="H129" s="54" t="s">
        <v>50</v>
      </c>
      <c r="I129" s="54" t="s">
        <v>51</v>
      </c>
      <c r="J129" s="51">
        <f t="shared" si="9"/>
        <v>0</v>
      </c>
      <c r="K129" s="55"/>
      <c r="L129" s="297"/>
      <c r="M129" s="22">
        <f t="shared" si="11"/>
        <v>0</v>
      </c>
      <c r="N129" s="22">
        <v>0</v>
      </c>
    </row>
    <row r="130" spans="1:14">
      <c r="A130" s="38">
        <f t="shared" si="7"/>
        <v>130</v>
      </c>
      <c r="B130" s="54"/>
      <c r="C130" s="54"/>
      <c r="D130" s="54"/>
      <c r="E130" s="54"/>
      <c r="F130" s="56"/>
      <c r="G130" s="54"/>
      <c r="H130" s="54" t="s">
        <v>52</v>
      </c>
      <c r="I130" s="54" t="s">
        <v>53</v>
      </c>
      <c r="J130" s="51">
        <f t="shared" si="9"/>
        <v>0</v>
      </c>
      <c r="K130" s="55"/>
      <c r="L130" s="297"/>
      <c r="M130" s="22">
        <f t="shared" si="11"/>
        <v>0</v>
      </c>
      <c r="N130" s="22">
        <v>0</v>
      </c>
    </row>
    <row r="131" spans="1:14">
      <c r="A131" s="38">
        <f t="shared" si="7"/>
        <v>131</v>
      </c>
      <c r="B131" s="54"/>
      <c r="C131" s="54"/>
      <c r="D131" s="54"/>
      <c r="E131" s="54"/>
      <c r="F131" s="56"/>
      <c r="G131" s="54"/>
      <c r="H131" s="54" t="s">
        <v>54</v>
      </c>
      <c r="I131" s="54" t="s">
        <v>55</v>
      </c>
      <c r="J131" s="51">
        <f t="shared" si="9"/>
        <v>0</v>
      </c>
      <c r="K131" s="55"/>
      <c r="L131" s="297"/>
      <c r="M131" s="22">
        <f t="shared" si="11"/>
        <v>0</v>
      </c>
      <c r="N131" s="22">
        <v>0</v>
      </c>
    </row>
    <row r="132" spans="1:14">
      <c r="A132" s="38">
        <f t="shared" si="7"/>
        <v>132</v>
      </c>
      <c r="B132" s="54"/>
      <c r="C132" s="54"/>
      <c r="D132" s="54"/>
      <c r="E132" s="54"/>
      <c r="F132" s="56"/>
      <c r="G132" s="54"/>
      <c r="H132" s="54" t="s">
        <v>69</v>
      </c>
      <c r="I132" s="54" t="s">
        <v>70</v>
      </c>
      <c r="J132" s="51">
        <f t="shared" si="9"/>
        <v>0</v>
      </c>
      <c r="K132" s="70"/>
      <c r="L132" s="300"/>
      <c r="M132" s="22">
        <f t="shared" si="11"/>
        <v>0</v>
      </c>
      <c r="N132" s="22">
        <v>0</v>
      </c>
    </row>
    <row r="133" spans="1:14">
      <c r="A133" s="38">
        <f t="shared" si="7"/>
        <v>133</v>
      </c>
      <c r="B133" s="46"/>
      <c r="C133" s="46"/>
      <c r="D133" s="46"/>
      <c r="E133" s="46" t="s">
        <v>11</v>
      </c>
      <c r="F133" s="71" t="s">
        <v>24</v>
      </c>
      <c r="G133" s="46"/>
      <c r="H133" s="46"/>
      <c r="I133" s="46"/>
      <c r="J133" s="51">
        <f t="shared" si="9"/>
        <v>0</v>
      </c>
      <c r="K133" s="62">
        <f>SUM(K134,K138,K143,K147)</f>
        <v>0</v>
      </c>
      <c r="L133" s="51">
        <f>SUM(L134,L138,L143,L147)</f>
        <v>0</v>
      </c>
      <c r="M133" s="22">
        <f t="shared" si="11"/>
        <v>0</v>
      </c>
      <c r="N133" s="22">
        <v>0</v>
      </c>
    </row>
    <row r="134" spans="1:14">
      <c r="A134" s="38">
        <f t="shared" si="7"/>
        <v>134</v>
      </c>
      <c r="B134" s="46"/>
      <c r="C134" s="46"/>
      <c r="D134" s="46"/>
      <c r="E134" s="46"/>
      <c r="F134" s="49" t="s">
        <v>29</v>
      </c>
      <c r="G134" s="66" t="s">
        <v>59</v>
      </c>
      <c r="H134" s="46"/>
      <c r="I134" s="46"/>
      <c r="J134" s="51">
        <f t="shared" si="9"/>
        <v>0</v>
      </c>
      <c r="K134" s="65">
        <f>SUM(K135:K137)</f>
        <v>0</v>
      </c>
      <c r="L134" s="299">
        <f>SUM(L135:L137)</f>
        <v>0</v>
      </c>
      <c r="M134" s="22">
        <f t="shared" si="11"/>
        <v>0</v>
      </c>
      <c r="N134" s="22">
        <v>0</v>
      </c>
    </row>
    <row r="135" spans="1:14">
      <c r="A135" s="38">
        <f t="shared" si="7"/>
        <v>135</v>
      </c>
      <c r="B135" s="54"/>
      <c r="C135" s="54"/>
      <c r="D135" s="54"/>
      <c r="E135" s="54"/>
      <c r="F135" s="49"/>
      <c r="G135" s="54" t="s">
        <v>31</v>
      </c>
      <c r="H135" s="69" t="s">
        <v>60</v>
      </c>
      <c r="I135" s="54"/>
      <c r="J135" s="51">
        <f t="shared" si="9"/>
        <v>0</v>
      </c>
      <c r="K135" s="55"/>
      <c r="L135" s="297"/>
      <c r="M135" s="22">
        <f t="shared" si="11"/>
        <v>0</v>
      </c>
      <c r="N135" s="22">
        <v>0</v>
      </c>
    </row>
    <row r="136" spans="1:14">
      <c r="A136" s="38">
        <f t="shared" si="7"/>
        <v>136</v>
      </c>
      <c r="B136" s="54"/>
      <c r="C136" s="54"/>
      <c r="D136" s="54"/>
      <c r="E136" s="54"/>
      <c r="F136" s="49"/>
      <c r="G136" s="54" t="s">
        <v>44</v>
      </c>
      <c r="H136" s="69" t="s">
        <v>61</v>
      </c>
      <c r="I136" s="54"/>
      <c r="J136" s="51">
        <f t="shared" si="9"/>
        <v>0</v>
      </c>
      <c r="K136" s="55"/>
      <c r="L136" s="297"/>
      <c r="M136" s="22">
        <f t="shared" si="11"/>
        <v>0</v>
      </c>
      <c r="N136" s="22">
        <v>0</v>
      </c>
    </row>
    <row r="137" spans="1:14">
      <c r="A137" s="38">
        <f t="shared" ref="A137:A200" si="12">A136+1</f>
        <v>137</v>
      </c>
      <c r="B137" s="54"/>
      <c r="C137" s="54"/>
      <c r="D137" s="54"/>
      <c r="E137" s="54"/>
      <c r="F137" s="56"/>
      <c r="G137" s="54" t="s">
        <v>33</v>
      </c>
      <c r="H137" s="69" t="s">
        <v>57</v>
      </c>
      <c r="I137" s="54"/>
      <c r="J137" s="51">
        <f t="shared" si="9"/>
        <v>0</v>
      </c>
      <c r="K137" s="55"/>
      <c r="L137" s="297"/>
      <c r="M137" s="22">
        <f t="shared" si="11"/>
        <v>0</v>
      </c>
      <c r="N137" s="22">
        <v>0</v>
      </c>
    </row>
    <row r="138" spans="1:14">
      <c r="A138" s="38">
        <f t="shared" si="12"/>
        <v>138</v>
      </c>
      <c r="B138" s="46"/>
      <c r="C138" s="46"/>
      <c r="D138" s="46"/>
      <c r="E138" s="46"/>
      <c r="F138" s="49" t="s">
        <v>41</v>
      </c>
      <c r="G138" s="66" t="s">
        <v>62</v>
      </c>
      <c r="H138" s="46"/>
      <c r="I138" s="46"/>
      <c r="J138" s="51">
        <f t="shared" si="9"/>
        <v>0</v>
      </c>
      <c r="K138" s="65">
        <f>SUM(K139:K142)</f>
        <v>0</v>
      </c>
      <c r="L138" s="299">
        <f>SUM(L139:L142)</f>
        <v>0</v>
      </c>
      <c r="M138" s="22">
        <f t="shared" si="11"/>
        <v>0</v>
      </c>
      <c r="N138" s="22">
        <v>0</v>
      </c>
    </row>
    <row r="139" spans="1:14">
      <c r="A139" s="38">
        <f t="shared" si="12"/>
        <v>139</v>
      </c>
      <c r="B139" s="54"/>
      <c r="C139" s="54"/>
      <c r="D139" s="54"/>
      <c r="E139" s="54"/>
      <c r="F139" s="49"/>
      <c r="G139" s="54" t="s">
        <v>31</v>
      </c>
      <c r="H139" s="69" t="s">
        <v>60</v>
      </c>
      <c r="I139" s="69"/>
      <c r="J139" s="51">
        <f t="shared" si="9"/>
        <v>0</v>
      </c>
      <c r="K139" s="55"/>
      <c r="L139" s="297"/>
      <c r="M139" s="22">
        <f t="shared" si="11"/>
        <v>0</v>
      </c>
      <c r="N139" s="22">
        <v>0</v>
      </c>
    </row>
    <row r="140" spans="1:14">
      <c r="A140" s="38">
        <f t="shared" si="12"/>
        <v>140</v>
      </c>
      <c r="B140" s="54"/>
      <c r="C140" s="54"/>
      <c r="D140" s="54"/>
      <c r="E140" s="54"/>
      <c r="F140" s="56"/>
      <c r="G140" s="54" t="s">
        <v>44</v>
      </c>
      <c r="H140" s="69" t="s">
        <v>61</v>
      </c>
      <c r="I140" s="54"/>
      <c r="J140" s="51">
        <f t="shared" si="9"/>
        <v>0</v>
      </c>
      <c r="K140" s="55"/>
      <c r="L140" s="297"/>
      <c r="M140" s="22">
        <f t="shared" si="11"/>
        <v>0</v>
      </c>
      <c r="N140" s="22">
        <v>0</v>
      </c>
    </row>
    <row r="141" spans="1:14">
      <c r="A141" s="38">
        <f t="shared" si="12"/>
        <v>141</v>
      </c>
      <c r="B141" s="54"/>
      <c r="C141" s="54"/>
      <c r="D141" s="54"/>
      <c r="E141" s="54"/>
      <c r="F141" s="56"/>
      <c r="G141" s="54" t="s">
        <v>33</v>
      </c>
      <c r="H141" s="54" t="s">
        <v>58</v>
      </c>
      <c r="I141" s="54"/>
      <c r="J141" s="51">
        <f t="shared" si="9"/>
        <v>0</v>
      </c>
      <c r="K141" s="55"/>
      <c r="L141" s="297"/>
      <c r="M141" s="22">
        <f t="shared" si="11"/>
        <v>0</v>
      </c>
      <c r="N141" s="22">
        <v>0</v>
      </c>
    </row>
    <row r="142" spans="1:14">
      <c r="A142" s="38">
        <f t="shared" si="12"/>
        <v>142</v>
      </c>
      <c r="B142" s="54"/>
      <c r="C142" s="54"/>
      <c r="D142" s="54"/>
      <c r="E142" s="54"/>
      <c r="F142" s="56"/>
      <c r="G142" s="54" t="s">
        <v>35</v>
      </c>
      <c r="H142" s="69" t="s">
        <v>57</v>
      </c>
      <c r="I142" s="54"/>
      <c r="J142" s="51">
        <f t="shared" si="9"/>
        <v>0</v>
      </c>
      <c r="K142" s="55"/>
      <c r="L142" s="297"/>
      <c r="M142" s="22">
        <f t="shared" si="11"/>
        <v>0</v>
      </c>
      <c r="N142" s="22">
        <v>0</v>
      </c>
    </row>
    <row r="143" spans="1:14">
      <c r="A143" s="38">
        <f t="shared" si="12"/>
        <v>143</v>
      </c>
      <c r="B143" s="54"/>
      <c r="C143" s="54"/>
      <c r="D143" s="54"/>
      <c r="E143" s="54"/>
      <c r="F143" s="49" t="s">
        <v>63</v>
      </c>
      <c r="G143" s="66" t="s">
        <v>64</v>
      </c>
      <c r="H143" s="54"/>
      <c r="I143" s="54"/>
      <c r="J143" s="51">
        <f t="shared" si="9"/>
        <v>0</v>
      </c>
      <c r="K143" s="65">
        <f>SUM(K144:K146)</f>
        <v>0</v>
      </c>
      <c r="L143" s="299">
        <f>SUM(L144:L146)</f>
        <v>0</v>
      </c>
      <c r="M143" s="22">
        <f t="shared" si="11"/>
        <v>0</v>
      </c>
      <c r="N143" s="22">
        <v>0</v>
      </c>
    </row>
    <row r="144" spans="1:14">
      <c r="A144" s="38">
        <f t="shared" si="12"/>
        <v>144</v>
      </c>
      <c r="B144" s="54"/>
      <c r="C144" s="54"/>
      <c r="D144" s="54"/>
      <c r="E144" s="54"/>
      <c r="F144" s="49"/>
      <c r="G144" s="54" t="s">
        <v>31</v>
      </c>
      <c r="H144" s="69" t="s">
        <v>60</v>
      </c>
      <c r="I144" s="54"/>
      <c r="J144" s="51">
        <f t="shared" si="9"/>
        <v>0</v>
      </c>
      <c r="K144" s="55"/>
      <c r="L144" s="297"/>
      <c r="M144" s="22">
        <f t="shared" si="11"/>
        <v>0</v>
      </c>
      <c r="N144" s="22">
        <v>0</v>
      </c>
    </row>
    <row r="145" spans="1:14">
      <c r="A145" s="38">
        <f t="shared" si="12"/>
        <v>145</v>
      </c>
      <c r="B145" s="54"/>
      <c r="C145" s="54"/>
      <c r="D145" s="54"/>
      <c r="E145" s="54"/>
      <c r="F145" s="56"/>
      <c r="G145" s="54" t="s">
        <v>44</v>
      </c>
      <c r="H145" s="69" t="s">
        <v>61</v>
      </c>
      <c r="I145" s="54"/>
      <c r="J145" s="51">
        <f t="shared" si="9"/>
        <v>0</v>
      </c>
      <c r="K145" s="55"/>
      <c r="L145" s="297"/>
      <c r="M145" s="22">
        <f t="shared" si="11"/>
        <v>0</v>
      </c>
      <c r="N145" s="22">
        <v>0</v>
      </c>
    </row>
    <row r="146" spans="1:14">
      <c r="A146" s="38">
        <f t="shared" si="12"/>
        <v>146</v>
      </c>
      <c r="B146" s="54"/>
      <c r="C146" s="54"/>
      <c r="D146" s="54"/>
      <c r="E146" s="54"/>
      <c r="F146" s="56"/>
      <c r="G146" s="54" t="s">
        <v>33</v>
      </c>
      <c r="H146" s="69" t="s">
        <v>57</v>
      </c>
      <c r="I146" s="54"/>
      <c r="J146" s="51">
        <f t="shared" si="9"/>
        <v>0</v>
      </c>
      <c r="K146" s="55"/>
      <c r="L146" s="297"/>
      <c r="M146" s="22">
        <f t="shared" si="11"/>
        <v>0</v>
      </c>
      <c r="N146" s="22">
        <v>0</v>
      </c>
    </row>
    <row r="147" spans="1:14">
      <c r="A147" s="38">
        <f t="shared" si="12"/>
        <v>147</v>
      </c>
      <c r="B147" s="54"/>
      <c r="C147" s="54"/>
      <c r="D147" s="54"/>
      <c r="E147" s="54"/>
      <c r="F147" s="49" t="s">
        <v>65</v>
      </c>
      <c r="G147" s="66" t="s">
        <v>66</v>
      </c>
      <c r="H147" s="54"/>
      <c r="I147" s="54"/>
      <c r="J147" s="51">
        <f t="shared" si="9"/>
        <v>0</v>
      </c>
      <c r="K147" s="65">
        <f>SUM(K148:K151)</f>
        <v>0</v>
      </c>
      <c r="L147" s="299">
        <f>SUM(L148:L151)</f>
        <v>0</v>
      </c>
      <c r="M147" s="22">
        <f t="shared" si="11"/>
        <v>0</v>
      </c>
      <c r="N147" s="22">
        <v>0</v>
      </c>
    </row>
    <row r="148" spans="1:14">
      <c r="A148" s="38">
        <f t="shared" si="12"/>
        <v>148</v>
      </c>
      <c r="B148" s="54"/>
      <c r="C148" s="54"/>
      <c r="D148" s="54"/>
      <c r="E148" s="54"/>
      <c r="F148" s="56"/>
      <c r="G148" s="54" t="s">
        <v>31</v>
      </c>
      <c r="H148" s="69" t="s">
        <v>60</v>
      </c>
      <c r="I148" s="54"/>
      <c r="J148" s="51">
        <f t="shared" si="9"/>
        <v>0</v>
      </c>
      <c r="K148" s="55"/>
      <c r="L148" s="297"/>
      <c r="M148" s="22">
        <f t="shared" si="11"/>
        <v>0</v>
      </c>
      <c r="N148" s="22">
        <v>0</v>
      </c>
    </row>
    <row r="149" spans="1:14">
      <c r="A149" s="38">
        <f t="shared" si="12"/>
        <v>149</v>
      </c>
      <c r="B149" s="54"/>
      <c r="C149" s="54"/>
      <c r="D149" s="54"/>
      <c r="E149" s="54"/>
      <c r="F149" s="56"/>
      <c r="G149" s="54" t="s">
        <v>44</v>
      </c>
      <c r="H149" s="69" t="s">
        <v>61</v>
      </c>
      <c r="I149" s="54"/>
      <c r="J149" s="51">
        <f t="shared" si="9"/>
        <v>0</v>
      </c>
      <c r="K149" s="55"/>
      <c r="L149" s="297"/>
      <c r="M149" s="22">
        <f t="shared" si="11"/>
        <v>0</v>
      </c>
      <c r="N149" s="22">
        <v>0</v>
      </c>
    </row>
    <row r="150" spans="1:14">
      <c r="A150" s="38">
        <f t="shared" si="12"/>
        <v>150</v>
      </c>
      <c r="B150" s="54"/>
      <c r="C150" s="54"/>
      <c r="D150" s="54"/>
      <c r="E150" s="54"/>
      <c r="F150" s="56"/>
      <c r="G150" s="54" t="s">
        <v>33</v>
      </c>
      <c r="H150" s="54" t="s">
        <v>58</v>
      </c>
      <c r="I150" s="54"/>
      <c r="J150" s="51">
        <f t="shared" si="9"/>
        <v>0</v>
      </c>
      <c r="K150" s="55"/>
      <c r="L150" s="297"/>
      <c r="M150" s="22">
        <f t="shared" si="11"/>
        <v>0</v>
      </c>
      <c r="N150" s="22">
        <v>0</v>
      </c>
    </row>
    <row r="151" spans="1:14">
      <c r="A151" s="38">
        <f t="shared" si="12"/>
        <v>151</v>
      </c>
      <c r="B151" s="54"/>
      <c r="C151" s="54"/>
      <c r="D151" s="54"/>
      <c r="E151" s="54"/>
      <c r="F151" s="56"/>
      <c r="G151" s="54" t="s">
        <v>35</v>
      </c>
      <c r="H151" s="69" t="s">
        <v>57</v>
      </c>
      <c r="I151" s="54"/>
      <c r="J151" s="51">
        <f t="shared" si="9"/>
        <v>0</v>
      </c>
      <c r="K151" s="55"/>
      <c r="L151" s="297"/>
      <c r="M151" s="22">
        <f t="shared" si="11"/>
        <v>0</v>
      </c>
      <c r="N151" s="22">
        <v>0</v>
      </c>
    </row>
    <row r="152" spans="1:14">
      <c r="A152" s="38">
        <f t="shared" si="12"/>
        <v>152</v>
      </c>
      <c r="B152" s="56"/>
      <c r="C152" s="56"/>
      <c r="D152" s="56"/>
      <c r="E152" s="56"/>
      <c r="F152" s="56"/>
      <c r="G152" s="56"/>
      <c r="H152" s="56"/>
      <c r="I152" s="57"/>
      <c r="J152" s="58"/>
      <c r="K152" s="58"/>
      <c r="L152" s="298"/>
      <c r="M152" s="22">
        <f t="shared" si="11"/>
        <v>0</v>
      </c>
      <c r="N152" s="22">
        <v>0</v>
      </c>
    </row>
    <row r="153" spans="1:14" ht="14">
      <c r="A153" s="38">
        <f t="shared" si="12"/>
        <v>153</v>
      </c>
      <c r="B153" s="54"/>
      <c r="C153" s="60"/>
      <c r="D153" s="39" t="s">
        <v>72</v>
      </c>
      <c r="E153" s="64" t="s">
        <v>73</v>
      </c>
      <c r="F153" s="61"/>
      <c r="G153" s="60"/>
      <c r="H153" s="60"/>
      <c r="I153" s="60"/>
      <c r="J153" s="51">
        <f>SUM(K153:L153)</f>
        <v>0</v>
      </c>
      <c r="K153" s="62">
        <f>SUM(K154,K164)</f>
        <v>0</v>
      </c>
      <c r="L153" s="51">
        <f>SUM(L154,L164)</f>
        <v>0</v>
      </c>
      <c r="M153" s="22">
        <v>1</v>
      </c>
      <c r="N153" s="22">
        <v>1</v>
      </c>
    </row>
    <row r="154" spans="1:14">
      <c r="A154" s="38">
        <f t="shared" si="12"/>
        <v>154</v>
      </c>
      <c r="B154" s="54"/>
      <c r="C154" s="54"/>
      <c r="D154" s="46"/>
      <c r="E154" s="46" t="s">
        <v>9</v>
      </c>
      <c r="F154" s="48" t="s">
        <v>8</v>
      </c>
      <c r="G154" s="54"/>
      <c r="H154" s="54"/>
      <c r="I154" s="54"/>
      <c r="J154" s="51">
        <f t="shared" ref="J154:J171" si="13">SUM(K154:L154)</f>
        <v>0</v>
      </c>
      <c r="K154" s="62">
        <f>SUM(K155,K163)</f>
        <v>0</v>
      </c>
      <c r="L154" s="51">
        <f>SUM(L155,L163)</f>
        <v>0</v>
      </c>
      <c r="M154" s="22">
        <f t="shared" ref="M154:M172" si="14">IF(J154&lt;&gt;0,1,0)</f>
        <v>0</v>
      </c>
      <c r="N154" s="22">
        <v>0</v>
      </c>
    </row>
    <row r="155" spans="1:14">
      <c r="A155" s="38">
        <f t="shared" si="12"/>
        <v>155</v>
      </c>
      <c r="B155" s="46"/>
      <c r="C155" s="46"/>
      <c r="D155" s="46"/>
      <c r="E155" s="46"/>
      <c r="F155" s="49" t="s">
        <v>29</v>
      </c>
      <c r="G155" s="66" t="s">
        <v>30</v>
      </c>
      <c r="H155" s="46"/>
      <c r="I155" s="46"/>
      <c r="J155" s="51">
        <f t="shared" si="13"/>
        <v>0</v>
      </c>
      <c r="K155" s="65">
        <f>SUM(K156,K160,K161,K162)</f>
        <v>0</v>
      </c>
      <c r="L155" s="299">
        <f>SUM(L156,L160,L161,L162)</f>
        <v>0</v>
      </c>
      <c r="M155" s="22">
        <f t="shared" si="14"/>
        <v>0</v>
      </c>
      <c r="N155" s="22">
        <v>0</v>
      </c>
    </row>
    <row r="156" spans="1:14">
      <c r="A156" s="38">
        <f t="shared" si="12"/>
        <v>156</v>
      </c>
      <c r="B156" s="54"/>
      <c r="C156" s="54"/>
      <c r="D156" s="54"/>
      <c r="E156" s="54"/>
      <c r="F156" s="56"/>
      <c r="G156" s="54" t="s">
        <v>31</v>
      </c>
      <c r="H156" s="69" t="s">
        <v>74</v>
      </c>
      <c r="I156" s="54"/>
      <c r="J156" s="51">
        <f t="shared" si="13"/>
        <v>0</v>
      </c>
      <c r="K156" s="52">
        <f>SUM(K157:K159)</f>
        <v>0</v>
      </c>
      <c r="L156" s="296">
        <f>SUM(L157:L159)</f>
        <v>0</v>
      </c>
      <c r="M156" s="22">
        <f t="shared" si="14"/>
        <v>0</v>
      </c>
      <c r="N156" s="22">
        <v>0</v>
      </c>
    </row>
    <row r="157" spans="1:14">
      <c r="A157" s="38">
        <f t="shared" si="12"/>
        <v>157</v>
      </c>
      <c r="B157" s="54"/>
      <c r="C157" s="54"/>
      <c r="D157" s="54"/>
      <c r="E157" s="54"/>
      <c r="F157" s="56"/>
      <c r="G157" s="54"/>
      <c r="H157" s="54" t="s">
        <v>50</v>
      </c>
      <c r="I157" s="69" t="s">
        <v>75</v>
      </c>
      <c r="J157" s="51">
        <f t="shared" si="13"/>
        <v>0</v>
      </c>
      <c r="K157" s="55"/>
      <c r="L157" s="297"/>
      <c r="M157" s="22">
        <f t="shared" si="14"/>
        <v>0</v>
      </c>
      <c r="N157" s="22">
        <v>0</v>
      </c>
    </row>
    <row r="158" spans="1:14">
      <c r="A158" s="38">
        <f t="shared" si="12"/>
        <v>158</v>
      </c>
      <c r="B158" s="54"/>
      <c r="C158" s="54"/>
      <c r="D158" s="54"/>
      <c r="E158" s="54"/>
      <c r="F158" s="56"/>
      <c r="G158" s="54"/>
      <c r="H158" s="54" t="s">
        <v>52</v>
      </c>
      <c r="I158" s="69" t="s">
        <v>76</v>
      </c>
      <c r="J158" s="51">
        <f t="shared" si="13"/>
        <v>0</v>
      </c>
      <c r="K158" s="55"/>
      <c r="L158" s="297"/>
      <c r="M158" s="22">
        <f t="shared" si="14"/>
        <v>0</v>
      </c>
      <c r="N158" s="22">
        <v>0</v>
      </c>
    </row>
    <row r="159" spans="1:14">
      <c r="A159" s="38">
        <f t="shared" si="12"/>
        <v>159</v>
      </c>
      <c r="B159" s="54"/>
      <c r="C159" s="54"/>
      <c r="D159" s="54"/>
      <c r="E159" s="54"/>
      <c r="F159" s="56"/>
      <c r="G159" s="54"/>
      <c r="H159" s="54" t="s">
        <v>54</v>
      </c>
      <c r="I159" s="69" t="s">
        <v>77</v>
      </c>
      <c r="J159" s="51">
        <f t="shared" si="13"/>
        <v>0</v>
      </c>
      <c r="K159" s="55"/>
      <c r="L159" s="297"/>
      <c r="M159" s="22">
        <f t="shared" si="14"/>
        <v>0</v>
      </c>
      <c r="N159" s="22">
        <v>0</v>
      </c>
    </row>
    <row r="160" spans="1:14">
      <c r="A160" s="38">
        <f t="shared" si="12"/>
        <v>160</v>
      </c>
      <c r="B160" s="54"/>
      <c r="C160" s="54"/>
      <c r="D160" s="54"/>
      <c r="E160" s="54"/>
      <c r="F160" s="56"/>
      <c r="G160" s="54" t="s">
        <v>44</v>
      </c>
      <c r="H160" s="69" t="s">
        <v>78</v>
      </c>
      <c r="I160" s="54"/>
      <c r="J160" s="51">
        <f t="shared" si="13"/>
        <v>0</v>
      </c>
      <c r="K160" s="55"/>
      <c r="L160" s="297"/>
      <c r="M160" s="22">
        <f t="shared" si="14"/>
        <v>0</v>
      </c>
      <c r="N160" s="22">
        <v>0</v>
      </c>
    </row>
    <row r="161" spans="1:14">
      <c r="A161" s="38">
        <f t="shared" si="12"/>
        <v>161</v>
      </c>
      <c r="B161" s="54"/>
      <c r="C161" s="54"/>
      <c r="D161" s="54"/>
      <c r="E161" s="54"/>
      <c r="F161" s="56"/>
      <c r="G161" s="54" t="s">
        <v>33</v>
      </c>
      <c r="H161" s="69" t="s">
        <v>79</v>
      </c>
      <c r="I161" s="54"/>
      <c r="J161" s="51">
        <f t="shared" si="13"/>
        <v>0</v>
      </c>
      <c r="K161" s="55"/>
      <c r="L161" s="297"/>
      <c r="M161" s="22">
        <f t="shared" si="14"/>
        <v>0</v>
      </c>
      <c r="N161" s="22">
        <v>0</v>
      </c>
    </row>
    <row r="162" spans="1:14">
      <c r="A162" s="38">
        <f t="shared" si="12"/>
        <v>162</v>
      </c>
      <c r="B162" s="54"/>
      <c r="C162" s="54"/>
      <c r="D162" s="54"/>
      <c r="E162" s="54"/>
      <c r="F162" s="56"/>
      <c r="G162" s="54" t="s">
        <v>35</v>
      </c>
      <c r="H162" s="69" t="s">
        <v>80</v>
      </c>
      <c r="I162" s="54"/>
      <c r="J162" s="51">
        <f t="shared" si="13"/>
        <v>0</v>
      </c>
      <c r="K162" s="55"/>
      <c r="L162" s="297"/>
      <c r="M162" s="22">
        <f t="shared" si="14"/>
        <v>0</v>
      </c>
      <c r="N162" s="22">
        <v>0</v>
      </c>
    </row>
    <row r="163" spans="1:14">
      <c r="A163" s="38">
        <f t="shared" si="12"/>
        <v>163</v>
      </c>
      <c r="B163" s="46"/>
      <c r="C163" s="46"/>
      <c r="D163" s="46"/>
      <c r="E163" s="46"/>
      <c r="F163" s="49" t="s">
        <v>41</v>
      </c>
      <c r="G163" s="66" t="s">
        <v>42</v>
      </c>
      <c r="H163" s="46"/>
      <c r="I163" s="46"/>
      <c r="J163" s="51">
        <f t="shared" si="13"/>
        <v>0</v>
      </c>
      <c r="K163" s="55"/>
      <c r="L163" s="297"/>
      <c r="M163" s="22">
        <f t="shared" si="14"/>
        <v>0</v>
      </c>
      <c r="N163" s="22">
        <v>0</v>
      </c>
    </row>
    <row r="164" spans="1:14">
      <c r="A164" s="38">
        <f t="shared" si="12"/>
        <v>164</v>
      </c>
      <c r="B164" s="46"/>
      <c r="C164" s="46"/>
      <c r="D164" s="46"/>
      <c r="E164" s="46" t="s">
        <v>11</v>
      </c>
      <c r="F164" s="71" t="s">
        <v>24</v>
      </c>
      <c r="G164" s="46"/>
      <c r="H164" s="46"/>
      <c r="I164" s="46"/>
      <c r="J164" s="51">
        <f t="shared" si="13"/>
        <v>0</v>
      </c>
      <c r="K164" s="65">
        <f>SUM(K165,K169)</f>
        <v>0</v>
      </c>
      <c r="L164" s="299">
        <f>SUM(L165,L169)</f>
        <v>0</v>
      </c>
      <c r="M164" s="22">
        <f t="shared" si="14"/>
        <v>0</v>
      </c>
      <c r="N164" s="22">
        <v>0</v>
      </c>
    </row>
    <row r="165" spans="1:14">
      <c r="A165" s="38">
        <f t="shared" si="12"/>
        <v>165</v>
      </c>
      <c r="B165" s="46"/>
      <c r="C165" s="46"/>
      <c r="D165" s="46"/>
      <c r="E165" s="46"/>
      <c r="F165" s="49" t="s">
        <v>29</v>
      </c>
      <c r="G165" s="66" t="s">
        <v>30</v>
      </c>
      <c r="H165" s="46"/>
      <c r="I165" s="46"/>
      <c r="J165" s="51">
        <f t="shared" si="13"/>
        <v>0</v>
      </c>
      <c r="K165" s="65">
        <f>SUM(K166:K168)</f>
        <v>0</v>
      </c>
      <c r="L165" s="299">
        <f>SUM(L166:L168)</f>
        <v>0</v>
      </c>
      <c r="M165" s="22">
        <f t="shared" si="14"/>
        <v>0</v>
      </c>
      <c r="N165" s="22">
        <v>0</v>
      </c>
    </row>
    <row r="166" spans="1:14">
      <c r="A166" s="38">
        <f t="shared" si="12"/>
        <v>166</v>
      </c>
      <c r="B166" s="54"/>
      <c r="C166" s="54"/>
      <c r="D166" s="54"/>
      <c r="E166" s="54"/>
      <c r="F166" s="56"/>
      <c r="G166" s="54" t="s">
        <v>31</v>
      </c>
      <c r="H166" s="54" t="s">
        <v>81</v>
      </c>
      <c r="I166" s="54"/>
      <c r="J166" s="51">
        <f t="shared" si="13"/>
        <v>0</v>
      </c>
      <c r="K166" s="55"/>
      <c r="L166" s="297"/>
      <c r="M166" s="22">
        <f t="shared" si="14"/>
        <v>0</v>
      </c>
      <c r="N166" s="22">
        <v>0</v>
      </c>
    </row>
    <row r="167" spans="1:14">
      <c r="A167" s="38">
        <f t="shared" si="12"/>
        <v>167</v>
      </c>
      <c r="B167" s="54"/>
      <c r="C167" s="54"/>
      <c r="D167" s="54"/>
      <c r="E167" s="54"/>
      <c r="F167" s="56"/>
      <c r="G167" s="54" t="s">
        <v>44</v>
      </c>
      <c r="H167" s="54" t="s">
        <v>82</v>
      </c>
      <c r="I167" s="54"/>
      <c r="J167" s="51">
        <f t="shared" si="13"/>
        <v>0</v>
      </c>
      <c r="K167" s="55"/>
      <c r="L167" s="297"/>
      <c r="M167" s="22">
        <f t="shared" si="14"/>
        <v>0</v>
      </c>
      <c r="N167" s="22">
        <v>0</v>
      </c>
    </row>
    <row r="168" spans="1:14">
      <c r="A168" s="38">
        <f t="shared" si="12"/>
        <v>168</v>
      </c>
      <c r="B168" s="54"/>
      <c r="C168" s="54"/>
      <c r="D168" s="54"/>
      <c r="E168" s="54"/>
      <c r="F168" s="56"/>
      <c r="G168" s="54" t="s">
        <v>33</v>
      </c>
      <c r="H168" s="54" t="s">
        <v>83</v>
      </c>
      <c r="I168" s="54"/>
      <c r="J168" s="51">
        <f t="shared" si="13"/>
        <v>0</v>
      </c>
      <c r="K168" s="55"/>
      <c r="L168" s="297"/>
      <c r="M168" s="22">
        <f t="shared" si="14"/>
        <v>0</v>
      </c>
      <c r="N168" s="22">
        <v>0</v>
      </c>
    </row>
    <row r="169" spans="1:14">
      <c r="A169" s="38">
        <f t="shared" si="12"/>
        <v>169</v>
      </c>
      <c r="B169" s="46"/>
      <c r="C169" s="46"/>
      <c r="D169" s="46"/>
      <c r="E169" s="46"/>
      <c r="F169" s="49" t="s">
        <v>41</v>
      </c>
      <c r="G169" s="66" t="s">
        <v>42</v>
      </c>
      <c r="H169" s="46"/>
      <c r="I169" s="46"/>
      <c r="J169" s="51">
        <f t="shared" si="13"/>
        <v>0</v>
      </c>
      <c r="K169" s="65">
        <f>SUM(K170:K171)</f>
        <v>0</v>
      </c>
      <c r="L169" s="299">
        <f>SUM(L170:L171)</f>
        <v>0</v>
      </c>
      <c r="M169" s="22">
        <f t="shared" si="14"/>
        <v>0</v>
      </c>
      <c r="N169" s="22">
        <v>0</v>
      </c>
    </row>
    <row r="170" spans="1:14">
      <c r="A170" s="38">
        <f t="shared" si="12"/>
        <v>170</v>
      </c>
      <c r="B170" s="54"/>
      <c r="C170" s="54"/>
      <c r="D170" s="54"/>
      <c r="E170" s="54"/>
      <c r="F170" s="56"/>
      <c r="G170" s="54" t="s">
        <v>31</v>
      </c>
      <c r="H170" s="54" t="s">
        <v>81</v>
      </c>
      <c r="I170" s="54"/>
      <c r="J170" s="51">
        <f t="shared" si="13"/>
        <v>0</v>
      </c>
      <c r="K170" s="55"/>
      <c r="L170" s="297"/>
      <c r="M170" s="22">
        <f t="shared" si="14"/>
        <v>0</v>
      </c>
      <c r="N170" s="22">
        <v>0</v>
      </c>
    </row>
    <row r="171" spans="1:14">
      <c r="A171" s="38">
        <f t="shared" si="12"/>
        <v>171</v>
      </c>
      <c r="B171" s="54"/>
      <c r="C171" s="54"/>
      <c r="D171" s="54"/>
      <c r="E171" s="54"/>
      <c r="F171" s="56"/>
      <c r="G171" s="54" t="s">
        <v>44</v>
      </c>
      <c r="H171" s="54" t="s">
        <v>84</v>
      </c>
      <c r="I171" s="54"/>
      <c r="J171" s="51">
        <f t="shared" si="13"/>
        <v>0</v>
      </c>
      <c r="K171" s="55"/>
      <c r="L171" s="297"/>
      <c r="M171" s="22">
        <f t="shared" si="14"/>
        <v>0</v>
      </c>
      <c r="N171" s="22">
        <v>0</v>
      </c>
    </row>
    <row r="172" spans="1:14">
      <c r="A172" s="38">
        <f t="shared" si="12"/>
        <v>172</v>
      </c>
      <c r="B172" s="56"/>
      <c r="C172" s="56"/>
      <c r="D172" s="56"/>
      <c r="E172" s="56"/>
      <c r="F172" s="56"/>
      <c r="G172" s="56"/>
      <c r="H172" s="56"/>
      <c r="I172" s="57"/>
      <c r="J172" s="58"/>
      <c r="K172" s="58"/>
      <c r="L172" s="298"/>
      <c r="M172" s="22">
        <f t="shared" si="14"/>
        <v>0</v>
      </c>
      <c r="N172" s="22">
        <v>0</v>
      </c>
    </row>
    <row r="173" spans="1:14" ht="14">
      <c r="A173" s="38">
        <f t="shared" si="12"/>
        <v>173</v>
      </c>
      <c r="B173" s="54"/>
      <c r="C173" s="54"/>
      <c r="D173" s="39" t="s">
        <v>85</v>
      </c>
      <c r="E173" s="1653" t="s">
        <v>5024</v>
      </c>
      <c r="F173" s="1654"/>
      <c r="G173" s="1654"/>
      <c r="H173" s="1647"/>
      <c r="I173" s="1648"/>
      <c r="J173" s="51">
        <f>SUM(K173:L173)</f>
        <v>0</v>
      </c>
      <c r="K173" s="72">
        <f>SUM(K174,K181)</f>
        <v>0</v>
      </c>
      <c r="L173" s="302">
        <f>SUM(L174,L181)</f>
        <v>0</v>
      </c>
      <c r="M173" s="22">
        <v>1</v>
      </c>
      <c r="N173" s="22">
        <v>1</v>
      </c>
    </row>
    <row r="174" spans="1:14">
      <c r="A174" s="38">
        <f t="shared" si="12"/>
        <v>174</v>
      </c>
      <c r="B174" s="54"/>
      <c r="C174" s="54"/>
      <c r="D174" s="54"/>
      <c r="E174" s="1645" t="s">
        <v>9</v>
      </c>
      <c r="F174" s="1646" t="s">
        <v>8</v>
      </c>
      <c r="G174" s="1646"/>
      <c r="H174" s="1647"/>
      <c r="I174" s="1648"/>
      <c r="J174" s="51">
        <f t="shared" ref="J174:J185" si="15">SUM(K174:L174)</f>
        <v>0</v>
      </c>
      <c r="K174" s="72">
        <f>SUM(K175:K180)</f>
        <v>0</v>
      </c>
      <c r="L174" s="302">
        <f>SUM(L175:L180)</f>
        <v>0</v>
      </c>
      <c r="M174" s="22">
        <f t="shared" ref="M174:M186" si="16">IF(J174&lt;&gt;0,1,0)</f>
        <v>0</v>
      </c>
      <c r="N174" s="22">
        <v>0</v>
      </c>
    </row>
    <row r="175" spans="1:14">
      <c r="A175" s="38">
        <f t="shared" si="12"/>
        <v>175</v>
      </c>
      <c r="B175" s="54"/>
      <c r="C175" s="54"/>
      <c r="D175" s="54"/>
      <c r="E175" s="1649"/>
      <c r="F175" s="1650" t="s">
        <v>29</v>
      </c>
      <c r="G175" s="1649" t="s">
        <v>5018</v>
      </c>
      <c r="H175" s="1649"/>
      <c r="I175" s="1648"/>
      <c r="J175" s="51">
        <f t="shared" si="15"/>
        <v>0</v>
      </c>
      <c r="K175" s="55"/>
      <c r="L175" s="297"/>
      <c r="M175" s="22">
        <f t="shared" si="16"/>
        <v>0</v>
      </c>
      <c r="N175" s="22">
        <v>0</v>
      </c>
    </row>
    <row r="176" spans="1:14">
      <c r="A176" s="38">
        <f t="shared" si="12"/>
        <v>176</v>
      </c>
      <c r="B176" s="54"/>
      <c r="C176" s="54"/>
      <c r="D176" s="54"/>
      <c r="E176" s="1649"/>
      <c r="F176" s="1650" t="s">
        <v>41</v>
      </c>
      <c r="G176" s="1649" t="s">
        <v>5019</v>
      </c>
      <c r="H176" s="1649"/>
      <c r="I176" s="1648"/>
      <c r="J176" s="51">
        <f t="shared" si="15"/>
        <v>0</v>
      </c>
      <c r="K176" s="55"/>
      <c r="L176" s="297"/>
      <c r="M176" s="22">
        <f t="shared" si="16"/>
        <v>0</v>
      </c>
      <c r="N176" s="22">
        <v>0</v>
      </c>
    </row>
    <row r="177" spans="1:14">
      <c r="A177" s="73">
        <f t="shared" si="12"/>
        <v>177</v>
      </c>
      <c r="B177" s="54"/>
      <c r="C177" s="54"/>
      <c r="D177" s="54"/>
      <c r="E177" s="1649"/>
      <c r="F177" s="1650" t="s">
        <v>63</v>
      </c>
      <c r="G177" s="1649" t="s">
        <v>5020</v>
      </c>
      <c r="H177" s="1649"/>
      <c r="I177" s="1648"/>
      <c r="J177" s="51">
        <f t="shared" si="15"/>
        <v>0</v>
      </c>
      <c r="K177" s="55"/>
      <c r="L177" s="297"/>
      <c r="M177" s="22">
        <f t="shared" si="16"/>
        <v>0</v>
      </c>
      <c r="N177" s="22">
        <v>0</v>
      </c>
    </row>
    <row r="178" spans="1:14">
      <c r="A178" s="73">
        <f t="shared" si="12"/>
        <v>178</v>
      </c>
      <c r="B178" s="54"/>
      <c r="C178" s="54"/>
      <c r="D178" s="54"/>
      <c r="E178" s="1649"/>
      <c r="F178" s="1650" t="s">
        <v>65</v>
      </c>
      <c r="G178" s="1649" t="s">
        <v>5021</v>
      </c>
      <c r="H178" s="1649"/>
      <c r="I178" s="1648"/>
      <c r="J178" s="51">
        <f t="shared" si="15"/>
        <v>0</v>
      </c>
      <c r="K178" s="55"/>
      <c r="L178" s="297"/>
      <c r="M178" s="22">
        <f t="shared" si="16"/>
        <v>0</v>
      </c>
      <c r="N178" s="22">
        <v>0</v>
      </c>
    </row>
    <row r="179" spans="1:14">
      <c r="A179" s="38">
        <f t="shared" si="12"/>
        <v>179</v>
      </c>
      <c r="B179" s="54"/>
      <c r="C179" s="54"/>
      <c r="D179" s="54"/>
      <c r="E179" s="1649"/>
      <c r="F179" s="1650" t="s">
        <v>86</v>
      </c>
      <c r="G179" s="1649" t="s">
        <v>87</v>
      </c>
      <c r="H179" s="1649"/>
      <c r="I179" s="1648"/>
      <c r="J179" s="51">
        <f t="shared" si="15"/>
        <v>0</v>
      </c>
      <c r="K179" s="55"/>
      <c r="L179" s="297"/>
      <c r="M179" s="22">
        <f t="shared" si="16"/>
        <v>0</v>
      </c>
      <c r="N179" s="22">
        <v>0</v>
      </c>
    </row>
    <row r="180" spans="1:14">
      <c r="A180" s="38">
        <f t="shared" si="12"/>
        <v>180</v>
      </c>
      <c r="B180" s="54"/>
      <c r="C180" s="54"/>
      <c r="D180" s="54"/>
      <c r="E180" s="1649"/>
      <c r="F180" s="1650" t="s">
        <v>88</v>
      </c>
      <c r="G180" s="1649" t="s">
        <v>70</v>
      </c>
      <c r="H180" s="1649"/>
      <c r="I180" s="1648"/>
      <c r="J180" s="51">
        <f t="shared" si="15"/>
        <v>0</v>
      </c>
      <c r="K180" s="55"/>
      <c r="L180" s="297"/>
      <c r="M180" s="22">
        <f t="shared" si="16"/>
        <v>0</v>
      </c>
      <c r="N180" s="22">
        <v>0</v>
      </c>
    </row>
    <row r="181" spans="1:14">
      <c r="A181" s="38">
        <f t="shared" si="12"/>
        <v>181</v>
      </c>
      <c r="B181" s="54"/>
      <c r="C181" s="54"/>
      <c r="D181" s="54"/>
      <c r="E181" s="1645" t="s">
        <v>11</v>
      </c>
      <c r="F181" s="1651" t="s">
        <v>24</v>
      </c>
      <c r="G181" s="1652"/>
      <c r="H181" s="1647"/>
      <c r="I181" s="1648"/>
      <c r="J181" s="51">
        <f t="shared" si="15"/>
        <v>0</v>
      </c>
      <c r="K181" s="55">
        <f>SUM(K182:K185)</f>
        <v>0</v>
      </c>
      <c r="L181" s="297">
        <f>SUM(L182:L185)</f>
        <v>0</v>
      </c>
      <c r="M181" s="22">
        <f t="shared" si="16"/>
        <v>0</v>
      </c>
      <c r="N181" s="22">
        <v>0</v>
      </c>
    </row>
    <row r="182" spans="1:14">
      <c r="A182" s="38">
        <f t="shared" si="12"/>
        <v>182</v>
      </c>
      <c r="B182" s="54"/>
      <c r="C182" s="54"/>
      <c r="D182" s="54"/>
      <c r="E182" s="1649"/>
      <c r="F182" s="1650" t="s">
        <v>29</v>
      </c>
      <c r="G182" s="1649" t="s">
        <v>5022</v>
      </c>
      <c r="H182" s="1649"/>
      <c r="I182" s="1648"/>
      <c r="J182" s="51">
        <f t="shared" si="15"/>
        <v>0</v>
      </c>
      <c r="K182" s="55"/>
      <c r="L182" s="297"/>
      <c r="M182" s="22">
        <f t="shared" si="16"/>
        <v>0</v>
      </c>
      <c r="N182" s="22">
        <v>0</v>
      </c>
    </row>
    <row r="183" spans="1:14">
      <c r="A183" s="73">
        <f t="shared" si="12"/>
        <v>183</v>
      </c>
      <c r="B183" s="54"/>
      <c r="C183" s="54"/>
      <c r="D183" s="54"/>
      <c r="E183" s="1649"/>
      <c r="F183" s="1650" t="s">
        <v>41</v>
      </c>
      <c r="G183" s="1649" t="s">
        <v>5023</v>
      </c>
      <c r="H183" s="1649"/>
      <c r="I183" s="1648"/>
      <c r="J183" s="51">
        <f t="shared" si="15"/>
        <v>0</v>
      </c>
      <c r="K183" s="55"/>
      <c r="L183" s="297"/>
      <c r="M183" s="22">
        <f t="shared" si="16"/>
        <v>0</v>
      </c>
      <c r="N183" s="22">
        <v>0</v>
      </c>
    </row>
    <row r="184" spans="1:14">
      <c r="A184" s="38">
        <f t="shared" si="12"/>
        <v>184</v>
      </c>
      <c r="B184" s="54"/>
      <c r="C184" s="54"/>
      <c r="D184" s="54"/>
      <c r="E184" s="1649"/>
      <c r="F184" s="1650" t="s">
        <v>63</v>
      </c>
      <c r="G184" s="1649" t="s">
        <v>87</v>
      </c>
      <c r="H184" s="1649"/>
      <c r="I184" s="1648"/>
      <c r="J184" s="51">
        <f t="shared" si="15"/>
        <v>0</v>
      </c>
      <c r="K184" s="55"/>
      <c r="L184" s="297"/>
      <c r="M184" s="22">
        <f t="shared" si="16"/>
        <v>0</v>
      </c>
      <c r="N184" s="22">
        <v>0</v>
      </c>
    </row>
    <row r="185" spans="1:14">
      <c r="A185" s="38">
        <f t="shared" si="12"/>
        <v>185</v>
      </c>
      <c r="B185" s="54"/>
      <c r="C185" s="54"/>
      <c r="D185" s="54"/>
      <c r="E185" s="1649"/>
      <c r="F185" s="1650" t="s">
        <v>65</v>
      </c>
      <c r="G185" s="1649" t="s">
        <v>70</v>
      </c>
      <c r="H185" s="1649"/>
      <c r="I185" s="1648"/>
      <c r="J185" s="51">
        <f t="shared" si="15"/>
        <v>0</v>
      </c>
      <c r="K185" s="55"/>
      <c r="L185" s="297"/>
      <c r="M185" s="22">
        <f t="shared" si="16"/>
        <v>0</v>
      </c>
      <c r="N185" s="22">
        <v>0</v>
      </c>
    </row>
    <row r="186" spans="1:14">
      <c r="A186" s="38">
        <f t="shared" si="12"/>
        <v>186</v>
      </c>
      <c r="B186" s="56"/>
      <c r="C186" s="56"/>
      <c r="D186" s="56"/>
      <c r="E186" s="56"/>
      <c r="F186" s="56"/>
      <c r="G186" s="56"/>
      <c r="H186" s="56"/>
      <c r="I186" s="56"/>
      <c r="J186" s="58"/>
      <c r="K186" s="58"/>
      <c r="L186" s="298"/>
      <c r="M186" s="22">
        <f t="shared" si="16"/>
        <v>0</v>
      </c>
      <c r="N186" s="22">
        <v>0</v>
      </c>
    </row>
    <row r="187" spans="1:14" ht="14">
      <c r="A187" s="38">
        <f t="shared" si="12"/>
        <v>187</v>
      </c>
      <c r="B187" s="54"/>
      <c r="C187" s="39"/>
      <c r="D187" s="39" t="s">
        <v>89</v>
      </c>
      <c r="E187" s="64" t="s">
        <v>90</v>
      </c>
      <c r="F187" s="40"/>
      <c r="G187" s="39"/>
      <c r="H187" s="39"/>
      <c r="I187" s="39"/>
      <c r="J187" s="51">
        <f>SUM(K187:L187)</f>
        <v>0</v>
      </c>
      <c r="K187" s="53">
        <f>SUM(K188,K189)</f>
        <v>0</v>
      </c>
      <c r="L187" s="301">
        <f>SUM(L188,L189)</f>
        <v>0</v>
      </c>
      <c r="M187" s="22">
        <v>1</v>
      </c>
      <c r="N187" s="22">
        <v>1</v>
      </c>
    </row>
    <row r="188" spans="1:14">
      <c r="A188" s="38">
        <f t="shared" si="12"/>
        <v>188</v>
      </c>
      <c r="B188" s="54"/>
      <c r="C188" s="54"/>
      <c r="D188" s="54"/>
      <c r="E188" s="54" t="s">
        <v>9</v>
      </c>
      <c r="F188" s="74" t="s">
        <v>8</v>
      </c>
      <c r="G188" s="54"/>
      <c r="H188" s="54"/>
      <c r="I188" s="54"/>
      <c r="J188" s="51">
        <f t="shared" ref="J188:J193" si="17">SUM(K188:L188)</f>
        <v>0</v>
      </c>
      <c r="K188" s="55"/>
      <c r="L188" s="297"/>
      <c r="M188" s="22">
        <f t="shared" ref="M188:M194" si="18">IF(J188&lt;&gt;0,1,0)</f>
        <v>0</v>
      </c>
      <c r="N188" s="22">
        <v>0</v>
      </c>
    </row>
    <row r="189" spans="1:14">
      <c r="A189" s="38">
        <f t="shared" si="12"/>
        <v>189</v>
      </c>
      <c r="B189" s="54"/>
      <c r="C189" s="54"/>
      <c r="D189" s="54"/>
      <c r="E189" s="54" t="s">
        <v>11</v>
      </c>
      <c r="F189" s="75" t="s">
        <v>24</v>
      </c>
      <c r="G189" s="54"/>
      <c r="H189" s="54"/>
      <c r="I189" s="54"/>
      <c r="J189" s="51">
        <f t="shared" si="17"/>
        <v>0</v>
      </c>
      <c r="K189" s="53">
        <f>SUM(K190:K193)</f>
        <v>0</v>
      </c>
      <c r="L189" s="301">
        <f>SUM(L190:L193)</f>
        <v>0</v>
      </c>
      <c r="M189" s="22">
        <f t="shared" si="18"/>
        <v>0</v>
      </c>
      <c r="N189" s="22">
        <v>0</v>
      </c>
    </row>
    <row r="190" spans="1:14">
      <c r="A190" s="38">
        <f t="shared" si="12"/>
        <v>190</v>
      </c>
      <c r="B190" s="54"/>
      <c r="C190" s="54"/>
      <c r="D190" s="54"/>
      <c r="E190" s="54"/>
      <c r="F190" s="49" t="s">
        <v>29</v>
      </c>
      <c r="G190" s="69" t="s">
        <v>91</v>
      </c>
      <c r="H190" s="69"/>
      <c r="I190" s="54"/>
      <c r="J190" s="51">
        <f t="shared" si="17"/>
        <v>0</v>
      </c>
      <c r="K190" s="55"/>
      <c r="L190" s="297"/>
      <c r="M190" s="22">
        <f t="shared" si="18"/>
        <v>0</v>
      </c>
      <c r="N190" s="22">
        <v>0</v>
      </c>
    </row>
    <row r="191" spans="1:14">
      <c r="A191" s="38">
        <f t="shared" si="12"/>
        <v>191</v>
      </c>
      <c r="B191" s="54"/>
      <c r="C191" s="54"/>
      <c r="D191" s="54"/>
      <c r="E191" s="54"/>
      <c r="F191" s="49" t="s">
        <v>41</v>
      </c>
      <c r="G191" s="69" t="s">
        <v>92</v>
      </c>
      <c r="H191" s="69"/>
      <c r="I191" s="54"/>
      <c r="J191" s="51">
        <f t="shared" si="17"/>
        <v>0</v>
      </c>
      <c r="K191" s="55"/>
      <c r="L191" s="297"/>
      <c r="M191" s="22">
        <f t="shared" si="18"/>
        <v>0</v>
      </c>
      <c r="N191" s="22">
        <v>0</v>
      </c>
    </row>
    <row r="192" spans="1:14">
      <c r="A192" s="38">
        <f t="shared" si="12"/>
        <v>192</v>
      </c>
      <c r="B192" s="54"/>
      <c r="C192" s="54"/>
      <c r="D192" s="54"/>
      <c r="E192" s="54"/>
      <c r="F192" s="49" t="s">
        <v>63</v>
      </c>
      <c r="G192" s="69" t="s">
        <v>75</v>
      </c>
      <c r="H192" s="69"/>
      <c r="I192" s="54"/>
      <c r="J192" s="51">
        <f t="shared" si="17"/>
        <v>0</v>
      </c>
      <c r="K192" s="55"/>
      <c r="L192" s="297"/>
      <c r="M192" s="22">
        <f t="shared" si="18"/>
        <v>0</v>
      </c>
      <c r="N192" s="22">
        <v>0</v>
      </c>
    </row>
    <row r="193" spans="1:14">
      <c r="A193" s="38">
        <f t="shared" si="12"/>
        <v>193</v>
      </c>
      <c r="B193" s="54"/>
      <c r="C193" s="54"/>
      <c r="D193" s="54"/>
      <c r="E193" s="54"/>
      <c r="F193" s="49" t="s">
        <v>65</v>
      </c>
      <c r="G193" s="69" t="s">
        <v>70</v>
      </c>
      <c r="H193" s="69"/>
      <c r="I193" s="54"/>
      <c r="J193" s="51">
        <f t="shared" si="17"/>
        <v>0</v>
      </c>
      <c r="K193" s="55"/>
      <c r="L193" s="297"/>
      <c r="M193" s="22">
        <f t="shared" si="18"/>
        <v>0</v>
      </c>
      <c r="N193" s="22">
        <v>0</v>
      </c>
    </row>
    <row r="194" spans="1:14">
      <c r="A194" s="38">
        <f t="shared" si="12"/>
        <v>194</v>
      </c>
      <c r="B194" s="56"/>
      <c r="C194" s="56"/>
      <c r="D194" s="56"/>
      <c r="E194" s="56"/>
      <c r="F194" s="56"/>
      <c r="G194" s="56"/>
      <c r="H194" s="56"/>
      <c r="I194" s="57"/>
      <c r="J194" s="58"/>
      <c r="K194" s="58"/>
      <c r="L194" s="298"/>
      <c r="M194" s="22">
        <f t="shared" si="18"/>
        <v>0</v>
      </c>
      <c r="N194" s="22">
        <v>0</v>
      </c>
    </row>
    <row r="195" spans="1:14" ht="14">
      <c r="A195" s="38">
        <f t="shared" si="12"/>
        <v>195</v>
      </c>
      <c r="B195" s="46"/>
      <c r="C195" s="46"/>
      <c r="D195" s="39" t="s">
        <v>93</v>
      </c>
      <c r="E195" s="64" t="s">
        <v>94</v>
      </c>
      <c r="F195" s="40"/>
      <c r="G195" s="39"/>
      <c r="H195" s="39"/>
      <c r="I195" s="39"/>
      <c r="J195" s="51">
        <f>SUM(K195:L195)</f>
        <v>0</v>
      </c>
      <c r="K195" s="62">
        <f>SUM(K201,K196)</f>
        <v>0</v>
      </c>
      <c r="L195" s="51">
        <f>SUM(L201,L196)</f>
        <v>0</v>
      </c>
      <c r="M195" s="22">
        <v>1</v>
      </c>
      <c r="N195" s="22">
        <v>1</v>
      </c>
    </row>
    <row r="196" spans="1:14">
      <c r="A196" s="38">
        <f t="shared" si="12"/>
        <v>196</v>
      </c>
      <c r="B196" s="46"/>
      <c r="C196" s="46"/>
      <c r="D196" s="46"/>
      <c r="E196" s="46" t="s">
        <v>9</v>
      </c>
      <c r="F196" s="48" t="s">
        <v>8</v>
      </c>
      <c r="G196" s="46"/>
      <c r="H196" s="46"/>
      <c r="I196" s="46"/>
      <c r="J196" s="51">
        <f t="shared" ref="J196:J205" si="19">SUM(K196:L196)</f>
        <v>0</v>
      </c>
      <c r="K196" s="65">
        <f>SUM(K197:K200)</f>
        <v>0</v>
      </c>
      <c r="L196" s="299">
        <f>SUM(L197:L200)</f>
        <v>0</v>
      </c>
      <c r="M196" s="22">
        <f t="shared" ref="M196:M206" si="20">IF(J196&lt;&gt;0,1,0)</f>
        <v>0</v>
      </c>
      <c r="N196" s="22">
        <v>0</v>
      </c>
    </row>
    <row r="197" spans="1:14">
      <c r="A197" s="38">
        <f t="shared" si="12"/>
        <v>197</v>
      </c>
      <c r="B197" s="54"/>
      <c r="C197" s="54"/>
      <c r="D197" s="54"/>
      <c r="E197" s="54"/>
      <c r="F197" s="56" t="s">
        <v>29</v>
      </c>
      <c r="G197" s="69" t="s">
        <v>95</v>
      </c>
      <c r="H197" s="54"/>
      <c r="I197" s="54"/>
      <c r="J197" s="51">
        <f t="shared" si="19"/>
        <v>0</v>
      </c>
      <c r="K197" s="55"/>
      <c r="L197" s="297"/>
      <c r="M197" s="22">
        <f t="shared" si="20"/>
        <v>0</v>
      </c>
      <c r="N197" s="22">
        <v>0</v>
      </c>
    </row>
    <row r="198" spans="1:14">
      <c r="A198" s="38">
        <f t="shared" si="12"/>
        <v>198</v>
      </c>
      <c r="B198" s="54"/>
      <c r="C198" s="54"/>
      <c r="D198" s="54"/>
      <c r="E198" s="54"/>
      <c r="F198" s="56" t="s">
        <v>41</v>
      </c>
      <c r="G198" s="69" t="s">
        <v>96</v>
      </c>
      <c r="H198" s="54"/>
      <c r="I198" s="54"/>
      <c r="J198" s="51">
        <f t="shared" si="19"/>
        <v>0</v>
      </c>
      <c r="K198" s="55"/>
      <c r="L198" s="297"/>
      <c r="M198" s="22">
        <f t="shared" si="20"/>
        <v>0</v>
      </c>
      <c r="N198" s="22">
        <v>0</v>
      </c>
    </row>
    <row r="199" spans="1:14">
      <c r="A199" s="38">
        <f t="shared" si="12"/>
        <v>199</v>
      </c>
      <c r="B199" s="54"/>
      <c r="C199" s="54"/>
      <c r="D199" s="54"/>
      <c r="E199" s="54"/>
      <c r="F199" s="56" t="s">
        <v>63</v>
      </c>
      <c r="G199" s="69" t="s">
        <v>97</v>
      </c>
      <c r="H199" s="54"/>
      <c r="I199" s="54"/>
      <c r="J199" s="51">
        <f t="shared" si="19"/>
        <v>0</v>
      </c>
      <c r="K199" s="55"/>
      <c r="L199" s="297"/>
      <c r="M199" s="22">
        <f t="shared" si="20"/>
        <v>0</v>
      </c>
      <c r="N199" s="22">
        <v>0</v>
      </c>
    </row>
    <row r="200" spans="1:14">
      <c r="A200" s="38">
        <f t="shared" si="12"/>
        <v>200</v>
      </c>
      <c r="B200" s="54"/>
      <c r="C200" s="54"/>
      <c r="D200" s="54"/>
      <c r="E200" s="54"/>
      <c r="F200" s="56" t="s">
        <v>65</v>
      </c>
      <c r="G200" s="69" t="s">
        <v>98</v>
      </c>
      <c r="H200" s="54"/>
      <c r="I200" s="54"/>
      <c r="J200" s="51">
        <f t="shared" si="19"/>
        <v>0</v>
      </c>
      <c r="K200" s="55"/>
      <c r="L200" s="297"/>
      <c r="M200" s="22">
        <f t="shared" si="20"/>
        <v>0</v>
      </c>
      <c r="N200" s="22">
        <v>0</v>
      </c>
    </row>
    <row r="201" spans="1:14">
      <c r="A201" s="38">
        <f t="shared" ref="A201:A264" si="21">A200+1</f>
        <v>201</v>
      </c>
      <c r="B201" s="46"/>
      <c r="C201" s="46"/>
      <c r="D201" s="46"/>
      <c r="E201" s="46" t="s">
        <v>11</v>
      </c>
      <c r="F201" s="71" t="s">
        <v>24</v>
      </c>
      <c r="G201" s="46"/>
      <c r="H201" s="46"/>
      <c r="I201" s="46"/>
      <c r="J201" s="51">
        <f t="shared" si="19"/>
        <v>0</v>
      </c>
      <c r="K201" s="65">
        <f>SUM(K202:K205)</f>
        <v>0</v>
      </c>
      <c r="L201" s="299">
        <f>SUM(L202:L205)</f>
        <v>0</v>
      </c>
      <c r="M201" s="22">
        <f t="shared" si="20"/>
        <v>0</v>
      </c>
      <c r="N201" s="22">
        <v>0</v>
      </c>
    </row>
    <row r="202" spans="1:14">
      <c r="A202" s="38">
        <f t="shared" si="21"/>
        <v>202</v>
      </c>
      <c r="B202" s="54"/>
      <c r="C202" s="54"/>
      <c r="D202" s="54"/>
      <c r="E202" s="54"/>
      <c r="F202" s="56" t="s">
        <v>29</v>
      </c>
      <c r="G202" s="69" t="s">
        <v>95</v>
      </c>
      <c r="H202" s="54"/>
      <c r="I202" s="54"/>
      <c r="J202" s="51">
        <f t="shared" si="19"/>
        <v>0</v>
      </c>
      <c r="K202" s="55"/>
      <c r="L202" s="297"/>
      <c r="M202" s="22">
        <f t="shared" si="20"/>
        <v>0</v>
      </c>
      <c r="N202" s="22">
        <v>0</v>
      </c>
    </row>
    <row r="203" spans="1:14">
      <c r="A203" s="38">
        <f t="shared" si="21"/>
        <v>203</v>
      </c>
      <c r="B203" s="54"/>
      <c r="C203" s="54"/>
      <c r="D203" s="54"/>
      <c r="E203" s="54"/>
      <c r="F203" s="56" t="s">
        <v>41</v>
      </c>
      <c r="G203" s="69" t="s">
        <v>96</v>
      </c>
      <c r="H203" s="54"/>
      <c r="I203" s="54"/>
      <c r="J203" s="51">
        <f t="shared" si="19"/>
        <v>0</v>
      </c>
      <c r="K203" s="55"/>
      <c r="L203" s="297"/>
      <c r="M203" s="22">
        <f t="shared" si="20"/>
        <v>0</v>
      </c>
      <c r="N203" s="22">
        <v>0</v>
      </c>
    </row>
    <row r="204" spans="1:14">
      <c r="A204" s="38">
        <f t="shared" si="21"/>
        <v>204</v>
      </c>
      <c r="B204" s="54"/>
      <c r="C204" s="54"/>
      <c r="D204" s="54"/>
      <c r="E204" s="54"/>
      <c r="F204" s="56" t="s">
        <v>63</v>
      </c>
      <c r="G204" s="69" t="s">
        <v>97</v>
      </c>
      <c r="H204" s="54"/>
      <c r="I204" s="54"/>
      <c r="J204" s="51">
        <f t="shared" si="19"/>
        <v>0</v>
      </c>
      <c r="K204" s="55"/>
      <c r="L204" s="297"/>
      <c r="M204" s="22">
        <f t="shared" si="20"/>
        <v>0</v>
      </c>
      <c r="N204" s="22">
        <v>0</v>
      </c>
    </row>
    <row r="205" spans="1:14">
      <c r="A205" s="38">
        <f t="shared" si="21"/>
        <v>205</v>
      </c>
      <c r="B205" s="54"/>
      <c r="C205" s="54"/>
      <c r="D205" s="54"/>
      <c r="E205" s="54"/>
      <c r="F205" s="56" t="s">
        <v>65</v>
      </c>
      <c r="G205" s="69" t="s">
        <v>98</v>
      </c>
      <c r="H205" s="54"/>
      <c r="I205" s="54"/>
      <c r="J205" s="51">
        <f t="shared" si="19"/>
        <v>0</v>
      </c>
      <c r="K205" s="55"/>
      <c r="L205" s="297"/>
      <c r="M205" s="22">
        <f t="shared" si="20"/>
        <v>0</v>
      </c>
      <c r="N205" s="22">
        <v>0</v>
      </c>
    </row>
    <row r="206" spans="1:14">
      <c r="A206" s="38">
        <f t="shared" si="21"/>
        <v>206</v>
      </c>
      <c r="B206" s="56"/>
      <c r="C206" s="56"/>
      <c r="D206" s="56"/>
      <c r="E206" s="56"/>
      <c r="F206" s="56"/>
      <c r="G206" s="56"/>
      <c r="H206" s="56"/>
      <c r="I206" s="57"/>
      <c r="J206" s="58"/>
      <c r="K206" s="58"/>
      <c r="L206" s="298"/>
      <c r="M206" s="22">
        <f t="shared" si="20"/>
        <v>0</v>
      </c>
      <c r="N206" s="22">
        <v>0</v>
      </c>
    </row>
    <row r="207" spans="1:14" ht="14">
      <c r="A207" s="38">
        <f t="shared" si="21"/>
        <v>207</v>
      </c>
      <c r="B207" s="46"/>
      <c r="C207" s="46"/>
      <c r="D207" s="39" t="s">
        <v>99</v>
      </c>
      <c r="E207" s="64" t="s">
        <v>100</v>
      </c>
      <c r="F207" s="40"/>
      <c r="G207" s="39"/>
      <c r="H207" s="39"/>
      <c r="I207" s="39"/>
      <c r="J207" s="51">
        <f>SUM(K207:L207)</f>
        <v>0</v>
      </c>
      <c r="K207" s="62">
        <f>SUM(K211,K208)</f>
        <v>0</v>
      </c>
      <c r="L207" s="51">
        <f>SUM(L211,L208)</f>
        <v>0</v>
      </c>
      <c r="M207" s="22">
        <v>1</v>
      </c>
      <c r="N207" s="22">
        <v>1</v>
      </c>
    </row>
    <row r="208" spans="1:14">
      <c r="A208" s="38">
        <f t="shared" si="21"/>
        <v>208</v>
      </c>
      <c r="B208" s="46"/>
      <c r="C208" s="46"/>
      <c r="D208" s="46"/>
      <c r="E208" s="46" t="s">
        <v>9</v>
      </c>
      <c r="F208" s="48" t="s">
        <v>8</v>
      </c>
      <c r="G208" s="46"/>
      <c r="H208" s="46"/>
      <c r="I208" s="46"/>
      <c r="J208" s="51">
        <f t="shared" ref="J208:J271" si="22">SUM(K208:L208)</f>
        <v>0</v>
      </c>
      <c r="K208" s="65">
        <f>SUM(K209:K210)</f>
        <v>0</v>
      </c>
      <c r="L208" s="299">
        <f>SUM(L209:L210)</f>
        <v>0</v>
      </c>
      <c r="M208" s="22">
        <f t="shared" ref="M208:M214" si="23">IF(J208&lt;&gt;0,1,0)</f>
        <v>0</v>
      </c>
      <c r="N208" s="22">
        <v>0</v>
      </c>
    </row>
    <row r="209" spans="1:14">
      <c r="A209" s="38">
        <f t="shared" si="21"/>
        <v>209</v>
      </c>
      <c r="B209" s="54"/>
      <c r="C209" s="54"/>
      <c r="D209" s="54"/>
      <c r="E209" s="54"/>
      <c r="F209" s="56" t="s">
        <v>29</v>
      </c>
      <c r="G209" s="69" t="s">
        <v>101</v>
      </c>
      <c r="H209" s="54"/>
      <c r="I209" s="54"/>
      <c r="J209" s="51">
        <f t="shared" si="22"/>
        <v>0</v>
      </c>
      <c r="K209" s="55"/>
      <c r="L209" s="297"/>
      <c r="M209" s="22">
        <f t="shared" si="23"/>
        <v>0</v>
      </c>
      <c r="N209" s="22">
        <v>0</v>
      </c>
    </row>
    <row r="210" spans="1:14">
      <c r="A210" s="38">
        <f t="shared" si="21"/>
        <v>210</v>
      </c>
      <c r="B210" s="54"/>
      <c r="C210" s="54"/>
      <c r="D210" s="54"/>
      <c r="E210" s="54"/>
      <c r="F210" s="56" t="s">
        <v>41</v>
      </c>
      <c r="G210" s="69" t="s">
        <v>102</v>
      </c>
      <c r="H210" s="54"/>
      <c r="I210" s="54"/>
      <c r="J210" s="51">
        <f t="shared" si="22"/>
        <v>0</v>
      </c>
      <c r="K210" s="55"/>
      <c r="L210" s="297"/>
      <c r="M210" s="22">
        <f t="shared" si="23"/>
        <v>0</v>
      </c>
      <c r="N210" s="22">
        <v>0</v>
      </c>
    </row>
    <row r="211" spans="1:14">
      <c r="A211" s="38">
        <f t="shared" si="21"/>
        <v>211</v>
      </c>
      <c r="B211" s="46"/>
      <c r="C211" s="46"/>
      <c r="D211" s="46"/>
      <c r="E211" s="46" t="s">
        <v>11</v>
      </c>
      <c r="F211" s="71" t="s">
        <v>24</v>
      </c>
      <c r="G211" s="46"/>
      <c r="H211" s="46"/>
      <c r="I211" s="46"/>
      <c r="J211" s="51">
        <f t="shared" si="22"/>
        <v>0</v>
      </c>
      <c r="K211" s="65">
        <f>SUM(K212:K213)</f>
        <v>0</v>
      </c>
      <c r="L211" s="299">
        <f>SUM(L212:L213)</f>
        <v>0</v>
      </c>
      <c r="M211" s="22">
        <f t="shared" si="23"/>
        <v>0</v>
      </c>
      <c r="N211" s="22">
        <v>0</v>
      </c>
    </row>
    <row r="212" spans="1:14">
      <c r="A212" s="38">
        <f t="shared" si="21"/>
        <v>212</v>
      </c>
      <c r="B212" s="54"/>
      <c r="C212" s="54"/>
      <c r="D212" s="54"/>
      <c r="E212" s="54"/>
      <c r="F212" s="56" t="s">
        <v>29</v>
      </c>
      <c r="G212" s="69" t="s">
        <v>101</v>
      </c>
      <c r="H212" s="54"/>
      <c r="I212" s="54"/>
      <c r="J212" s="51">
        <f t="shared" si="22"/>
        <v>0</v>
      </c>
      <c r="K212" s="55"/>
      <c r="L212" s="297"/>
      <c r="M212" s="22">
        <f t="shared" si="23"/>
        <v>0</v>
      </c>
      <c r="N212" s="22">
        <v>0</v>
      </c>
    </row>
    <row r="213" spans="1:14">
      <c r="A213" s="38">
        <f t="shared" si="21"/>
        <v>213</v>
      </c>
      <c r="B213" s="54"/>
      <c r="C213" s="54"/>
      <c r="D213" s="54"/>
      <c r="E213" s="54"/>
      <c r="F213" s="56" t="s">
        <v>41</v>
      </c>
      <c r="G213" s="69" t="s">
        <v>102</v>
      </c>
      <c r="H213" s="54"/>
      <c r="I213" s="54"/>
      <c r="J213" s="51">
        <f t="shared" si="22"/>
        <v>0</v>
      </c>
      <c r="K213" s="55"/>
      <c r="L213" s="297"/>
      <c r="M213" s="22">
        <f t="shared" si="23"/>
        <v>0</v>
      </c>
      <c r="N213" s="22">
        <v>0</v>
      </c>
    </row>
    <row r="214" spans="1:14">
      <c r="A214" s="38">
        <f t="shared" si="21"/>
        <v>214</v>
      </c>
      <c r="B214" s="56"/>
      <c r="C214" s="56"/>
      <c r="D214" s="56"/>
      <c r="E214" s="56"/>
      <c r="F214" s="56"/>
      <c r="G214" s="56"/>
      <c r="H214" s="56"/>
      <c r="I214" s="57"/>
      <c r="J214" s="58"/>
      <c r="K214" s="58"/>
      <c r="L214" s="298"/>
      <c r="M214" s="22">
        <f t="shared" si="23"/>
        <v>0</v>
      </c>
      <c r="N214" s="22">
        <v>0</v>
      </c>
    </row>
    <row r="215" spans="1:14" ht="14">
      <c r="A215" s="38">
        <f t="shared" si="21"/>
        <v>215</v>
      </c>
      <c r="B215" s="46"/>
      <c r="C215" s="46"/>
      <c r="D215" s="39" t="s">
        <v>103</v>
      </c>
      <c r="E215" s="64" t="s">
        <v>104</v>
      </c>
      <c r="F215" s="40"/>
      <c r="G215" s="39"/>
      <c r="H215" s="39"/>
      <c r="I215" s="39"/>
      <c r="J215" s="51">
        <f t="shared" si="22"/>
        <v>0</v>
      </c>
      <c r="K215" s="62">
        <f>SUM(K216,K224)</f>
        <v>0</v>
      </c>
      <c r="L215" s="51">
        <f>SUM(L216,L224)</f>
        <v>0</v>
      </c>
      <c r="M215" s="22">
        <v>1</v>
      </c>
      <c r="N215" s="22">
        <v>1</v>
      </c>
    </row>
    <row r="216" spans="1:14">
      <c r="A216" s="38">
        <f t="shared" si="21"/>
        <v>216</v>
      </c>
      <c r="B216" s="46"/>
      <c r="C216" s="46"/>
      <c r="D216" s="46"/>
      <c r="E216" s="46" t="s">
        <v>9</v>
      </c>
      <c r="F216" s="48" t="s">
        <v>8</v>
      </c>
      <c r="G216" s="46"/>
      <c r="H216" s="46"/>
      <c r="I216" s="46"/>
      <c r="J216" s="51">
        <f t="shared" si="22"/>
        <v>0</v>
      </c>
      <c r="K216" s="62">
        <f>SUM(K217:K218)</f>
        <v>0</v>
      </c>
      <c r="L216" s="51">
        <f>SUM(L217:L218)</f>
        <v>0</v>
      </c>
      <c r="M216" s="22">
        <f t="shared" ref="M216:M231" si="24">IF(J216&lt;&gt;0,1,0)</f>
        <v>0</v>
      </c>
      <c r="N216" s="22">
        <v>0</v>
      </c>
    </row>
    <row r="217" spans="1:14">
      <c r="A217" s="38">
        <f t="shared" si="21"/>
        <v>217</v>
      </c>
      <c r="B217" s="46"/>
      <c r="C217" s="46"/>
      <c r="D217" s="46"/>
      <c r="E217" s="46"/>
      <c r="F217" s="49" t="s">
        <v>29</v>
      </c>
      <c r="G217" s="76" t="s">
        <v>105</v>
      </c>
      <c r="H217" s="46"/>
      <c r="I217" s="46"/>
      <c r="J217" s="51">
        <f t="shared" si="22"/>
        <v>0</v>
      </c>
      <c r="K217" s="55"/>
      <c r="L217" s="297"/>
      <c r="M217" s="22">
        <f t="shared" si="24"/>
        <v>0</v>
      </c>
      <c r="N217" s="22">
        <v>0</v>
      </c>
    </row>
    <row r="218" spans="1:14">
      <c r="A218" s="38">
        <f t="shared" si="21"/>
        <v>218</v>
      </c>
      <c r="B218" s="46"/>
      <c r="C218" s="46"/>
      <c r="D218" s="46"/>
      <c r="E218" s="46"/>
      <c r="F218" s="49" t="s">
        <v>41</v>
      </c>
      <c r="G218" s="66" t="s">
        <v>106</v>
      </c>
      <c r="H218" s="46"/>
      <c r="I218" s="46"/>
      <c r="J218" s="51">
        <f t="shared" si="22"/>
        <v>0</v>
      </c>
      <c r="K218" s="65">
        <f>SUM(K219:K223)</f>
        <v>0</v>
      </c>
      <c r="L218" s="299">
        <f>SUM(L219:L223)</f>
        <v>0</v>
      </c>
      <c r="M218" s="22">
        <f t="shared" si="24"/>
        <v>0</v>
      </c>
      <c r="N218" s="22">
        <v>0</v>
      </c>
    </row>
    <row r="219" spans="1:14">
      <c r="A219" s="38">
        <f t="shared" si="21"/>
        <v>219</v>
      </c>
      <c r="B219" s="54"/>
      <c r="C219" s="54"/>
      <c r="D219" s="54"/>
      <c r="E219" s="46"/>
      <c r="F219" s="49"/>
      <c r="G219" s="54" t="s">
        <v>31</v>
      </c>
      <c r="H219" s="54" t="s">
        <v>107</v>
      </c>
      <c r="I219" s="54"/>
      <c r="J219" s="51">
        <f t="shared" si="22"/>
        <v>0</v>
      </c>
      <c r="K219" s="55"/>
      <c r="L219" s="297"/>
      <c r="M219" s="22">
        <f t="shared" si="24"/>
        <v>0</v>
      </c>
      <c r="N219" s="22">
        <v>0</v>
      </c>
    </row>
    <row r="220" spans="1:14">
      <c r="A220" s="38">
        <f t="shared" si="21"/>
        <v>220</v>
      </c>
      <c r="B220" s="54"/>
      <c r="C220" s="54"/>
      <c r="D220" s="54"/>
      <c r="E220" s="46"/>
      <c r="F220" s="49"/>
      <c r="G220" s="54" t="s">
        <v>44</v>
      </c>
      <c r="H220" s="54" t="s">
        <v>108</v>
      </c>
      <c r="I220" s="54"/>
      <c r="J220" s="51">
        <f t="shared" si="22"/>
        <v>0</v>
      </c>
      <c r="K220" s="55"/>
      <c r="L220" s="297"/>
      <c r="M220" s="22">
        <f t="shared" si="24"/>
        <v>0</v>
      </c>
      <c r="N220" s="22">
        <v>0</v>
      </c>
    </row>
    <row r="221" spans="1:14">
      <c r="A221" s="38">
        <f t="shared" si="21"/>
        <v>221</v>
      </c>
      <c r="B221" s="54"/>
      <c r="C221" s="54"/>
      <c r="D221" s="54"/>
      <c r="E221" s="46"/>
      <c r="F221" s="49"/>
      <c r="G221" s="54" t="s">
        <v>33</v>
      </c>
      <c r="H221" s="54" t="s">
        <v>109</v>
      </c>
      <c r="I221" s="54"/>
      <c r="J221" s="51">
        <f t="shared" si="22"/>
        <v>0</v>
      </c>
      <c r="K221" s="55"/>
      <c r="L221" s="297"/>
      <c r="M221" s="22">
        <f t="shared" si="24"/>
        <v>0</v>
      </c>
      <c r="N221" s="22">
        <v>0</v>
      </c>
    </row>
    <row r="222" spans="1:14">
      <c r="A222" s="38">
        <f t="shared" si="21"/>
        <v>222</v>
      </c>
      <c r="B222" s="54"/>
      <c r="C222" s="54"/>
      <c r="D222" s="54"/>
      <c r="E222" s="46"/>
      <c r="F222" s="49"/>
      <c r="G222" s="54" t="s">
        <v>35</v>
      </c>
      <c r="H222" s="54" t="s">
        <v>110</v>
      </c>
      <c r="I222" s="54"/>
      <c r="J222" s="51">
        <f t="shared" si="22"/>
        <v>0</v>
      </c>
      <c r="K222" s="55"/>
      <c r="L222" s="297"/>
      <c r="M222" s="22">
        <f t="shared" si="24"/>
        <v>0</v>
      </c>
      <c r="N222" s="22">
        <v>0</v>
      </c>
    </row>
    <row r="223" spans="1:14">
      <c r="A223" s="38">
        <f t="shared" si="21"/>
        <v>223</v>
      </c>
      <c r="B223" s="54"/>
      <c r="C223" s="54"/>
      <c r="D223" s="54"/>
      <c r="E223" s="46"/>
      <c r="F223" s="49"/>
      <c r="G223" s="54" t="s">
        <v>37</v>
      </c>
      <c r="H223" s="54" t="s">
        <v>70</v>
      </c>
      <c r="I223" s="54"/>
      <c r="J223" s="51">
        <f t="shared" si="22"/>
        <v>0</v>
      </c>
      <c r="K223" s="55"/>
      <c r="L223" s="297"/>
      <c r="M223" s="22">
        <f t="shared" si="24"/>
        <v>0</v>
      </c>
      <c r="N223" s="22">
        <v>0</v>
      </c>
    </row>
    <row r="224" spans="1:14">
      <c r="A224" s="38">
        <f t="shared" si="21"/>
        <v>224</v>
      </c>
      <c r="B224" s="46"/>
      <c r="C224" s="46"/>
      <c r="D224" s="46"/>
      <c r="E224" s="46" t="s">
        <v>11</v>
      </c>
      <c r="F224" s="71" t="s">
        <v>24</v>
      </c>
      <c r="G224" s="46"/>
      <c r="H224" s="46"/>
      <c r="I224" s="46"/>
      <c r="J224" s="51">
        <f t="shared" si="22"/>
        <v>0</v>
      </c>
      <c r="K224" s="65">
        <f>SUM(K225:K226)</f>
        <v>0</v>
      </c>
      <c r="L224" s="299">
        <f>SUM(L225:L226)</f>
        <v>0</v>
      </c>
      <c r="M224" s="22">
        <f t="shared" si="24"/>
        <v>0</v>
      </c>
      <c r="N224" s="22">
        <v>0</v>
      </c>
    </row>
    <row r="225" spans="1:14">
      <c r="A225" s="38">
        <f t="shared" si="21"/>
        <v>225</v>
      </c>
      <c r="B225" s="46"/>
      <c r="C225" s="46"/>
      <c r="D225" s="46"/>
      <c r="E225" s="46"/>
      <c r="F225" s="49" t="s">
        <v>29</v>
      </c>
      <c r="G225" s="76" t="s">
        <v>105</v>
      </c>
      <c r="H225" s="46"/>
      <c r="I225" s="46"/>
      <c r="J225" s="51">
        <f t="shared" si="22"/>
        <v>0</v>
      </c>
      <c r="K225" s="55"/>
      <c r="L225" s="297"/>
      <c r="M225" s="22">
        <f t="shared" si="24"/>
        <v>0</v>
      </c>
      <c r="N225" s="22">
        <v>0</v>
      </c>
    </row>
    <row r="226" spans="1:14">
      <c r="A226" s="38">
        <f t="shared" si="21"/>
        <v>226</v>
      </c>
      <c r="B226" s="46"/>
      <c r="C226" s="46"/>
      <c r="D226" s="46"/>
      <c r="E226" s="46"/>
      <c r="F226" s="49" t="s">
        <v>41</v>
      </c>
      <c r="G226" s="66" t="s">
        <v>106</v>
      </c>
      <c r="H226" s="46"/>
      <c r="I226" s="46"/>
      <c r="J226" s="51">
        <f t="shared" si="22"/>
        <v>0</v>
      </c>
      <c r="K226" s="65">
        <f>SUM(K227:K230)</f>
        <v>0</v>
      </c>
      <c r="L226" s="299">
        <f>SUM(L227:L230)</f>
        <v>0</v>
      </c>
      <c r="M226" s="22">
        <f t="shared" si="24"/>
        <v>0</v>
      </c>
      <c r="N226" s="22">
        <v>0</v>
      </c>
    </row>
    <row r="227" spans="1:14">
      <c r="A227" s="38">
        <f t="shared" si="21"/>
        <v>227</v>
      </c>
      <c r="B227" s="54"/>
      <c r="C227" s="54"/>
      <c r="D227" s="54"/>
      <c r="E227" s="46"/>
      <c r="F227" s="49"/>
      <c r="G227" s="54" t="s">
        <v>31</v>
      </c>
      <c r="H227" s="54" t="s">
        <v>107</v>
      </c>
      <c r="I227" s="54"/>
      <c r="J227" s="51">
        <f t="shared" si="22"/>
        <v>0</v>
      </c>
      <c r="K227" s="55"/>
      <c r="L227" s="297"/>
      <c r="M227" s="22">
        <f t="shared" si="24"/>
        <v>0</v>
      </c>
      <c r="N227" s="22">
        <v>0</v>
      </c>
    </row>
    <row r="228" spans="1:14">
      <c r="A228" s="38">
        <f t="shared" si="21"/>
        <v>228</v>
      </c>
      <c r="B228" s="54"/>
      <c r="C228" s="54"/>
      <c r="D228" s="54"/>
      <c r="E228" s="46"/>
      <c r="F228" s="49"/>
      <c r="G228" s="54" t="s">
        <v>44</v>
      </c>
      <c r="H228" s="54" t="s">
        <v>111</v>
      </c>
      <c r="I228" s="54"/>
      <c r="J228" s="51">
        <f t="shared" si="22"/>
        <v>0</v>
      </c>
      <c r="K228" s="55"/>
      <c r="L228" s="297"/>
      <c r="M228" s="22">
        <f t="shared" si="24"/>
        <v>0</v>
      </c>
      <c r="N228" s="22">
        <v>0</v>
      </c>
    </row>
    <row r="229" spans="1:14">
      <c r="A229" s="38">
        <f t="shared" si="21"/>
        <v>229</v>
      </c>
      <c r="B229" s="54"/>
      <c r="C229" s="54"/>
      <c r="D229" s="54"/>
      <c r="E229" s="54"/>
      <c r="F229" s="49"/>
      <c r="G229" s="54" t="s">
        <v>33</v>
      </c>
      <c r="H229" s="54" t="s">
        <v>110</v>
      </c>
      <c r="I229" s="54"/>
      <c r="J229" s="51">
        <f t="shared" si="22"/>
        <v>0</v>
      </c>
      <c r="K229" s="55"/>
      <c r="L229" s="297"/>
      <c r="M229" s="22">
        <f t="shared" si="24"/>
        <v>0</v>
      </c>
      <c r="N229" s="22">
        <v>0</v>
      </c>
    </row>
    <row r="230" spans="1:14">
      <c r="A230" s="38">
        <f t="shared" si="21"/>
        <v>230</v>
      </c>
      <c r="B230" s="54"/>
      <c r="C230" s="54"/>
      <c r="D230" s="54"/>
      <c r="E230" s="54"/>
      <c r="F230" s="49"/>
      <c r="G230" s="54" t="s">
        <v>35</v>
      </c>
      <c r="H230" s="54" t="s">
        <v>70</v>
      </c>
      <c r="I230" s="54"/>
      <c r="J230" s="51">
        <f t="shared" si="22"/>
        <v>0</v>
      </c>
      <c r="K230" s="55"/>
      <c r="L230" s="297"/>
      <c r="M230" s="22">
        <f t="shared" si="24"/>
        <v>0</v>
      </c>
      <c r="N230" s="22">
        <v>0</v>
      </c>
    </row>
    <row r="231" spans="1:14">
      <c r="A231" s="38">
        <f t="shared" si="21"/>
        <v>231</v>
      </c>
      <c r="B231" s="56"/>
      <c r="C231" s="56"/>
      <c r="D231" s="56"/>
      <c r="E231" s="56"/>
      <c r="F231" s="56"/>
      <c r="G231" s="56"/>
      <c r="H231" s="56"/>
      <c r="I231" s="57"/>
      <c r="J231" s="58"/>
      <c r="K231" s="58"/>
      <c r="L231" s="298"/>
      <c r="M231" s="22">
        <f t="shared" si="24"/>
        <v>0</v>
      </c>
      <c r="N231" s="22">
        <v>0</v>
      </c>
    </row>
    <row r="232" spans="1:14" ht="14">
      <c r="A232" s="38">
        <f t="shared" si="21"/>
        <v>232</v>
      </c>
      <c r="B232" s="46"/>
      <c r="C232" s="46"/>
      <c r="D232" s="39" t="s">
        <v>112</v>
      </c>
      <c r="E232" s="64" t="s">
        <v>113</v>
      </c>
      <c r="F232" s="40"/>
      <c r="G232" s="39"/>
      <c r="H232" s="39"/>
      <c r="I232" s="39"/>
      <c r="J232" s="51">
        <f t="shared" si="22"/>
        <v>0</v>
      </c>
      <c r="K232" s="62">
        <f>SUM(K233,K254)</f>
        <v>0</v>
      </c>
      <c r="L232" s="51">
        <f>SUM(L233,L254)</f>
        <v>0</v>
      </c>
      <c r="M232" s="22">
        <v>1</v>
      </c>
      <c r="N232" s="22">
        <v>1</v>
      </c>
    </row>
    <row r="233" spans="1:14">
      <c r="A233" s="38">
        <f t="shared" si="21"/>
        <v>233</v>
      </c>
      <c r="B233" s="46"/>
      <c r="C233" s="46"/>
      <c r="D233" s="46"/>
      <c r="E233" s="46" t="s">
        <v>9</v>
      </c>
      <c r="F233" s="48" t="s">
        <v>8</v>
      </c>
      <c r="G233" s="46"/>
      <c r="H233" s="46"/>
      <c r="I233" s="46"/>
      <c r="J233" s="51">
        <f t="shared" si="22"/>
        <v>0</v>
      </c>
      <c r="K233" s="62">
        <f>SUM(K234,K243)</f>
        <v>0</v>
      </c>
      <c r="L233" s="51">
        <f>SUM(L234,L243)</f>
        <v>0</v>
      </c>
      <c r="M233" s="22">
        <f t="shared" ref="M233:M277" si="25">IF(J233&lt;&gt;0,1,0)</f>
        <v>0</v>
      </c>
      <c r="N233" s="22">
        <v>0</v>
      </c>
    </row>
    <row r="234" spans="1:14">
      <c r="A234" s="38">
        <f t="shared" si="21"/>
        <v>234</v>
      </c>
      <c r="B234" s="46"/>
      <c r="C234" s="46"/>
      <c r="D234" s="46"/>
      <c r="E234" s="46"/>
      <c r="F234" s="49" t="s">
        <v>29</v>
      </c>
      <c r="G234" s="66" t="s">
        <v>30</v>
      </c>
      <c r="H234" s="46"/>
      <c r="I234" s="46"/>
      <c r="J234" s="51">
        <f t="shared" si="22"/>
        <v>0</v>
      </c>
      <c r="K234" s="65">
        <f>SUM(K235:K242)</f>
        <v>0</v>
      </c>
      <c r="L234" s="299">
        <f>SUM(L235:L242)</f>
        <v>0</v>
      </c>
      <c r="M234" s="22">
        <f t="shared" si="25"/>
        <v>0</v>
      </c>
      <c r="N234" s="22">
        <v>0</v>
      </c>
    </row>
    <row r="235" spans="1:14">
      <c r="A235" s="38">
        <f t="shared" si="21"/>
        <v>235</v>
      </c>
      <c r="B235" s="46"/>
      <c r="C235" s="46"/>
      <c r="D235" s="46"/>
      <c r="E235" s="46"/>
      <c r="F235" s="49"/>
      <c r="G235" s="54" t="s">
        <v>31</v>
      </c>
      <c r="H235" s="69" t="s">
        <v>114</v>
      </c>
      <c r="I235" s="46"/>
      <c r="J235" s="51">
        <f t="shared" si="22"/>
        <v>0</v>
      </c>
      <c r="K235" s="55"/>
      <c r="L235" s="297"/>
      <c r="M235" s="22">
        <f t="shared" si="25"/>
        <v>0</v>
      </c>
      <c r="N235" s="22">
        <v>0</v>
      </c>
    </row>
    <row r="236" spans="1:14">
      <c r="A236" s="38">
        <f t="shared" si="21"/>
        <v>236</v>
      </c>
      <c r="B236" s="46"/>
      <c r="C236" s="46"/>
      <c r="D236" s="46"/>
      <c r="E236" s="46"/>
      <c r="F236" s="49"/>
      <c r="G236" s="54" t="s">
        <v>44</v>
      </c>
      <c r="H236" s="69" t="s">
        <v>115</v>
      </c>
      <c r="I236" s="46"/>
      <c r="J236" s="51">
        <f t="shared" si="22"/>
        <v>0</v>
      </c>
      <c r="K236" s="55"/>
      <c r="L236" s="297"/>
      <c r="M236" s="22">
        <f t="shared" si="25"/>
        <v>0</v>
      </c>
      <c r="N236" s="22">
        <v>0</v>
      </c>
    </row>
    <row r="237" spans="1:14">
      <c r="A237" s="38">
        <f t="shared" si="21"/>
        <v>237</v>
      </c>
      <c r="B237" s="46"/>
      <c r="C237" s="46"/>
      <c r="D237" s="46"/>
      <c r="E237" s="46"/>
      <c r="F237" s="49"/>
      <c r="G237" s="54" t="s">
        <v>33</v>
      </c>
      <c r="H237" s="54" t="s">
        <v>116</v>
      </c>
      <c r="I237" s="46"/>
      <c r="J237" s="51">
        <f t="shared" si="22"/>
        <v>0</v>
      </c>
      <c r="K237" s="55"/>
      <c r="L237" s="297"/>
      <c r="M237" s="22">
        <f t="shared" si="25"/>
        <v>0</v>
      </c>
      <c r="N237" s="22">
        <v>0</v>
      </c>
    </row>
    <row r="238" spans="1:14">
      <c r="A238" s="38">
        <f t="shared" si="21"/>
        <v>238</v>
      </c>
      <c r="B238" s="46"/>
      <c r="C238" s="46"/>
      <c r="D238" s="46"/>
      <c r="E238" s="46"/>
      <c r="F238" s="49"/>
      <c r="G238" s="54" t="s">
        <v>35</v>
      </c>
      <c r="H238" s="54" t="s">
        <v>117</v>
      </c>
      <c r="I238" s="46"/>
      <c r="J238" s="51">
        <f t="shared" si="22"/>
        <v>0</v>
      </c>
      <c r="K238" s="55"/>
      <c r="L238" s="297"/>
      <c r="M238" s="22">
        <f t="shared" si="25"/>
        <v>0</v>
      </c>
      <c r="N238" s="22">
        <v>0</v>
      </c>
    </row>
    <row r="239" spans="1:14">
      <c r="A239" s="38">
        <f t="shared" si="21"/>
        <v>239</v>
      </c>
      <c r="B239" s="46"/>
      <c r="C239" s="46"/>
      <c r="D239" s="46"/>
      <c r="E239" s="46"/>
      <c r="F239" s="49"/>
      <c r="G239" s="54" t="s">
        <v>37</v>
      </c>
      <c r="H239" s="69" t="s">
        <v>118</v>
      </c>
      <c r="I239" s="54"/>
      <c r="J239" s="51">
        <f t="shared" si="22"/>
        <v>0</v>
      </c>
      <c r="K239" s="55"/>
      <c r="L239" s="297"/>
      <c r="M239" s="22">
        <f t="shared" si="25"/>
        <v>0</v>
      </c>
      <c r="N239" s="22">
        <v>0</v>
      </c>
    </row>
    <row r="240" spans="1:14">
      <c r="A240" s="38">
        <f t="shared" si="21"/>
        <v>240</v>
      </c>
      <c r="B240" s="46"/>
      <c r="C240" s="46"/>
      <c r="D240" s="46"/>
      <c r="E240" s="46"/>
      <c r="F240" s="49"/>
      <c r="G240" s="54" t="s">
        <v>39</v>
      </c>
      <c r="H240" s="69" t="s">
        <v>119</v>
      </c>
      <c r="I240" s="54"/>
      <c r="J240" s="51">
        <f t="shared" si="22"/>
        <v>0</v>
      </c>
      <c r="K240" s="55"/>
      <c r="L240" s="297"/>
      <c r="M240" s="22">
        <f t="shared" si="25"/>
        <v>0</v>
      </c>
      <c r="N240" s="22">
        <v>0</v>
      </c>
    </row>
    <row r="241" spans="1:14">
      <c r="A241" s="38">
        <f t="shared" si="21"/>
        <v>241</v>
      </c>
      <c r="B241" s="46"/>
      <c r="C241" s="46"/>
      <c r="D241" s="46"/>
      <c r="E241" s="46"/>
      <c r="F241" s="49"/>
      <c r="G241" s="54" t="s">
        <v>120</v>
      </c>
      <c r="H241" s="54" t="s">
        <v>121</v>
      </c>
      <c r="I241" s="54"/>
      <c r="J241" s="51">
        <f t="shared" si="22"/>
        <v>0</v>
      </c>
      <c r="K241" s="55"/>
      <c r="L241" s="297"/>
      <c r="M241" s="22">
        <f t="shared" si="25"/>
        <v>0</v>
      </c>
      <c r="N241" s="22">
        <v>0</v>
      </c>
    </row>
    <row r="242" spans="1:14">
      <c r="A242" s="38">
        <f t="shared" si="21"/>
        <v>242</v>
      </c>
      <c r="B242" s="46"/>
      <c r="C242" s="46"/>
      <c r="D242" s="46"/>
      <c r="E242" s="46"/>
      <c r="F242" s="49"/>
      <c r="G242" s="54" t="s">
        <v>122</v>
      </c>
      <c r="H242" s="54" t="s">
        <v>123</v>
      </c>
      <c r="I242" s="54"/>
      <c r="J242" s="51">
        <f t="shared" si="22"/>
        <v>0</v>
      </c>
      <c r="K242" s="55"/>
      <c r="L242" s="297"/>
      <c r="M242" s="22">
        <f t="shared" si="25"/>
        <v>0</v>
      </c>
      <c r="N242" s="22">
        <v>0</v>
      </c>
    </row>
    <row r="243" spans="1:14">
      <c r="A243" s="38">
        <f t="shared" si="21"/>
        <v>243</v>
      </c>
      <c r="B243" s="46"/>
      <c r="C243" s="46"/>
      <c r="D243" s="46"/>
      <c r="E243" s="46"/>
      <c r="F243" s="49" t="s">
        <v>41</v>
      </c>
      <c r="G243" s="66" t="s">
        <v>42</v>
      </c>
      <c r="H243" s="46"/>
      <c r="I243" s="46"/>
      <c r="J243" s="51">
        <f t="shared" si="22"/>
        <v>0</v>
      </c>
      <c r="K243" s="65">
        <f>SUM(K244:K253)</f>
        <v>0</v>
      </c>
      <c r="L243" s="299">
        <f>SUM(L244:L253)</f>
        <v>0</v>
      </c>
      <c r="M243" s="22">
        <f t="shared" si="25"/>
        <v>0</v>
      </c>
      <c r="N243" s="22">
        <v>0</v>
      </c>
    </row>
    <row r="244" spans="1:14">
      <c r="A244" s="38">
        <f t="shared" si="21"/>
        <v>244</v>
      </c>
      <c r="B244" s="54"/>
      <c r="C244" s="54"/>
      <c r="D244" s="54"/>
      <c r="E244" s="54"/>
      <c r="F244" s="49"/>
      <c r="G244" s="54" t="s">
        <v>31</v>
      </c>
      <c r="H244" s="54" t="s">
        <v>124</v>
      </c>
      <c r="I244" s="54"/>
      <c r="J244" s="51">
        <f t="shared" si="22"/>
        <v>0</v>
      </c>
      <c r="K244" s="55"/>
      <c r="L244" s="297"/>
      <c r="M244" s="22">
        <f t="shared" si="25"/>
        <v>0</v>
      </c>
      <c r="N244" s="22">
        <v>0</v>
      </c>
    </row>
    <row r="245" spans="1:14">
      <c r="A245" s="38">
        <f t="shared" si="21"/>
        <v>245</v>
      </c>
      <c r="B245" s="54"/>
      <c r="C245" s="54"/>
      <c r="D245" s="54"/>
      <c r="E245" s="54"/>
      <c r="F245" s="49"/>
      <c r="G245" s="54" t="s">
        <v>44</v>
      </c>
      <c r="H245" s="54" t="s">
        <v>125</v>
      </c>
      <c r="I245" s="54"/>
      <c r="J245" s="51">
        <f t="shared" si="22"/>
        <v>0</v>
      </c>
      <c r="K245" s="55"/>
      <c r="L245" s="297"/>
      <c r="M245" s="22">
        <f t="shared" si="25"/>
        <v>0</v>
      </c>
      <c r="N245" s="22">
        <v>0</v>
      </c>
    </row>
    <row r="246" spans="1:14">
      <c r="A246" s="38">
        <f t="shared" si="21"/>
        <v>246</v>
      </c>
      <c r="B246" s="54"/>
      <c r="C246" s="54"/>
      <c r="D246" s="54"/>
      <c r="E246" s="54"/>
      <c r="F246" s="49"/>
      <c r="G246" s="54" t="s">
        <v>33</v>
      </c>
      <c r="H246" s="54" t="s">
        <v>126</v>
      </c>
      <c r="I246" s="54"/>
      <c r="J246" s="51">
        <f t="shared" si="22"/>
        <v>0</v>
      </c>
      <c r="K246" s="55"/>
      <c r="L246" s="297"/>
      <c r="M246" s="22">
        <f t="shared" si="25"/>
        <v>0</v>
      </c>
      <c r="N246" s="22">
        <v>0</v>
      </c>
    </row>
    <row r="247" spans="1:14">
      <c r="A247" s="38">
        <f t="shared" si="21"/>
        <v>247</v>
      </c>
      <c r="B247" s="54"/>
      <c r="C247" s="54"/>
      <c r="D247" s="54"/>
      <c r="E247" s="54"/>
      <c r="F247" s="49"/>
      <c r="G247" s="54" t="s">
        <v>35</v>
      </c>
      <c r="H247" s="54" t="s">
        <v>127</v>
      </c>
      <c r="I247" s="54"/>
      <c r="J247" s="51">
        <f t="shared" si="22"/>
        <v>0</v>
      </c>
      <c r="K247" s="55"/>
      <c r="L247" s="297"/>
      <c r="M247" s="22">
        <f t="shared" si="25"/>
        <v>0</v>
      </c>
      <c r="N247" s="22">
        <v>0</v>
      </c>
    </row>
    <row r="248" spans="1:14">
      <c r="A248" s="38">
        <f t="shared" si="21"/>
        <v>248</v>
      </c>
      <c r="B248" s="54"/>
      <c r="C248" s="54"/>
      <c r="D248" s="54"/>
      <c r="E248" s="54"/>
      <c r="F248" s="49"/>
      <c r="G248" s="54" t="s">
        <v>37</v>
      </c>
      <c r="H248" s="54" t="s">
        <v>128</v>
      </c>
      <c r="I248" s="54"/>
      <c r="J248" s="51">
        <f t="shared" si="22"/>
        <v>0</v>
      </c>
      <c r="K248" s="55"/>
      <c r="L248" s="297"/>
      <c r="M248" s="22">
        <f t="shared" si="25"/>
        <v>0</v>
      </c>
      <c r="N248" s="22">
        <v>0</v>
      </c>
    </row>
    <row r="249" spans="1:14">
      <c r="A249" s="38">
        <f t="shared" si="21"/>
        <v>249</v>
      </c>
      <c r="B249" s="54"/>
      <c r="C249" s="54"/>
      <c r="D249" s="54"/>
      <c r="E249" s="54"/>
      <c r="F249" s="56"/>
      <c r="G249" s="54" t="s">
        <v>39</v>
      </c>
      <c r="H249" s="54" t="s">
        <v>129</v>
      </c>
      <c r="I249" s="54"/>
      <c r="J249" s="51">
        <f t="shared" si="22"/>
        <v>0</v>
      </c>
      <c r="K249" s="55"/>
      <c r="L249" s="297"/>
      <c r="M249" s="22">
        <f t="shared" si="25"/>
        <v>0</v>
      </c>
      <c r="N249" s="22">
        <v>0</v>
      </c>
    </row>
    <row r="250" spans="1:14">
      <c r="A250" s="38">
        <f t="shared" si="21"/>
        <v>250</v>
      </c>
      <c r="B250" s="54"/>
      <c r="C250" s="54"/>
      <c r="D250" s="54"/>
      <c r="E250" s="54"/>
      <c r="F250" s="56"/>
      <c r="G250" s="54" t="s">
        <v>120</v>
      </c>
      <c r="H250" s="54" t="s">
        <v>130</v>
      </c>
      <c r="I250" s="54"/>
      <c r="J250" s="51">
        <f t="shared" si="22"/>
        <v>0</v>
      </c>
      <c r="K250" s="55"/>
      <c r="L250" s="297"/>
      <c r="M250" s="22">
        <f t="shared" si="25"/>
        <v>0</v>
      </c>
      <c r="N250" s="22">
        <v>0</v>
      </c>
    </row>
    <row r="251" spans="1:14">
      <c r="A251" s="38">
        <f t="shared" si="21"/>
        <v>251</v>
      </c>
      <c r="B251" s="54"/>
      <c r="C251" s="54"/>
      <c r="D251" s="54"/>
      <c r="E251" s="54"/>
      <c r="F251" s="56"/>
      <c r="G251" s="54" t="s">
        <v>122</v>
      </c>
      <c r="H251" s="54" t="s">
        <v>131</v>
      </c>
      <c r="I251" s="54"/>
      <c r="J251" s="51">
        <f t="shared" si="22"/>
        <v>0</v>
      </c>
      <c r="K251" s="55"/>
      <c r="L251" s="297"/>
      <c r="M251" s="22">
        <f t="shared" si="25"/>
        <v>0</v>
      </c>
      <c r="N251" s="22">
        <v>0</v>
      </c>
    </row>
    <row r="252" spans="1:14">
      <c r="A252" s="38">
        <f t="shared" si="21"/>
        <v>252</v>
      </c>
      <c r="B252" s="54"/>
      <c r="C252" s="54"/>
      <c r="D252" s="54"/>
      <c r="E252" s="54"/>
      <c r="F252" s="56"/>
      <c r="G252" s="54" t="s">
        <v>132</v>
      </c>
      <c r="H252" s="54" t="s">
        <v>133</v>
      </c>
      <c r="I252" s="54"/>
      <c r="J252" s="51">
        <f t="shared" si="22"/>
        <v>0</v>
      </c>
      <c r="K252" s="55"/>
      <c r="L252" s="297"/>
      <c r="M252" s="22">
        <f t="shared" si="25"/>
        <v>0</v>
      </c>
      <c r="N252" s="22">
        <v>0</v>
      </c>
    </row>
    <row r="253" spans="1:14">
      <c r="A253" s="38">
        <f t="shared" si="21"/>
        <v>253</v>
      </c>
      <c r="B253" s="54"/>
      <c r="C253" s="54"/>
      <c r="D253" s="54"/>
      <c r="E253" s="54"/>
      <c r="F253" s="56"/>
      <c r="G253" s="54" t="s">
        <v>134</v>
      </c>
      <c r="H253" s="54" t="s">
        <v>135</v>
      </c>
      <c r="I253" s="54"/>
      <c r="J253" s="51">
        <f t="shared" si="22"/>
        <v>0</v>
      </c>
      <c r="K253" s="55"/>
      <c r="L253" s="297"/>
      <c r="M253" s="22">
        <f t="shared" si="25"/>
        <v>0</v>
      </c>
      <c r="N253" s="22">
        <v>0</v>
      </c>
    </row>
    <row r="254" spans="1:14">
      <c r="A254" s="38">
        <f t="shared" si="21"/>
        <v>254</v>
      </c>
      <c r="B254" s="46"/>
      <c r="C254" s="46"/>
      <c r="D254" s="46"/>
      <c r="E254" s="46" t="s">
        <v>11</v>
      </c>
      <c r="F254" s="71" t="s">
        <v>24</v>
      </c>
      <c r="G254" s="46"/>
      <c r="H254" s="46"/>
      <c r="I254" s="46"/>
      <c r="J254" s="51">
        <f t="shared" si="22"/>
        <v>0</v>
      </c>
      <c r="K254" s="65">
        <f>SUM(K255,K266)</f>
        <v>0</v>
      </c>
      <c r="L254" s="299">
        <f>SUM(L255,L266)</f>
        <v>0</v>
      </c>
      <c r="M254" s="22">
        <f t="shared" si="25"/>
        <v>0</v>
      </c>
      <c r="N254" s="22">
        <v>0</v>
      </c>
    </row>
    <row r="255" spans="1:14">
      <c r="A255" s="38">
        <f t="shared" si="21"/>
        <v>255</v>
      </c>
      <c r="B255" s="46"/>
      <c r="C255" s="46"/>
      <c r="D255" s="46"/>
      <c r="E255" s="46"/>
      <c r="F255" s="49" t="s">
        <v>29</v>
      </c>
      <c r="G255" s="66" t="s">
        <v>30</v>
      </c>
      <c r="H255" s="46"/>
      <c r="I255" s="46"/>
      <c r="J255" s="51">
        <f t="shared" si="22"/>
        <v>0</v>
      </c>
      <c r="K255" s="65">
        <f>SUM(K256:K265)</f>
        <v>0</v>
      </c>
      <c r="L255" s="299">
        <f>SUM(L256:L265)</f>
        <v>0</v>
      </c>
      <c r="M255" s="22">
        <f t="shared" si="25"/>
        <v>0</v>
      </c>
      <c r="N255" s="22">
        <v>0</v>
      </c>
    </row>
    <row r="256" spans="1:14">
      <c r="A256" s="38">
        <f t="shared" si="21"/>
        <v>256</v>
      </c>
      <c r="B256" s="46"/>
      <c r="C256" s="46"/>
      <c r="D256" s="46"/>
      <c r="E256" s="46"/>
      <c r="F256" s="49"/>
      <c r="G256" s="54" t="s">
        <v>31</v>
      </c>
      <c r="H256" s="69" t="s">
        <v>136</v>
      </c>
      <c r="I256" s="46"/>
      <c r="J256" s="51">
        <f t="shared" si="22"/>
        <v>0</v>
      </c>
      <c r="K256" s="55"/>
      <c r="L256" s="297"/>
      <c r="M256" s="22">
        <f t="shared" si="25"/>
        <v>0</v>
      </c>
      <c r="N256" s="22">
        <v>0</v>
      </c>
    </row>
    <row r="257" spans="1:14">
      <c r="A257" s="38">
        <f t="shared" si="21"/>
        <v>257</v>
      </c>
      <c r="B257" s="46"/>
      <c r="C257" s="46"/>
      <c r="D257" s="46"/>
      <c r="E257" s="46"/>
      <c r="F257" s="49"/>
      <c r="G257" s="54" t="s">
        <v>44</v>
      </c>
      <c r="H257" s="69" t="s">
        <v>137</v>
      </c>
      <c r="I257" s="46"/>
      <c r="J257" s="51">
        <f t="shared" si="22"/>
        <v>0</v>
      </c>
      <c r="K257" s="55"/>
      <c r="L257" s="297"/>
      <c r="M257" s="22">
        <f t="shared" si="25"/>
        <v>0</v>
      </c>
      <c r="N257" s="22">
        <v>0</v>
      </c>
    </row>
    <row r="258" spans="1:14">
      <c r="A258" s="38">
        <f t="shared" si="21"/>
        <v>258</v>
      </c>
      <c r="B258" s="46"/>
      <c r="C258" s="46"/>
      <c r="D258" s="46"/>
      <c r="E258" s="46"/>
      <c r="F258" s="49"/>
      <c r="G258" s="54" t="s">
        <v>33</v>
      </c>
      <c r="H258" s="69" t="s">
        <v>138</v>
      </c>
      <c r="I258" s="46"/>
      <c r="J258" s="51">
        <f t="shared" si="22"/>
        <v>0</v>
      </c>
      <c r="K258" s="55"/>
      <c r="L258" s="297"/>
      <c r="M258" s="22">
        <f t="shared" si="25"/>
        <v>0</v>
      </c>
      <c r="N258" s="22">
        <v>0</v>
      </c>
    </row>
    <row r="259" spans="1:14">
      <c r="A259" s="38">
        <f t="shared" si="21"/>
        <v>259</v>
      </c>
      <c r="B259" s="46"/>
      <c r="C259" s="46"/>
      <c r="D259" s="46"/>
      <c r="E259" s="46"/>
      <c r="F259" s="49"/>
      <c r="G259" s="54" t="s">
        <v>35</v>
      </c>
      <c r="H259" s="77" t="s">
        <v>139</v>
      </c>
      <c r="I259" s="46"/>
      <c r="J259" s="51">
        <f t="shared" si="22"/>
        <v>0</v>
      </c>
      <c r="K259" s="55"/>
      <c r="L259" s="297"/>
      <c r="M259" s="22">
        <f t="shared" si="25"/>
        <v>0</v>
      </c>
      <c r="N259" s="22">
        <v>0</v>
      </c>
    </row>
    <row r="260" spans="1:14">
      <c r="A260" s="38">
        <f t="shared" si="21"/>
        <v>260</v>
      </c>
      <c r="B260" s="46"/>
      <c r="C260" s="46"/>
      <c r="D260" s="46"/>
      <c r="E260" s="46"/>
      <c r="F260" s="49"/>
      <c r="G260" s="54" t="s">
        <v>37</v>
      </c>
      <c r="H260" s="54" t="s">
        <v>140</v>
      </c>
      <c r="I260" s="46"/>
      <c r="J260" s="51">
        <f t="shared" si="22"/>
        <v>0</v>
      </c>
      <c r="K260" s="55"/>
      <c r="L260" s="297"/>
      <c r="M260" s="22">
        <f t="shared" si="25"/>
        <v>0</v>
      </c>
      <c r="N260" s="22">
        <v>0</v>
      </c>
    </row>
    <row r="261" spans="1:14">
      <c r="A261" s="38">
        <f t="shared" si="21"/>
        <v>261</v>
      </c>
      <c r="B261" s="46"/>
      <c r="C261" s="46"/>
      <c r="D261" s="46"/>
      <c r="E261" s="46"/>
      <c r="F261" s="49"/>
      <c r="G261" s="54" t="s">
        <v>39</v>
      </c>
      <c r="H261" s="69" t="s">
        <v>141</v>
      </c>
      <c r="I261" s="46"/>
      <c r="J261" s="51">
        <f t="shared" si="22"/>
        <v>0</v>
      </c>
      <c r="K261" s="55"/>
      <c r="L261" s="297"/>
      <c r="M261" s="22">
        <f t="shared" si="25"/>
        <v>0</v>
      </c>
      <c r="N261" s="22">
        <v>0</v>
      </c>
    </row>
    <row r="262" spans="1:14">
      <c r="A262" s="38">
        <f t="shared" si="21"/>
        <v>262</v>
      </c>
      <c r="B262" s="46"/>
      <c r="C262" s="46"/>
      <c r="D262" s="46"/>
      <c r="E262" s="46"/>
      <c r="F262" s="49"/>
      <c r="G262" s="54" t="s">
        <v>120</v>
      </c>
      <c r="H262" s="69" t="s">
        <v>142</v>
      </c>
      <c r="I262" s="46"/>
      <c r="J262" s="51">
        <f t="shared" si="22"/>
        <v>0</v>
      </c>
      <c r="K262" s="55"/>
      <c r="L262" s="297"/>
      <c r="M262" s="22">
        <f t="shared" si="25"/>
        <v>0</v>
      </c>
      <c r="N262" s="22">
        <v>0</v>
      </c>
    </row>
    <row r="263" spans="1:14">
      <c r="A263" s="38">
        <f t="shared" si="21"/>
        <v>263</v>
      </c>
      <c r="B263" s="46"/>
      <c r="C263" s="46"/>
      <c r="D263" s="46"/>
      <c r="E263" s="46"/>
      <c r="F263" s="49"/>
      <c r="G263" s="54" t="s">
        <v>122</v>
      </c>
      <c r="H263" s="69" t="s">
        <v>143</v>
      </c>
      <c r="I263" s="46"/>
      <c r="J263" s="51">
        <f t="shared" si="22"/>
        <v>0</v>
      </c>
      <c r="K263" s="55"/>
      <c r="L263" s="297"/>
      <c r="M263" s="22">
        <f t="shared" si="25"/>
        <v>0</v>
      </c>
      <c r="N263" s="22">
        <v>0</v>
      </c>
    </row>
    <row r="264" spans="1:14">
      <c r="A264" s="38">
        <f t="shared" si="21"/>
        <v>264</v>
      </c>
      <c r="B264" s="54"/>
      <c r="C264" s="54"/>
      <c r="D264" s="54"/>
      <c r="E264" s="54"/>
      <c r="F264" s="56"/>
      <c r="G264" s="54" t="s">
        <v>132</v>
      </c>
      <c r="H264" s="77" t="s">
        <v>144</v>
      </c>
      <c r="I264" s="54"/>
      <c r="J264" s="51">
        <f t="shared" si="22"/>
        <v>0</v>
      </c>
      <c r="K264" s="55"/>
      <c r="L264" s="297"/>
      <c r="M264" s="22">
        <f t="shared" si="25"/>
        <v>0</v>
      </c>
      <c r="N264" s="22">
        <v>0</v>
      </c>
    </row>
    <row r="265" spans="1:14">
      <c r="A265" s="38">
        <f t="shared" ref="A265:A328" si="26">A264+1</f>
        <v>265</v>
      </c>
      <c r="B265" s="54"/>
      <c r="C265" s="54"/>
      <c r="D265" s="54"/>
      <c r="E265" s="54"/>
      <c r="F265" s="56"/>
      <c r="G265" s="54" t="s">
        <v>134</v>
      </c>
      <c r="H265" s="69" t="s">
        <v>145</v>
      </c>
      <c r="I265" s="46"/>
      <c r="J265" s="51">
        <f t="shared" si="22"/>
        <v>0</v>
      </c>
      <c r="K265" s="55"/>
      <c r="L265" s="297"/>
      <c r="M265" s="22">
        <f t="shared" si="25"/>
        <v>0</v>
      </c>
      <c r="N265" s="22">
        <v>0</v>
      </c>
    </row>
    <row r="266" spans="1:14">
      <c r="A266" s="38">
        <f t="shared" si="26"/>
        <v>266</v>
      </c>
      <c r="B266" s="46"/>
      <c r="C266" s="46"/>
      <c r="D266" s="46"/>
      <c r="E266" s="46"/>
      <c r="F266" s="49" t="s">
        <v>41</v>
      </c>
      <c r="G266" s="66" t="s">
        <v>42</v>
      </c>
      <c r="H266" s="46"/>
      <c r="I266" s="46"/>
      <c r="J266" s="51">
        <f t="shared" si="22"/>
        <v>0</v>
      </c>
      <c r="K266" s="65">
        <f>SUM(K267:K276)</f>
        <v>0</v>
      </c>
      <c r="L266" s="299">
        <f>SUM(L267:L276)</f>
        <v>0</v>
      </c>
      <c r="M266" s="22">
        <f t="shared" si="25"/>
        <v>0</v>
      </c>
      <c r="N266" s="22">
        <v>0</v>
      </c>
    </row>
    <row r="267" spans="1:14">
      <c r="A267" s="38">
        <f t="shared" si="26"/>
        <v>267</v>
      </c>
      <c r="B267" s="54"/>
      <c r="C267" s="54"/>
      <c r="D267" s="54"/>
      <c r="E267" s="54"/>
      <c r="F267" s="49"/>
      <c r="G267" s="54" t="s">
        <v>31</v>
      </c>
      <c r="H267" s="69" t="s">
        <v>146</v>
      </c>
      <c r="I267" s="54"/>
      <c r="J267" s="51">
        <f t="shared" si="22"/>
        <v>0</v>
      </c>
      <c r="K267" s="55"/>
      <c r="L267" s="297"/>
      <c r="M267" s="22">
        <f t="shared" si="25"/>
        <v>0</v>
      </c>
      <c r="N267" s="22">
        <v>0</v>
      </c>
    </row>
    <row r="268" spans="1:14">
      <c r="A268" s="38">
        <f t="shared" si="26"/>
        <v>268</v>
      </c>
      <c r="B268" s="54"/>
      <c r="C268" s="54"/>
      <c r="D268" s="54"/>
      <c r="E268" s="54"/>
      <c r="F268" s="49"/>
      <c r="G268" s="54" t="s">
        <v>44</v>
      </c>
      <c r="H268" s="54" t="s">
        <v>147</v>
      </c>
      <c r="I268" s="54"/>
      <c r="J268" s="51">
        <f t="shared" si="22"/>
        <v>0</v>
      </c>
      <c r="K268" s="55"/>
      <c r="L268" s="297"/>
      <c r="M268" s="22">
        <f t="shared" si="25"/>
        <v>0</v>
      </c>
      <c r="N268" s="22">
        <v>0</v>
      </c>
    </row>
    <row r="269" spans="1:14">
      <c r="A269" s="38">
        <f t="shared" si="26"/>
        <v>269</v>
      </c>
      <c r="B269" s="54"/>
      <c r="C269" s="54"/>
      <c r="D269" s="54"/>
      <c r="E269" s="54"/>
      <c r="F269" s="49"/>
      <c r="G269" s="54" t="s">
        <v>33</v>
      </c>
      <c r="H269" s="54" t="s">
        <v>148</v>
      </c>
      <c r="I269" s="54"/>
      <c r="J269" s="51">
        <f t="shared" si="22"/>
        <v>0</v>
      </c>
      <c r="K269" s="55"/>
      <c r="L269" s="297"/>
      <c r="M269" s="22">
        <f t="shared" si="25"/>
        <v>0</v>
      </c>
      <c r="N269" s="22">
        <v>0</v>
      </c>
    </row>
    <row r="270" spans="1:14">
      <c r="A270" s="38">
        <f t="shared" si="26"/>
        <v>270</v>
      </c>
      <c r="B270" s="54"/>
      <c r="C270" s="54"/>
      <c r="D270" s="54"/>
      <c r="E270" s="54"/>
      <c r="F270" s="49"/>
      <c r="G270" s="54" t="s">
        <v>35</v>
      </c>
      <c r="H270" s="77" t="s">
        <v>149</v>
      </c>
      <c r="I270" s="46"/>
      <c r="J270" s="51">
        <f t="shared" si="22"/>
        <v>0</v>
      </c>
      <c r="K270" s="55"/>
      <c r="L270" s="297"/>
      <c r="M270" s="22">
        <f t="shared" si="25"/>
        <v>0</v>
      </c>
      <c r="N270" s="22">
        <v>0</v>
      </c>
    </row>
    <row r="271" spans="1:14">
      <c r="A271" s="38">
        <f t="shared" si="26"/>
        <v>271</v>
      </c>
      <c r="B271" s="54"/>
      <c r="C271" s="54"/>
      <c r="D271" s="54"/>
      <c r="E271" s="54"/>
      <c r="F271" s="49"/>
      <c r="G271" s="54" t="s">
        <v>37</v>
      </c>
      <c r="H271" s="54" t="s">
        <v>150</v>
      </c>
      <c r="I271" s="54"/>
      <c r="J271" s="51">
        <f t="shared" si="22"/>
        <v>0</v>
      </c>
      <c r="K271" s="55"/>
      <c r="L271" s="297"/>
      <c r="M271" s="22">
        <f t="shared" si="25"/>
        <v>0</v>
      </c>
      <c r="N271" s="22">
        <v>0</v>
      </c>
    </row>
    <row r="272" spans="1:14">
      <c r="A272" s="38">
        <f t="shared" si="26"/>
        <v>272</v>
      </c>
      <c r="B272" s="54"/>
      <c r="C272" s="54"/>
      <c r="D272" s="54"/>
      <c r="E272" s="54"/>
      <c r="F272" s="56"/>
      <c r="G272" s="54" t="s">
        <v>39</v>
      </c>
      <c r="H272" s="69" t="s">
        <v>151</v>
      </c>
      <c r="I272" s="54"/>
      <c r="J272" s="51">
        <f t="shared" ref="J272:J335" si="27">SUM(K272:L272)</f>
        <v>0</v>
      </c>
      <c r="K272" s="55"/>
      <c r="L272" s="297"/>
      <c r="M272" s="22">
        <f t="shared" si="25"/>
        <v>0</v>
      </c>
      <c r="N272" s="22">
        <v>0</v>
      </c>
    </row>
    <row r="273" spans="1:14">
      <c r="A273" s="38">
        <f t="shared" si="26"/>
        <v>273</v>
      </c>
      <c r="B273" s="54"/>
      <c r="C273" s="54"/>
      <c r="D273" s="54"/>
      <c r="E273" s="54"/>
      <c r="F273" s="56"/>
      <c r="G273" s="54" t="s">
        <v>120</v>
      </c>
      <c r="H273" s="54" t="s">
        <v>152</v>
      </c>
      <c r="I273" s="54"/>
      <c r="J273" s="51">
        <f t="shared" si="27"/>
        <v>0</v>
      </c>
      <c r="K273" s="55"/>
      <c r="L273" s="297"/>
      <c r="M273" s="22">
        <f t="shared" si="25"/>
        <v>0</v>
      </c>
      <c r="N273" s="22">
        <v>0</v>
      </c>
    </row>
    <row r="274" spans="1:14">
      <c r="A274" s="38">
        <f t="shared" si="26"/>
        <v>274</v>
      </c>
      <c r="B274" s="54"/>
      <c r="C274" s="54"/>
      <c r="D274" s="54"/>
      <c r="E274" s="54"/>
      <c r="F274" s="56"/>
      <c r="G274" s="54" t="s">
        <v>122</v>
      </c>
      <c r="H274" s="54" t="s">
        <v>153</v>
      </c>
      <c r="I274" s="54"/>
      <c r="J274" s="51">
        <f t="shared" si="27"/>
        <v>0</v>
      </c>
      <c r="K274" s="55"/>
      <c r="L274" s="297"/>
      <c r="M274" s="22">
        <f t="shared" si="25"/>
        <v>0</v>
      </c>
      <c r="N274" s="22">
        <v>0</v>
      </c>
    </row>
    <row r="275" spans="1:14">
      <c r="A275" s="38">
        <f t="shared" si="26"/>
        <v>275</v>
      </c>
      <c r="B275" s="54"/>
      <c r="C275" s="54"/>
      <c r="D275" s="54"/>
      <c r="E275" s="54"/>
      <c r="F275" s="49"/>
      <c r="G275" s="54" t="s">
        <v>132</v>
      </c>
      <c r="H275" s="77" t="s">
        <v>154</v>
      </c>
      <c r="I275" s="46"/>
      <c r="J275" s="51">
        <f t="shared" si="27"/>
        <v>0</v>
      </c>
      <c r="K275" s="55"/>
      <c r="L275" s="297"/>
      <c r="M275" s="22">
        <f t="shared" si="25"/>
        <v>0</v>
      </c>
      <c r="N275" s="22">
        <v>0</v>
      </c>
    </row>
    <row r="276" spans="1:14">
      <c r="A276" s="38">
        <f t="shared" si="26"/>
        <v>276</v>
      </c>
      <c r="B276" s="54"/>
      <c r="C276" s="54"/>
      <c r="D276" s="54"/>
      <c r="E276" s="54"/>
      <c r="F276" s="56"/>
      <c r="G276" s="54" t="s">
        <v>134</v>
      </c>
      <c r="H276" s="54" t="s">
        <v>155</v>
      </c>
      <c r="I276" s="54"/>
      <c r="J276" s="51">
        <f t="shared" si="27"/>
        <v>0</v>
      </c>
      <c r="K276" s="55"/>
      <c r="L276" s="297"/>
      <c r="M276" s="22">
        <f t="shared" si="25"/>
        <v>0</v>
      </c>
      <c r="N276" s="22">
        <v>0</v>
      </c>
    </row>
    <row r="277" spans="1:14">
      <c r="A277" s="38">
        <f t="shared" si="26"/>
        <v>277</v>
      </c>
      <c r="B277" s="54"/>
      <c r="C277" s="54"/>
      <c r="D277" s="54"/>
      <c r="E277" s="54"/>
      <c r="F277" s="56"/>
      <c r="G277" s="54"/>
      <c r="H277" s="54"/>
      <c r="I277" s="54"/>
      <c r="J277" s="78"/>
      <c r="K277" s="79"/>
      <c r="L277" s="303"/>
      <c r="M277" s="22">
        <f t="shared" si="25"/>
        <v>0</v>
      </c>
      <c r="N277" s="22">
        <v>0</v>
      </c>
    </row>
    <row r="278" spans="1:14" ht="14">
      <c r="A278" s="38">
        <f t="shared" si="26"/>
        <v>278</v>
      </c>
      <c r="B278" s="54"/>
      <c r="C278" s="54"/>
      <c r="D278" s="39" t="s">
        <v>156</v>
      </c>
      <c r="E278" s="64" t="s">
        <v>157</v>
      </c>
      <c r="F278" s="40"/>
      <c r="G278" s="54"/>
      <c r="H278" s="54"/>
      <c r="I278" s="54"/>
      <c r="J278" s="51">
        <f t="shared" si="27"/>
        <v>0</v>
      </c>
      <c r="K278" s="53">
        <f>SUM(K279,K334)</f>
        <v>0</v>
      </c>
      <c r="L278" s="301">
        <f>SUM(L279,L334)</f>
        <v>0</v>
      </c>
      <c r="M278" s="22">
        <v>1</v>
      </c>
      <c r="N278" s="22">
        <v>1</v>
      </c>
    </row>
    <row r="279" spans="1:14">
      <c r="A279" s="38">
        <f t="shared" si="26"/>
        <v>279</v>
      </c>
      <c r="B279" s="54"/>
      <c r="C279" s="54"/>
      <c r="D279" s="54"/>
      <c r="E279" s="46" t="s">
        <v>9</v>
      </c>
      <c r="F279" s="48" t="s">
        <v>8</v>
      </c>
      <c r="G279" s="46"/>
      <c r="H279" s="54"/>
      <c r="I279" s="54"/>
      <c r="J279" s="51">
        <f t="shared" si="27"/>
        <v>0</v>
      </c>
      <c r="K279" s="52">
        <f>SUM(K280,K307)</f>
        <v>0</v>
      </c>
      <c r="L279" s="296">
        <f>SUM(L280,L307)</f>
        <v>0</v>
      </c>
      <c r="M279" s="22">
        <f t="shared" ref="M279:M310" si="28">IF(J279&lt;&gt;0,1,0)</f>
        <v>0</v>
      </c>
      <c r="N279" s="22">
        <v>0</v>
      </c>
    </row>
    <row r="280" spans="1:14">
      <c r="A280" s="38">
        <f t="shared" si="26"/>
        <v>280</v>
      </c>
      <c r="B280" s="54"/>
      <c r="C280" s="54"/>
      <c r="D280" s="54"/>
      <c r="E280" s="46"/>
      <c r="F280" s="48" t="s">
        <v>30</v>
      </c>
      <c r="G280" s="46"/>
      <c r="H280" s="54"/>
      <c r="I280" s="54"/>
      <c r="J280" s="51">
        <f t="shared" si="27"/>
        <v>0</v>
      </c>
      <c r="K280" s="52">
        <f>SUM(K281,K288,K295,K302)</f>
        <v>0</v>
      </c>
      <c r="L280" s="296">
        <f>SUM(L281,L288,L295,L302)</f>
        <v>0</v>
      </c>
      <c r="M280" s="22">
        <f t="shared" si="28"/>
        <v>0</v>
      </c>
      <c r="N280" s="22">
        <v>0</v>
      </c>
    </row>
    <row r="281" spans="1:14">
      <c r="A281" s="38">
        <f t="shared" si="26"/>
        <v>281</v>
      </c>
      <c r="B281" s="54"/>
      <c r="C281" s="54"/>
      <c r="D281" s="54"/>
      <c r="E281" s="46"/>
      <c r="F281" s="49" t="s">
        <v>29</v>
      </c>
      <c r="G281" s="66" t="s">
        <v>158</v>
      </c>
      <c r="H281" s="54"/>
      <c r="I281" s="54"/>
      <c r="J281" s="51">
        <f t="shared" si="27"/>
        <v>0</v>
      </c>
      <c r="K281" s="52">
        <f>SUM(K282:K287)</f>
        <v>0</v>
      </c>
      <c r="L281" s="296">
        <f>SUM(L282:L287)</f>
        <v>0</v>
      </c>
      <c r="M281" s="22">
        <f t="shared" si="28"/>
        <v>0</v>
      </c>
      <c r="N281" s="22">
        <v>0</v>
      </c>
    </row>
    <row r="282" spans="1:14">
      <c r="A282" s="38">
        <f t="shared" si="26"/>
        <v>282</v>
      </c>
      <c r="B282" s="54"/>
      <c r="C282" s="54"/>
      <c r="D282" s="54"/>
      <c r="E282" s="54"/>
      <c r="F282" s="56"/>
      <c r="G282" s="56" t="s">
        <v>31</v>
      </c>
      <c r="H282" s="69" t="s">
        <v>159</v>
      </c>
      <c r="I282" s="54"/>
      <c r="J282" s="51">
        <f t="shared" si="27"/>
        <v>0</v>
      </c>
      <c r="K282" s="55"/>
      <c r="L282" s="297"/>
      <c r="M282" s="22">
        <f t="shared" si="28"/>
        <v>0</v>
      </c>
      <c r="N282" s="22">
        <v>0</v>
      </c>
    </row>
    <row r="283" spans="1:14">
      <c r="A283" s="38">
        <f t="shared" si="26"/>
        <v>283</v>
      </c>
      <c r="B283" s="54"/>
      <c r="C283" s="54"/>
      <c r="D283" s="54"/>
      <c r="E283" s="54"/>
      <c r="F283" s="56"/>
      <c r="G283" s="56" t="s">
        <v>44</v>
      </c>
      <c r="H283" s="69" t="s">
        <v>160</v>
      </c>
      <c r="I283" s="54"/>
      <c r="J283" s="51">
        <f t="shared" si="27"/>
        <v>0</v>
      </c>
      <c r="K283" s="55"/>
      <c r="L283" s="297"/>
      <c r="M283" s="22">
        <f t="shared" si="28"/>
        <v>0</v>
      </c>
      <c r="N283" s="22">
        <v>0</v>
      </c>
    </row>
    <row r="284" spans="1:14">
      <c r="A284" s="38">
        <f t="shared" si="26"/>
        <v>284</v>
      </c>
      <c r="B284" s="54"/>
      <c r="C284" s="54"/>
      <c r="D284" s="54"/>
      <c r="E284" s="54"/>
      <c r="F284" s="56"/>
      <c r="G284" s="56" t="s">
        <v>33</v>
      </c>
      <c r="H284" s="69" t="s">
        <v>161</v>
      </c>
      <c r="I284" s="54"/>
      <c r="J284" s="51">
        <f t="shared" si="27"/>
        <v>0</v>
      </c>
      <c r="K284" s="55"/>
      <c r="L284" s="297"/>
      <c r="M284" s="22">
        <f t="shared" si="28"/>
        <v>0</v>
      </c>
      <c r="N284" s="22">
        <v>0</v>
      </c>
    </row>
    <row r="285" spans="1:14">
      <c r="A285" s="38">
        <f t="shared" si="26"/>
        <v>285</v>
      </c>
      <c r="B285" s="54"/>
      <c r="C285" s="54"/>
      <c r="D285" s="54"/>
      <c r="E285" s="54"/>
      <c r="F285" s="56"/>
      <c r="G285" s="56" t="s">
        <v>35</v>
      </c>
      <c r="H285" s="69" t="s">
        <v>162</v>
      </c>
      <c r="I285" s="54"/>
      <c r="J285" s="51">
        <f t="shared" si="27"/>
        <v>0</v>
      </c>
      <c r="K285" s="55"/>
      <c r="L285" s="297"/>
      <c r="M285" s="22">
        <f t="shared" si="28"/>
        <v>0</v>
      </c>
      <c r="N285" s="22">
        <v>0</v>
      </c>
    </row>
    <row r="286" spans="1:14">
      <c r="A286" s="38">
        <f t="shared" si="26"/>
        <v>286</v>
      </c>
      <c r="B286" s="54"/>
      <c r="C286" s="54"/>
      <c r="D286" s="54"/>
      <c r="E286" s="54"/>
      <c r="F286" s="56"/>
      <c r="G286" s="56" t="s">
        <v>37</v>
      </c>
      <c r="H286" s="69" t="s">
        <v>163</v>
      </c>
      <c r="I286" s="54"/>
      <c r="J286" s="51">
        <f t="shared" si="27"/>
        <v>0</v>
      </c>
      <c r="K286" s="55"/>
      <c r="L286" s="297"/>
      <c r="M286" s="22">
        <f t="shared" si="28"/>
        <v>0</v>
      </c>
      <c r="N286" s="22">
        <v>0</v>
      </c>
    </row>
    <row r="287" spans="1:14">
      <c r="A287" s="38">
        <f t="shared" si="26"/>
        <v>287</v>
      </c>
      <c r="B287" s="54"/>
      <c r="C287" s="54"/>
      <c r="D287" s="54"/>
      <c r="E287" s="54"/>
      <c r="F287" s="56"/>
      <c r="G287" s="56" t="s">
        <v>39</v>
      </c>
      <c r="H287" s="69" t="s">
        <v>164</v>
      </c>
      <c r="I287" s="54"/>
      <c r="J287" s="51">
        <f t="shared" si="27"/>
        <v>0</v>
      </c>
      <c r="K287" s="55"/>
      <c r="L287" s="297"/>
      <c r="M287" s="22">
        <f t="shared" si="28"/>
        <v>0</v>
      </c>
      <c r="N287" s="22">
        <v>0</v>
      </c>
    </row>
    <row r="288" spans="1:14">
      <c r="A288" s="38">
        <f t="shared" si="26"/>
        <v>288</v>
      </c>
      <c r="B288" s="54"/>
      <c r="C288" s="54"/>
      <c r="D288" s="54"/>
      <c r="E288" s="54"/>
      <c r="F288" s="49" t="s">
        <v>41</v>
      </c>
      <c r="G288" s="66" t="s">
        <v>165</v>
      </c>
      <c r="H288" s="66"/>
      <c r="I288" s="54"/>
      <c r="J288" s="51">
        <f t="shared" si="27"/>
        <v>0</v>
      </c>
      <c r="K288" s="52">
        <f>SUM(K289:K294)</f>
        <v>0</v>
      </c>
      <c r="L288" s="296">
        <f>SUM(L289:L294)</f>
        <v>0</v>
      </c>
      <c r="M288" s="22">
        <f t="shared" si="28"/>
        <v>0</v>
      </c>
      <c r="N288" s="22">
        <v>0</v>
      </c>
    </row>
    <row r="289" spans="1:14">
      <c r="A289" s="38">
        <f t="shared" si="26"/>
        <v>289</v>
      </c>
      <c r="B289" s="54"/>
      <c r="C289" s="54"/>
      <c r="D289" s="54"/>
      <c r="E289" s="54"/>
      <c r="F289" s="56"/>
      <c r="G289" s="56" t="s">
        <v>31</v>
      </c>
      <c r="H289" s="69" t="s">
        <v>159</v>
      </c>
      <c r="I289" s="54"/>
      <c r="J289" s="51">
        <f t="shared" si="27"/>
        <v>0</v>
      </c>
      <c r="K289" s="55"/>
      <c r="L289" s="297"/>
      <c r="M289" s="22">
        <f t="shared" si="28"/>
        <v>0</v>
      </c>
      <c r="N289" s="22">
        <v>0</v>
      </c>
    </row>
    <row r="290" spans="1:14">
      <c r="A290" s="38">
        <f t="shared" si="26"/>
        <v>290</v>
      </c>
      <c r="B290" s="54"/>
      <c r="C290" s="54"/>
      <c r="D290" s="54"/>
      <c r="E290" s="54"/>
      <c r="F290" s="56"/>
      <c r="G290" s="56" t="s">
        <v>44</v>
      </c>
      <c r="H290" s="69" t="s">
        <v>160</v>
      </c>
      <c r="I290" s="54"/>
      <c r="J290" s="51">
        <f t="shared" si="27"/>
        <v>0</v>
      </c>
      <c r="K290" s="55"/>
      <c r="L290" s="297"/>
      <c r="M290" s="22">
        <f t="shared" si="28"/>
        <v>0</v>
      </c>
      <c r="N290" s="22">
        <v>0</v>
      </c>
    </row>
    <row r="291" spans="1:14">
      <c r="A291" s="38">
        <f t="shared" si="26"/>
        <v>291</v>
      </c>
      <c r="B291" s="54"/>
      <c r="C291" s="54"/>
      <c r="D291" s="54"/>
      <c r="E291" s="54"/>
      <c r="F291" s="56"/>
      <c r="G291" s="56" t="s">
        <v>33</v>
      </c>
      <c r="H291" s="69" t="s">
        <v>161</v>
      </c>
      <c r="I291" s="54"/>
      <c r="J291" s="51">
        <f t="shared" si="27"/>
        <v>0</v>
      </c>
      <c r="K291" s="55"/>
      <c r="L291" s="297"/>
      <c r="M291" s="22">
        <f t="shared" si="28"/>
        <v>0</v>
      </c>
      <c r="N291" s="22">
        <v>0</v>
      </c>
    </row>
    <row r="292" spans="1:14">
      <c r="A292" s="38">
        <f t="shared" si="26"/>
        <v>292</v>
      </c>
      <c r="B292" s="54"/>
      <c r="C292" s="54"/>
      <c r="D292" s="54"/>
      <c r="E292" s="54"/>
      <c r="F292" s="56"/>
      <c r="G292" s="56" t="s">
        <v>35</v>
      </c>
      <c r="H292" s="69" t="s">
        <v>162</v>
      </c>
      <c r="I292" s="54"/>
      <c r="J292" s="51">
        <f t="shared" si="27"/>
        <v>0</v>
      </c>
      <c r="K292" s="55"/>
      <c r="L292" s="297"/>
      <c r="M292" s="22">
        <f t="shared" si="28"/>
        <v>0</v>
      </c>
      <c r="N292" s="22">
        <v>0</v>
      </c>
    </row>
    <row r="293" spans="1:14">
      <c r="A293" s="38">
        <f t="shared" si="26"/>
        <v>293</v>
      </c>
      <c r="B293" s="54"/>
      <c r="C293" s="54"/>
      <c r="D293" s="54"/>
      <c r="E293" s="54"/>
      <c r="F293" s="56"/>
      <c r="G293" s="56" t="s">
        <v>37</v>
      </c>
      <c r="H293" s="69" t="s">
        <v>163</v>
      </c>
      <c r="I293" s="54"/>
      <c r="J293" s="51">
        <f t="shared" si="27"/>
        <v>0</v>
      </c>
      <c r="K293" s="55"/>
      <c r="L293" s="297"/>
      <c r="M293" s="22">
        <f t="shared" si="28"/>
        <v>0</v>
      </c>
      <c r="N293" s="22">
        <v>0</v>
      </c>
    </row>
    <row r="294" spans="1:14">
      <c r="A294" s="38">
        <f t="shared" si="26"/>
        <v>294</v>
      </c>
      <c r="B294" s="54"/>
      <c r="C294" s="54"/>
      <c r="D294" s="54"/>
      <c r="E294" s="54"/>
      <c r="F294" s="56"/>
      <c r="G294" s="56" t="s">
        <v>39</v>
      </c>
      <c r="H294" s="69" t="s">
        <v>164</v>
      </c>
      <c r="I294" s="54"/>
      <c r="J294" s="51">
        <f t="shared" si="27"/>
        <v>0</v>
      </c>
      <c r="K294" s="55"/>
      <c r="L294" s="297"/>
      <c r="M294" s="22">
        <f t="shared" si="28"/>
        <v>0</v>
      </c>
      <c r="N294" s="22">
        <v>0</v>
      </c>
    </row>
    <row r="295" spans="1:14">
      <c r="A295" s="38">
        <f t="shared" si="26"/>
        <v>295</v>
      </c>
      <c r="B295" s="54"/>
      <c r="C295" s="54"/>
      <c r="D295" s="54"/>
      <c r="E295" s="54"/>
      <c r="F295" s="49" t="s">
        <v>63</v>
      </c>
      <c r="G295" s="66" t="s">
        <v>166</v>
      </c>
      <c r="H295" s="66"/>
      <c r="I295" s="54"/>
      <c r="J295" s="51">
        <f t="shared" si="27"/>
        <v>0</v>
      </c>
      <c r="K295" s="52">
        <f>SUM(K296:K301)</f>
        <v>0</v>
      </c>
      <c r="L295" s="296">
        <f>SUM(L296:L301)</f>
        <v>0</v>
      </c>
      <c r="M295" s="22">
        <f t="shared" si="28"/>
        <v>0</v>
      </c>
      <c r="N295" s="22">
        <v>0</v>
      </c>
    </row>
    <row r="296" spans="1:14">
      <c r="A296" s="38">
        <f t="shared" si="26"/>
        <v>296</v>
      </c>
      <c r="B296" s="54"/>
      <c r="C296" s="54"/>
      <c r="D296" s="54"/>
      <c r="E296" s="54"/>
      <c r="F296" s="56"/>
      <c r="G296" s="56" t="s">
        <v>31</v>
      </c>
      <c r="H296" s="69" t="s">
        <v>159</v>
      </c>
      <c r="I296" s="54"/>
      <c r="J296" s="51">
        <f t="shared" si="27"/>
        <v>0</v>
      </c>
      <c r="K296" s="55"/>
      <c r="L296" s="297"/>
      <c r="M296" s="22">
        <f t="shared" si="28"/>
        <v>0</v>
      </c>
      <c r="N296" s="22">
        <v>0</v>
      </c>
    </row>
    <row r="297" spans="1:14">
      <c r="A297" s="38">
        <f t="shared" si="26"/>
        <v>297</v>
      </c>
      <c r="B297" s="54"/>
      <c r="C297" s="54"/>
      <c r="D297" s="54"/>
      <c r="E297" s="54"/>
      <c r="F297" s="56"/>
      <c r="G297" s="56" t="s">
        <v>44</v>
      </c>
      <c r="H297" s="69" t="s">
        <v>160</v>
      </c>
      <c r="I297" s="54"/>
      <c r="J297" s="51">
        <f t="shared" si="27"/>
        <v>0</v>
      </c>
      <c r="K297" s="55"/>
      <c r="L297" s="297"/>
      <c r="M297" s="22">
        <f t="shared" si="28"/>
        <v>0</v>
      </c>
      <c r="N297" s="22">
        <v>0</v>
      </c>
    </row>
    <row r="298" spans="1:14">
      <c r="A298" s="38">
        <f t="shared" si="26"/>
        <v>298</v>
      </c>
      <c r="B298" s="54"/>
      <c r="C298" s="54"/>
      <c r="D298" s="54"/>
      <c r="E298" s="54"/>
      <c r="F298" s="56"/>
      <c r="G298" s="56" t="s">
        <v>33</v>
      </c>
      <c r="H298" s="69" t="s">
        <v>161</v>
      </c>
      <c r="I298" s="54"/>
      <c r="J298" s="51">
        <f t="shared" si="27"/>
        <v>0</v>
      </c>
      <c r="K298" s="55"/>
      <c r="L298" s="297"/>
      <c r="M298" s="22">
        <f t="shared" si="28"/>
        <v>0</v>
      </c>
      <c r="N298" s="22">
        <v>0</v>
      </c>
    </row>
    <row r="299" spans="1:14">
      <c r="A299" s="38">
        <f t="shared" si="26"/>
        <v>299</v>
      </c>
      <c r="B299" s="54"/>
      <c r="C299" s="54"/>
      <c r="D299" s="54"/>
      <c r="E299" s="54"/>
      <c r="F299" s="56"/>
      <c r="G299" s="56" t="s">
        <v>35</v>
      </c>
      <c r="H299" s="69" t="s">
        <v>162</v>
      </c>
      <c r="I299" s="54"/>
      <c r="J299" s="51">
        <f t="shared" si="27"/>
        <v>0</v>
      </c>
      <c r="K299" s="55"/>
      <c r="L299" s="297"/>
      <c r="M299" s="22">
        <f t="shared" si="28"/>
        <v>0</v>
      </c>
      <c r="N299" s="22">
        <v>0</v>
      </c>
    </row>
    <row r="300" spans="1:14">
      <c r="A300" s="38">
        <f t="shared" si="26"/>
        <v>300</v>
      </c>
      <c r="B300" s="54"/>
      <c r="C300" s="54"/>
      <c r="D300" s="54"/>
      <c r="E300" s="54"/>
      <c r="F300" s="56"/>
      <c r="G300" s="56" t="s">
        <v>37</v>
      </c>
      <c r="H300" s="69" t="s">
        <v>163</v>
      </c>
      <c r="I300" s="54"/>
      <c r="J300" s="51">
        <f t="shared" si="27"/>
        <v>0</v>
      </c>
      <c r="K300" s="55"/>
      <c r="L300" s="297"/>
      <c r="M300" s="22">
        <f t="shared" si="28"/>
        <v>0</v>
      </c>
      <c r="N300" s="22">
        <v>0</v>
      </c>
    </row>
    <row r="301" spans="1:14">
      <c r="A301" s="38">
        <f t="shared" si="26"/>
        <v>301</v>
      </c>
      <c r="B301" s="54"/>
      <c r="C301" s="54"/>
      <c r="D301" s="54"/>
      <c r="E301" s="54"/>
      <c r="F301" s="56"/>
      <c r="G301" s="56" t="s">
        <v>39</v>
      </c>
      <c r="H301" s="69" t="s">
        <v>164</v>
      </c>
      <c r="I301" s="54"/>
      <c r="J301" s="51">
        <f t="shared" si="27"/>
        <v>0</v>
      </c>
      <c r="K301" s="55"/>
      <c r="L301" s="297"/>
      <c r="M301" s="22">
        <f t="shared" si="28"/>
        <v>0</v>
      </c>
      <c r="N301" s="22">
        <v>0</v>
      </c>
    </row>
    <row r="302" spans="1:14">
      <c r="A302" s="38">
        <f t="shared" si="26"/>
        <v>302</v>
      </c>
      <c r="B302" s="54"/>
      <c r="C302" s="54"/>
      <c r="D302" s="54"/>
      <c r="E302" s="54"/>
      <c r="F302" s="49" t="s">
        <v>65</v>
      </c>
      <c r="G302" s="66" t="s">
        <v>167</v>
      </c>
      <c r="H302" s="66"/>
      <c r="I302" s="54"/>
      <c r="J302" s="51">
        <f t="shared" si="27"/>
        <v>0</v>
      </c>
      <c r="K302" s="52">
        <f>SUM(K303:K306)</f>
        <v>0</v>
      </c>
      <c r="L302" s="296">
        <f>SUM(L303:L306)</f>
        <v>0</v>
      </c>
      <c r="M302" s="22">
        <f t="shared" si="28"/>
        <v>0</v>
      </c>
      <c r="N302" s="22">
        <v>0</v>
      </c>
    </row>
    <row r="303" spans="1:14">
      <c r="A303" s="38">
        <f t="shared" si="26"/>
        <v>303</v>
      </c>
      <c r="B303" s="54"/>
      <c r="C303" s="54"/>
      <c r="D303" s="54"/>
      <c r="E303" s="54"/>
      <c r="F303" s="56"/>
      <c r="G303" s="56" t="s">
        <v>31</v>
      </c>
      <c r="H303" s="69" t="s">
        <v>168</v>
      </c>
      <c r="I303" s="54"/>
      <c r="J303" s="51">
        <f t="shared" si="27"/>
        <v>0</v>
      </c>
      <c r="K303" s="55"/>
      <c r="L303" s="297"/>
      <c r="M303" s="22">
        <f t="shared" si="28"/>
        <v>0</v>
      </c>
      <c r="N303" s="22">
        <v>0</v>
      </c>
    </row>
    <row r="304" spans="1:14">
      <c r="A304" s="38">
        <f t="shared" si="26"/>
        <v>304</v>
      </c>
      <c r="B304" s="54"/>
      <c r="C304" s="54"/>
      <c r="D304" s="54"/>
      <c r="E304" s="54"/>
      <c r="F304" s="56"/>
      <c r="G304" s="56" t="s">
        <v>44</v>
      </c>
      <c r="H304" s="69" t="s">
        <v>169</v>
      </c>
      <c r="I304" s="54"/>
      <c r="J304" s="51">
        <f t="shared" si="27"/>
        <v>0</v>
      </c>
      <c r="K304" s="55"/>
      <c r="L304" s="297"/>
      <c r="M304" s="22">
        <f t="shared" si="28"/>
        <v>0</v>
      </c>
      <c r="N304" s="22">
        <v>0</v>
      </c>
    </row>
    <row r="305" spans="1:14">
      <c r="A305" s="38">
        <f t="shared" si="26"/>
        <v>305</v>
      </c>
      <c r="B305" s="54"/>
      <c r="C305" s="54"/>
      <c r="D305" s="54"/>
      <c r="E305" s="54"/>
      <c r="F305" s="56"/>
      <c r="G305" s="56" t="s">
        <v>33</v>
      </c>
      <c r="H305" s="69" t="s">
        <v>170</v>
      </c>
      <c r="I305" s="54"/>
      <c r="J305" s="51">
        <f t="shared" si="27"/>
        <v>0</v>
      </c>
      <c r="K305" s="55"/>
      <c r="L305" s="297"/>
      <c r="M305" s="22">
        <f t="shared" si="28"/>
        <v>0</v>
      </c>
      <c r="N305" s="22">
        <v>0</v>
      </c>
    </row>
    <row r="306" spans="1:14">
      <c r="A306" s="38">
        <f t="shared" si="26"/>
        <v>306</v>
      </c>
      <c r="B306" s="54"/>
      <c r="C306" s="54"/>
      <c r="D306" s="54"/>
      <c r="E306" s="54"/>
      <c r="F306" s="56"/>
      <c r="G306" s="56" t="s">
        <v>35</v>
      </c>
      <c r="H306" s="69" t="s">
        <v>171</v>
      </c>
      <c r="I306" s="54"/>
      <c r="J306" s="51">
        <f t="shared" si="27"/>
        <v>0</v>
      </c>
      <c r="K306" s="55"/>
      <c r="L306" s="297"/>
      <c r="M306" s="22">
        <f t="shared" si="28"/>
        <v>0</v>
      </c>
      <c r="N306" s="22">
        <v>0</v>
      </c>
    </row>
    <row r="307" spans="1:14">
      <c r="A307" s="38">
        <f t="shared" si="26"/>
        <v>307</v>
      </c>
      <c r="B307" s="54"/>
      <c r="C307" s="54"/>
      <c r="D307" s="54"/>
      <c r="E307" s="54"/>
      <c r="F307" s="48" t="s">
        <v>42</v>
      </c>
      <c r="G307" s="46"/>
      <c r="H307" s="54"/>
      <c r="I307" s="54"/>
      <c r="J307" s="51">
        <f t="shared" si="27"/>
        <v>0</v>
      </c>
      <c r="K307" s="52">
        <f>SUM(K308,K315,K322,K329)</f>
        <v>0</v>
      </c>
      <c r="L307" s="296">
        <f>SUM(L308,L315,L322,L329)</f>
        <v>0</v>
      </c>
      <c r="M307" s="22">
        <f t="shared" si="28"/>
        <v>0</v>
      </c>
      <c r="N307" s="22">
        <v>0</v>
      </c>
    </row>
    <row r="308" spans="1:14">
      <c r="A308" s="38">
        <f t="shared" si="26"/>
        <v>308</v>
      </c>
      <c r="B308" s="54"/>
      <c r="C308" s="54"/>
      <c r="D308" s="54"/>
      <c r="E308" s="54"/>
      <c r="F308" s="49" t="s">
        <v>29</v>
      </c>
      <c r="G308" s="66" t="s">
        <v>158</v>
      </c>
      <c r="H308" s="54"/>
      <c r="I308" s="54"/>
      <c r="J308" s="51">
        <f t="shared" si="27"/>
        <v>0</v>
      </c>
      <c r="K308" s="52">
        <f>SUM(K309:K314)</f>
        <v>0</v>
      </c>
      <c r="L308" s="296">
        <f>SUM(L309:L314)</f>
        <v>0</v>
      </c>
      <c r="M308" s="22">
        <f t="shared" si="28"/>
        <v>0</v>
      </c>
      <c r="N308" s="22">
        <v>0</v>
      </c>
    </row>
    <row r="309" spans="1:14">
      <c r="A309" s="38">
        <f t="shared" si="26"/>
        <v>309</v>
      </c>
      <c r="B309" s="54"/>
      <c r="C309" s="54"/>
      <c r="D309" s="54"/>
      <c r="E309" s="54"/>
      <c r="F309" s="56"/>
      <c r="G309" s="56" t="s">
        <v>31</v>
      </c>
      <c r="H309" s="69" t="s">
        <v>159</v>
      </c>
      <c r="I309" s="54"/>
      <c r="J309" s="51">
        <f t="shared" si="27"/>
        <v>0</v>
      </c>
      <c r="K309" s="55"/>
      <c r="L309" s="297"/>
      <c r="M309" s="22">
        <f t="shared" si="28"/>
        <v>0</v>
      </c>
      <c r="N309" s="22">
        <v>0</v>
      </c>
    </row>
    <row r="310" spans="1:14">
      <c r="A310" s="38">
        <f t="shared" si="26"/>
        <v>310</v>
      </c>
      <c r="B310" s="54"/>
      <c r="C310" s="54"/>
      <c r="D310" s="54"/>
      <c r="E310" s="54"/>
      <c r="F310" s="56"/>
      <c r="G310" s="56" t="s">
        <v>44</v>
      </c>
      <c r="H310" s="69" t="s">
        <v>160</v>
      </c>
      <c r="I310" s="54"/>
      <c r="J310" s="51">
        <f t="shared" si="27"/>
        <v>0</v>
      </c>
      <c r="K310" s="55"/>
      <c r="L310" s="297"/>
      <c r="M310" s="22">
        <f t="shared" si="28"/>
        <v>0</v>
      </c>
      <c r="N310" s="22">
        <v>0</v>
      </c>
    </row>
    <row r="311" spans="1:14">
      <c r="A311" s="38">
        <f t="shared" si="26"/>
        <v>311</v>
      </c>
      <c r="B311" s="54"/>
      <c r="C311" s="54"/>
      <c r="D311" s="54"/>
      <c r="E311" s="54"/>
      <c r="F311" s="56"/>
      <c r="G311" s="56" t="s">
        <v>33</v>
      </c>
      <c r="H311" s="69" t="s">
        <v>161</v>
      </c>
      <c r="I311" s="54"/>
      <c r="J311" s="51">
        <f t="shared" si="27"/>
        <v>0</v>
      </c>
      <c r="K311" s="55"/>
      <c r="L311" s="297"/>
      <c r="M311" s="22">
        <f t="shared" ref="M311:M342" si="29">IF(J311&lt;&gt;0,1,0)</f>
        <v>0</v>
      </c>
      <c r="N311" s="22">
        <v>0</v>
      </c>
    </row>
    <row r="312" spans="1:14">
      <c r="A312" s="38">
        <f t="shared" si="26"/>
        <v>312</v>
      </c>
      <c r="B312" s="54"/>
      <c r="C312" s="54"/>
      <c r="D312" s="54"/>
      <c r="E312" s="54"/>
      <c r="F312" s="56"/>
      <c r="G312" s="56" t="s">
        <v>35</v>
      </c>
      <c r="H312" s="69" t="s">
        <v>162</v>
      </c>
      <c r="I312" s="54"/>
      <c r="J312" s="51">
        <f t="shared" si="27"/>
        <v>0</v>
      </c>
      <c r="K312" s="55"/>
      <c r="L312" s="297"/>
      <c r="M312" s="22">
        <f t="shared" si="29"/>
        <v>0</v>
      </c>
      <c r="N312" s="22">
        <v>0</v>
      </c>
    </row>
    <row r="313" spans="1:14">
      <c r="A313" s="38">
        <f t="shared" si="26"/>
        <v>313</v>
      </c>
      <c r="B313" s="54"/>
      <c r="C313" s="54"/>
      <c r="D313" s="54"/>
      <c r="E313" s="54"/>
      <c r="F313" s="56"/>
      <c r="G313" s="56" t="s">
        <v>37</v>
      </c>
      <c r="H313" s="69" t="s">
        <v>163</v>
      </c>
      <c r="I313" s="54"/>
      <c r="J313" s="51">
        <f t="shared" si="27"/>
        <v>0</v>
      </c>
      <c r="K313" s="55"/>
      <c r="L313" s="297"/>
      <c r="M313" s="22">
        <f t="shared" si="29"/>
        <v>0</v>
      </c>
      <c r="N313" s="22">
        <v>0</v>
      </c>
    </row>
    <row r="314" spans="1:14">
      <c r="A314" s="38">
        <f t="shared" si="26"/>
        <v>314</v>
      </c>
      <c r="B314" s="54"/>
      <c r="C314" s="54"/>
      <c r="D314" s="54"/>
      <c r="E314" s="54"/>
      <c r="F314" s="56"/>
      <c r="G314" s="56" t="s">
        <v>39</v>
      </c>
      <c r="H314" s="69" t="s">
        <v>164</v>
      </c>
      <c r="I314" s="54"/>
      <c r="J314" s="51">
        <f t="shared" si="27"/>
        <v>0</v>
      </c>
      <c r="K314" s="55"/>
      <c r="L314" s="297"/>
      <c r="M314" s="22">
        <f t="shared" si="29"/>
        <v>0</v>
      </c>
      <c r="N314" s="22">
        <v>0</v>
      </c>
    </row>
    <row r="315" spans="1:14">
      <c r="A315" s="38">
        <f t="shared" si="26"/>
        <v>315</v>
      </c>
      <c r="B315" s="54"/>
      <c r="C315" s="54"/>
      <c r="D315" s="54"/>
      <c r="E315" s="54"/>
      <c r="F315" s="49" t="s">
        <v>41</v>
      </c>
      <c r="G315" s="66" t="s">
        <v>165</v>
      </c>
      <c r="H315" s="66"/>
      <c r="I315" s="54"/>
      <c r="J315" s="51">
        <f t="shared" si="27"/>
        <v>0</v>
      </c>
      <c r="K315" s="52">
        <f>SUM(K316:K321)</f>
        <v>0</v>
      </c>
      <c r="L315" s="296">
        <f>SUM(L316:L321)</f>
        <v>0</v>
      </c>
      <c r="M315" s="22">
        <f t="shared" si="29"/>
        <v>0</v>
      </c>
      <c r="N315" s="22">
        <v>0</v>
      </c>
    </row>
    <row r="316" spans="1:14">
      <c r="A316" s="38">
        <f t="shared" si="26"/>
        <v>316</v>
      </c>
      <c r="B316" s="54"/>
      <c r="C316" s="54"/>
      <c r="D316" s="54"/>
      <c r="E316" s="54"/>
      <c r="F316" s="56"/>
      <c r="G316" s="56" t="s">
        <v>31</v>
      </c>
      <c r="H316" s="69" t="s">
        <v>159</v>
      </c>
      <c r="I316" s="54"/>
      <c r="J316" s="51">
        <f t="shared" si="27"/>
        <v>0</v>
      </c>
      <c r="K316" s="55"/>
      <c r="L316" s="297"/>
      <c r="M316" s="22">
        <f t="shared" si="29"/>
        <v>0</v>
      </c>
      <c r="N316" s="22">
        <v>0</v>
      </c>
    </row>
    <row r="317" spans="1:14">
      <c r="A317" s="38">
        <f t="shared" si="26"/>
        <v>317</v>
      </c>
      <c r="B317" s="54"/>
      <c r="C317" s="54"/>
      <c r="D317" s="54"/>
      <c r="E317" s="54"/>
      <c r="F317" s="56"/>
      <c r="G317" s="56" t="s">
        <v>44</v>
      </c>
      <c r="H317" s="69" t="s">
        <v>160</v>
      </c>
      <c r="I317" s="54"/>
      <c r="J317" s="51">
        <f t="shared" si="27"/>
        <v>0</v>
      </c>
      <c r="K317" s="55"/>
      <c r="L317" s="297"/>
      <c r="M317" s="22">
        <f t="shared" si="29"/>
        <v>0</v>
      </c>
      <c r="N317" s="22">
        <v>0</v>
      </c>
    </row>
    <row r="318" spans="1:14">
      <c r="A318" s="38">
        <f t="shared" si="26"/>
        <v>318</v>
      </c>
      <c r="B318" s="54"/>
      <c r="C318" s="54"/>
      <c r="D318" s="54"/>
      <c r="E318" s="54"/>
      <c r="F318" s="56"/>
      <c r="G318" s="56" t="s">
        <v>33</v>
      </c>
      <c r="H318" s="69" t="s">
        <v>161</v>
      </c>
      <c r="I318" s="54"/>
      <c r="J318" s="51">
        <f t="shared" si="27"/>
        <v>0</v>
      </c>
      <c r="K318" s="55"/>
      <c r="L318" s="297"/>
      <c r="M318" s="22">
        <f t="shared" si="29"/>
        <v>0</v>
      </c>
      <c r="N318" s="22">
        <v>0</v>
      </c>
    </row>
    <row r="319" spans="1:14">
      <c r="A319" s="38">
        <f t="shared" si="26"/>
        <v>319</v>
      </c>
      <c r="B319" s="54"/>
      <c r="C319" s="54"/>
      <c r="D319" s="54"/>
      <c r="E319" s="54"/>
      <c r="F319" s="56"/>
      <c r="G319" s="56" t="s">
        <v>35</v>
      </c>
      <c r="H319" s="69" t="s">
        <v>162</v>
      </c>
      <c r="I319" s="54"/>
      <c r="J319" s="51">
        <f t="shared" si="27"/>
        <v>0</v>
      </c>
      <c r="K319" s="55"/>
      <c r="L319" s="297"/>
      <c r="M319" s="22">
        <f t="shared" si="29"/>
        <v>0</v>
      </c>
      <c r="N319" s="22">
        <v>0</v>
      </c>
    </row>
    <row r="320" spans="1:14">
      <c r="A320" s="38">
        <f t="shared" si="26"/>
        <v>320</v>
      </c>
      <c r="B320" s="54"/>
      <c r="C320" s="54"/>
      <c r="D320" s="54"/>
      <c r="E320" s="54"/>
      <c r="F320" s="56"/>
      <c r="G320" s="56" t="s">
        <v>37</v>
      </c>
      <c r="H320" s="69" t="s">
        <v>163</v>
      </c>
      <c r="I320" s="54"/>
      <c r="J320" s="51">
        <f t="shared" si="27"/>
        <v>0</v>
      </c>
      <c r="K320" s="55"/>
      <c r="L320" s="297"/>
      <c r="M320" s="22">
        <f t="shared" si="29"/>
        <v>0</v>
      </c>
      <c r="N320" s="22">
        <v>0</v>
      </c>
    </row>
    <row r="321" spans="1:14">
      <c r="A321" s="38">
        <f t="shared" si="26"/>
        <v>321</v>
      </c>
      <c r="B321" s="54"/>
      <c r="C321" s="54"/>
      <c r="D321" s="54"/>
      <c r="E321" s="54"/>
      <c r="F321" s="56"/>
      <c r="G321" s="56" t="s">
        <v>39</v>
      </c>
      <c r="H321" s="69" t="s">
        <v>164</v>
      </c>
      <c r="I321" s="54"/>
      <c r="J321" s="51">
        <f t="shared" si="27"/>
        <v>0</v>
      </c>
      <c r="K321" s="55"/>
      <c r="L321" s="297"/>
      <c r="M321" s="22">
        <f t="shared" si="29"/>
        <v>0</v>
      </c>
      <c r="N321" s="22">
        <v>0</v>
      </c>
    </row>
    <row r="322" spans="1:14">
      <c r="A322" s="38">
        <f t="shared" si="26"/>
        <v>322</v>
      </c>
      <c r="B322" s="54"/>
      <c r="C322" s="54"/>
      <c r="D322" s="54"/>
      <c r="E322" s="54"/>
      <c r="F322" s="49" t="s">
        <v>63</v>
      </c>
      <c r="G322" s="66" t="s">
        <v>166</v>
      </c>
      <c r="H322" s="66"/>
      <c r="I322" s="54"/>
      <c r="J322" s="51">
        <f t="shared" si="27"/>
        <v>0</v>
      </c>
      <c r="K322" s="52">
        <f>SUM(K323:K328)</f>
        <v>0</v>
      </c>
      <c r="L322" s="296">
        <f>SUM(L323:L328)</f>
        <v>0</v>
      </c>
      <c r="M322" s="22">
        <f t="shared" si="29"/>
        <v>0</v>
      </c>
      <c r="N322" s="22">
        <v>0</v>
      </c>
    </row>
    <row r="323" spans="1:14">
      <c r="A323" s="38">
        <f t="shared" si="26"/>
        <v>323</v>
      </c>
      <c r="B323" s="54"/>
      <c r="C323" s="54"/>
      <c r="D323" s="54"/>
      <c r="E323" s="54"/>
      <c r="F323" s="56"/>
      <c r="G323" s="56" t="s">
        <v>31</v>
      </c>
      <c r="H323" s="69" t="s">
        <v>159</v>
      </c>
      <c r="I323" s="54"/>
      <c r="J323" s="51">
        <f t="shared" si="27"/>
        <v>0</v>
      </c>
      <c r="K323" s="55"/>
      <c r="L323" s="297"/>
      <c r="M323" s="22">
        <f t="shared" si="29"/>
        <v>0</v>
      </c>
      <c r="N323" s="22">
        <v>0</v>
      </c>
    </row>
    <row r="324" spans="1:14">
      <c r="A324" s="38">
        <f t="shared" si="26"/>
        <v>324</v>
      </c>
      <c r="B324" s="54"/>
      <c r="C324" s="54"/>
      <c r="D324" s="54"/>
      <c r="E324" s="54"/>
      <c r="F324" s="56"/>
      <c r="G324" s="56" t="s">
        <v>44</v>
      </c>
      <c r="H324" s="69" t="s">
        <v>160</v>
      </c>
      <c r="I324" s="54"/>
      <c r="J324" s="51">
        <f t="shared" si="27"/>
        <v>0</v>
      </c>
      <c r="K324" s="55"/>
      <c r="L324" s="297"/>
      <c r="M324" s="22">
        <f t="shared" si="29"/>
        <v>0</v>
      </c>
      <c r="N324" s="22">
        <v>0</v>
      </c>
    </row>
    <row r="325" spans="1:14">
      <c r="A325" s="38">
        <f t="shared" si="26"/>
        <v>325</v>
      </c>
      <c r="B325" s="54"/>
      <c r="C325" s="54"/>
      <c r="D325" s="54"/>
      <c r="E325" s="54"/>
      <c r="F325" s="56"/>
      <c r="G325" s="56" t="s">
        <v>33</v>
      </c>
      <c r="H325" s="69" t="s">
        <v>161</v>
      </c>
      <c r="I325" s="54"/>
      <c r="J325" s="51">
        <f t="shared" si="27"/>
        <v>0</v>
      </c>
      <c r="K325" s="55"/>
      <c r="L325" s="297"/>
      <c r="M325" s="22">
        <f t="shared" si="29"/>
        <v>0</v>
      </c>
      <c r="N325" s="22">
        <v>0</v>
      </c>
    </row>
    <row r="326" spans="1:14">
      <c r="A326" s="38">
        <f t="shared" si="26"/>
        <v>326</v>
      </c>
      <c r="B326" s="54"/>
      <c r="C326" s="54"/>
      <c r="D326" s="54"/>
      <c r="E326" s="54"/>
      <c r="F326" s="56"/>
      <c r="G326" s="56" t="s">
        <v>35</v>
      </c>
      <c r="H326" s="69" t="s">
        <v>162</v>
      </c>
      <c r="I326" s="54"/>
      <c r="J326" s="51">
        <f t="shared" si="27"/>
        <v>0</v>
      </c>
      <c r="K326" s="55"/>
      <c r="L326" s="297"/>
      <c r="M326" s="22">
        <f t="shared" si="29"/>
        <v>0</v>
      </c>
      <c r="N326" s="22">
        <v>0</v>
      </c>
    </row>
    <row r="327" spans="1:14">
      <c r="A327" s="38">
        <f t="shared" si="26"/>
        <v>327</v>
      </c>
      <c r="B327" s="54"/>
      <c r="C327" s="54"/>
      <c r="D327" s="54"/>
      <c r="E327" s="54"/>
      <c r="F327" s="56"/>
      <c r="G327" s="56" t="s">
        <v>37</v>
      </c>
      <c r="H327" s="69" t="s">
        <v>163</v>
      </c>
      <c r="I327" s="54"/>
      <c r="J327" s="51">
        <f t="shared" si="27"/>
        <v>0</v>
      </c>
      <c r="K327" s="55"/>
      <c r="L327" s="297"/>
      <c r="M327" s="22">
        <f t="shared" si="29"/>
        <v>0</v>
      </c>
      <c r="N327" s="22">
        <v>0</v>
      </c>
    </row>
    <row r="328" spans="1:14">
      <c r="A328" s="38">
        <f t="shared" si="26"/>
        <v>328</v>
      </c>
      <c r="B328" s="54"/>
      <c r="C328" s="54"/>
      <c r="D328" s="54"/>
      <c r="E328" s="54"/>
      <c r="F328" s="56"/>
      <c r="G328" s="56" t="s">
        <v>39</v>
      </c>
      <c r="H328" s="69" t="s">
        <v>164</v>
      </c>
      <c r="I328" s="54"/>
      <c r="J328" s="51">
        <f t="shared" si="27"/>
        <v>0</v>
      </c>
      <c r="K328" s="55"/>
      <c r="L328" s="297"/>
      <c r="M328" s="22">
        <f t="shared" si="29"/>
        <v>0</v>
      </c>
      <c r="N328" s="22">
        <v>0</v>
      </c>
    </row>
    <row r="329" spans="1:14">
      <c r="A329" s="38">
        <f t="shared" ref="A329:A392" si="30">A328+1</f>
        <v>329</v>
      </c>
      <c r="B329" s="54"/>
      <c r="C329" s="54"/>
      <c r="D329" s="54"/>
      <c r="E329" s="54"/>
      <c r="F329" s="49" t="s">
        <v>65</v>
      </c>
      <c r="G329" s="66" t="s">
        <v>167</v>
      </c>
      <c r="H329" s="66"/>
      <c r="I329" s="54"/>
      <c r="J329" s="51">
        <f t="shared" si="27"/>
        <v>0</v>
      </c>
      <c r="K329" s="52">
        <f>SUM(K330:K333)</f>
        <v>0</v>
      </c>
      <c r="L329" s="296">
        <f>SUM(L330:L333)</f>
        <v>0</v>
      </c>
      <c r="M329" s="22">
        <f t="shared" si="29"/>
        <v>0</v>
      </c>
      <c r="N329" s="22">
        <v>0</v>
      </c>
    </row>
    <row r="330" spans="1:14">
      <c r="A330" s="38">
        <f t="shared" si="30"/>
        <v>330</v>
      </c>
      <c r="B330" s="54"/>
      <c r="C330" s="54"/>
      <c r="D330" s="54"/>
      <c r="E330" s="54"/>
      <c r="F330" s="56"/>
      <c r="G330" s="56" t="s">
        <v>31</v>
      </c>
      <c r="H330" s="69" t="s">
        <v>168</v>
      </c>
      <c r="I330" s="54"/>
      <c r="J330" s="51">
        <f t="shared" si="27"/>
        <v>0</v>
      </c>
      <c r="K330" s="55"/>
      <c r="L330" s="297"/>
      <c r="M330" s="22">
        <f t="shared" si="29"/>
        <v>0</v>
      </c>
      <c r="N330" s="22">
        <v>0</v>
      </c>
    </row>
    <row r="331" spans="1:14">
      <c r="A331" s="38">
        <f t="shared" si="30"/>
        <v>331</v>
      </c>
      <c r="B331" s="54"/>
      <c r="C331" s="54"/>
      <c r="D331" s="54"/>
      <c r="E331" s="54"/>
      <c r="F331" s="56"/>
      <c r="G331" s="56" t="s">
        <v>44</v>
      </c>
      <c r="H331" s="69" t="s">
        <v>169</v>
      </c>
      <c r="I331" s="54"/>
      <c r="J331" s="51">
        <f t="shared" si="27"/>
        <v>0</v>
      </c>
      <c r="K331" s="55"/>
      <c r="L331" s="297"/>
      <c r="M331" s="22">
        <f t="shared" si="29"/>
        <v>0</v>
      </c>
      <c r="N331" s="22">
        <v>0</v>
      </c>
    </row>
    <row r="332" spans="1:14">
      <c r="A332" s="38">
        <f t="shared" si="30"/>
        <v>332</v>
      </c>
      <c r="B332" s="54"/>
      <c r="C332" s="54"/>
      <c r="D332" s="54"/>
      <c r="E332" s="54"/>
      <c r="F332" s="56"/>
      <c r="G332" s="56" t="s">
        <v>33</v>
      </c>
      <c r="H332" s="69" t="s">
        <v>170</v>
      </c>
      <c r="I332" s="54"/>
      <c r="J332" s="51">
        <f t="shared" si="27"/>
        <v>0</v>
      </c>
      <c r="K332" s="55"/>
      <c r="L332" s="297"/>
      <c r="M332" s="22">
        <f t="shared" si="29"/>
        <v>0</v>
      </c>
      <c r="N332" s="22">
        <v>0</v>
      </c>
    </row>
    <row r="333" spans="1:14">
      <c r="A333" s="38">
        <f t="shared" si="30"/>
        <v>333</v>
      </c>
      <c r="B333" s="54"/>
      <c r="C333" s="54"/>
      <c r="D333" s="54"/>
      <c r="E333" s="54"/>
      <c r="F333" s="56"/>
      <c r="G333" s="56" t="s">
        <v>35</v>
      </c>
      <c r="H333" s="69" t="s">
        <v>171</v>
      </c>
      <c r="I333" s="54"/>
      <c r="J333" s="51">
        <f t="shared" si="27"/>
        <v>0</v>
      </c>
      <c r="K333" s="55"/>
      <c r="L333" s="297"/>
      <c r="M333" s="22">
        <f t="shared" si="29"/>
        <v>0</v>
      </c>
      <c r="N333" s="22">
        <v>0</v>
      </c>
    </row>
    <row r="334" spans="1:14">
      <c r="A334" s="38">
        <f t="shared" si="30"/>
        <v>334</v>
      </c>
      <c r="B334" s="54"/>
      <c r="C334" s="54"/>
      <c r="D334" s="54"/>
      <c r="E334" s="49" t="s">
        <v>11</v>
      </c>
      <c r="F334" s="66" t="s">
        <v>24</v>
      </c>
      <c r="G334" s="49"/>
      <c r="H334" s="66"/>
      <c r="I334" s="54"/>
      <c r="J334" s="51">
        <f t="shared" si="27"/>
        <v>0</v>
      </c>
      <c r="K334" s="52">
        <f>SUM(K335,K362)</f>
        <v>0</v>
      </c>
      <c r="L334" s="296">
        <f>SUM(L335,L362)</f>
        <v>0</v>
      </c>
      <c r="M334" s="22">
        <f t="shared" si="29"/>
        <v>0</v>
      </c>
      <c r="N334" s="22">
        <v>0</v>
      </c>
    </row>
    <row r="335" spans="1:14">
      <c r="A335" s="38">
        <f t="shared" si="30"/>
        <v>335</v>
      </c>
      <c r="B335" s="54"/>
      <c r="C335" s="54"/>
      <c r="D335" s="54"/>
      <c r="E335" s="49"/>
      <c r="F335" s="71" t="s">
        <v>30</v>
      </c>
      <c r="G335" s="49"/>
      <c r="H335" s="66"/>
      <c r="I335" s="54"/>
      <c r="J335" s="51">
        <f t="shared" si="27"/>
        <v>0</v>
      </c>
      <c r="K335" s="52">
        <f>SUM(K336,K343,K350,K357)</f>
        <v>0</v>
      </c>
      <c r="L335" s="296">
        <f>SUM(L336,L343,L350,L357)</f>
        <v>0</v>
      </c>
      <c r="M335" s="22">
        <f t="shared" si="29"/>
        <v>0</v>
      </c>
      <c r="N335" s="22">
        <v>0</v>
      </c>
    </row>
    <row r="336" spans="1:14">
      <c r="A336" s="38">
        <f t="shared" si="30"/>
        <v>336</v>
      </c>
      <c r="B336" s="54"/>
      <c r="C336" s="54"/>
      <c r="D336" s="54"/>
      <c r="E336" s="54"/>
      <c r="F336" s="49" t="s">
        <v>29</v>
      </c>
      <c r="G336" s="66" t="s">
        <v>158</v>
      </c>
      <c r="H336" s="66"/>
      <c r="I336" s="54"/>
      <c r="J336" s="51">
        <f t="shared" ref="J336:J399" si="31">SUM(K336:L336)</f>
        <v>0</v>
      </c>
      <c r="K336" s="52">
        <f>SUM(K337:K342)</f>
        <v>0</v>
      </c>
      <c r="L336" s="296">
        <f>SUM(L337:L342)</f>
        <v>0</v>
      </c>
      <c r="M336" s="22">
        <f t="shared" si="29"/>
        <v>0</v>
      </c>
      <c r="N336" s="22">
        <v>0</v>
      </c>
    </row>
    <row r="337" spans="1:14">
      <c r="A337" s="38">
        <f t="shared" si="30"/>
        <v>337</v>
      </c>
      <c r="B337" s="54"/>
      <c r="C337" s="54"/>
      <c r="D337" s="54"/>
      <c r="E337" s="54"/>
      <c r="F337" s="56"/>
      <c r="G337" s="56" t="s">
        <v>31</v>
      </c>
      <c r="H337" s="69" t="s">
        <v>159</v>
      </c>
      <c r="I337" s="54"/>
      <c r="J337" s="51">
        <f t="shared" si="31"/>
        <v>0</v>
      </c>
      <c r="K337" s="55"/>
      <c r="L337" s="297"/>
      <c r="M337" s="22">
        <f t="shared" si="29"/>
        <v>0</v>
      </c>
      <c r="N337" s="22">
        <v>0</v>
      </c>
    </row>
    <row r="338" spans="1:14">
      <c r="A338" s="38">
        <f t="shared" si="30"/>
        <v>338</v>
      </c>
      <c r="B338" s="54"/>
      <c r="C338" s="54"/>
      <c r="D338" s="54"/>
      <c r="E338" s="54"/>
      <c r="F338" s="56"/>
      <c r="G338" s="56" t="s">
        <v>44</v>
      </c>
      <c r="H338" s="69" t="s">
        <v>160</v>
      </c>
      <c r="I338" s="54"/>
      <c r="J338" s="51">
        <f t="shared" si="31"/>
        <v>0</v>
      </c>
      <c r="K338" s="55"/>
      <c r="L338" s="297"/>
      <c r="M338" s="22">
        <f t="shared" si="29"/>
        <v>0</v>
      </c>
      <c r="N338" s="22">
        <v>0</v>
      </c>
    </row>
    <row r="339" spans="1:14">
      <c r="A339" s="38">
        <f t="shared" si="30"/>
        <v>339</v>
      </c>
      <c r="B339" s="54"/>
      <c r="C339" s="54"/>
      <c r="D339" s="54"/>
      <c r="E339" s="54"/>
      <c r="F339" s="56"/>
      <c r="G339" s="56" t="s">
        <v>33</v>
      </c>
      <c r="H339" s="69" t="s">
        <v>161</v>
      </c>
      <c r="I339" s="54"/>
      <c r="J339" s="51">
        <f t="shared" si="31"/>
        <v>0</v>
      </c>
      <c r="K339" s="55"/>
      <c r="L339" s="297"/>
      <c r="M339" s="22">
        <f t="shared" si="29"/>
        <v>0</v>
      </c>
      <c r="N339" s="22">
        <v>0</v>
      </c>
    </row>
    <row r="340" spans="1:14">
      <c r="A340" s="38">
        <f t="shared" si="30"/>
        <v>340</v>
      </c>
      <c r="B340" s="54"/>
      <c r="C340" s="54"/>
      <c r="D340" s="54"/>
      <c r="E340" s="54"/>
      <c r="F340" s="56"/>
      <c r="G340" s="56" t="s">
        <v>35</v>
      </c>
      <c r="H340" s="69" t="s">
        <v>162</v>
      </c>
      <c r="I340" s="54"/>
      <c r="J340" s="51">
        <f t="shared" si="31"/>
        <v>0</v>
      </c>
      <c r="K340" s="55"/>
      <c r="L340" s="297"/>
      <c r="M340" s="22">
        <f t="shared" si="29"/>
        <v>0</v>
      </c>
      <c r="N340" s="22">
        <v>0</v>
      </c>
    </row>
    <row r="341" spans="1:14">
      <c r="A341" s="38">
        <f t="shared" si="30"/>
        <v>341</v>
      </c>
      <c r="B341" s="54"/>
      <c r="C341" s="54"/>
      <c r="D341" s="54"/>
      <c r="E341" s="54"/>
      <c r="F341" s="56"/>
      <c r="G341" s="56" t="s">
        <v>37</v>
      </c>
      <c r="H341" s="69" t="s">
        <v>163</v>
      </c>
      <c r="I341" s="54"/>
      <c r="J341" s="51">
        <f t="shared" si="31"/>
        <v>0</v>
      </c>
      <c r="K341" s="55"/>
      <c r="L341" s="297"/>
      <c r="M341" s="22">
        <f t="shared" si="29"/>
        <v>0</v>
      </c>
      <c r="N341" s="22">
        <v>0</v>
      </c>
    </row>
    <row r="342" spans="1:14">
      <c r="A342" s="38">
        <f t="shared" si="30"/>
        <v>342</v>
      </c>
      <c r="B342" s="54"/>
      <c r="C342" s="54"/>
      <c r="D342" s="54"/>
      <c r="E342" s="54"/>
      <c r="F342" s="56"/>
      <c r="G342" s="56" t="s">
        <v>39</v>
      </c>
      <c r="H342" s="69" t="s">
        <v>164</v>
      </c>
      <c r="I342" s="54"/>
      <c r="J342" s="51">
        <f t="shared" si="31"/>
        <v>0</v>
      </c>
      <c r="K342" s="55"/>
      <c r="L342" s="297"/>
      <c r="M342" s="22">
        <f t="shared" si="29"/>
        <v>0</v>
      </c>
      <c r="N342" s="22">
        <v>0</v>
      </c>
    </row>
    <row r="343" spans="1:14">
      <c r="A343" s="38">
        <f t="shared" si="30"/>
        <v>343</v>
      </c>
      <c r="B343" s="54"/>
      <c r="C343" s="54"/>
      <c r="D343" s="54"/>
      <c r="E343" s="54"/>
      <c r="F343" s="49" t="s">
        <v>41</v>
      </c>
      <c r="G343" s="66" t="s">
        <v>165</v>
      </c>
      <c r="H343" s="66"/>
      <c r="I343" s="54"/>
      <c r="J343" s="51">
        <f t="shared" si="31"/>
        <v>0</v>
      </c>
      <c r="K343" s="52">
        <f>SUM(K344:K349)</f>
        <v>0</v>
      </c>
      <c r="L343" s="296">
        <f>SUM(L344:L349)</f>
        <v>0</v>
      </c>
      <c r="M343" s="22">
        <f t="shared" ref="M343:M374" si="32">IF(J343&lt;&gt;0,1,0)</f>
        <v>0</v>
      </c>
      <c r="N343" s="22">
        <v>0</v>
      </c>
    </row>
    <row r="344" spans="1:14">
      <c r="A344" s="38">
        <f t="shared" si="30"/>
        <v>344</v>
      </c>
      <c r="B344" s="54"/>
      <c r="C344" s="54"/>
      <c r="D344" s="54"/>
      <c r="E344" s="54"/>
      <c r="F344" s="56"/>
      <c r="G344" s="56" t="s">
        <v>31</v>
      </c>
      <c r="H344" s="69" t="s">
        <v>159</v>
      </c>
      <c r="I344" s="54"/>
      <c r="J344" s="51">
        <f t="shared" si="31"/>
        <v>0</v>
      </c>
      <c r="K344" s="55"/>
      <c r="L344" s="297"/>
      <c r="M344" s="22">
        <f t="shared" si="32"/>
        <v>0</v>
      </c>
      <c r="N344" s="22">
        <v>0</v>
      </c>
    </row>
    <row r="345" spans="1:14">
      <c r="A345" s="38">
        <f t="shared" si="30"/>
        <v>345</v>
      </c>
      <c r="B345" s="54"/>
      <c r="C345" s="54"/>
      <c r="D345" s="54"/>
      <c r="E345" s="54"/>
      <c r="F345" s="56"/>
      <c r="G345" s="56" t="s">
        <v>44</v>
      </c>
      <c r="H345" s="69" t="s">
        <v>160</v>
      </c>
      <c r="I345" s="54"/>
      <c r="J345" s="51">
        <f t="shared" si="31"/>
        <v>0</v>
      </c>
      <c r="K345" s="55"/>
      <c r="L345" s="297"/>
      <c r="M345" s="22">
        <f t="shared" si="32"/>
        <v>0</v>
      </c>
      <c r="N345" s="22">
        <v>0</v>
      </c>
    </row>
    <row r="346" spans="1:14">
      <c r="A346" s="38">
        <f t="shared" si="30"/>
        <v>346</v>
      </c>
      <c r="B346" s="54"/>
      <c r="C346" s="54"/>
      <c r="D346" s="54"/>
      <c r="E346" s="54"/>
      <c r="F346" s="56"/>
      <c r="G346" s="56" t="s">
        <v>33</v>
      </c>
      <c r="H346" s="69" t="s">
        <v>161</v>
      </c>
      <c r="I346" s="54"/>
      <c r="J346" s="51">
        <f t="shared" si="31"/>
        <v>0</v>
      </c>
      <c r="K346" s="55"/>
      <c r="L346" s="297"/>
      <c r="M346" s="22">
        <f t="shared" si="32"/>
        <v>0</v>
      </c>
      <c r="N346" s="22">
        <v>0</v>
      </c>
    </row>
    <row r="347" spans="1:14">
      <c r="A347" s="38">
        <f t="shared" si="30"/>
        <v>347</v>
      </c>
      <c r="B347" s="54"/>
      <c r="C347" s="54"/>
      <c r="D347" s="54"/>
      <c r="E347" s="54"/>
      <c r="F347" s="56"/>
      <c r="G347" s="56" t="s">
        <v>35</v>
      </c>
      <c r="H347" s="69" t="s">
        <v>162</v>
      </c>
      <c r="I347" s="54"/>
      <c r="J347" s="51">
        <f t="shared" si="31"/>
        <v>0</v>
      </c>
      <c r="K347" s="55"/>
      <c r="L347" s="297"/>
      <c r="M347" s="22">
        <f t="shared" si="32"/>
        <v>0</v>
      </c>
      <c r="N347" s="22">
        <v>0</v>
      </c>
    </row>
    <row r="348" spans="1:14">
      <c r="A348" s="38">
        <f t="shared" si="30"/>
        <v>348</v>
      </c>
      <c r="B348" s="54"/>
      <c r="C348" s="54"/>
      <c r="D348" s="54"/>
      <c r="E348" s="54"/>
      <c r="F348" s="56"/>
      <c r="G348" s="56" t="s">
        <v>37</v>
      </c>
      <c r="H348" s="69" t="s">
        <v>163</v>
      </c>
      <c r="I348" s="54"/>
      <c r="J348" s="51">
        <f t="shared" si="31"/>
        <v>0</v>
      </c>
      <c r="K348" s="55"/>
      <c r="L348" s="297"/>
      <c r="M348" s="22">
        <f t="shared" si="32"/>
        <v>0</v>
      </c>
      <c r="N348" s="22">
        <v>0</v>
      </c>
    </row>
    <row r="349" spans="1:14">
      <c r="A349" s="38">
        <f t="shared" si="30"/>
        <v>349</v>
      </c>
      <c r="B349" s="54"/>
      <c r="C349" s="54"/>
      <c r="D349" s="54"/>
      <c r="E349" s="54"/>
      <c r="F349" s="56"/>
      <c r="G349" s="56" t="s">
        <v>39</v>
      </c>
      <c r="H349" s="69" t="s">
        <v>164</v>
      </c>
      <c r="I349" s="54"/>
      <c r="J349" s="51">
        <f t="shared" si="31"/>
        <v>0</v>
      </c>
      <c r="K349" s="55"/>
      <c r="L349" s="297"/>
      <c r="M349" s="22">
        <f t="shared" si="32"/>
        <v>0</v>
      </c>
      <c r="N349" s="22">
        <v>0</v>
      </c>
    </row>
    <row r="350" spans="1:14">
      <c r="A350" s="38">
        <f t="shared" si="30"/>
        <v>350</v>
      </c>
      <c r="B350" s="54"/>
      <c r="C350" s="54"/>
      <c r="D350" s="54"/>
      <c r="E350" s="54"/>
      <c r="F350" s="49" t="s">
        <v>63</v>
      </c>
      <c r="G350" s="66" t="s">
        <v>166</v>
      </c>
      <c r="H350" s="66"/>
      <c r="I350" s="54"/>
      <c r="J350" s="51">
        <f t="shared" si="31"/>
        <v>0</v>
      </c>
      <c r="K350" s="52">
        <f>SUM(K351:K356)</f>
        <v>0</v>
      </c>
      <c r="L350" s="296">
        <f>SUM(L351:L356)</f>
        <v>0</v>
      </c>
      <c r="M350" s="22">
        <f t="shared" si="32"/>
        <v>0</v>
      </c>
      <c r="N350" s="22">
        <v>0</v>
      </c>
    </row>
    <row r="351" spans="1:14">
      <c r="A351" s="38">
        <f t="shared" si="30"/>
        <v>351</v>
      </c>
      <c r="B351" s="54"/>
      <c r="C351" s="54"/>
      <c r="D351" s="54"/>
      <c r="E351" s="54"/>
      <c r="F351" s="56"/>
      <c r="G351" s="56" t="s">
        <v>31</v>
      </c>
      <c r="H351" s="69" t="s">
        <v>159</v>
      </c>
      <c r="I351" s="54"/>
      <c r="J351" s="51">
        <f t="shared" si="31"/>
        <v>0</v>
      </c>
      <c r="K351" s="55"/>
      <c r="L351" s="297"/>
      <c r="M351" s="22">
        <f t="shared" si="32"/>
        <v>0</v>
      </c>
      <c r="N351" s="22">
        <v>0</v>
      </c>
    </row>
    <row r="352" spans="1:14">
      <c r="A352" s="38">
        <f t="shared" si="30"/>
        <v>352</v>
      </c>
      <c r="B352" s="54"/>
      <c r="C352" s="54"/>
      <c r="D352" s="54"/>
      <c r="E352" s="54"/>
      <c r="F352" s="56"/>
      <c r="G352" s="56" t="s">
        <v>44</v>
      </c>
      <c r="H352" s="69" t="s">
        <v>160</v>
      </c>
      <c r="I352" s="54"/>
      <c r="J352" s="51">
        <f t="shared" si="31"/>
        <v>0</v>
      </c>
      <c r="K352" s="55"/>
      <c r="L352" s="297"/>
      <c r="M352" s="22">
        <f t="shared" si="32"/>
        <v>0</v>
      </c>
      <c r="N352" s="22">
        <v>0</v>
      </c>
    </row>
    <row r="353" spans="1:14">
      <c r="A353" s="38">
        <f t="shared" si="30"/>
        <v>353</v>
      </c>
      <c r="B353" s="54"/>
      <c r="C353" s="54"/>
      <c r="D353" s="54"/>
      <c r="E353" s="54"/>
      <c r="F353" s="56"/>
      <c r="G353" s="56" t="s">
        <v>33</v>
      </c>
      <c r="H353" s="69" t="s">
        <v>161</v>
      </c>
      <c r="I353" s="54"/>
      <c r="J353" s="51">
        <f t="shared" si="31"/>
        <v>0</v>
      </c>
      <c r="K353" s="55"/>
      <c r="L353" s="297"/>
      <c r="M353" s="22">
        <f t="shared" si="32"/>
        <v>0</v>
      </c>
      <c r="N353" s="22">
        <v>0</v>
      </c>
    </row>
    <row r="354" spans="1:14">
      <c r="A354" s="38">
        <f t="shared" si="30"/>
        <v>354</v>
      </c>
      <c r="B354" s="54"/>
      <c r="C354" s="54"/>
      <c r="D354" s="54"/>
      <c r="E354" s="54"/>
      <c r="F354" s="56"/>
      <c r="G354" s="56" t="s">
        <v>35</v>
      </c>
      <c r="H354" s="69" t="s">
        <v>162</v>
      </c>
      <c r="I354" s="54"/>
      <c r="J354" s="51">
        <f t="shared" si="31"/>
        <v>0</v>
      </c>
      <c r="K354" s="55"/>
      <c r="L354" s="297"/>
      <c r="M354" s="22">
        <f t="shared" si="32"/>
        <v>0</v>
      </c>
      <c r="N354" s="22">
        <v>0</v>
      </c>
    </row>
    <row r="355" spans="1:14">
      <c r="A355" s="38">
        <f t="shared" si="30"/>
        <v>355</v>
      </c>
      <c r="B355" s="54"/>
      <c r="C355" s="54"/>
      <c r="D355" s="54"/>
      <c r="E355" s="54"/>
      <c r="F355" s="56"/>
      <c r="G355" s="56" t="s">
        <v>37</v>
      </c>
      <c r="H355" s="69" t="s">
        <v>163</v>
      </c>
      <c r="I355" s="54"/>
      <c r="J355" s="51">
        <f t="shared" si="31"/>
        <v>0</v>
      </c>
      <c r="K355" s="55"/>
      <c r="L355" s="297"/>
      <c r="M355" s="22">
        <f t="shared" si="32"/>
        <v>0</v>
      </c>
      <c r="N355" s="22">
        <v>0</v>
      </c>
    </row>
    <row r="356" spans="1:14">
      <c r="A356" s="38">
        <f t="shared" si="30"/>
        <v>356</v>
      </c>
      <c r="B356" s="54"/>
      <c r="C356" s="54"/>
      <c r="D356" s="54"/>
      <c r="E356" s="54"/>
      <c r="F356" s="56"/>
      <c r="G356" s="56" t="s">
        <v>39</v>
      </c>
      <c r="H356" s="69" t="s">
        <v>164</v>
      </c>
      <c r="I356" s="54"/>
      <c r="J356" s="51">
        <f t="shared" si="31"/>
        <v>0</v>
      </c>
      <c r="K356" s="55"/>
      <c r="L356" s="297"/>
      <c r="M356" s="22">
        <f t="shared" si="32"/>
        <v>0</v>
      </c>
      <c r="N356" s="22">
        <v>0</v>
      </c>
    </row>
    <row r="357" spans="1:14">
      <c r="A357" s="38">
        <f t="shared" si="30"/>
        <v>357</v>
      </c>
      <c r="B357" s="54"/>
      <c r="C357" s="54"/>
      <c r="D357" s="54"/>
      <c r="E357" s="54"/>
      <c r="F357" s="49" t="s">
        <v>65</v>
      </c>
      <c r="G357" s="66" t="s">
        <v>167</v>
      </c>
      <c r="H357" s="66"/>
      <c r="I357" s="54"/>
      <c r="J357" s="51">
        <f t="shared" si="31"/>
        <v>0</v>
      </c>
      <c r="K357" s="52">
        <f>SUM(K358:K361)</f>
        <v>0</v>
      </c>
      <c r="L357" s="296">
        <f>SUM(L358:L361)</f>
        <v>0</v>
      </c>
      <c r="M357" s="22">
        <f t="shared" si="32"/>
        <v>0</v>
      </c>
      <c r="N357" s="22">
        <v>0</v>
      </c>
    </row>
    <row r="358" spans="1:14">
      <c r="A358" s="38">
        <f t="shared" si="30"/>
        <v>358</v>
      </c>
      <c r="B358" s="54"/>
      <c r="C358" s="54"/>
      <c r="D358" s="54"/>
      <c r="E358" s="54"/>
      <c r="F358" s="56"/>
      <c r="G358" s="56" t="s">
        <v>31</v>
      </c>
      <c r="H358" s="69" t="s">
        <v>168</v>
      </c>
      <c r="I358" s="54"/>
      <c r="J358" s="51">
        <f t="shared" si="31"/>
        <v>0</v>
      </c>
      <c r="K358" s="55"/>
      <c r="L358" s="297"/>
      <c r="M358" s="22">
        <f t="shared" si="32"/>
        <v>0</v>
      </c>
      <c r="N358" s="22">
        <v>0</v>
      </c>
    </row>
    <row r="359" spans="1:14">
      <c r="A359" s="38">
        <f t="shared" si="30"/>
        <v>359</v>
      </c>
      <c r="B359" s="54"/>
      <c r="C359" s="54"/>
      <c r="D359" s="54"/>
      <c r="E359" s="54"/>
      <c r="F359" s="56"/>
      <c r="G359" s="56" t="s">
        <v>44</v>
      </c>
      <c r="H359" s="69" t="s">
        <v>169</v>
      </c>
      <c r="I359" s="54"/>
      <c r="J359" s="51">
        <f t="shared" si="31"/>
        <v>0</v>
      </c>
      <c r="K359" s="55"/>
      <c r="L359" s="297"/>
      <c r="M359" s="22">
        <f t="shared" si="32"/>
        <v>0</v>
      </c>
      <c r="N359" s="22">
        <v>0</v>
      </c>
    </row>
    <row r="360" spans="1:14">
      <c r="A360" s="38">
        <f t="shared" si="30"/>
        <v>360</v>
      </c>
      <c r="B360" s="54"/>
      <c r="C360" s="54"/>
      <c r="D360" s="54"/>
      <c r="E360" s="54"/>
      <c r="F360" s="56"/>
      <c r="G360" s="56" t="s">
        <v>33</v>
      </c>
      <c r="H360" s="69" t="s">
        <v>170</v>
      </c>
      <c r="I360" s="54"/>
      <c r="J360" s="51">
        <f t="shared" si="31"/>
        <v>0</v>
      </c>
      <c r="K360" s="55"/>
      <c r="L360" s="297"/>
      <c r="M360" s="22">
        <f t="shared" si="32"/>
        <v>0</v>
      </c>
      <c r="N360" s="22">
        <v>0</v>
      </c>
    </row>
    <row r="361" spans="1:14">
      <c r="A361" s="38">
        <f t="shared" si="30"/>
        <v>361</v>
      </c>
      <c r="B361" s="54"/>
      <c r="C361" s="54"/>
      <c r="D361" s="54"/>
      <c r="E361" s="54"/>
      <c r="F361" s="56"/>
      <c r="G361" s="56" t="s">
        <v>35</v>
      </c>
      <c r="H361" s="69" t="s">
        <v>171</v>
      </c>
      <c r="I361" s="54"/>
      <c r="J361" s="51">
        <f t="shared" si="31"/>
        <v>0</v>
      </c>
      <c r="K361" s="55"/>
      <c r="L361" s="297"/>
      <c r="M361" s="22">
        <f t="shared" si="32"/>
        <v>0</v>
      </c>
      <c r="N361" s="22">
        <v>0</v>
      </c>
    </row>
    <row r="362" spans="1:14">
      <c r="A362" s="38">
        <f t="shared" si="30"/>
        <v>362</v>
      </c>
      <c r="B362" s="54"/>
      <c r="C362" s="54"/>
      <c r="D362" s="54"/>
      <c r="E362" s="54"/>
      <c r="F362" s="71" t="s">
        <v>42</v>
      </c>
      <c r="G362" s="49"/>
      <c r="H362" s="66"/>
      <c r="I362" s="54"/>
      <c r="J362" s="51">
        <f t="shared" si="31"/>
        <v>0</v>
      </c>
      <c r="K362" s="52">
        <f>SUM(K363,K370,K377,K384)</f>
        <v>0</v>
      </c>
      <c r="L362" s="296">
        <f>SUM(L363,L370,L377,L384)</f>
        <v>0</v>
      </c>
      <c r="M362" s="22">
        <f t="shared" si="32"/>
        <v>0</v>
      </c>
      <c r="N362" s="22">
        <v>0</v>
      </c>
    </row>
    <row r="363" spans="1:14">
      <c r="A363" s="38">
        <f t="shared" si="30"/>
        <v>363</v>
      </c>
      <c r="B363" s="54"/>
      <c r="C363" s="54"/>
      <c r="D363" s="54"/>
      <c r="E363" s="54"/>
      <c r="F363" s="49" t="s">
        <v>29</v>
      </c>
      <c r="G363" s="66" t="s">
        <v>158</v>
      </c>
      <c r="H363" s="66"/>
      <c r="I363" s="54"/>
      <c r="J363" s="51">
        <f t="shared" si="31"/>
        <v>0</v>
      </c>
      <c r="K363" s="52">
        <f>SUM(K364:K369)</f>
        <v>0</v>
      </c>
      <c r="L363" s="296">
        <f>SUM(L364:L369)</f>
        <v>0</v>
      </c>
      <c r="M363" s="22">
        <f t="shared" si="32"/>
        <v>0</v>
      </c>
      <c r="N363" s="22">
        <v>0</v>
      </c>
    </row>
    <row r="364" spans="1:14">
      <c r="A364" s="38">
        <f t="shared" si="30"/>
        <v>364</v>
      </c>
      <c r="B364" s="54"/>
      <c r="C364" s="54"/>
      <c r="D364" s="54"/>
      <c r="E364" s="54"/>
      <c r="F364" s="56"/>
      <c r="G364" s="56" t="s">
        <v>31</v>
      </c>
      <c r="H364" s="69" t="s">
        <v>159</v>
      </c>
      <c r="I364" s="54"/>
      <c r="J364" s="51">
        <f t="shared" si="31"/>
        <v>0</v>
      </c>
      <c r="K364" s="55"/>
      <c r="L364" s="297"/>
      <c r="M364" s="22">
        <f t="shared" si="32"/>
        <v>0</v>
      </c>
      <c r="N364" s="22">
        <v>0</v>
      </c>
    </row>
    <row r="365" spans="1:14">
      <c r="A365" s="38">
        <f t="shared" si="30"/>
        <v>365</v>
      </c>
      <c r="B365" s="54"/>
      <c r="C365" s="54"/>
      <c r="D365" s="54"/>
      <c r="E365" s="54"/>
      <c r="F365" s="56"/>
      <c r="G365" s="56" t="s">
        <v>44</v>
      </c>
      <c r="H365" s="69" t="s">
        <v>160</v>
      </c>
      <c r="I365" s="54"/>
      <c r="J365" s="51">
        <f t="shared" si="31"/>
        <v>0</v>
      </c>
      <c r="K365" s="55"/>
      <c r="L365" s="297"/>
      <c r="M365" s="22">
        <f t="shared" si="32"/>
        <v>0</v>
      </c>
      <c r="N365" s="22">
        <v>0</v>
      </c>
    </row>
    <row r="366" spans="1:14">
      <c r="A366" s="38">
        <f t="shared" si="30"/>
        <v>366</v>
      </c>
      <c r="B366" s="54"/>
      <c r="C366" s="54"/>
      <c r="D366" s="54"/>
      <c r="E366" s="54"/>
      <c r="F366" s="56"/>
      <c r="G366" s="56" t="s">
        <v>33</v>
      </c>
      <c r="H366" s="69" t="s">
        <v>161</v>
      </c>
      <c r="I366" s="54"/>
      <c r="J366" s="51">
        <f t="shared" si="31"/>
        <v>0</v>
      </c>
      <c r="K366" s="55"/>
      <c r="L366" s="297"/>
      <c r="M366" s="22">
        <f t="shared" si="32"/>
        <v>0</v>
      </c>
      <c r="N366" s="22">
        <v>0</v>
      </c>
    </row>
    <row r="367" spans="1:14">
      <c r="A367" s="38">
        <f t="shared" si="30"/>
        <v>367</v>
      </c>
      <c r="B367" s="54"/>
      <c r="C367" s="54"/>
      <c r="D367" s="54"/>
      <c r="E367" s="54"/>
      <c r="F367" s="56"/>
      <c r="G367" s="56" t="s">
        <v>35</v>
      </c>
      <c r="H367" s="69" t="s">
        <v>162</v>
      </c>
      <c r="I367" s="54"/>
      <c r="J367" s="51">
        <f t="shared" si="31"/>
        <v>0</v>
      </c>
      <c r="K367" s="55"/>
      <c r="L367" s="297"/>
      <c r="M367" s="22">
        <f t="shared" si="32"/>
        <v>0</v>
      </c>
      <c r="N367" s="22">
        <v>0</v>
      </c>
    </row>
    <row r="368" spans="1:14">
      <c r="A368" s="38">
        <f t="shared" si="30"/>
        <v>368</v>
      </c>
      <c r="B368" s="54"/>
      <c r="C368" s="54"/>
      <c r="D368" s="54"/>
      <c r="E368" s="54"/>
      <c r="F368" s="56"/>
      <c r="G368" s="56" t="s">
        <v>37</v>
      </c>
      <c r="H368" s="69" t="s">
        <v>163</v>
      </c>
      <c r="I368" s="54"/>
      <c r="J368" s="51">
        <f t="shared" si="31"/>
        <v>0</v>
      </c>
      <c r="K368" s="55"/>
      <c r="L368" s="297"/>
      <c r="M368" s="22">
        <f t="shared" si="32"/>
        <v>0</v>
      </c>
      <c r="N368" s="22">
        <v>0</v>
      </c>
    </row>
    <row r="369" spans="1:14">
      <c r="A369" s="38">
        <f t="shared" si="30"/>
        <v>369</v>
      </c>
      <c r="B369" s="54"/>
      <c r="C369" s="54"/>
      <c r="D369" s="54"/>
      <c r="E369" s="54"/>
      <c r="F369" s="56"/>
      <c r="G369" s="56" t="s">
        <v>39</v>
      </c>
      <c r="H369" s="69" t="s">
        <v>164</v>
      </c>
      <c r="I369" s="54"/>
      <c r="J369" s="51">
        <f t="shared" si="31"/>
        <v>0</v>
      </c>
      <c r="K369" s="55"/>
      <c r="L369" s="297"/>
      <c r="M369" s="22">
        <f t="shared" si="32"/>
        <v>0</v>
      </c>
      <c r="N369" s="22">
        <v>0</v>
      </c>
    </row>
    <row r="370" spans="1:14">
      <c r="A370" s="38">
        <f t="shared" si="30"/>
        <v>370</v>
      </c>
      <c r="B370" s="54"/>
      <c r="C370" s="54"/>
      <c r="D370" s="54"/>
      <c r="E370" s="54"/>
      <c r="F370" s="49" t="s">
        <v>41</v>
      </c>
      <c r="G370" s="66" t="s">
        <v>165</v>
      </c>
      <c r="H370" s="66"/>
      <c r="I370" s="54"/>
      <c r="J370" s="51">
        <f t="shared" si="31"/>
        <v>0</v>
      </c>
      <c r="K370" s="52">
        <f>SUM(K371:K376)</f>
        <v>0</v>
      </c>
      <c r="L370" s="296">
        <f>SUM(L371:L376)</f>
        <v>0</v>
      </c>
      <c r="M370" s="22">
        <f t="shared" si="32"/>
        <v>0</v>
      </c>
      <c r="N370" s="22">
        <v>0</v>
      </c>
    </row>
    <row r="371" spans="1:14">
      <c r="A371" s="38">
        <f t="shared" si="30"/>
        <v>371</v>
      </c>
      <c r="B371" s="54"/>
      <c r="C371" s="54"/>
      <c r="D371" s="54"/>
      <c r="E371" s="54"/>
      <c r="F371" s="56"/>
      <c r="G371" s="56" t="s">
        <v>31</v>
      </c>
      <c r="H371" s="69" t="s">
        <v>159</v>
      </c>
      <c r="I371" s="54"/>
      <c r="J371" s="51">
        <f t="shared" si="31"/>
        <v>0</v>
      </c>
      <c r="K371" s="55"/>
      <c r="L371" s="297"/>
      <c r="M371" s="22">
        <f t="shared" si="32"/>
        <v>0</v>
      </c>
      <c r="N371" s="22">
        <v>0</v>
      </c>
    </row>
    <row r="372" spans="1:14">
      <c r="A372" s="38">
        <f t="shared" si="30"/>
        <v>372</v>
      </c>
      <c r="B372" s="54"/>
      <c r="C372" s="54"/>
      <c r="D372" s="54"/>
      <c r="E372" s="54"/>
      <c r="F372" s="56"/>
      <c r="G372" s="56" t="s">
        <v>44</v>
      </c>
      <c r="H372" s="69" t="s">
        <v>160</v>
      </c>
      <c r="I372" s="54"/>
      <c r="J372" s="51">
        <f t="shared" si="31"/>
        <v>0</v>
      </c>
      <c r="K372" s="55"/>
      <c r="L372" s="297"/>
      <c r="M372" s="22">
        <f t="shared" si="32"/>
        <v>0</v>
      </c>
      <c r="N372" s="22">
        <v>0</v>
      </c>
    </row>
    <row r="373" spans="1:14">
      <c r="A373" s="38">
        <f t="shared" si="30"/>
        <v>373</v>
      </c>
      <c r="B373" s="54"/>
      <c r="C373" s="54"/>
      <c r="D373" s="54"/>
      <c r="E373" s="54"/>
      <c r="F373" s="56"/>
      <c r="G373" s="56" t="s">
        <v>33</v>
      </c>
      <c r="H373" s="69" t="s">
        <v>161</v>
      </c>
      <c r="I373" s="54"/>
      <c r="J373" s="51">
        <f t="shared" si="31"/>
        <v>0</v>
      </c>
      <c r="K373" s="55"/>
      <c r="L373" s="297"/>
      <c r="M373" s="22">
        <f t="shared" si="32"/>
        <v>0</v>
      </c>
      <c r="N373" s="22">
        <v>0</v>
      </c>
    </row>
    <row r="374" spans="1:14">
      <c r="A374" s="38">
        <f t="shared" si="30"/>
        <v>374</v>
      </c>
      <c r="B374" s="54"/>
      <c r="C374" s="54"/>
      <c r="D374" s="54"/>
      <c r="E374" s="54"/>
      <c r="F374" s="56"/>
      <c r="G374" s="56" t="s">
        <v>35</v>
      </c>
      <c r="H374" s="69" t="s">
        <v>162</v>
      </c>
      <c r="I374" s="54"/>
      <c r="J374" s="51">
        <f t="shared" si="31"/>
        <v>0</v>
      </c>
      <c r="K374" s="55"/>
      <c r="L374" s="297"/>
      <c r="M374" s="22">
        <f t="shared" si="32"/>
        <v>0</v>
      </c>
      <c r="N374" s="22">
        <v>0</v>
      </c>
    </row>
    <row r="375" spans="1:14">
      <c r="A375" s="38">
        <f t="shared" si="30"/>
        <v>375</v>
      </c>
      <c r="B375" s="54"/>
      <c r="C375" s="54"/>
      <c r="D375" s="54"/>
      <c r="E375" s="54"/>
      <c r="F375" s="56"/>
      <c r="G375" s="56" t="s">
        <v>37</v>
      </c>
      <c r="H375" s="69" t="s">
        <v>163</v>
      </c>
      <c r="I375" s="54"/>
      <c r="J375" s="51">
        <f t="shared" si="31"/>
        <v>0</v>
      </c>
      <c r="K375" s="55"/>
      <c r="L375" s="297"/>
      <c r="M375" s="22">
        <f t="shared" ref="M375:M389" si="33">IF(J375&lt;&gt;0,1,0)</f>
        <v>0</v>
      </c>
      <c r="N375" s="22">
        <v>0</v>
      </c>
    </row>
    <row r="376" spans="1:14">
      <c r="A376" s="38">
        <f t="shared" si="30"/>
        <v>376</v>
      </c>
      <c r="B376" s="54"/>
      <c r="C376" s="54"/>
      <c r="D376" s="54"/>
      <c r="E376" s="54"/>
      <c r="F376" s="56"/>
      <c r="G376" s="56" t="s">
        <v>39</v>
      </c>
      <c r="H376" s="69" t="s">
        <v>164</v>
      </c>
      <c r="I376" s="54"/>
      <c r="J376" s="51">
        <f t="shared" si="31"/>
        <v>0</v>
      </c>
      <c r="K376" s="55"/>
      <c r="L376" s="297"/>
      <c r="M376" s="22">
        <f t="shared" si="33"/>
        <v>0</v>
      </c>
      <c r="N376" s="22">
        <v>0</v>
      </c>
    </row>
    <row r="377" spans="1:14">
      <c r="A377" s="38">
        <f t="shared" si="30"/>
        <v>377</v>
      </c>
      <c r="B377" s="54"/>
      <c r="C377" s="54"/>
      <c r="D377" s="54"/>
      <c r="E377" s="54"/>
      <c r="F377" s="49" t="s">
        <v>63</v>
      </c>
      <c r="G377" s="66" t="s">
        <v>166</v>
      </c>
      <c r="H377" s="66"/>
      <c r="I377" s="54"/>
      <c r="J377" s="51">
        <f t="shared" si="31"/>
        <v>0</v>
      </c>
      <c r="K377" s="52">
        <f>SUM(K378:K383)</f>
        <v>0</v>
      </c>
      <c r="L377" s="296">
        <f>SUM(L378:L383)</f>
        <v>0</v>
      </c>
      <c r="M377" s="22">
        <f t="shared" si="33"/>
        <v>0</v>
      </c>
      <c r="N377" s="22">
        <v>0</v>
      </c>
    </row>
    <row r="378" spans="1:14">
      <c r="A378" s="38">
        <f t="shared" si="30"/>
        <v>378</v>
      </c>
      <c r="B378" s="54"/>
      <c r="C378" s="54"/>
      <c r="D378" s="54"/>
      <c r="E378" s="54"/>
      <c r="F378" s="56"/>
      <c r="G378" s="56" t="s">
        <v>31</v>
      </c>
      <c r="H378" s="69" t="s">
        <v>159</v>
      </c>
      <c r="I378" s="54"/>
      <c r="J378" s="51">
        <f t="shared" si="31"/>
        <v>0</v>
      </c>
      <c r="K378" s="55"/>
      <c r="L378" s="297"/>
      <c r="M378" s="22">
        <f t="shared" si="33"/>
        <v>0</v>
      </c>
      <c r="N378" s="22">
        <v>0</v>
      </c>
    </row>
    <row r="379" spans="1:14">
      <c r="A379" s="38">
        <f t="shared" si="30"/>
        <v>379</v>
      </c>
      <c r="B379" s="54"/>
      <c r="C379" s="54"/>
      <c r="D379" s="54"/>
      <c r="E379" s="54"/>
      <c r="F379" s="56"/>
      <c r="G379" s="56" t="s">
        <v>44</v>
      </c>
      <c r="H379" s="69" t="s">
        <v>160</v>
      </c>
      <c r="I379" s="54"/>
      <c r="J379" s="51">
        <f t="shared" si="31"/>
        <v>0</v>
      </c>
      <c r="K379" s="55"/>
      <c r="L379" s="297"/>
      <c r="M379" s="22">
        <f t="shared" si="33"/>
        <v>0</v>
      </c>
      <c r="N379" s="22">
        <v>0</v>
      </c>
    </row>
    <row r="380" spans="1:14">
      <c r="A380" s="38">
        <f t="shared" si="30"/>
        <v>380</v>
      </c>
      <c r="B380" s="54"/>
      <c r="C380" s="54"/>
      <c r="D380" s="54"/>
      <c r="E380" s="54"/>
      <c r="F380" s="56"/>
      <c r="G380" s="56" t="s">
        <v>33</v>
      </c>
      <c r="H380" s="69" t="s">
        <v>161</v>
      </c>
      <c r="I380" s="54"/>
      <c r="J380" s="51">
        <f t="shared" si="31"/>
        <v>0</v>
      </c>
      <c r="K380" s="55"/>
      <c r="L380" s="297"/>
      <c r="M380" s="22">
        <f t="shared" si="33"/>
        <v>0</v>
      </c>
      <c r="N380" s="22">
        <v>0</v>
      </c>
    </row>
    <row r="381" spans="1:14">
      <c r="A381" s="38">
        <f t="shared" si="30"/>
        <v>381</v>
      </c>
      <c r="B381" s="54"/>
      <c r="C381" s="54"/>
      <c r="D381" s="54"/>
      <c r="E381" s="54"/>
      <c r="F381" s="56"/>
      <c r="G381" s="56" t="s">
        <v>35</v>
      </c>
      <c r="H381" s="69" t="s">
        <v>162</v>
      </c>
      <c r="I381" s="54"/>
      <c r="J381" s="51">
        <f t="shared" si="31"/>
        <v>0</v>
      </c>
      <c r="K381" s="55"/>
      <c r="L381" s="297"/>
      <c r="M381" s="22">
        <f t="shared" si="33"/>
        <v>0</v>
      </c>
      <c r="N381" s="22">
        <v>0</v>
      </c>
    </row>
    <row r="382" spans="1:14">
      <c r="A382" s="38">
        <f t="shared" si="30"/>
        <v>382</v>
      </c>
      <c r="B382" s="54"/>
      <c r="C382" s="54"/>
      <c r="D382" s="54"/>
      <c r="E382" s="54"/>
      <c r="F382" s="56"/>
      <c r="G382" s="56" t="s">
        <v>37</v>
      </c>
      <c r="H382" s="69" t="s">
        <v>163</v>
      </c>
      <c r="I382" s="54"/>
      <c r="J382" s="51">
        <f t="shared" si="31"/>
        <v>0</v>
      </c>
      <c r="K382" s="55"/>
      <c r="L382" s="297"/>
      <c r="M382" s="22">
        <f t="shared" si="33"/>
        <v>0</v>
      </c>
      <c r="N382" s="22">
        <v>0</v>
      </c>
    </row>
    <row r="383" spans="1:14">
      <c r="A383" s="38">
        <f t="shared" si="30"/>
        <v>383</v>
      </c>
      <c r="B383" s="54"/>
      <c r="C383" s="54"/>
      <c r="D383" s="54"/>
      <c r="E383" s="54"/>
      <c r="F383" s="56"/>
      <c r="G383" s="56" t="s">
        <v>39</v>
      </c>
      <c r="H383" s="69" t="s">
        <v>164</v>
      </c>
      <c r="I383" s="54"/>
      <c r="J383" s="51">
        <f t="shared" si="31"/>
        <v>0</v>
      </c>
      <c r="K383" s="55"/>
      <c r="L383" s="297"/>
      <c r="M383" s="22">
        <f t="shared" si="33"/>
        <v>0</v>
      </c>
      <c r="N383" s="22">
        <v>0</v>
      </c>
    </row>
    <row r="384" spans="1:14">
      <c r="A384" s="38">
        <f t="shared" si="30"/>
        <v>384</v>
      </c>
      <c r="B384" s="54"/>
      <c r="C384" s="54"/>
      <c r="D384" s="54"/>
      <c r="E384" s="54"/>
      <c r="F384" s="49" t="s">
        <v>65</v>
      </c>
      <c r="G384" s="66" t="s">
        <v>167</v>
      </c>
      <c r="H384" s="66"/>
      <c r="I384" s="54"/>
      <c r="J384" s="51">
        <f t="shared" si="31"/>
        <v>0</v>
      </c>
      <c r="K384" s="52">
        <f>SUM(K385:K388)</f>
        <v>0</v>
      </c>
      <c r="L384" s="296">
        <f>SUM(L385:L388)</f>
        <v>0</v>
      </c>
      <c r="M384" s="22">
        <f t="shared" si="33"/>
        <v>0</v>
      </c>
      <c r="N384" s="22">
        <v>0</v>
      </c>
    </row>
    <row r="385" spans="1:14">
      <c r="A385" s="38">
        <f t="shared" si="30"/>
        <v>385</v>
      </c>
      <c r="B385" s="54"/>
      <c r="C385" s="54"/>
      <c r="D385" s="54"/>
      <c r="E385" s="54"/>
      <c r="F385" s="56"/>
      <c r="G385" s="56" t="s">
        <v>31</v>
      </c>
      <c r="H385" s="69" t="s">
        <v>168</v>
      </c>
      <c r="I385" s="54"/>
      <c r="J385" s="51">
        <f t="shared" si="31"/>
        <v>0</v>
      </c>
      <c r="K385" s="55"/>
      <c r="L385" s="297"/>
      <c r="M385" s="22">
        <f t="shared" si="33"/>
        <v>0</v>
      </c>
      <c r="N385" s="22">
        <v>0</v>
      </c>
    </row>
    <row r="386" spans="1:14">
      <c r="A386" s="38">
        <f t="shared" si="30"/>
        <v>386</v>
      </c>
      <c r="B386" s="54"/>
      <c r="C386" s="54"/>
      <c r="D386" s="54"/>
      <c r="E386" s="54"/>
      <c r="F386" s="56"/>
      <c r="G386" s="56" t="s">
        <v>44</v>
      </c>
      <c r="H386" s="69" t="s">
        <v>169</v>
      </c>
      <c r="I386" s="54"/>
      <c r="J386" s="51">
        <f t="shared" si="31"/>
        <v>0</v>
      </c>
      <c r="K386" s="55"/>
      <c r="L386" s="297"/>
      <c r="M386" s="22">
        <f t="shared" si="33"/>
        <v>0</v>
      </c>
      <c r="N386" s="22">
        <v>0</v>
      </c>
    </row>
    <row r="387" spans="1:14">
      <c r="A387" s="38">
        <f t="shared" si="30"/>
        <v>387</v>
      </c>
      <c r="B387" s="54"/>
      <c r="C387" s="54"/>
      <c r="D387" s="54"/>
      <c r="E387" s="54"/>
      <c r="F387" s="56"/>
      <c r="G387" s="56" t="s">
        <v>33</v>
      </c>
      <c r="H387" s="69" t="s">
        <v>170</v>
      </c>
      <c r="I387" s="54"/>
      <c r="J387" s="51">
        <f t="shared" si="31"/>
        <v>0</v>
      </c>
      <c r="K387" s="55"/>
      <c r="L387" s="297"/>
      <c r="M387" s="22">
        <f t="shared" si="33"/>
        <v>0</v>
      </c>
      <c r="N387" s="22">
        <v>0</v>
      </c>
    </row>
    <row r="388" spans="1:14">
      <c r="A388" s="38">
        <f t="shared" si="30"/>
        <v>388</v>
      </c>
      <c r="B388" s="54"/>
      <c r="C388" s="54"/>
      <c r="D388" s="54"/>
      <c r="E388" s="54"/>
      <c r="F388" s="56"/>
      <c r="G388" s="56" t="s">
        <v>35</v>
      </c>
      <c r="H388" s="69" t="s">
        <v>171</v>
      </c>
      <c r="I388" s="54"/>
      <c r="J388" s="51">
        <f t="shared" si="31"/>
        <v>0</v>
      </c>
      <c r="K388" s="55"/>
      <c r="L388" s="297"/>
      <c r="M388" s="22">
        <f t="shared" si="33"/>
        <v>0</v>
      </c>
      <c r="N388" s="22">
        <v>0</v>
      </c>
    </row>
    <row r="389" spans="1:14">
      <c r="A389" s="38">
        <f t="shared" si="30"/>
        <v>389</v>
      </c>
      <c r="B389" s="56"/>
      <c r="C389" s="56"/>
      <c r="D389" s="56"/>
      <c r="E389" s="56"/>
      <c r="F389" s="56"/>
      <c r="G389" s="56"/>
      <c r="H389" s="56"/>
      <c r="I389" s="57"/>
      <c r="J389" s="58"/>
      <c r="K389" s="58"/>
      <c r="L389" s="298"/>
      <c r="M389" s="22">
        <f t="shared" si="33"/>
        <v>0</v>
      </c>
      <c r="N389" s="22">
        <v>0</v>
      </c>
    </row>
    <row r="390" spans="1:14" ht="14">
      <c r="A390" s="38">
        <f t="shared" si="30"/>
        <v>390</v>
      </c>
      <c r="B390" s="39"/>
      <c r="C390" s="39" t="s">
        <v>172</v>
      </c>
      <c r="D390" s="64" t="s">
        <v>173</v>
      </c>
      <c r="E390" s="39"/>
      <c r="F390" s="40"/>
      <c r="G390" s="39"/>
      <c r="H390" s="39"/>
      <c r="I390" s="39"/>
      <c r="J390" s="51">
        <f t="shared" si="31"/>
        <v>0</v>
      </c>
      <c r="K390" s="62">
        <f>SUM(K391,K409)</f>
        <v>0</v>
      </c>
      <c r="L390" s="51">
        <f>SUM(L391,L409)</f>
        <v>0</v>
      </c>
      <c r="M390" s="22">
        <v>1</v>
      </c>
      <c r="N390" s="22">
        <v>1</v>
      </c>
    </row>
    <row r="391" spans="1:14">
      <c r="A391" s="38">
        <f t="shared" si="30"/>
        <v>391</v>
      </c>
      <c r="B391" s="46"/>
      <c r="C391" s="46"/>
      <c r="D391" s="46" t="s">
        <v>174</v>
      </c>
      <c r="E391" s="71" t="s">
        <v>8</v>
      </c>
      <c r="F391" s="49"/>
      <c r="G391" s="46"/>
      <c r="H391" s="46"/>
      <c r="I391" s="46"/>
      <c r="J391" s="51">
        <f t="shared" si="31"/>
        <v>0</v>
      </c>
      <c r="K391" s="62">
        <f>SUM(K392:K394,K403,K398:K398,K405:K408)</f>
        <v>0</v>
      </c>
      <c r="L391" s="51">
        <f>SUM(L392:L394,L403,L398:L398,L405:L408)</f>
        <v>0</v>
      </c>
      <c r="M391" s="22">
        <f t="shared" ref="M391:M414" si="34">IF(J391&lt;&gt;0,1,0)</f>
        <v>0</v>
      </c>
      <c r="N391" s="22">
        <v>0</v>
      </c>
    </row>
    <row r="392" spans="1:14">
      <c r="A392" s="38">
        <f t="shared" si="30"/>
        <v>392</v>
      </c>
      <c r="B392" s="54"/>
      <c r="C392" s="54"/>
      <c r="D392" s="80"/>
      <c r="E392" s="54" t="s">
        <v>9</v>
      </c>
      <c r="F392" s="81" t="s">
        <v>175</v>
      </c>
      <c r="G392" s="54"/>
      <c r="H392" s="54"/>
      <c r="I392" s="54"/>
      <c r="J392" s="51">
        <f t="shared" si="31"/>
        <v>0</v>
      </c>
      <c r="K392" s="55"/>
      <c r="L392" s="297"/>
      <c r="M392" s="22">
        <f t="shared" si="34"/>
        <v>0</v>
      </c>
      <c r="N392" s="22">
        <v>0</v>
      </c>
    </row>
    <row r="393" spans="1:14">
      <c r="A393" s="38">
        <f t="shared" ref="A393:A456" si="35">A392+1</f>
        <v>393</v>
      </c>
      <c r="B393" s="54"/>
      <c r="C393" s="54"/>
      <c r="D393" s="54"/>
      <c r="E393" s="54" t="s">
        <v>11</v>
      </c>
      <c r="F393" s="81" t="s">
        <v>176</v>
      </c>
      <c r="G393" s="54"/>
      <c r="H393" s="54"/>
      <c r="I393" s="54"/>
      <c r="J393" s="51">
        <f t="shared" si="31"/>
        <v>0</v>
      </c>
      <c r="K393" s="55"/>
      <c r="L393" s="297"/>
      <c r="M393" s="22">
        <f t="shared" si="34"/>
        <v>0</v>
      </c>
      <c r="N393" s="22">
        <v>0</v>
      </c>
    </row>
    <row r="394" spans="1:14">
      <c r="A394" s="38">
        <f t="shared" si="35"/>
        <v>394</v>
      </c>
      <c r="B394" s="54"/>
      <c r="C394" s="54"/>
      <c r="D394" s="54"/>
      <c r="E394" s="54" t="s">
        <v>13</v>
      </c>
      <c r="F394" s="81" t="s">
        <v>177</v>
      </c>
      <c r="G394" s="54"/>
      <c r="H394" s="54"/>
      <c r="I394" s="54"/>
      <c r="J394" s="51">
        <f t="shared" si="31"/>
        <v>0</v>
      </c>
      <c r="K394" s="52">
        <f>SUM(K395:K397)</f>
        <v>0</v>
      </c>
      <c r="L394" s="296">
        <f>SUM(L395:L397)</f>
        <v>0</v>
      </c>
      <c r="M394" s="22">
        <f t="shared" si="34"/>
        <v>0</v>
      </c>
      <c r="N394" s="22">
        <v>0</v>
      </c>
    </row>
    <row r="395" spans="1:14">
      <c r="A395" s="38">
        <f t="shared" si="35"/>
        <v>395</v>
      </c>
      <c r="B395" s="54"/>
      <c r="C395" s="54"/>
      <c r="D395" s="54"/>
      <c r="E395" s="54"/>
      <c r="F395" s="56" t="s">
        <v>29</v>
      </c>
      <c r="G395" s="69" t="s">
        <v>49</v>
      </c>
      <c r="H395" s="54"/>
      <c r="I395" s="54"/>
      <c r="J395" s="51">
        <f t="shared" si="31"/>
        <v>0</v>
      </c>
      <c r="K395" s="55"/>
      <c r="L395" s="297"/>
      <c r="M395" s="22">
        <f t="shared" si="34"/>
        <v>0</v>
      </c>
      <c r="N395" s="22">
        <v>0</v>
      </c>
    </row>
    <row r="396" spans="1:14">
      <c r="A396" s="38">
        <f t="shared" si="35"/>
        <v>396</v>
      </c>
      <c r="B396" s="54"/>
      <c r="C396" s="54"/>
      <c r="D396" s="54"/>
      <c r="E396" s="54"/>
      <c r="F396" s="56" t="s">
        <v>41</v>
      </c>
      <c r="G396" s="69" t="s">
        <v>56</v>
      </c>
      <c r="H396" s="54"/>
      <c r="I396" s="54"/>
      <c r="J396" s="51">
        <f t="shared" si="31"/>
        <v>0</v>
      </c>
      <c r="K396" s="55"/>
      <c r="L396" s="297"/>
      <c r="M396" s="22">
        <f t="shared" si="34"/>
        <v>0</v>
      </c>
      <c r="N396" s="22">
        <v>0</v>
      </c>
    </row>
    <row r="397" spans="1:14">
      <c r="A397" s="38">
        <f t="shared" si="35"/>
        <v>397</v>
      </c>
      <c r="B397" s="54"/>
      <c r="C397" s="54"/>
      <c r="D397" s="54"/>
      <c r="E397" s="54"/>
      <c r="F397" s="56" t="s">
        <v>63</v>
      </c>
      <c r="G397" s="69" t="s">
        <v>57</v>
      </c>
      <c r="H397" s="54"/>
      <c r="I397" s="54"/>
      <c r="J397" s="51">
        <f t="shared" si="31"/>
        <v>0</v>
      </c>
      <c r="K397" s="55"/>
      <c r="L397" s="297"/>
      <c r="M397" s="22">
        <f t="shared" si="34"/>
        <v>0</v>
      </c>
      <c r="N397" s="22">
        <v>0</v>
      </c>
    </row>
    <row r="398" spans="1:14">
      <c r="A398" s="38">
        <f t="shared" si="35"/>
        <v>398</v>
      </c>
      <c r="B398" s="54"/>
      <c r="C398" s="54"/>
      <c r="D398" s="54"/>
      <c r="E398" s="54" t="s">
        <v>15</v>
      </c>
      <c r="F398" s="81" t="s">
        <v>178</v>
      </c>
      <c r="G398" s="54"/>
      <c r="H398" s="54"/>
      <c r="I398" s="54"/>
      <c r="J398" s="51">
        <f t="shared" si="31"/>
        <v>0</v>
      </c>
      <c r="K398" s="52">
        <f>SUM(K399:K402)</f>
        <v>0</v>
      </c>
      <c r="L398" s="296">
        <f>SUM(L399:L402)</f>
        <v>0</v>
      </c>
      <c r="M398" s="22">
        <f t="shared" si="34"/>
        <v>0</v>
      </c>
      <c r="N398" s="22">
        <v>0</v>
      </c>
    </row>
    <row r="399" spans="1:14">
      <c r="A399" s="38">
        <f t="shared" si="35"/>
        <v>399</v>
      </c>
      <c r="B399" s="54"/>
      <c r="C399" s="54"/>
      <c r="D399" s="54"/>
      <c r="E399" s="54"/>
      <c r="F399" s="56" t="s">
        <v>29</v>
      </c>
      <c r="G399" s="69" t="s">
        <v>49</v>
      </c>
      <c r="H399" s="54"/>
      <c r="I399" s="54"/>
      <c r="J399" s="51">
        <f t="shared" si="31"/>
        <v>0</v>
      </c>
      <c r="K399" s="55"/>
      <c r="L399" s="297"/>
      <c r="M399" s="22">
        <f t="shared" si="34"/>
        <v>0</v>
      </c>
      <c r="N399" s="22">
        <v>0</v>
      </c>
    </row>
    <row r="400" spans="1:14">
      <c r="A400" s="38">
        <f t="shared" si="35"/>
        <v>400</v>
      </c>
      <c r="B400" s="54"/>
      <c r="C400" s="54"/>
      <c r="D400" s="54"/>
      <c r="E400" s="54"/>
      <c r="F400" s="56" t="s">
        <v>41</v>
      </c>
      <c r="G400" s="69" t="s">
        <v>56</v>
      </c>
      <c r="H400" s="54"/>
      <c r="I400" s="54"/>
      <c r="J400" s="51">
        <f t="shared" ref="J400:J463" si="36">SUM(K400:L400)</f>
        <v>0</v>
      </c>
      <c r="K400" s="55"/>
      <c r="L400" s="297"/>
      <c r="M400" s="22">
        <f t="shared" si="34"/>
        <v>0</v>
      </c>
      <c r="N400" s="22">
        <v>0</v>
      </c>
    </row>
    <row r="401" spans="1:14">
      <c r="A401" s="38">
        <f t="shared" si="35"/>
        <v>401</v>
      </c>
      <c r="B401" s="54"/>
      <c r="C401" s="54"/>
      <c r="D401" s="54"/>
      <c r="E401" s="54"/>
      <c r="F401" s="56" t="s">
        <v>63</v>
      </c>
      <c r="G401" s="54" t="s">
        <v>58</v>
      </c>
      <c r="H401" s="54"/>
      <c r="I401" s="54"/>
      <c r="J401" s="51">
        <f t="shared" si="36"/>
        <v>0</v>
      </c>
      <c r="K401" s="55"/>
      <c r="L401" s="297"/>
      <c r="M401" s="22">
        <f t="shared" si="34"/>
        <v>0</v>
      </c>
      <c r="N401" s="22">
        <v>0</v>
      </c>
    </row>
    <row r="402" spans="1:14">
      <c r="A402" s="38">
        <f t="shared" si="35"/>
        <v>402</v>
      </c>
      <c r="B402" s="54"/>
      <c r="C402" s="54"/>
      <c r="D402" s="54"/>
      <c r="E402" s="54"/>
      <c r="F402" s="56" t="s">
        <v>65</v>
      </c>
      <c r="G402" s="69" t="s">
        <v>57</v>
      </c>
      <c r="H402" s="54"/>
      <c r="I402" s="54"/>
      <c r="J402" s="51">
        <f t="shared" si="36"/>
        <v>0</v>
      </c>
      <c r="K402" s="55"/>
      <c r="L402" s="297"/>
      <c r="M402" s="22">
        <f t="shared" si="34"/>
        <v>0</v>
      </c>
      <c r="N402" s="22">
        <v>0</v>
      </c>
    </row>
    <row r="403" spans="1:14">
      <c r="A403" s="38">
        <f t="shared" si="35"/>
        <v>403</v>
      </c>
      <c r="B403" s="54"/>
      <c r="C403" s="54"/>
      <c r="D403" s="54"/>
      <c r="E403" s="54" t="s">
        <v>17</v>
      </c>
      <c r="F403" s="81" t="s">
        <v>179</v>
      </c>
      <c r="G403" s="54"/>
      <c r="H403" s="54"/>
      <c r="I403" s="54"/>
      <c r="J403" s="51">
        <f t="shared" si="36"/>
        <v>0</v>
      </c>
      <c r="K403" s="55"/>
      <c r="L403" s="297"/>
      <c r="M403" s="22">
        <f t="shared" si="34"/>
        <v>0</v>
      </c>
      <c r="N403" s="22">
        <v>0</v>
      </c>
    </row>
    <row r="404" spans="1:14">
      <c r="A404" s="38">
        <f t="shared" si="35"/>
        <v>404</v>
      </c>
      <c r="B404" s="54"/>
      <c r="C404" s="54"/>
      <c r="D404" s="54"/>
      <c r="E404" s="54" t="s">
        <v>19</v>
      </c>
      <c r="F404" s="81" t="s">
        <v>180</v>
      </c>
      <c r="G404" s="54"/>
      <c r="H404" s="54"/>
      <c r="I404" s="54"/>
      <c r="J404" s="51">
        <f t="shared" si="36"/>
        <v>0</v>
      </c>
      <c r="K404" s="52">
        <f>SUM(K405:K406)</f>
        <v>0</v>
      </c>
      <c r="L404" s="296">
        <f>SUM(L405:L406)</f>
        <v>0</v>
      </c>
      <c r="M404" s="22">
        <f t="shared" si="34"/>
        <v>0</v>
      </c>
      <c r="N404" s="22">
        <v>0</v>
      </c>
    </row>
    <row r="405" spans="1:14">
      <c r="A405" s="38">
        <f t="shared" si="35"/>
        <v>405</v>
      </c>
      <c r="B405" s="54"/>
      <c r="C405" s="54"/>
      <c r="D405" s="54"/>
      <c r="E405" s="54"/>
      <c r="F405" s="56" t="s">
        <v>29</v>
      </c>
      <c r="G405" s="81" t="s">
        <v>181</v>
      </c>
      <c r="H405" s="54"/>
      <c r="I405" s="54"/>
      <c r="J405" s="51">
        <f t="shared" si="36"/>
        <v>0</v>
      </c>
      <c r="K405" s="55"/>
      <c r="L405" s="297"/>
      <c r="M405" s="22">
        <f t="shared" si="34"/>
        <v>0</v>
      </c>
      <c r="N405" s="22">
        <v>0</v>
      </c>
    </row>
    <row r="406" spans="1:14">
      <c r="A406" s="38">
        <f t="shared" si="35"/>
        <v>406</v>
      </c>
      <c r="B406" s="54"/>
      <c r="C406" s="54"/>
      <c r="D406" s="54"/>
      <c r="E406" s="54"/>
      <c r="F406" s="56" t="s">
        <v>41</v>
      </c>
      <c r="G406" s="81" t="s">
        <v>182</v>
      </c>
      <c r="H406" s="54"/>
      <c r="I406" s="54"/>
      <c r="J406" s="51">
        <f t="shared" si="36"/>
        <v>0</v>
      </c>
      <c r="K406" s="55"/>
      <c r="L406" s="297"/>
      <c r="M406" s="22">
        <f t="shared" si="34"/>
        <v>0</v>
      </c>
      <c r="N406" s="22">
        <v>0</v>
      </c>
    </row>
    <row r="407" spans="1:14">
      <c r="A407" s="38">
        <f t="shared" si="35"/>
        <v>407</v>
      </c>
      <c r="B407" s="54"/>
      <c r="C407" s="54"/>
      <c r="D407" s="54"/>
      <c r="E407" s="54" t="s">
        <v>21</v>
      </c>
      <c r="F407" s="81" t="s">
        <v>183</v>
      </c>
      <c r="G407" s="54"/>
      <c r="H407" s="54"/>
      <c r="I407" s="54"/>
      <c r="J407" s="51">
        <f t="shared" si="36"/>
        <v>0</v>
      </c>
      <c r="K407" s="55"/>
      <c r="L407" s="297"/>
      <c r="M407" s="22">
        <f t="shared" si="34"/>
        <v>0</v>
      </c>
      <c r="N407" s="22">
        <v>0</v>
      </c>
    </row>
    <row r="408" spans="1:14">
      <c r="A408" s="38">
        <f t="shared" si="35"/>
        <v>408</v>
      </c>
      <c r="B408" s="54"/>
      <c r="C408" s="54"/>
      <c r="D408" s="54"/>
      <c r="E408" s="54" t="s">
        <v>184</v>
      </c>
      <c r="F408" s="81" t="s">
        <v>185</v>
      </c>
      <c r="G408" s="54"/>
      <c r="H408" s="54"/>
      <c r="I408" s="54"/>
      <c r="J408" s="51">
        <f t="shared" si="36"/>
        <v>0</v>
      </c>
      <c r="K408" s="55"/>
      <c r="L408" s="297"/>
      <c r="M408" s="22">
        <f t="shared" si="34"/>
        <v>0</v>
      </c>
      <c r="N408" s="22">
        <v>0</v>
      </c>
    </row>
    <row r="409" spans="1:14">
      <c r="A409" s="38">
        <f t="shared" si="35"/>
        <v>409</v>
      </c>
      <c r="B409" s="46"/>
      <c r="C409" s="46"/>
      <c r="D409" s="46" t="s">
        <v>186</v>
      </c>
      <c r="E409" s="71" t="s">
        <v>24</v>
      </c>
      <c r="F409" s="49"/>
      <c r="G409" s="46"/>
      <c r="H409" s="46"/>
      <c r="I409" s="46"/>
      <c r="J409" s="51">
        <f t="shared" si="36"/>
        <v>0</v>
      </c>
      <c r="K409" s="65">
        <f>SUM(K410:K413)</f>
        <v>0</v>
      </c>
      <c r="L409" s="299">
        <f>SUM(L410:L413)</f>
        <v>0</v>
      </c>
      <c r="M409" s="22">
        <f t="shared" si="34"/>
        <v>0</v>
      </c>
      <c r="N409" s="22">
        <v>0</v>
      </c>
    </row>
    <row r="410" spans="1:14">
      <c r="A410" s="38">
        <f t="shared" si="35"/>
        <v>410</v>
      </c>
      <c r="B410" s="54"/>
      <c r="C410" s="54"/>
      <c r="D410" s="54"/>
      <c r="E410" s="54" t="s">
        <v>9</v>
      </c>
      <c r="F410" s="81" t="s">
        <v>176</v>
      </c>
      <c r="G410" s="54"/>
      <c r="H410" s="54"/>
      <c r="I410" s="54"/>
      <c r="J410" s="51">
        <f t="shared" si="36"/>
        <v>0</v>
      </c>
      <c r="K410" s="55"/>
      <c r="L410" s="297"/>
      <c r="M410" s="22">
        <f t="shared" si="34"/>
        <v>0</v>
      </c>
      <c r="N410" s="22">
        <v>0</v>
      </c>
    </row>
    <row r="411" spans="1:14">
      <c r="A411" s="38">
        <f t="shared" si="35"/>
        <v>411</v>
      </c>
      <c r="B411" s="54"/>
      <c r="C411" s="54"/>
      <c r="D411" s="54"/>
      <c r="E411" s="54" t="s">
        <v>11</v>
      </c>
      <c r="F411" s="81" t="s">
        <v>177</v>
      </c>
      <c r="G411" s="54"/>
      <c r="H411" s="54"/>
      <c r="I411" s="54"/>
      <c r="J411" s="51">
        <f t="shared" si="36"/>
        <v>0</v>
      </c>
      <c r="K411" s="55"/>
      <c r="L411" s="297"/>
      <c r="M411" s="22">
        <f t="shared" si="34"/>
        <v>0</v>
      </c>
      <c r="N411" s="22">
        <v>0</v>
      </c>
    </row>
    <row r="412" spans="1:14">
      <c r="A412" s="38">
        <f t="shared" si="35"/>
        <v>412</v>
      </c>
      <c r="B412" s="54"/>
      <c r="C412" s="54"/>
      <c r="D412" s="54"/>
      <c r="E412" s="54" t="s">
        <v>13</v>
      </c>
      <c r="F412" s="81" t="s">
        <v>178</v>
      </c>
      <c r="G412" s="54"/>
      <c r="H412" s="54"/>
      <c r="I412" s="54"/>
      <c r="J412" s="51">
        <f t="shared" si="36"/>
        <v>0</v>
      </c>
      <c r="K412" s="55"/>
      <c r="L412" s="297"/>
      <c r="M412" s="22">
        <f t="shared" si="34"/>
        <v>0</v>
      </c>
      <c r="N412" s="22">
        <v>0</v>
      </c>
    </row>
    <row r="413" spans="1:14">
      <c r="A413" s="38">
        <f t="shared" si="35"/>
        <v>413</v>
      </c>
      <c r="B413" s="54"/>
      <c r="C413" s="54"/>
      <c r="D413" s="54"/>
      <c r="E413" s="54" t="s">
        <v>15</v>
      </c>
      <c r="F413" s="81" t="s">
        <v>185</v>
      </c>
      <c r="G413" s="54"/>
      <c r="H413" s="54"/>
      <c r="I413" s="54"/>
      <c r="J413" s="51">
        <f t="shared" si="36"/>
        <v>0</v>
      </c>
      <c r="K413" s="55"/>
      <c r="L413" s="297"/>
      <c r="M413" s="22">
        <f t="shared" si="34"/>
        <v>0</v>
      </c>
      <c r="N413" s="22">
        <v>0</v>
      </c>
    </row>
    <row r="414" spans="1:14">
      <c r="A414" s="38">
        <f t="shared" si="35"/>
        <v>414</v>
      </c>
      <c r="B414" s="56"/>
      <c r="C414" s="56"/>
      <c r="D414" s="56"/>
      <c r="E414" s="54"/>
      <c r="F414" s="81"/>
      <c r="G414" s="54"/>
      <c r="H414" s="54"/>
      <c r="I414" s="54"/>
      <c r="J414" s="58"/>
      <c r="K414" s="58"/>
      <c r="L414" s="298"/>
      <c r="M414" s="22">
        <f t="shared" si="34"/>
        <v>0</v>
      </c>
      <c r="N414" s="22">
        <v>0</v>
      </c>
    </row>
    <row r="415" spans="1:14" ht="14">
      <c r="A415" s="38">
        <f t="shared" si="35"/>
        <v>415</v>
      </c>
      <c r="B415" s="46"/>
      <c r="C415" s="39" t="s">
        <v>187</v>
      </c>
      <c r="D415" s="82" t="s">
        <v>188</v>
      </c>
      <c r="E415" s="39"/>
      <c r="F415" s="40"/>
      <c r="G415" s="39"/>
      <c r="H415" s="39"/>
      <c r="I415" s="39"/>
      <c r="J415" s="51">
        <f t="shared" si="36"/>
        <v>0</v>
      </c>
      <c r="K415" s="62">
        <f>SUM(K416,K447)</f>
        <v>0</v>
      </c>
      <c r="L415" s="51">
        <f>SUM(L416,L447)</f>
        <v>0</v>
      </c>
      <c r="M415" s="22">
        <v>1</v>
      </c>
      <c r="N415" s="22">
        <v>1</v>
      </c>
    </row>
    <row r="416" spans="1:14">
      <c r="A416" s="38">
        <f t="shared" si="35"/>
        <v>416</v>
      </c>
      <c r="B416" s="46"/>
      <c r="C416" s="46"/>
      <c r="D416" s="46" t="s">
        <v>174</v>
      </c>
      <c r="E416" s="71" t="s">
        <v>8</v>
      </c>
      <c r="F416" s="49"/>
      <c r="G416" s="46"/>
      <c r="H416" s="46"/>
      <c r="I416" s="46"/>
      <c r="J416" s="51">
        <f t="shared" si="36"/>
        <v>0</v>
      </c>
      <c r="K416" s="62">
        <f>SUM(K417,K427,K437)</f>
        <v>0</v>
      </c>
      <c r="L416" s="51">
        <f>SUM(L417,L427,L437)</f>
        <v>0</v>
      </c>
      <c r="M416" s="22">
        <f t="shared" ref="M416:M451" si="37">IF(J416&lt;&gt;0,1,0)</f>
        <v>0</v>
      </c>
      <c r="N416" s="22">
        <v>0</v>
      </c>
    </row>
    <row r="417" spans="1:14">
      <c r="A417" s="38">
        <f t="shared" si="35"/>
        <v>417</v>
      </c>
      <c r="B417" s="46"/>
      <c r="C417" s="46"/>
      <c r="D417" s="46"/>
      <c r="E417" s="46" t="s">
        <v>9</v>
      </c>
      <c r="F417" s="83" t="s">
        <v>49</v>
      </c>
      <c r="G417" s="46"/>
      <c r="H417" s="46"/>
      <c r="I417" s="46"/>
      <c r="J417" s="51">
        <f t="shared" si="36"/>
        <v>0</v>
      </c>
      <c r="K417" s="65">
        <f>SUM(K418:K426)</f>
        <v>0</v>
      </c>
      <c r="L417" s="299">
        <f>SUM(L418:L426)</f>
        <v>0</v>
      </c>
      <c r="M417" s="22">
        <f t="shared" si="37"/>
        <v>0</v>
      </c>
      <c r="N417" s="22">
        <v>0</v>
      </c>
    </row>
    <row r="418" spans="1:14">
      <c r="A418" s="38">
        <f t="shared" si="35"/>
        <v>418</v>
      </c>
      <c r="B418" s="54"/>
      <c r="C418" s="54"/>
      <c r="D418" s="54"/>
      <c r="E418" s="46"/>
      <c r="F418" s="56" t="s">
        <v>29</v>
      </c>
      <c r="G418" s="81" t="s">
        <v>189</v>
      </c>
      <c r="H418" s="54"/>
      <c r="I418" s="54"/>
      <c r="J418" s="51">
        <f t="shared" si="36"/>
        <v>0</v>
      </c>
      <c r="K418" s="55"/>
      <c r="L418" s="297"/>
      <c r="M418" s="22">
        <f t="shared" si="37"/>
        <v>0</v>
      </c>
      <c r="N418" s="22">
        <v>0</v>
      </c>
    </row>
    <row r="419" spans="1:14">
      <c r="A419" s="38">
        <f t="shared" si="35"/>
        <v>419</v>
      </c>
      <c r="B419" s="54"/>
      <c r="C419" s="54"/>
      <c r="D419" s="54"/>
      <c r="E419" s="54"/>
      <c r="F419" s="56" t="s">
        <v>41</v>
      </c>
      <c r="G419" s="81" t="s">
        <v>190</v>
      </c>
      <c r="H419" s="54"/>
      <c r="I419" s="54"/>
      <c r="J419" s="51">
        <f t="shared" si="36"/>
        <v>0</v>
      </c>
      <c r="K419" s="55"/>
      <c r="L419" s="297"/>
      <c r="M419" s="22">
        <f t="shared" si="37"/>
        <v>0</v>
      </c>
      <c r="N419" s="22">
        <v>0</v>
      </c>
    </row>
    <row r="420" spans="1:14">
      <c r="A420" s="38">
        <f t="shared" si="35"/>
        <v>420</v>
      </c>
      <c r="B420" s="54"/>
      <c r="C420" s="54"/>
      <c r="D420" s="54"/>
      <c r="E420" s="54"/>
      <c r="F420" s="56" t="s">
        <v>63</v>
      </c>
      <c r="G420" s="81" t="s">
        <v>191</v>
      </c>
      <c r="H420" s="54"/>
      <c r="I420" s="54"/>
      <c r="J420" s="51">
        <f t="shared" si="36"/>
        <v>0</v>
      </c>
      <c r="K420" s="55"/>
      <c r="L420" s="297"/>
      <c r="M420" s="22">
        <f t="shared" si="37"/>
        <v>0</v>
      </c>
      <c r="N420" s="22">
        <v>0</v>
      </c>
    </row>
    <row r="421" spans="1:14">
      <c r="A421" s="38">
        <f t="shared" si="35"/>
        <v>421</v>
      </c>
      <c r="B421" s="54"/>
      <c r="C421" s="54"/>
      <c r="D421" s="54"/>
      <c r="E421" s="54"/>
      <c r="F421" s="56" t="s">
        <v>65</v>
      </c>
      <c r="G421" s="81" t="s">
        <v>192</v>
      </c>
      <c r="H421" s="54"/>
      <c r="I421" s="54"/>
      <c r="J421" s="51">
        <f t="shared" si="36"/>
        <v>0</v>
      </c>
      <c r="K421" s="55"/>
      <c r="L421" s="297"/>
      <c r="M421" s="22">
        <f t="shared" si="37"/>
        <v>0</v>
      </c>
      <c r="N421" s="22">
        <v>0</v>
      </c>
    </row>
    <row r="422" spans="1:14">
      <c r="A422" s="38">
        <f t="shared" si="35"/>
        <v>422</v>
      </c>
      <c r="B422" s="54"/>
      <c r="C422" s="54"/>
      <c r="D422" s="54"/>
      <c r="E422" s="54"/>
      <c r="F422" s="56" t="s">
        <v>86</v>
      </c>
      <c r="G422" s="81" t="s">
        <v>193</v>
      </c>
      <c r="H422" s="54"/>
      <c r="I422" s="54"/>
      <c r="J422" s="51">
        <f t="shared" si="36"/>
        <v>0</v>
      </c>
      <c r="K422" s="55"/>
      <c r="L422" s="297"/>
      <c r="M422" s="22">
        <f t="shared" si="37"/>
        <v>0</v>
      </c>
      <c r="N422" s="22">
        <v>0</v>
      </c>
    </row>
    <row r="423" spans="1:14">
      <c r="A423" s="38">
        <f t="shared" si="35"/>
        <v>423</v>
      </c>
      <c r="B423" s="54"/>
      <c r="C423" s="54"/>
      <c r="D423" s="54"/>
      <c r="E423" s="54"/>
      <c r="F423" s="56" t="s">
        <v>88</v>
      </c>
      <c r="G423" s="81" t="s">
        <v>194</v>
      </c>
      <c r="H423" s="54"/>
      <c r="I423" s="54"/>
      <c r="J423" s="51">
        <f t="shared" si="36"/>
        <v>0</v>
      </c>
      <c r="K423" s="55"/>
      <c r="L423" s="297"/>
      <c r="M423" s="22">
        <f t="shared" si="37"/>
        <v>0</v>
      </c>
      <c r="N423" s="22">
        <v>0</v>
      </c>
    </row>
    <row r="424" spans="1:14">
      <c r="A424" s="38">
        <f t="shared" si="35"/>
        <v>424</v>
      </c>
      <c r="B424" s="54"/>
      <c r="C424" s="54"/>
      <c r="D424" s="54"/>
      <c r="E424" s="54"/>
      <c r="F424" s="56" t="s">
        <v>195</v>
      </c>
      <c r="G424" s="81" t="s">
        <v>196</v>
      </c>
      <c r="H424" s="54"/>
      <c r="I424" s="54"/>
      <c r="J424" s="51">
        <f t="shared" si="36"/>
        <v>0</v>
      </c>
      <c r="K424" s="55"/>
      <c r="L424" s="297"/>
      <c r="M424" s="22">
        <f t="shared" si="37"/>
        <v>0</v>
      </c>
      <c r="N424" s="22">
        <v>0</v>
      </c>
    </row>
    <row r="425" spans="1:14">
      <c r="A425" s="38">
        <f t="shared" si="35"/>
        <v>425</v>
      </c>
      <c r="B425" s="54"/>
      <c r="C425" s="54"/>
      <c r="D425" s="54"/>
      <c r="E425" s="54"/>
      <c r="F425" s="56" t="s">
        <v>197</v>
      </c>
      <c r="G425" s="81" t="s">
        <v>198</v>
      </c>
      <c r="H425" s="54"/>
      <c r="I425" s="54"/>
      <c r="J425" s="51">
        <f t="shared" si="36"/>
        <v>0</v>
      </c>
      <c r="K425" s="55"/>
      <c r="L425" s="297"/>
      <c r="M425" s="22">
        <f t="shared" si="37"/>
        <v>0</v>
      </c>
      <c r="N425" s="22">
        <v>0</v>
      </c>
    </row>
    <row r="426" spans="1:14">
      <c r="A426" s="38">
        <f t="shared" si="35"/>
        <v>426</v>
      </c>
      <c r="B426" s="54"/>
      <c r="C426" s="54"/>
      <c r="D426" s="54"/>
      <c r="E426" s="54"/>
      <c r="F426" s="56" t="s">
        <v>199</v>
      </c>
      <c r="G426" s="81" t="s">
        <v>70</v>
      </c>
      <c r="H426" s="54"/>
      <c r="I426" s="54"/>
      <c r="J426" s="51">
        <f t="shared" si="36"/>
        <v>0</v>
      </c>
      <c r="K426" s="55"/>
      <c r="L426" s="297"/>
      <c r="M426" s="22">
        <f t="shared" si="37"/>
        <v>0</v>
      </c>
      <c r="N426" s="22">
        <v>0</v>
      </c>
    </row>
    <row r="427" spans="1:14">
      <c r="A427" s="38">
        <f t="shared" si="35"/>
        <v>427</v>
      </c>
      <c r="B427" s="46"/>
      <c r="C427" s="46"/>
      <c r="D427" s="46"/>
      <c r="E427" s="46" t="s">
        <v>11</v>
      </c>
      <c r="F427" s="83" t="s">
        <v>56</v>
      </c>
      <c r="G427" s="46"/>
      <c r="H427" s="46"/>
      <c r="I427" s="46"/>
      <c r="J427" s="51">
        <f t="shared" si="36"/>
        <v>0</v>
      </c>
      <c r="K427" s="65">
        <f>SUM(K428:K436)</f>
        <v>0</v>
      </c>
      <c r="L427" s="299">
        <f>SUM(L428:L436)</f>
        <v>0</v>
      </c>
      <c r="M427" s="22">
        <f t="shared" si="37"/>
        <v>0</v>
      </c>
      <c r="N427" s="22">
        <v>0</v>
      </c>
    </row>
    <row r="428" spans="1:14">
      <c r="A428" s="38">
        <f t="shared" si="35"/>
        <v>428</v>
      </c>
      <c r="B428" s="54"/>
      <c r="C428" s="54"/>
      <c r="D428" s="54"/>
      <c r="E428" s="46"/>
      <c r="F428" s="56" t="s">
        <v>29</v>
      </c>
      <c r="G428" s="81" t="s">
        <v>189</v>
      </c>
      <c r="H428" s="54"/>
      <c r="I428" s="54"/>
      <c r="J428" s="51">
        <f t="shared" si="36"/>
        <v>0</v>
      </c>
      <c r="K428" s="55"/>
      <c r="L428" s="297"/>
      <c r="M428" s="22">
        <f t="shared" si="37"/>
        <v>0</v>
      </c>
      <c r="N428" s="22">
        <v>0</v>
      </c>
    </row>
    <row r="429" spans="1:14">
      <c r="A429" s="38">
        <f t="shared" si="35"/>
        <v>429</v>
      </c>
      <c r="B429" s="54"/>
      <c r="C429" s="54"/>
      <c r="D429" s="54"/>
      <c r="E429" s="54"/>
      <c r="F429" s="56" t="s">
        <v>41</v>
      </c>
      <c r="G429" s="81" t="s">
        <v>190</v>
      </c>
      <c r="H429" s="54"/>
      <c r="I429" s="54"/>
      <c r="J429" s="51">
        <f t="shared" si="36"/>
        <v>0</v>
      </c>
      <c r="K429" s="55"/>
      <c r="L429" s="297"/>
      <c r="M429" s="22">
        <f t="shared" si="37"/>
        <v>0</v>
      </c>
      <c r="N429" s="22">
        <v>0</v>
      </c>
    </row>
    <row r="430" spans="1:14">
      <c r="A430" s="38">
        <f t="shared" si="35"/>
        <v>430</v>
      </c>
      <c r="B430" s="54"/>
      <c r="C430" s="54"/>
      <c r="D430" s="54"/>
      <c r="E430" s="54"/>
      <c r="F430" s="56" t="s">
        <v>63</v>
      </c>
      <c r="G430" s="81" t="s">
        <v>191</v>
      </c>
      <c r="H430" s="54"/>
      <c r="I430" s="54"/>
      <c r="J430" s="51">
        <f t="shared" si="36"/>
        <v>0</v>
      </c>
      <c r="K430" s="55"/>
      <c r="L430" s="297"/>
      <c r="M430" s="22">
        <f t="shared" si="37"/>
        <v>0</v>
      </c>
      <c r="N430" s="22">
        <v>0</v>
      </c>
    </row>
    <row r="431" spans="1:14">
      <c r="A431" s="38">
        <f t="shared" si="35"/>
        <v>431</v>
      </c>
      <c r="B431" s="54"/>
      <c r="C431" s="54"/>
      <c r="D431" s="54"/>
      <c r="E431" s="54"/>
      <c r="F431" s="56" t="s">
        <v>65</v>
      </c>
      <c r="G431" s="81" t="s">
        <v>192</v>
      </c>
      <c r="H431" s="54"/>
      <c r="I431" s="54"/>
      <c r="J431" s="51">
        <f t="shared" si="36"/>
        <v>0</v>
      </c>
      <c r="K431" s="55"/>
      <c r="L431" s="297"/>
      <c r="M431" s="22">
        <f t="shared" si="37"/>
        <v>0</v>
      </c>
      <c r="N431" s="22">
        <v>0</v>
      </c>
    </row>
    <row r="432" spans="1:14">
      <c r="A432" s="38">
        <f t="shared" si="35"/>
        <v>432</v>
      </c>
      <c r="B432" s="54"/>
      <c r="C432" s="54"/>
      <c r="D432" s="54"/>
      <c r="E432" s="54"/>
      <c r="F432" s="56" t="s">
        <v>86</v>
      </c>
      <c r="G432" s="81" t="s">
        <v>193</v>
      </c>
      <c r="H432" s="54"/>
      <c r="I432" s="54"/>
      <c r="J432" s="51">
        <f t="shared" si="36"/>
        <v>0</v>
      </c>
      <c r="K432" s="55"/>
      <c r="L432" s="297"/>
      <c r="M432" s="22">
        <f t="shared" si="37"/>
        <v>0</v>
      </c>
      <c r="N432" s="22">
        <v>0</v>
      </c>
    </row>
    <row r="433" spans="1:14">
      <c r="A433" s="38">
        <f t="shared" si="35"/>
        <v>433</v>
      </c>
      <c r="B433" s="54"/>
      <c r="C433" s="54"/>
      <c r="D433" s="54"/>
      <c r="E433" s="54"/>
      <c r="F433" s="56" t="s">
        <v>88</v>
      </c>
      <c r="G433" s="81" t="s">
        <v>194</v>
      </c>
      <c r="H433" s="54"/>
      <c r="I433" s="54"/>
      <c r="J433" s="51">
        <f t="shared" si="36"/>
        <v>0</v>
      </c>
      <c r="K433" s="55"/>
      <c r="L433" s="297"/>
      <c r="M433" s="22">
        <f t="shared" si="37"/>
        <v>0</v>
      </c>
      <c r="N433" s="22">
        <v>0</v>
      </c>
    </row>
    <row r="434" spans="1:14">
      <c r="A434" s="38">
        <f t="shared" si="35"/>
        <v>434</v>
      </c>
      <c r="B434" s="54"/>
      <c r="C434" s="54"/>
      <c r="D434" s="54"/>
      <c r="E434" s="54"/>
      <c r="F434" s="56" t="s">
        <v>195</v>
      </c>
      <c r="G434" s="81" t="s">
        <v>196</v>
      </c>
      <c r="H434" s="54"/>
      <c r="I434" s="54"/>
      <c r="J434" s="51">
        <f t="shared" si="36"/>
        <v>0</v>
      </c>
      <c r="K434" s="55"/>
      <c r="L434" s="297"/>
      <c r="M434" s="22">
        <f t="shared" si="37"/>
        <v>0</v>
      </c>
      <c r="N434" s="22">
        <v>0</v>
      </c>
    </row>
    <row r="435" spans="1:14">
      <c r="A435" s="38">
        <f t="shared" si="35"/>
        <v>435</v>
      </c>
      <c r="B435" s="54"/>
      <c r="C435" s="54"/>
      <c r="D435" s="54"/>
      <c r="E435" s="54"/>
      <c r="F435" s="56" t="s">
        <v>197</v>
      </c>
      <c r="G435" s="81" t="s">
        <v>198</v>
      </c>
      <c r="H435" s="54"/>
      <c r="I435" s="54"/>
      <c r="J435" s="51">
        <f t="shared" si="36"/>
        <v>0</v>
      </c>
      <c r="K435" s="55"/>
      <c r="L435" s="297"/>
      <c r="M435" s="22">
        <f t="shared" si="37"/>
        <v>0</v>
      </c>
      <c r="N435" s="22">
        <v>0</v>
      </c>
    </row>
    <row r="436" spans="1:14">
      <c r="A436" s="38">
        <f t="shared" si="35"/>
        <v>436</v>
      </c>
      <c r="B436" s="54"/>
      <c r="C436" s="54"/>
      <c r="D436" s="54"/>
      <c r="E436" s="54"/>
      <c r="F436" s="56" t="s">
        <v>199</v>
      </c>
      <c r="G436" s="81" t="s">
        <v>70</v>
      </c>
      <c r="H436" s="54"/>
      <c r="I436" s="54"/>
      <c r="J436" s="51">
        <f t="shared" si="36"/>
        <v>0</v>
      </c>
      <c r="K436" s="55"/>
      <c r="L436" s="297"/>
      <c r="M436" s="22">
        <f t="shared" si="37"/>
        <v>0</v>
      </c>
      <c r="N436" s="22">
        <v>0</v>
      </c>
    </row>
    <row r="437" spans="1:14">
      <c r="A437" s="38">
        <f t="shared" si="35"/>
        <v>437</v>
      </c>
      <c r="B437" s="46"/>
      <c r="C437" s="46"/>
      <c r="D437" s="46"/>
      <c r="E437" s="46" t="s">
        <v>13</v>
      </c>
      <c r="F437" s="83" t="s">
        <v>57</v>
      </c>
      <c r="G437" s="46"/>
      <c r="H437" s="46"/>
      <c r="I437" s="46"/>
      <c r="J437" s="51">
        <f t="shared" si="36"/>
        <v>0</v>
      </c>
      <c r="K437" s="65">
        <f>SUM(K438:K446)</f>
        <v>0</v>
      </c>
      <c r="L437" s="299">
        <f>SUM(L438:L446)</f>
        <v>0</v>
      </c>
      <c r="M437" s="22">
        <f t="shared" si="37"/>
        <v>0</v>
      </c>
      <c r="N437" s="22">
        <v>0</v>
      </c>
    </row>
    <row r="438" spans="1:14">
      <c r="A438" s="38">
        <f t="shared" si="35"/>
        <v>438</v>
      </c>
      <c r="B438" s="54"/>
      <c r="C438" s="54"/>
      <c r="D438" s="54"/>
      <c r="E438" s="54"/>
      <c r="F438" s="56" t="s">
        <v>29</v>
      </c>
      <c r="G438" s="81" t="s">
        <v>189</v>
      </c>
      <c r="H438" s="54"/>
      <c r="I438" s="54"/>
      <c r="J438" s="51">
        <f t="shared" si="36"/>
        <v>0</v>
      </c>
      <c r="K438" s="55"/>
      <c r="L438" s="297"/>
      <c r="M438" s="22">
        <f t="shared" si="37"/>
        <v>0</v>
      </c>
      <c r="N438" s="22">
        <v>0</v>
      </c>
    </row>
    <row r="439" spans="1:14">
      <c r="A439" s="38">
        <f t="shared" si="35"/>
        <v>439</v>
      </c>
      <c r="B439" s="54"/>
      <c r="C439" s="54"/>
      <c r="D439" s="54"/>
      <c r="E439" s="54"/>
      <c r="F439" s="56" t="s">
        <v>41</v>
      </c>
      <c r="G439" s="81" t="s">
        <v>190</v>
      </c>
      <c r="H439" s="54"/>
      <c r="I439" s="54"/>
      <c r="J439" s="51">
        <f t="shared" si="36"/>
        <v>0</v>
      </c>
      <c r="K439" s="55"/>
      <c r="L439" s="297"/>
      <c r="M439" s="22">
        <f t="shared" si="37"/>
        <v>0</v>
      </c>
      <c r="N439" s="22">
        <v>0</v>
      </c>
    </row>
    <row r="440" spans="1:14">
      <c r="A440" s="38">
        <f t="shared" si="35"/>
        <v>440</v>
      </c>
      <c r="B440" s="54"/>
      <c r="C440" s="54"/>
      <c r="D440" s="54"/>
      <c r="E440" s="54"/>
      <c r="F440" s="56" t="s">
        <v>63</v>
      </c>
      <c r="G440" s="81" t="s">
        <v>191</v>
      </c>
      <c r="H440" s="54"/>
      <c r="I440" s="54"/>
      <c r="J440" s="51">
        <f t="shared" si="36"/>
        <v>0</v>
      </c>
      <c r="K440" s="55"/>
      <c r="L440" s="297"/>
      <c r="M440" s="22">
        <f t="shared" si="37"/>
        <v>0</v>
      </c>
      <c r="N440" s="22">
        <v>0</v>
      </c>
    </row>
    <row r="441" spans="1:14">
      <c r="A441" s="38">
        <f t="shared" si="35"/>
        <v>441</v>
      </c>
      <c r="B441" s="54"/>
      <c r="C441" s="54"/>
      <c r="D441" s="54"/>
      <c r="E441" s="54"/>
      <c r="F441" s="56" t="s">
        <v>65</v>
      </c>
      <c r="G441" s="81" t="s">
        <v>192</v>
      </c>
      <c r="H441" s="54"/>
      <c r="I441" s="54"/>
      <c r="J441" s="51">
        <f t="shared" si="36"/>
        <v>0</v>
      </c>
      <c r="K441" s="55"/>
      <c r="L441" s="297"/>
      <c r="M441" s="22">
        <f t="shared" si="37"/>
        <v>0</v>
      </c>
      <c r="N441" s="22">
        <v>0</v>
      </c>
    </row>
    <row r="442" spans="1:14">
      <c r="A442" s="38">
        <f t="shared" si="35"/>
        <v>442</v>
      </c>
      <c r="B442" s="54"/>
      <c r="C442" s="54"/>
      <c r="D442" s="54"/>
      <c r="E442" s="54"/>
      <c r="F442" s="56" t="s">
        <v>86</v>
      </c>
      <c r="G442" s="81" t="s">
        <v>193</v>
      </c>
      <c r="H442" s="54"/>
      <c r="I442" s="54"/>
      <c r="J442" s="51">
        <f t="shared" si="36"/>
        <v>0</v>
      </c>
      <c r="K442" s="55"/>
      <c r="L442" s="297"/>
      <c r="M442" s="22">
        <f t="shared" si="37"/>
        <v>0</v>
      </c>
      <c r="N442" s="22">
        <v>0</v>
      </c>
    </row>
    <row r="443" spans="1:14">
      <c r="A443" s="38">
        <f t="shared" si="35"/>
        <v>443</v>
      </c>
      <c r="B443" s="54"/>
      <c r="C443" s="54"/>
      <c r="D443" s="54"/>
      <c r="E443" s="54"/>
      <c r="F443" s="56" t="s">
        <v>88</v>
      </c>
      <c r="G443" s="81" t="s">
        <v>194</v>
      </c>
      <c r="H443" s="54"/>
      <c r="I443" s="54"/>
      <c r="J443" s="51">
        <f t="shared" si="36"/>
        <v>0</v>
      </c>
      <c r="K443" s="55"/>
      <c r="L443" s="297"/>
      <c r="M443" s="22">
        <f t="shared" si="37"/>
        <v>0</v>
      </c>
      <c r="N443" s="22">
        <v>0</v>
      </c>
    </row>
    <row r="444" spans="1:14">
      <c r="A444" s="38">
        <f t="shared" si="35"/>
        <v>444</v>
      </c>
      <c r="B444" s="54"/>
      <c r="C444" s="54"/>
      <c r="D444" s="54"/>
      <c r="E444" s="54"/>
      <c r="F444" s="56" t="s">
        <v>195</v>
      </c>
      <c r="G444" s="81" t="s">
        <v>196</v>
      </c>
      <c r="H444" s="54"/>
      <c r="I444" s="54"/>
      <c r="J444" s="51">
        <f t="shared" si="36"/>
        <v>0</v>
      </c>
      <c r="K444" s="55"/>
      <c r="L444" s="297"/>
      <c r="M444" s="22">
        <f t="shared" si="37"/>
        <v>0</v>
      </c>
      <c r="N444" s="22">
        <v>0</v>
      </c>
    </row>
    <row r="445" spans="1:14">
      <c r="A445" s="38">
        <f t="shared" si="35"/>
        <v>445</v>
      </c>
      <c r="B445" s="54"/>
      <c r="C445" s="54"/>
      <c r="D445" s="54"/>
      <c r="E445" s="54"/>
      <c r="F445" s="56" t="s">
        <v>197</v>
      </c>
      <c r="G445" s="81" t="s">
        <v>198</v>
      </c>
      <c r="H445" s="54"/>
      <c r="I445" s="54"/>
      <c r="J445" s="51">
        <f t="shared" si="36"/>
        <v>0</v>
      </c>
      <c r="K445" s="55"/>
      <c r="L445" s="297"/>
      <c r="M445" s="22">
        <f t="shared" si="37"/>
        <v>0</v>
      </c>
      <c r="N445" s="22">
        <v>0</v>
      </c>
    </row>
    <row r="446" spans="1:14">
      <c r="A446" s="38">
        <f t="shared" si="35"/>
        <v>446</v>
      </c>
      <c r="B446" s="54"/>
      <c r="C446" s="54"/>
      <c r="D446" s="54"/>
      <c r="E446" s="54"/>
      <c r="F446" s="56" t="s">
        <v>199</v>
      </c>
      <c r="G446" s="81" t="s">
        <v>70</v>
      </c>
      <c r="H446" s="54"/>
      <c r="I446" s="54"/>
      <c r="J446" s="51">
        <f t="shared" si="36"/>
        <v>0</v>
      </c>
      <c r="K446" s="55"/>
      <c r="L446" s="297"/>
      <c r="M446" s="22">
        <f t="shared" si="37"/>
        <v>0</v>
      </c>
      <c r="N446" s="22">
        <v>0</v>
      </c>
    </row>
    <row r="447" spans="1:14">
      <c r="A447" s="38">
        <f t="shared" si="35"/>
        <v>447</v>
      </c>
      <c r="B447" s="46"/>
      <c r="C447" s="46"/>
      <c r="D447" s="46" t="s">
        <v>186</v>
      </c>
      <c r="E447" s="71" t="s">
        <v>24</v>
      </c>
      <c r="F447" s="49"/>
      <c r="G447" s="46"/>
      <c r="H447" s="46"/>
      <c r="I447" s="46"/>
      <c r="J447" s="51">
        <f t="shared" si="36"/>
        <v>0</v>
      </c>
      <c r="K447" s="65">
        <f>SUM(K448:K450)</f>
        <v>0</v>
      </c>
      <c r="L447" s="299">
        <f>SUM(L448:L450)</f>
        <v>0</v>
      </c>
      <c r="M447" s="22">
        <f t="shared" si="37"/>
        <v>0</v>
      </c>
      <c r="N447" s="22">
        <v>0</v>
      </c>
    </row>
    <row r="448" spans="1:14">
      <c r="A448" s="38">
        <f t="shared" si="35"/>
        <v>448</v>
      </c>
      <c r="B448" s="54"/>
      <c r="C448" s="54"/>
      <c r="D448" s="54"/>
      <c r="E448" s="54" t="s">
        <v>9</v>
      </c>
      <c r="F448" s="69" t="s">
        <v>60</v>
      </c>
      <c r="G448" s="54"/>
      <c r="H448" s="54"/>
      <c r="I448" s="54"/>
      <c r="J448" s="51">
        <f t="shared" si="36"/>
        <v>0</v>
      </c>
      <c r="K448" s="55"/>
      <c r="L448" s="297"/>
      <c r="M448" s="22">
        <f t="shared" si="37"/>
        <v>0</v>
      </c>
      <c r="N448" s="22">
        <v>0</v>
      </c>
    </row>
    <row r="449" spans="1:14">
      <c r="A449" s="38">
        <f t="shared" si="35"/>
        <v>449</v>
      </c>
      <c r="B449" s="54"/>
      <c r="C449" s="54"/>
      <c r="D449" s="54"/>
      <c r="E449" s="54" t="s">
        <v>11</v>
      </c>
      <c r="F449" s="69" t="s">
        <v>61</v>
      </c>
      <c r="G449" s="54"/>
      <c r="H449" s="54"/>
      <c r="I449" s="54"/>
      <c r="J449" s="51">
        <f t="shared" si="36"/>
        <v>0</v>
      </c>
      <c r="K449" s="55"/>
      <c r="L449" s="297"/>
      <c r="M449" s="22">
        <f t="shared" si="37"/>
        <v>0</v>
      </c>
      <c r="N449" s="22">
        <v>0</v>
      </c>
    </row>
    <row r="450" spans="1:14">
      <c r="A450" s="38">
        <f t="shared" si="35"/>
        <v>450</v>
      </c>
      <c r="B450" s="54"/>
      <c r="C450" s="54"/>
      <c r="D450" s="54"/>
      <c r="E450" s="54" t="s">
        <v>13</v>
      </c>
      <c r="F450" s="69" t="s">
        <v>57</v>
      </c>
      <c r="G450" s="54"/>
      <c r="H450" s="54"/>
      <c r="I450" s="54"/>
      <c r="J450" s="51">
        <f t="shared" si="36"/>
        <v>0</v>
      </c>
      <c r="K450" s="55"/>
      <c r="L450" s="297"/>
      <c r="M450" s="22">
        <f t="shared" si="37"/>
        <v>0</v>
      </c>
      <c r="N450" s="22">
        <v>0</v>
      </c>
    </row>
    <row r="451" spans="1:14">
      <c r="A451" s="38">
        <f t="shared" si="35"/>
        <v>451</v>
      </c>
      <c r="B451" s="56"/>
      <c r="C451" s="56"/>
      <c r="D451" s="56"/>
      <c r="E451" s="56"/>
      <c r="F451" s="56"/>
      <c r="G451" s="56"/>
      <c r="H451" s="56"/>
      <c r="I451" s="57"/>
      <c r="J451" s="58"/>
      <c r="K451" s="58"/>
      <c r="L451" s="298"/>
      <c r="M451" s="22">
        <f t="shared" si="37"/>
        <v>0</v>
      </c>
      <c r="N451" s="22">
        <v>0</v>
      </c>
    </row>
    <row r="452" spans="1:14" ht="14">
      <c r="A452" s="38">
        <f t="shared" si="35"/>
        <v>452</v>
      </c>
      <c r="B452" s="46"/>
      <c r="C452" s="39" t="s">
        <v>200</v>
      </c>
      <c r="D452" s="82" t="s">
        <v>201</v>
      </c>
      <c r="E452" s="39"/>
      <c r="F452" s="40"/>
      <c r="G452" s="39"/>
      <c r="H452" s="39"/>
      <c r="I452" s="39"/>
      <c r="J452" s="51">
        <f t="shared" si="36"/>
        <v>0</v>
      </c>
      <c r="K452" s="62">
        <f>SUM(K453,K468)</f>
        <v>0</v>
      </c>
      <c r="L452" s="51">
        <f>SUM(L453,L468)</f>
        <v>0</v>
      </c>
      <c r="M452" s="22">
        <v>1</v>
      </c>
      <c r="N452" s="22">
        <v>1</v>
      </c>
    </row>
    <row r="453" spans="1:14">
      <c r="A453" s="38">
        <f t="shared" si="35"/>
        <v>453</v>
      </c>
      <c r="B453" s="46"/>
      <c r="C453" s="46"/>
      <c r="D453" s="46" t="s">
        <v>174</v>
      </c>
      <c r="E453" s="71" t="s">
        <v>8</v>
      </c>
      <c r="F453" s="49"/>
      <c r="G453" s="46"/>
      <c r="H453" s="46"/>
      <c r="I453" s="46"/>
      <c r="J453" s="51">
        <f t="shared" si="36"/>
        <v>0</v>
      </c>
      <c r="K453" s="62">
        <f>SUM(K454,K461)</f>
        <v>0</v>
      </c>
      <c r="L453" s="51">
        <f>SUM(L454,L461)</f>
        <v>0</v>
      </c>
      <c r="M453" s="22">
        <f t="shared" ref="M453:M483" si="38">IF(J453&lt;&gt;0,1,0)</f>
        <v>0</v>
      </c>
      <c r="N453" s="22">
        <v>0</v>
      </c>
    </row>
    <row r="454" spans="1:14">
      <c r="A454" s="38">
        <f t="shared" si="35"/>
        <v>454</v>
      </c>
      <c r="B454" s="46"/>
      <c r="C454" s="46"/>
      <c r="D454" s="46"/>
      <c r="E454" s="49" t="s">
        <v>9</v>
      </c>
      <c r="F454" s="66" t="s">
        <v>30</v>
      </c>
      <c r="G454" s="46"/>
      <c r="H454" s="46"/>
      <c r="I454" s="46"/>
      <c r="J454" s="51">
        <f t="shared" si="36"/>
        <v>0</v>
      </c>
      <c r="K454" s="65">
        <f>SUM(K455,K458)</f>
        <v>0</v>
      </c>
      <c r="L454" s="299">
        <f>SUM(L455,L458)</f>
        <v>0</v>
      </c>
      <c r="M454" s="22">
        <f t="shared" si="38"/>
        <v>0</v>
      </c>
      <c r="N454" s="22">
        <v>0</v>
      </c>
    </row>
    <row r="455" spans="1:14">
      <c r="A455" s="38">
        <f t="shared" si="35"/>
        <v>455</v>
      </c>
      <c r="B455" s="54"/>
      <c r="C455" s="54"/>
      <c r="D455" s="54"/>
      <c r="E455" s="49"/>
      <c r="F455" s="56" t="s">
        <v>29</v>
      </c>
      <c r="G455" s="81" t="s">
        <v>202</v>
      </c>
      <c r="H455" s="54"/>
      <c r="I455" s="54"/>
      <c r="J455" s="51">
        <f t="shared" si="36"/>
        <v>0</v>
      </c>
      <c r="K455" s="52">
        <f>SUM(K456:K457)</f>
        <v>0</v>
      </c>
      <c r="L455" s="296">
        <f>SUM(L456:L457)</f>
        <v>0</v>
      </c>
      <c r="M455" s="22">
        <f t="shared" si="38"/>
        <v>0</v>
      </c>
      <c r="N455" s="22">
        <v>0</v>
      </c>
    </row>
    <row r="456" spans="1:14">
      <c r="A456" s="38">
        <f t="shared" si="35"/>
        <v>456</v>
      </c>
      <c r="B456" s="54"/>
      <c r="C456" s="54"/>
      <c r="D456" s="54"/>
      <c r="E456" s="54"/>
      <c r="F456" s="56"/>
      <c r="G456" s="54" t="s">
        <v>31</v>
      </c>
      <c r="H456" s="81" t="s">
        <v>203</v>
      </c>
      <c r="I456" s="54"/>
      <c r="J456" s="51">
        <f t="shared" si="36"/>
        <v>0</v>
      </c>
      <c r="K456" s="55"/>
      <c r="L456" s="297"/>
      <c r="M456" s="22">
        <f t="shared" si="38"/>
        <v>0</v>
      </c>
      <c r="N456" s="22">
        <v>0</v>
      </c>
    </row>
    <row r="457" spans="1:14">
      <c r="A457" s="38">
        <f t="shared" ref="A457:A504" si="39">A456+1</f>
        <v>457</v>
      </c>
      <c r="B457" s="54"/>
      <c r="C457" s="54"/>
      <c r="D457" s="54"/>
      <c r="E457" s="54"/>
      <c r="F457" s="56"/>
      <c r="G457" s="54" t="s">
        <v>44</v>
      </c>
      <c r="H457" s="81" t="s">
        <v>204</v>
      </c>
      <c r="I457" s="54"/>
      <c r="J457" s="51">
        <f t="shared" si="36"/>
        <v>0</v>
      </c>
      <c r="K457" s="55"/>
      <c r="L457" s="297"/>
      <c r="M457" s="22">
        <f t="shared" si="38"/>
        <v>0</v>
      </c>
      <c r="N457" s="22">
        <v>0</v>
      </c>
    </row>
    <row r="458" spans="1:14">
      <c r="A458" s="38">
        <f t="shared" si="39"/>
        <v>458</v>
      </c>
      <c r="B458" s="54"/>
      <c r="C458" s="54"/>
      <c r="D458" s="54"/>
      <c r="E458" s="54"/>
      <c r="F458" s="56" t="s">
        <v>41</v>
      </c>
      <c r="G458" s="81" t="s">
        <v>205</v>
      </c>
      <c r="H458" s="54"/>
      <c r="I458" s="54"/>
      <c r="J458" s="51">
        <f t="shared" si="36"/>
        <v>0</v>
      </c>
      <c r="K458" s="52">
        <f>SUM(K459:K460)</f>
        <v>0</v>
      </c>
      <c r="L458" s="296">
        <f>SUM(L459:L460)</f>
        <v>0</v>
      </c>
      <c r="M458" s="22">
        <f t="shared" si="38"/>
        <v>0</v>
      </c>
      <c r="N458" s="22">
        <v>0</v>
      </c>
    </row>
    <row r="459" spans="1:14">
      <c r="A459" s="38">
        <f t="shared" si="39"/>
        <v>459</v>
      </c>
      <c r="B459" s="54"/>
      <c r="C459" s="54"/>
      <c r="D459" s="54"/>
      <c r="E459" s="54"/>
      <c r="F459" s="56"/>
      <c r="G459" s="54" t="s">
        <v>31</v>
      </c>
      <c r="H459" s="54" t="s">
        <v>203</v>
      </c>
      <c r="I459" s="54"/>
      <c r="J459" s="51">
        <f t="shared" si="36"/>
        <v>0</v>
      </c>
      <c r="K459" s="55"/>
      <c r="L459" s="297"/>
      <c r="M459" s="22">
        <f t="shared" si="38"/>
        <v>0</v>
      </c>
      <c r="N459" s="22">
        <v>0</v>
      </c>
    </row>
    <row r="460" spans="1:14">
      <c r="A460" s="38">
        <f t="shared" si="39"/>
        <v>460</v>
      </c>
      <c r="B460" s="54"/>
      <c r="C460" s="54"/>
      <c r="D460" s="54"/>
      <c r="E460" s="54"/>
      <c r="F460" s="56"/>
      <c r="G460" s="54" t="s">
        <v>44</v>
      </c>
      <c r="H460" s="54" t="s">
        <v>204</v>
      </c>
      <c r="I460" s="54"/>
      <c r="J460" s="51">
        <f t="shared" si="36"/>
        <v>0</v>
      </c>
      <c r="K460" s="55"/>
      <c r="L460" s="297"/>
      <c r="M460" s="22">
        <f t="shared" si="38"/>
        <v>0</v>
      </c>
      <c r="N460" s="22">
        <v>0</v>
      </c>
    </row>
    <row r="461" spans="1:14">
      <c r="A461" s="38">
        <f t="shared" si="39"/>
        <v>461</v>
      </c>
      <c r="B461" s="46"/>
      <c r="C461" s="46"/>
      <c r="D461" s="46"/>
      <c r="E461" s="49" t="s">
        <v>11</v>
      </c>
      <c r="F461" s="66" t="s">
        <v>42</v>
      </c>
      <c r="G461" s="46"/>
      <c r="H461" s="46"/>
      <c r="I461" s="46"/>
      <c r="J461" s="51">
        <f t="shared" si="36"/>
        <v>0</v>
      </c>
      <c r="K461" s="65">
        <f>SUM(K462,K465)</f>
        <v>0</v>
      </c>
      <c r="L461" s="299">
        <f>SUM(L462,L465)</f>
        <v>0</v>
      </c>
      <c r="M461" s="22">
        <f t="shared" si="38"/>
        <v>0</v>
      </c>
      <c r="N461" s="22">
        <v>0</v>
      </c>
    </row>
    <row r="462" spans="1:14">
      <c r="A462" s="38">
        <f t="shared" si="39"/>
        <v>462</v>
      </c>
      <c r="B462" s="54"/>
      <c r="C462" s="54"/>
      <c r="D462" s="54"/>
      <c r="E462" s="54"/>
      <c r="F462" s="56" t="s">
        <v>29</v>
      </c>
      <c r="G462" s="81" t="s">
        <v>202</v>
      </c>
      <c r="H462" s="54"/>
      <c r="I462" s="54"/>
      <c r="J462" s="51">
        <f t="shared" si="36"/>
        <v>0</v>
      </c>
      <c r="K462" s="52">
        <f>SUM(K463:K464)</f>
        <v>0</v>
      </c>
      <c r="L462" s="296">
        <f>SUM(L463:L464)</f>
        <v>0</v>
      </c>
      <c r="M462" s="22">
        <f t="shared" si="38"/>
        <v>0</v>
      </c>
      <c r="N462" s="22">
        <v>0</v>
      </c>
    </row>
    <row r="463" spans="1:14">
      <c r="A463" s="38">
        <f t="shared" si="39"/>
        <v>463</v>
      </c>
      <c r="B463" s="54"/>
      <c r="C463" s="54"/>
      <c r="D463" s="54"/>
      <c r="E463" s="54"/>
      <c r="F463" s="56"/>
      <c r="G463" s="54" t="s">
        <v>31</v>
      </c>
      <c r="H463" s="81" t="s">
        <v>203</v>
      </c>
      <c r="I463" s="54"/>
      <c r="J463" s="51">
        <f t="shared" si="36"/>
        <v>0</v>
      </c>
      <c r="K463" s="55"/>
      <c r="L463" s="297"/>
      <c r="M463" s="22">
        <f t="shared" si="38"/>
        <v>0</v>
      </c>
      <c r="N463" s="22">
        <v>0</v>
      </c>
    </row>
    <row r="464" spans="1:14">
      <c r="A464" s="38">
        <f t="shared" si="39"/>
        <v>464</v>
      </c>
      <c r="B464" s="54"/>
      <c r="C464" s="54"/>
      <c r="D464" s="54"/>
      <c r="E464" s="54"/>
      <c r="F464" s="56"/>
      <c r="G464" s="54" t="s">
        <v>44</v>
      </c>
      <c r="H464" s="81" t="s">
        <v>204</v>
      </c>
      <c r="I464" s="54"/>
      <c r="J464" s="51">
        <f t="shared" ref="J464:J503" si="40">SUM(K464:L464)</f>
        <v>0</v>
      </c>
      <c r="K464" s="55"/>
      <c r="L464" s="297"/>
      <c r="M464" s="22">
        <f t="shared" si="38"/>
        <v>0</v>
      </c>
      <c r="N464" s="22">
        <v>0</v>
      </c>
    </row>
    <row r="465" spans="1:14">
      <c r="A465" s="38">
        <f t="shared" si="39"/>
        <v>465</v>
      </c>
      <c r="B465" s="54"/>
      <c r="C465" s="54"/>
      <c r="D465" s="54"/>
      <c r="E465" s="54"/>
      <c r="F465" s="56" t="s">
        <v>41</v>
      </c>
      <c r="G465" s="81" t="s">
        <v>205</v>
      </c>
      <c r="H465" s="54"/>
      <c r="I465" s="54"/>
      <c r="J465" s="51">
        <f t="shared" si="40"/>
        <v>0</v>
      </c>
      <c r="K465" s="52">
        <f>SUM(K466:K467)</f>
        <v>0</v>
      </c>
      <c r="L465" s="296">
        <f>SUM(L466:L467)</f>
        <v>0</v>
      </c>
      <c r="M465" s="22">
        <f t="shared" si="38"/>
        <v>0</v>
      </c>
      <c r="N465" s="22">
        <v>0</v>
      </c>
    </row>
    <row r="466" spans="1:14">
      <c r="A466" s="38">
        <f t="shared" si="39"/>
        <v>466</v>
      </c>
      <c r="B466" s="54"/>
      <c r="C466" s="54"/>
      <c r="D466" s="54"/>
      <c r="E466" s="54"/>
      <c r="F466" s="56"/>
      <c r="G466" s="54" t="s">
        <v>31</v>
      </c>
      <c r="H466" s="54" t="s">
        <v>203</v>
      </c>
      <c r="I466" s="54"/>
      <c r="J466" s="51">
        <f t="shared" si="40"/>
        <v>0</v>
      </c>
      <c r="K466" s="55"/>
      <c r="L466" s="297"/>
      <c r="M466" s="22">
        <f t="shared" si="38"/>
        <v>0</v>
      </c>
      <c r="N466" s="22">
        <v>0</v>
      </c>
    </row>
    <row r="467" spans="1:14">
      <c r="A467" s="38">
        <f t="shared" si="39"/>
        <v>467</v>
      </c>
      <c r="B467" s="54"/>
      <c r="C467" s="54"/>
      <c r="D467" s="54"/>
      <c r="E467" s="54"/>
      <c r="F467" s="56"/>
      <c r="G467" s="54" t="s">
        <v>44</v>
      </c>
      <c r="H467" s="54" t="s">
        <v>204</v>
      </c>
      <c r="I467" s="54"/>
      <c r="J467" s="51">
        <f t="shared" si="40"/>
        <v>0</v>
      </c>
      <c r="K467" s="55"/>
      <c r="L467" s="297"/>
      <c r="M467" s="22">
        <f t="shared" si="38"/>
        <v>0</v>
      </c>
      <c r="N467" s="22">
        <v>0</v>
      </c>
    </row>
    <row r="468" spans="1:14">
      <c r="A468" s="38">
        <f t="shared" si="39"/>
        <v>468</v>
      </c>
      <c r="B468" s="46"/>
      <c r="C468" s="46"/>
      <c r="D468" s="46" t="s">
        <v>186</v>
      </c>
      <c r="E468" s="71" t="s">
        <v>24</v>
      </c>
      <c r="F468" s="49"/>
      <c r="G468" s="46"/>
      <c r="H468" s="46"/>
      <c r="I468" s="46"/>
      <c r="J468" s="51">
        <f t="shared" si="40"/>
        <v>0</v>
      </c>
      <c r="K468" s="65">
        <f>SUM(K469,K476)</f>
        <v>0</v>
      </c>
      <c r="L468" s="299">
        <f>SUM(L469,L476)</f>
        <v>0</v>
      </c>
      <c r="M468" s="22">
        <f t="shared" si="38"/>
        <v>0</v>
      </c>
      <c r="N468" s="22">
        <v>0</v>
      </c>
    </row>
    <row r="469" spans="1:14">
      <c r="A469" s="38">
        <f t="shared" si="39"/>
        <v>469</v>
      </c>
      <c r="B469" s="46"/>
      <c r="C469" s="46"/>
      <c r="D469" s="46"/>
      <c r="E469" s="49" t="s">
        <v>9</v>
      </c>
      <c r="F469" s="66" t="s">
        <v>30</v>
      </c>
      <c r="G469" s="46"/>
      <c r="H469" s="46"/>
      <c r="I469" s="46"/>
      <c r="J469" s="51">
        <f t="shared" si="40"/>
        <v>0</v>
      </c>
      <c r="K469" s="65">
        <f>SUM(K470,K473)</f>
        <v>0</v>
      </c>
      <c r="L469" s="299">
        <f>SUM(L470,L473)</f>
        <v>0</v>
      </c>
      <c r="M469" s="22">
        <f t="shared" si="38"/>
        <v>0</v>
      </c>
      <c r="N469" s="22">
        <v>0</v>
      </c>
    </row>
    <row r="470" spans="1:14">
      <c r="A470" s="38">
        <f t="shared" si="39"/>
        <v>470</v>
      </c>
      <c r="B470" s="54"/>
      <c r="C470" s="54"/>
      <c r="D470" s="54"/>
      <c r="E470" s="49"/>
      <c r="F470" s="56" t="s">
        <v>29</v>
      </c>
      <c r="G470" s="81" t="s">
        <v>202</v>
      </c>
      <c r="H470" s="54"/>
      <c r="I470" s="54"/>
      <c r="J470" s="51">
        <f t="shared" si="40"/>
        <v>0</v>
      </c>
      <c r="K470" s="52">
        <f>SUM(K471:K472)</f>
        <v>0</v>
      </c>
      <c r="L470" s="296">
        <f>SUM(L471:L472)</f>
        <v>0</v>
      </c>
      <c r="M470" s="22">
        <f t="shared" si="38"/>
        <v>0</v>
      </c>
      <c r="N470" s="22">
        <v>0</v>
      </c>
    </row>
    <row r="471" spans="1:14">
      <c r="A471" s="38">
        <f t="shared" si="39"/>
        <v>471</v>
      </c>
      <c r="B471" s="54"/>
      <c r="C471" s="54"/>
      <c r="D471" s="54"/>
      <c r="E471" s="54"/>
      <c r="F471" s="56"/>
      <c r="G471" s="54" t="s">
        <v>31</v>
      </c>
      <c r="H471" s="81" t="s">
        <v>203</v>
      </c>
      <c r="I471" s="54"/>
      <c r="J471" s="51">
        <f t="shared" si="40"/>
        <v>0</v>
      </c>
      <c r="K471" s="55"/>
      <c r="L471" s="297"/>
      <c r="M471" s="22">
        <f t="shared" si="38"/>
        <v>0</v>
      </c>
      <c r="N471" s="22">
        <v>0</v>
      </c>
    </row>
    <row r="472" spans="1:14">
      <c r="A472" s="38">
        <f t="shared" si="39"/>
        <v>472</v>
      </c>
      <c r="B472" s="54"/>
      <c r="C472" s="54"/>
      <c r="D472" s="54"/>
      <c r="E472" s="54"/>
      <c r="F472" s="56"/>
      <c r="G472" s="54" t="s">
        <v>44</v>
      </c>
      <c r="H472" s="81" t="s">
        <v>204</v>
      </c>
      <c r="I472" s="54"/>
      <c r="J472" s="51">
        <f t="shared" si="40"/>
        <v>0</v>
      </c>
      <c r="K472" s="55"/>
      <c r="L472" s="297"/>
      <c r="M472" s="22">
        <f t="shared" si="38"/>
        <v>0</v>
      </c>
      <c r="N472" s="22">
        <v>0</v>
      </c>
    </row>
    <row r="473" spans="1:14">
      <c r="A473" s="38">
        <f t="shared" si="39"/>
        <v>473</v>
      </c>
      <c r="B473" s="54"/>
      <c r="C473" s="54"/>
      <c r="D473" s="54"/>
      <c r="E473" s="54"/>
      <c r="F473" s="56" t="s">
        <v>41</v>
      </c>
      <c r="G473" s="81" t="s">
        <v>205</v>
      </c>
      <c r="H473" s="54"/>
      <c r="I473" s="54"/>
      <c r="J473" s="51">
        <f t="shared" si="40"/>
        <v>0</v>
      </c>
      <c r="K473" s="52">
        <f>SUM(K474:K475)</f>
        <v>0</v>
      </c>
      <c r="L473" s="296">
        <f>SUM(L474:L475)</f>
        <v>0</v>
      </c>
      <c r="M473" s="22">
        <f t="shared" si="38"/>
        <v>0</v>
      </c>
      <c r="N473" s="22">
        <v>0</v>
      </c>
    </row>
    <row r="474" spans="1:14">
      <c r="A474" s="38">
        <f t="shared" si="39"/>
        <v>474</v>
      </c>
      <c r="B474" s="54"/>
      <c r="C474" s="54"/>
      <c r="D474" s="54"/>
      <c r="E474" s="54"/>
      <c r="F474" s="56"/>
      <c r="G474" s="54" t="s">
        <v>31</v>
      </c>
      <c r="H474" s="54" t="s">
        <v>203</v>
      </c>
      <c r="I474" s="54"/>
      <c r="J474" s="51">
        <f t="shared" si="40"/>
        <v>0</v>
      </c>
      <c r="K474" s="55"/>
      <c r="L474" s="297"/>
      <c r="M474" s="22">
        <f t="shared" si="38"/>
        <v>0</v>
      </c>
      <c r="N474" s="22">
        <v>0</v>
      </c>
    </row>
    <row r="475" spans="1:14">
      <c r="A475" s="38">
        <f t="shared" si="39"/>
        <v>475</v>
      </c>
      <c r="B475" s="54"/>
      <c r="C475" s="54"/>
      <c r="D475" s="54"/>
      <c r="E475" s="54"/>
      <c r="F475" s="56"/>
      <c r="G475" s="54" t="s">
        <v>44</v>
      </c>
      <c r="H475" s="54" t="s">
        <v>204</v>
      </c>
      <c r="I475" s="54"/>
      <c r="J475" s="51">
        <f t="shared" si="40"/>
        <v>0</v>
      </c>
      <c r="K475" s="55"/>
      <c r="L475" s="297"/>
      <c r="M475" s="22">
        <f t="shared" si="38"/>
        <v>0</v>
      </c>
      <c r="N475" s="22">
        <v>0</v>
      </c>
    </row>
    <row r="476" spans="1:14">
      <c r="A476" s="38">
        <f t="shared" si="39"/>
        <v>476</v>
      </c>
      <c r="B476" s="46"/>
      <c r="C476" s="46"/>
      <c r="D476" s="46"/>
      <c r="E476" s="49" t="s">
        <v>11</v>
      </c>
      <c r="F476" s="66" t="s">
        <v>42</v>
      </c>
      <c r="G476" s="46"/>
      <c r="H476" s="46"/>
      <c r="I476" s="46"/>
      <c r="J476" s="51">
        <f t="shared" si="40"/>
        <v>0</v>
      </c>
      <c r="K476" s="65">
        <f>SUM(K477,K480)</f>
        <v>0</v>
      </c>
      <c r="L476" s="299">
        <f>SUM(L477,L480)</f>
        <v>0</v>
      </c>
      <c r="M476" s="22">
        <f t="shared" si="38"/>
        <v>0</v>
      </c>
      <c r="N476" s="22">
        <v>0</v>
      </c>
    </row>
    <row r="477" spans="1:14">
      <c r="A477" s="38">
        <f t="shared" si="39"/>
        <v>477</v>
      </c>
      <c r="B477" s="54"/>
      <c r="C477" s="54"/>
      <c r="D477" s="54"/>
      <c r="E477" s="54"/>
      <c r="F477" s="56" t="s">
        <v>29</v>
      </c>
      <c r="G477" s="81" t="s">
        <v>202</v>
      </c>
      <c r="H477" s="54"/>
      <c r="I477" s="54"/>
      <c r="J477" s="51">
        <f t="shared" si="40"/>
        <v>0</v>
      </c>
      <c r="K477" s="52">
        <f>SUM(K478:K479)</f>
        <v>0</v>
      </c>
      <c r="L477" s="296">
        <f>SUM(L478:L479)</f>
        <v>0</v>
      </c>
      <c r="M477" s="22">
        <f t="shared" si="38"/>
        <v>0</v>
      </c>
      <c r="N477" s="22">
        <v>0</v>
      </c>
    </row>
    <row r="478" spans="1:14">
      <c r="A478" s="38">
        <f t="shared" si="39"/>
        <v>478</v>
      </c>
      <c r="B478" s="54"/>
      <c r="C478" s="54"/>
      <c r="D478" s="54"/>
      <c r="E478" s="54"/>
      <c r="F478" s="56"/>
      <c r="G478" s="54" t="s">
        <v>31</v>
      </c>
      <c r="H478" s="81" t="s">
        <v>203</v>
      </c>
      <c r="I478" s="54"/>
      <c r="J478" s="51">
        <f t="shared" si="40"/>
        <v>0</v>
      </c>
      <c r="K478" s="55"/>
      <c r="L478" s="297"/>
      <c r="M478" s="22">
        <f t="shared" si="38"/>
        <v>0</v>
      </c>
      <c r="N478" s="22">
        <v>0</v>
      </c>
    </row>
    <row r="479" spans="1:14">
      <c r="A479" s="38">
        <f t="shared" si="39"/>
        <v>479</v>
      </c>
      <c r="B479" s="54"/>
      <c r="C479" s="54"/>
      <c r="D479" s="54"/>
      <c r="E479" s="54"/>
      <c r="F479" s="56"/>
      <c r="G479" s="54" t="s">
        <v>44</v>
      </c>
      <c r="H479" s="81" t="s">
        <v>204</v>
      </c>
      <c r="I479" s="54"/>
      <c r="J479" s="51">
        <f t="shared" si="40"/>
        <v>0</v>
      </c>
      <c r="K479" s="55"/>
      <c r="L479" s="297"/>
      <c r="M479" s="22">
        <f t="shared" si="38"/>
        <v>0</v>
      </c>
      <c r="N479" s="22">
        <v>0</v>
      </c>
    </row>
    <row r="480" spans="1:14">
      <c r="A480" s="38">
        <f t="shared" si="39"/>
        <v>480</v>
      </c>
      <c r="B480" s="54"/>
      <c r="C480" s="54"/>
      <c r="D480" s="54"/>
      <c r="E480" s="54"/>
      <c r="F480" s="56" t="s">
        <v>41</v>
      </c>
      <c r="G480" s="81" t="s">
        <v>205</v>
      </c>
      <c r="H480" s="54"/>
      <c r="I480" s="54"/>
      <c r="J480" s="51">
        <f t="shared" si="40"/>
        <v>0</v>
      </c>
      <c r="K480" s="52">
        <f>SUM(K481:K482)</f>
        <v>0</v>
      </c>
      <c r="L480" s="296">
        <f>SUM(L481:L482)</f>
        <v>0</v>
      </c>
      <c r="M480" s="22">
        <f t="shared" si="38"/>
        <v>0</v>
      </c>
      <c r="N480" s="22">
        <v>0</v>
      </c>
    </row>
    <row r="481" spans="1:14">
      <c r="A481" s="38">
        <f t="shared" si="39"/>
        <v>481</v>
      </c>
      <c r="B481" s="54"/>
      <c r="C481" s="54"/>
      <c r="D481" s="54"/>
      <c r="E481" s="54"/>
      <c r="F481" s="56"/>
      <c r="G481" s="54" t="s">
        <v>31</v>
      </c>
      <c r="H481" s="54" t="s">
        <v>203</v>
      </c>
      <c r="I481" s="54"/>
      <c r="J481" s="51">
        <f t="shared" si="40"/>
        <v>0</v>
      </c>
      <c r="K481" s="55"/>
      <c r="L481" s="297"/>
      <c r="M481" s="22">
        <f t="shared" si="38"/>
        <v>0</v>
      </c>
      <c r="N481" s="22">
        <v>0</v>
      </c>
    </row>
    <row r="482" spans="1:14">
      <c r="A482" s="38">
        <f t="shared" si="39"/>
        <v>482</v>
      </c>
      <c r="B482" s="54"/>
      <c r="C482" s="54"/>
      <c r="D482" s="54"/>
      <c r="E482" s="54"/>
      <c r="F482" s="56"/>
      <c r="G482" s="54" t="s">
        <v>44</v>
      </c>
      <c r="H482" s="54" t="s">
        <v>204</v>
      </c>
      <c r="I482" s="54"/>
      <c r="J482" s="51">
        <f t="shared" si="40"/>
        <v>0</v>
      </c>
      <c r="K482" s="55"/>
      <c r="L482" s="297"/>
      <c r="M482" s="22">
        <f t="shared" si="38"/>
        <v>0</v>
      </c>
      <c r="N482" s="22">
        <v>0</v>
      </c>
    </row>
    <row r="483" spans="1:14">
      <c r="A483" s="38">
        <f t="shared" si="39"/>
        <v>483</v>
      </c>
      <c r="B483" s="56"/>
      <c r="C483" s="56"/>
      <c r="D483" s="56"/>
      <c r="E483" s="56"/>
      <c r="F483" s="56"/>
      <c r="G483" s="56"/>
      <c r="H483" s="56"/>
      <c r="I483" s="57"/>
      <c r="J483" s="58"/>
      <c r="K483" s="58"/>
      <c r="L483" s="298"/>
      <c r="M483" s="22">
        <f t="shared" si="38"/>
        <v>0</v>
      </c>
      <c r="N483" s="22">
        <v>0</v>
      </c>
    </row>
    <row r="484" spans="1:14" ht="14">
      <c r="A484" s="38">
        <f t="shared" si="39"/>
        <v>484</v>
      </c>
      <c r="B484" s="46"/>
      <c r="C484" s="46" t="s">
        <v>206</v>
      </c>
      <c r="D484" s="39" t="s">
        <v>207</v>
      </c>
      <c r="E484" s="82"/>
      <c r="F484" s="39"/>
      <c r="G484" s="40"/>
      <c r="H484" s="39"/>
      <c r="I484" s="39"/>
      <c r="J484" s="51">
        <f t="shared" si="40"/>
        <v>0</v>
      </c>
      <c r="K484" s="62">
        <f>SUM(K485,K488)</f>
        <v>0</v>
      </c>
      <c r="L484" s="51">
        <f>SUM(L485,L488)</f>
        <v>0</v>
      </c>
      <c r="M484" s="22">
        <v>1</v>
      </c>
      <c r="N484" s="22">
        <v>1</v>
      </c>
    </row>
    <row r="485" spans="1:14">
      <c r="A485" s="38">
        <f t="shared" si="39"/>
        <v>485</v>
      </c>
      <c r="B485" s="54"/>
      <c r="C485" s="54"/>
      <c r="D485" s="46" t="s">
        <v>174</v>
      </c>
      <c r="E485" s="71" t="s">
        <v>8</v>
      </c>
      <c r="F485" s="56"/>
      <c r="G485" s="54"/>
      <c r="H485" s="54"/>
      <c r="I485" s="54"/>
      <c r="J485" s="51">
        <f t="shared" si="40"/>
        <v>0</v>
      </c>
      <c r="K485" s="52">
        <f>SUM(K486:K487)</f>
        <v>0</v>
      </c>
      <c r="L485" s="296">
        <f>SUM(L486:L487)</f>
        <v>0</v>
      </c>
      <c r="M485" s="22">
        <f t="shared" ref="M485:M491" si="41">IF(J485&lt;&gt;0,1,0)</f>
        <v>0</v>
      </c>
      <c r="N485" s="22">
        <v>0</v>
      </c>
    </row>
    <row r="486" spans="1:14">
      <c r="A486" s="38">
        <f t="shared" si="39"/>
        <v>486</v>
      </c>
      <c r="B486" s="54"/>
      <c r="C486" s="54"/>
      <c r="D486" s="54"/>
      <c r="E486" s="56" t="s">
        <v>9</v>
      </c>
      <c r="F486" s="81" t="s">
        <v>208</v>
      </c>
      <c r="G486" s="54"/>
      <c r="H486" s="54"/>
      <c r="I486" s="54"/>
      <c r="J486" s="51">
        <f t="shared" si="40"/>
        <v>0</v>
      </c>
      <c r="K486" s="55"/>
      <c r="L486" s="297"/>
      <c r="M486" s="22">
        <f t="shared" si="41"/>
        <v>0</v>
      </c>
      <c r="N486" s="22">
        <v>0</v>
      </c>
    </row>
    <row r="487" spans="1:14">
      <c r="A487" s="38">
        <f t="shared" si="39"/>
        <v>487</v>
      </c>
      <c r="B487" s="54"/>
      <c r="C487" s="54"/>
      <c r="D487" s="54"/>
      <c r="E487" s="56" t="s">
        <v>11</v>
      </c>
      <c r="F487" s="81" t="s">
        <v>209</v>
      </c>
      <c r="G487" s="54"/>
      <c r="H487" s="54"/>
      <c r="I487" s="54"/>
      <c r="J487" s="51">
        <f t="shared" si="40"/>
        <v>0</v>
      </c>
      <c r="K487" s="55"/>
      <c r="L487" s="297"/>
      <c r="M487" s="22">
        <f t="shared" si="41"/>
        <v>0</v>
      </c>
      <c r="N487" s="22">
        <v>0</v>
      </c>
    </row>
    <row r="488" spans="1:14">
      <c r="A488" s="38">
        <f t="shared" si="39"/>
        <v>488</v>
      </c>
      <c r="B488" s="54"/>
      <c r="C488" s="54"/>
      <c r="D488" s="46" t="s">
        <v>186</v>
      </c>
      <c r="E488" s="71" t="s">
        <v>24</v>
      </c>
      <c r="F488" s="56"/>
      <c r="G488" s="54"/>
      <c r="H488" s="54"/>
      <c r="I488" s="54"/>
      <c r="J488" s="51">
        <f t="shared" si="40"/>
        <v>0</v>
      </c>
      <c r="K488" s="52">
        <f>SUM(K489:K490)</f>
        <v>0</v>
      </c>
      <c r="L488" s="296">
        <f>SUM(L489:L490)</f>
        <v>0</v>
      </c>
      <c r="M488" s="22">
        <f t="shared" si="41"/>
        <v>0</v>
      </c>
      <c r="N488" s="22">
        <v>0</v>
      </c>
    </row>
    <row r="489" spans="1:14">
      <c r="A489" s="38">
        <f t="shared" si="39"/>
        <v>489</v>
      </c>
      <c r="B489" s="54"/>
      <c r="C489" s="54"/>
      <c r="D489" s="54"/>
      <c r="E489" s="56" t="s">
        <v>9</v>
      </c>
      <c r="F489" s="81" t="s">
        <v>208</v>
      </c>
      <c r="G489" s="54"/>
      <c r="H489" s="54"/>
      <c r="I489" s="54"/>
      <c r="J489" s="51">
        <f t="shared" si="40"/>
        <v>0</v>
      </c>
      <c r="K489" s="55"/>
      <c r="L489" s="297"/>
      <c r="M489" s="22">
        <f t="shared" si="41"/>
        <v>0</v>
      </c>
      <c r="N489" s="22">
        <v>0</v>
      </c>
    </row>
    <row r="490" spans="1:14">
      <c r="A490" s="38">
        <f t="shared" si="39"/>
        <v>490</v>
      </c>
      <c r="B490" s="54"/>
      <c r="C490" s="54"/>
      <c r="D490" s="54"/>
      <c r="E490" s="56" t="s">
        <v>11</v>
      </c>
      <c r="F490" s="81" t="s">
        <v>209</v>
      </c>
      <c r="G490" s="54"/>
      <c r="H490" s="54"/>
      <c r="I490" s="54"/>
      <c r="J490" s="51">
        <f t="shared" si="40"/>
        <v>0</v>
      </c>
      <c r="K490" s="55"/>
      <c r="L490" s="297"/>
      <c r="M490" s="22">
        <f t="shared" si="41"/>
        <v>0</v>
      </c>
      <c r="N490" s="22">
        <v>0</v>
      </c>
    </row>
    <row r="491" spans="1:14">
      <c r="A491" s="38">
        <f t="shared" si="39"/>
        <v>491</v>
      </c>
      <c r="B491" s="56"/>
      <c r="C491" s="56"/>
      <c r="D491" s="56"/>
      <c r="E491" s="56"/>
      <c r="F491" s="56"/>
      <c r="G491" s="56"/>
      <c r="H491" s="56"/>
      <c r="I491" s="57"/>
      <c r="J491" s="58"/>
      <c r="K491" s="58"/>
      <c r="L491" s="298"/>
      <c r="M491" s="22">
        <f t="shared" si="41"/>
        <v>0</v>
      </c>
      <c r="N491" s="22">
        <v>0</v>
      </c>
    </row>
    <row r="492" spans="1:14" ht="14">
      <c r="A492" s="38">
        <f t="shared" si="39"/>
        <v>492</v>
      </c>
      <c r="B492" s="46"/>
      <c r="C492" s="39" t="s">
        <v>210</v>
      </c>
      <c r="D492" s="82" t="s">
        <v>211</v>
      </c>
      <c r="E492" s="39"/>
      <c r="F492" s="40"/>
      <c r="G492" s="39"/>
      <c r="H492" s="39"/>
      <c r="I492" s="39"/>
      <c r="J492" s="51">
        <f t="shared" si="40"/>
        <v>0</v>
      </c>
      <c r="K492" s="55"/>
      <c r="L492" s="297"/>
      <c r="M492" s="22">
        <v>1</v>
      </c>
      <c r="N492" s="22">
        <v>1</v>
      </c>
    </row>
    <row r="493" spans="1:14">
      <c r="A493" s="38">
        <f t="shared" si="39"/>
        <v>493</v>
      </c>
      <c r="B493" s="56"/>
      <c r="C493" s="56"/>
      <c r="D493" s="56"/>
      <c r="E493" s="56"/>
      <c r="F493" s="56"/>
      <c r="G493" s="56"/>
      <c r="H493" s="56"/>
      <c r="I493" s="57"/>
      <c r="J493" s="58"/>
      <c r="K493" s="58"/>
      <c r="L493" s="298"/>
      <c r="M493" s="22">
        <f>IF(J493&lt;&gt;0,1,0)</f>
        <v>0</v>
      </c>
      <c r="N493" s="22">
        <v>0</v>
      </c>
    </row>
    <row r="494" spans="1:14" ht="14">
      <c r="A494" s="38">
        <f t="shared" si="39"/>
        <v>494</v>
      </c>
      <c r="B494" s="46" t="s">
        <v>212</v>
      </c>
      <c r="C494" s="39" t="s">
        <v>213</v>
      </c>
      <c r="D494" s="82"/>
      <c r="E494" s="39"/>
      <c r="F494" s="40"/>
      <c r="G494" s="39"/>
      <c r="H494" s="39"/>
      <c r="I494" s="39"/>
      <c r="J494" s="51">
        <f t="shared" si="40"/>
        <v>0</v>
      </c>
      <c r="K494" s="62">
        <f>SUM(K495:K500)</f>
        <v>0</v>
      </c>
      <c r="L494" s="51">
        <f>SUM(L495:L500)</f>
        <v>0</v>
      </c>
      <c r="M494" s="22">
        <v>1</v>
      </c>
      <c r="N494" s="22">
        <v>1</v>
      </c>
    </row>
    <row r="495" spans="1:14">
      <c r="A495" s="38">
        <f t="shared" si="39"/>
        <v>495</v>
      </c>
      <c r="B495" s="49"/>
      <c r="C495" s="85" t="s">
        <v>5</v>
      </c>
      <c r="D495" s="81" t="s">
        <v>214</v>
      </c>
      <c r="E495" s="54"/>
      <c r="F495" s="56"/>
      <c r="G495" s="54"/>
      <c r="H495" s="54"/>
      <c r="I495" s="54"/>
      <c r="J495" s="51">
        <f t="shared" si="40"/>
        <v>0</v>
      </c>
      <c r="K495" s="55"/>
      <c r="L495" s="297"/>
      <c r="M495" s="22">
        <f t="shared" ref="M495:M501" si="42">IF(J495&lt;&gt;0,1,0)</f>
        <v>0</v>
      </c>
      <c r="N495" s="22">
        <v>0</v>
      </c>
    </row>
    <row r="496" spans="1:14">
      <c r="A496" s="38">
        <f t="shared" si="39"/>
        <v>496</v>
      </c>
      <c r="B496" s="54"/>
      <c r="C496" s="85" t="s">
        <v>26</v>
      </c>
      <c r="D496" s="81" t="s">
        <v>215</v>
      </c>
      <c r="E496" s="54"/>
      <c r="F496" s="56"/>
      <c r="G496" s="54"/>
      <c r="H496" s="54"/>
      <c r="I496" s="54"/>
      <c r="J496" s="51">
        <f t="shared" si="40"/>
        <v>0</v>
      </c>
      <c r="K496" s="55"/>
      <c r="L496" s="297"/>
      <c r="M496" s="22">
        <f t="shared" si="42"/>
        <v>0</v>
      </c>
      <c r="N496" s="22">
        <v>0</v>
      </c>
    </row>
    <row r="497" spans="1:14">
      <c r="A497" s="38">
        <f t="shared" si="39"/>
        <v>497</v>
      </c>
      <c r="B497" s="54"/>
      <c r="C497" s="85" t="s">
        <v>216</v>
      </c>
      <c r="D497" s="81" t="s">
        <v>217</v>
      </c>
      <c r="E497" s="54"/>
      <c r="F497" s="56"/>
      <c r="G497" s="54"/>
      <c r="H497" s="54"/>
      <c r="I497" s="54"/>
      <c r="J497" s="51">
        <f t="shared" si="40"/>
        <v>0</v>
      </c>
      <c r="K497" s="55"/>
      <c r="L497" s="297"/>
      <c r="M497" s="22">
        <f t="shared" si="42"/>
        <v>0</v>
      </c>
      <c r="N497" s="22">
        <v>0</v>
      </c>
    </row>
    <row r="498" spans="1:14">
      <c r="A498" s="38">
        <f t="shared" si="39"/>
        <v>498</v>
      </c>
      <c r="B498" s="54"/>
      <c r="C498" s="85" t="s">
        <v>187</v>
      </c>
      <c r="D498" s="81" t="s">
        <v>5902</v>
      </c>
      <c r="E498" s="54"/>
      <c r="F498" s="56"/>
      <c r="G498" s="54"/>
      <c r="H498" s="54"/>
      <c r="I498" s="54"/>
      <c r="J498" s="51">
        <f t="shared" si="40"/>
        <v>0</v>
      </c>
      <c r="K498" s="55"/>
      <c r="L498" s="297"/>
      <c r="M498" s="22">
        <f t="shared" si="42"/>
        <v>0</v>
      </c>
      <c r="N498" s="22">
        <v>0</v>
      </c>
    </row>
    <row r="499" spans="1:14">
      <c r="A499" s="38">
        <f t="shared" si="39"/>
        <v>499</v>
      </c>
      <c r="B499" s="54"/>
      <c r="C499" s="85" t="s">
        <v>200</v>
      </c>
      <c r="D499" s="81" t="s">
        <v>218</v>
      </c>
      <c r="E499" s="54"/>
      <c r="F499" s="56"/>
      <c r="G499" s="54"/>
      <c r="H499" s="54"/>
      <c r="I499" s="54"/>
      <c r="J499" s="51">
        <f t="shared" si="40"/>
        <v>0</v>
      </c>
      <c r="K499" s="55"/>
      <c r="L499" s="297"/>
      <c r="M499" s="22">
        <f t="shared" si="42"/>
        <v>0</v>
      </c>
      <c r="N499" s="22">
        <v>0</v>
      </c>
    </row>
    <row r="500" spans="1:14">
      <c r="A500" s="38">
        <f t="shared" si="39"/>
        <v>500</v>
      </c>
      <c r="B500" s="54"/>
      <c r="C500" s="85" t="s">
        <v>206</v>
      </c>
      <c r="D500" s="81" t="s">
        <v>219</v>
      </c>
      <c r="E500" s="54"/>
      <c r="F500" s="56"/>
      <c r="G500" s="54"/>
      <c r="H500" s="54"/>
      <c r="I500" s="54"/>
      <c r="J500" s="51">
        <f t="shared" si="40"/>
        <v>0</v>
      </c>
      <c r="K500" s="55"/>
      <c r="L500" s="297"/>
      <c r="M500" s="22">
        <f t="shared" si="42"/>
        <v>0</v>
      </c>
      <c r="N500" s="22">
        <v>0</v>
      </c>
    </row>
    <row r="501" spans="1:14">
      <c r="A501" s="38">
        <f t="shared" si="39"/>
        <v>501</v>
      </c>
      <c r="B501" s="56"/>
      <c r="C501" s="56"/>
      <c r="D501" s="81"/>
      <c r="E501" s="54"/>
      <c r="F501" s="56"/>
      <c r="G501" s="56"/>
      <c r="H501" s="56"/>
      <c r="I501" s="57"/>
      <c r="J501" s="58"/>
      <c r="K501" s="58"/>
      <c r="L501" s="298"/>
      <c r="M501" s="22">
        <f t="shared" si="42"/>
        <v>0</v>
      </c>
      <c r="N501" s="22">
        <v>0</v>
      </c>
    </row>
    <row r="502" spans="1:14" ht="14">
      <c r="A502" s="38">
        <f t="shared" si="39"/>
        <v>502</v>
      </c>
      <c r="B502" s="46" t="s">
        <v>220</v>
      </c>
      <c r="C502" s="39" t="s">
        <v>221</v>
      </c>
      <c r="D502" s="82"/>
      <c r="E502" s="39"/>
      <c r="F502" s="40"/>
      <c r="G502" s="39"/>
      <c r="H502" s="39"/>
      <c r="I502" s="39"/>
      <c r="J502" s="51">
        <f t="shared" si="40"/>
        <v>0</v>
      </c>
      <c r="K502" s="62">
        <f>K503+K512+K516+K523</f>
        <v>0</v>
      </c>
      <c r="L502" s="51">
        <f>L503+L512+L516+L523</f>
        <v>0</v>
      </c>
      <c r="M502" s="22">
        <v>1</v>
      </c>
      <c r="N502" s="22">
        <v>1</v>
      </c>
    </row>
    <row r="503" spans="1:14">
      <c r="A503" s="38">
        <f t="shared" si="39"/>
        <v>503</v>
      </c>
      <c r="B503" s="46"/>
      <c r="C503" s="86" t="s">
        <v>5</v>
      </c>
      <c r="D503" s="83" t="s">
        <v>222</v>
      </c>
      <c r="E503" s="46"/>
      <c r="F503" s="49"/>
      <c r="G503" s="46"/>
      <c r="H503" s="46"/>
      <c r="I503" s="46"/>
      <c r="J503" s="51">
        <f t="shared" si="40"/>
        <v>0</v>
      </c>
      <c r="K503" s="283">
        <f>K504+K508</f>
        <v>0</v>
      </c>
      <c r="L503" s="304">
        <f>L504+L508</f>
        <v>0</v>
      </c>
      <c r="M503" s="22">
        <f>IF(J503&lt;&gt;0,1,0)</f>
        <v>0</v>
      </c>
      <c r="N503" s="22">
        <v>0</v>
      </c>
    </row>
    <row r="504" spans="1:14">
      <c r="A504" s="38">
        <f t="shared" si="39"/>
        <v>504</v>
      </c>
      <c r="B504" s="54"/>
      <c r="C504" s="54"/>
      <c r="D504" s="83" t="s">
        <v>174</v>
      </c>
      <c r="E504" s="46" t="s">
        <v>8</v>
      </c>
      <c r="F504" s="49"/>
      <c r="G504" s="46"/>
      <c r="H504" s="54"/>
      <c r="I504" s="54"/>
      <c r="J504" s="51">
        <f t="shared" ref="J504:J535" si="43">SUM(K504:L504)</f>
        <v>0</v>
      </c>
      <c r="K504" s="52">
        <f>SUM(K505:K507)</f>
        <v>0</v>
      </c>
      <c r="L504" s="296">
        <f>SUM(L505:L507)</f>
        <v>0</v>
      </c>
      <c r="M504" s="22">
        <f>IF(J504&lt;&gt;0,1,0)</f>
        <v>0</v>
      </c>
      <c r="N504" s="22">
        <v>0</v>
      </c>
    </row>
    <row r="505" spans="1:14">
      <c r="A505" s="38">
        <f t="shared" ref="A505:A535" si="44">A504+1</f>
        <v>505</v>
      </c>
      <c r="B505" s="54"/>
      <c r="C505" s="54"/>
      <c r="D505" s="54"/>
      <c r="E505" s="56" t="s">
        <v>9</v>
      </c>
      <c r="F505" s="81" t="str">
        <f>$H$45</f>
        <v xml:space="preserve">דרוג AA- ומעלה </v>
      </c>
      <c r="G505" s="54"/>
      <c r="H505" s="54"/>
      <c r="I505" s="54"/>
      <c r="J505" s="51">
        <f t="shared" si="43"/>
        <v>0</v>
      </c>
      <c r="K505" s="55"/>
      <c r="L505" s="297"/>
      <c r="M505" s="22">
        <f>IF(J505&lt;&gt;0,1,0)</f>
        <v>0</v>
      </c>
      <c r="N505" s="22">
        <v>0</v>
      </c>
    </row>
    <row r="506" spans="1:14">
      <c r="A506" s="38">
        <f t="shared" si="44"/>
        <v>506</v>
      </c>
      <c r="B506" s="54"/>
      <c r="C506" s="54"/>
      <c r="D506" s="54"/>
      <c r="E506" s="56" t="s">
        <v>11</v>
      </c>
      <c r="F506" s="81" t="str">
        <f>$H$49</f>
        <v xml:space="preserve">דרוג BBB- ועד A+ </v>
      </c>
      <c r="G506" s="54"/>
      <c r="H506" s="54"/>
      <c r="I506" s="54"/>
      <c r="J506" s="51">
        <f t="shared" si="43"/>
        <v>0</v>
      </c>
      <c r="K506" s="55"/>
      <c r="L506" s="297"/>
      <c r="M506" s="22">
        <f>IF(J506&lt;&gt;0,1,0)</f>
        <v>0</v>
      </c>
      <c r="N506" s="22">
        <v>0</v>
      </c>
    </row>
    <row r="507" spans="1:14">
      <c r="A507" s="38">
        <f t="shared" si="44"/>
        <v>507</v>
      </c>
      <c r="B507" s="54"/>
      <c r="C507" s="54"/>
      <c r="D507" s="54"/>
      <c r="E507" s="56" t="s">
        <v>13</v>
      </c>
      <c r="F507" s="81" t="str">
        <f>$H$53</f>
        <v xml:space="preserve">דרוג נמוך מ- BBB- או לא מדורג </v>
      </c>
      <c r="G507" s="54"/>
      <c r="H507" s="54"/>
      <c r="I507" s="54"/>
      <c r="J507" s="51">
        <f t="shared" si="43"/>
        <v>0</v>
      </c>
      <c r="K507" s="55"/>
      <c r="L507" s="297"/>
      <c r="M507" s="22">
        <f t="shared" ref="M507:M524" si="45">IF(J507&lt;&gt;0,1,0)</f>
        <v>0</v>
      </c>
      <c r="N507" s="22">
        <v>0</v>
      </c>
    </row>
    <row r="508" spans="1:14">
      <c r="A508" s="38">
        <f t="shared" si="44"/>
        <v>508</v>
      </c>
      <c r="B508" s="54"/>
      <c r="C508" s="54"/>
      <c r="D508" s="83" t="s">
        <v>186</v>
      </c>
      <c r="E508" s="46" t="s">
        <v>24</v>
      </c>
      <c r="F508" s="49"/>
      <c r="G508" s="46"/>
      <c r="H508" s="54"/>
      <c r="I508" s="54"/>
      <c r="J508" s="51">
        <f t="shared" si="43"/>
        <v>0</v>
      </c>
      <c r="K508" s="52">
        <f>SUM(K509:K511)</f>
        <v>0</v>
      </c>
      <c r="L508" s="296">
        <f>SUM(L509:L511)</f>
        <v>0</v>
      </c>
      <c r="M508" s="22">
        <f t="shared" si="45"/>
        <v>0</v>
      </c>
      <c r="N508" s="22">
        <v>0</v>
      </c>
    </row>
    <row r="509" spans="1:14">
      <c r="A509" s="38">
        <f t="shared" si="44"/>
        <v>509</v>
      </c>
      <c r="B509" s="54"/>
      <c r="C509" s="54"/>
      <c r="D509" s="54"/>
      <c r="E509" s="56" t="s">
        <v>9</v>
      </c>
      <c r="F509" s="81" t="str">
        <f>$H$76</f>
        <v xml:space="preserve">דרוג A- ומעלה </v>
      </c>
      <c r="G509" s="81"/>
      <c r="H509" s="54"/>
      <c r="I509" s="54"/>
      <c r="J509" s="51">
        <f t="shared" si="43"/>
        <v>0</v>
      </c>
      <c r="K509" s="55"/>
      <c r="L509" s="297"/>
      <c r="M509" s="22">
        <f t="shared" si="45"/>
        <v>0</v>
      </c>
      <c r="N509" s="22">
        <v>0</v>
      </c>
    </row>
    <row r="510" spans="1:14">
      <c r="A510" s="38">
        <f t="shared" si="44"/>
        <v>510</v>
      </c>
      <c r="B510" s="54"/>
      <c r="C510" s="54"/>
      <c r="D510" s="54"/>
      <c r="E510" s="56" t="s">
        <v>11</v>
      </c>
      <c r="F510" s="81" t="str">
        <f>$H$77</f>
        <v>דרוג BBB- ועד BBB+</v>
      </c>
      <c r="G510" s="81"/>
      <c r="H510" s="54"/>
      <c r="I510" s="54"/>
      <c r="J510" s="51">
        <f t="shared" si="43"/>
        <v>0</v>
      </c>
      <c r="K510" s="55"/>
      <c r="L510" s="297"/>
      <c r="M510" s="22">
        <f t="shared" si="45"/>
        <v>0</v>
      </c>
      <c r="N510" s="22">
        <v>0</v>
      </c>
    </row>
    <row r="511" spans="1:14">
      <c r="A511" s="38">
        <f t="shared" si="44"/>
        <v>511</v>
      </c>
      <c r="B511" s="54"/>
      <c r="C511" s="54"/>
      <c r="D511" s="54"/>
      <c r="E511" s="56" t="s">
        <v>13</v>
      </c>
      <c r="F511" s="81" t="str">
        <f>$H$78</f>
        <v xml:space="preserve">דרוג נמוך מ- BBB- או לא מדורג </v>
      </c>
      <c r="G511" s="81"/>
      <c r="H511" s="54"/>
      <c r="I511" s="54"/>
      <c r="J511" s="51">
        <f t="shared" si="43"/>
        <v>0</v>
      </c>
      <c r="K511" s="55"/>
      <c r="L511" s="297"/>
      <c r="M511" s="22">
        <f t="shared" si="45"/>
        <v>0</v>
      </c>
      <c r="N511" s="22">
        <v>0</v>
      </c>
    </row>
    <row r="512" spans="1:14">
      <c r="A512" s="38">
        <f t="shared" si="44"/>
        <v>512</v>
      </c>
      <c r="B512" s="46"/>
      <c r="C512" s="86" t="s">
        <v>26</v>
      </c>
      <c r="D512" s="83" t="s">
        <v>329</v>
      </c>
      <c r="E512" s="46"/>
      <c r="F512" s="49"/>
      <c r="G512" s="46"/>
      <c r="H512" s="46"/>
      <c r="I512" s="46"/>
      <c r="J512" s="51">
        <f t="shared" si="43"/>
        <v>0</v>
      </c>
      <c r="K512" s="62">
        <f>SUM(K513:K515)</f>
        <v>0</v>
      </c>
      <c r="L512" s="51">
        <f>SUM(L513:L515)</f>
        <v>0</v>
      </c>
      <c r="M512" s="22">
        <f t="shared" si="45"/>
        <v>0</v>
      </c>
      <c r="N512" s="22">
        <v>0</v>
      </c>
    </row>
    <row r="513" spans="1:14">
      <c r="A513" s="38">
        <f t="shared" si="44"/>
        <v>513</v>
      </c>
      <c r="B513" s="54"/>
      <c r="C513" s="86"/>
      <c r="D513" s="54" t="s">
        <v>174</v>
      </c>
      <c r="E513" s="81" t="s">
        <v>224</v>
      </c>
      <c r="F513" s="56"/>
      <c r="G513" s="54"/>
      <c r="H513" s="54"/>
      <c r="I513" s="54"/>
      <c r="J513" s="51">
        <f t="shared" si="43"/>
        <v>0</v>
      </c>
      <c r="K513" s="55"/>
      <c r="L513" s="297"/>
      <c r="M513" s="22">
        <f t="shared" si="45"/>
        <v>0</v>
      </c>
      <c r="N513" s="22">
        <v>0</v>
      </c>
    </row>
    <row r="514" spans="1:14">
      <c r="A514" s="38">
        <f t="shared" si="44"/>
        <v>514</v>
      </c>
      <c r="B514" s="54"/>
      <c r="C514" s="54"/>
      <c r="D514" s="54" t="s">
        <v>186</v>
      </c>
      <c r="E514" s="81" t="s">
        <v>225</v>
      </c>
      <c r="F514" s="56"/>
      <c r="G514" s="54"/>
      <c r="H514" s="54"/>
      <c r="I514" s="54"/>
      <c r="J514" s="51">
        <f t="shared" si="43"/>
        <v>0</v>
      </c>
      <c r="K514" s="55"/>
      <c r="L514" s="297"/>
      <c r="M514" s="22">
        <f t="shared" si="45"/>
        <v>0</v>
      </c>
      <c r="N514" s="22">
        <v>0</v>
      </c>
    </row>
    <row r="515" spans="1:14">
      <c r="A515" s="38">
        <f t="shared" si="44"/>
        <v>515</v>
      </c>
      <c r="B515" s="54"/>
      <c r="C515" s="54"/>
      <c r="D515" s="54" t="s">
        <v>223</v>
      </c>
      <c r="E515" s="81" t="s">
        <v>226</v>
      </c>
      <c r="F515" s="56"/>
      <c r="G515" s="54"/>
      <c r="H515" s="54"/>
      <c r="I515" s="54"/>
      <c r="J515" s="51">
        <f t="shared" si="43"/>
        <v>0</v>
      </c>
      <c r="K515" s="55"/>
      <c r="L515" s="297"/>
      <c r="M515" s="22">
        <f t="shared" si="45"/>
        <v>0</v>
      </c>
      <c r="N515" s="22">
        <v>0</v>
      </c>
    </row>
    <row r="516" spans="1:14">
      <c r="A516" s="38">
        <f t="shared" si="44"/>
        <v>516</v>
      </c>
      <c r="B516" s="54"/>
      <c r="C516" s="86" t="s">
        <v>216</v>
      </c>
      <c r="D516" s="83" t="s">
        <v>227</v>
      </c>
      <c r="E516" s="46"/>
      <c r="F516" s="49"/>
      <c r="G516" s="46"/>
      <c r="H516" s="54"/>
      <c r="I516" s="54"/>
      <c r="J516" s="51">
        <f t="shared" si="43"/>
        <v>0</v>
      </c>
      <c r="K516" s="62">
        <f>SUM(K517:K522)</f>
        <v>0</v>
      </c>
      <c r="L516" s="51">
        <f>SUM(L517:L522)</f>
        <v>0</v>
      </c>
      <c r="M516" s="22">
        <f t="shared" si="45"/>
        <v>0</v>
      </c>
      <c r="N516" s="22">
        <v>0</v>
      </c>
    </row>
    <row r="517" spans="1:14">
      <c r="A517" s="38">
        <f t="shared" si="44"/>
        <v>517</v>
      </c>
      <c r="B517" s="54"/>
      <c r="C517" s="86"/>
      <c r="D517" s="54" t="s">
        <v>174</v>
      </c>
      <c r="E517" s="81" t="s">
        <v>228</v>
      </c>
      <c r="F517" s="56"/>
      <c r="G517" s="54"/>
      <c r="H517" s="54"/>
      <c r="I517" s="54"/>
      <c r="J517" s="51">
        <f t="shared" si="43"/>
        <v>0</v>
      </c>
      <c r="K517" s="55"/>
      <c r="L517" s="297"/>
      <c r="M517" s="22">
        <f t="shared" si="45"/>
        <v>0</v>
      </c>
      <c r="N517" s="22">
        <v>0</v>
      </c>
    </row>
    <row r="518" spans="1:14">
      <c r="A518" s="38">
        <f t="shared" si="44"/>
        <v>518</v>
      </c>
      <c r="B518" s="54"/>
      <c r="C518" s="54"/>
      <c r="D518" s="54" t="s">
        <v>186</v>
      </c>
      <c r="E518" s="81" t="s">
        <v>229</v>
      </c>
      <c r="F518" s="56"/>
      <c r="G518" s="54"/>
      <c r="H518" s="54"/>
      <c r="I518" s="54"/>
      <c r="J518" s="51">
        <f t="shared" si="43"/>
        <v>0</v>
      </c>
      <c r="K518" s="55"/>
      <c r="L518" s="297"/>
      <c r="M518" s="22">
        <f t="shared" si="45"/>
        <v>0</v>
      </c>
      <c r="N518" s="22">
        <v>0</v>
      </c>
    </row>
    <row r="519" spans="1:14">
      <c r="A519" s="38">
        <f t="shared" si="44"/>
        <v>519</v>
      </c>
      <c r="B519" s="54"/>
      <c r="C519" s="54"/>
      <c r="D519" s="54" t="s">
        <v>223</v>
      </c>
      <c r="E519" s="81" t="s">
        <v>230</v>
      </c>
      <c r="F519" s="56"/>
      <c r="G519" s="54"/>
      <c r="H519" s="54"/>
      <c r="I519" s="54"/>
      <c r="J519" s="51">
        <f t="shared" si="43"/>
        <v>0</v>
      </c>
      <c r="K519" s="55"/>
      <c r="L519" s="297"/>
      <c r="M519" s="22">
        <f t="shared" si="45"/>
        <v>0</v>
      </c>
      <c r="N519" s="22">
        <v>0</v>
      </c>
    </row>
    <row r="520" spans="1:14">
      <c r="A520" s="38">
        <f t="shared" si="44"/>
        <v>520</v>
      </c>
      <c r="B520" s="54"/>
      <c r="C520" s="54"/>
      <c r="D520" s="54" t="s">
        <v>72</v>
      </c>
      <c r="E520" s="81" t="s">
        <v>231</v>
      </c>
      <c r="F520" s="56"/>
      <c r="G520" s="54"/>
      <c r="H520" s="54"/>
      <c r="I520" s="54"/>
      <c r="J520" s="51">
        <f t="shared" si="43"/>
        <v>0</v>
      </c>
      <c r="K520" s="55"/>
      <c r="L520" s="297"/>
      <c r="M520" s="22">
        <f t="shared" si="45"/>
        <v>0</v>
      </c>
      <c r="N520" s="22">
        <v>0</v>
      </c>
    </row>
    <row r="521" spans="1:14">
      <c r="A521" s="38">
        <f t="shared" si="44"/>
        <v>521</v>
      </c>
      <c r="B521" s="54"/>
      <c r="C521" s="54"/>
      <c r="D521" s="54" t="s">
        <v>85</v>
      </c>
      <c r="E521" s="81" t="s">
        <v>232</v>
      </c>
      <c r="F521" s="56"/>
      <c r="G521" s="54"/>
      <c r="H521" s="54"/>
      <c r="I521" s="54"/>
      <c r="J521" s="51">
        <f t="shared" si="43"/>
        <v>0</v>
      </c>
      <c r="K521" s="55"/>
      <c r="L521" s="297"/>
      <c r="M521" s="22">
        <f t="shared" si="45"/>
        <v>0</v>
      </c>
      <c r="N521" s="22">
        <v>0</v>
      </c>
    </row>
    <row r="522" spans="1:14">
      <c r="A522" s="38">
        <f t="shared" si="44"/>
        <v>522</v>
      </c>
      <c r="B522" s="54"/>
      <c r="C522" s="54"/>
      <c r="D522" s="54" t="s">
        <v>89</v>
      </c>
      <c r="E522" s="81" t="s">
        <v>233</v>
      </c>
      <c r="F522" s="56"/>
      <c r="G522" s="54"/>
      <c r="H522" s="54"/>
      <c r="I522" s="54"/>
      <c r="J522" s="51">
        <f t="shared" si="43"/>
        <v>0</v>
      </c>
      <c r="K522" s="55"/>
      <c r="L522" s="297"/>
      <c r="M522" s="22">
        <f t="shared" si="45"/>
        <v>0</v>
      </c>
      <c r="N522" s="22">
        <v>0</v>
      </c>
    </row>
    <row r="523" spans="1:14">
      <c r="A523" s="38">
        <f t="shared" si="44"/>
        <v>523</v>
      </c>
      <c r="B523" s="46"/>
      <c r="C523" s="86" t="s">
        <v>234</v>
      </c>
      <c r="D523" s="83" t="s">
        <v>235</v>
      </c>
      <c r="E523" s="46"/>
      <c r="F523" s="49"/>
      <c r="G523" s="46"/>
      <c r="H523" s="46"/>
      <c r="I523" s="46"/>
      <c r="J523" s="51">
        <f t="shared" si="43"/>
        <v>0</v>
      </c>
      <c r="K523" s="55"/>
      <c r="L523" s="297"/>
      <c r="M523" s="22">
        <f t="shared" si="45"/>
        <v>0</v>
      </c>
      <c r="N523" s="22">
        <v>0</v>
      </c>
    </row>
    <row r="524" spans="1:14">
      <c r="A524" s="38">
        <f t="shared" si="44"/>
        <v>524</v>
      </c>
      <c r="B524" s="56"/>
      <c r="C524" s="56"/>
      <c r="D524" s="56"/>
      <c r="E524" s="56"/>
      <c r="F524" s="56"/>
      <c r="G524" s="56"/>
      <c r="H524" s="56"/>
      <c r="I524" s="57"/>
      <c r="J524" s="58"/>
      <c r="K524" s="58"/>
      <c r="L524" s="298"/>
      <c r="M524" s="22">
        <f t="shared" si="45"/>
        <v>0</v>
      </c>
      <c r="N524" s="22">
        <v>0</v>
      </c>
    </row>
    <row r="525" spans="1:14" ht="14">
      <c r="A525" s="38">
        <f t="shared" si="44"/>
        <v>525</v>
      </c>
      <c r="B525" s="40" t="s">
        <v>236</v>
      </c>
      <c r="C525" s="82" t="s">
        <v>237</v>
      </c>
      <c r="D525" s="61"/>
      <c r="E525" s="61"/>
      <c r="F525" s="61"/>
      <c r="G525" s="61"/>
      <c r="H525" s="61"/>
      <c r="I525" s="61"/>
      <c r="J525" s="51">
        <f t="shared" si="43"/>
        <v>0</v>
      </c>
      <c r="K525" s="62">
        <f>SUM(K526:K528)</f>
        <v>0</v>
      </c>
      <c r="L525" s="51">
        <f>SUM(L526:L528)</f>
        <v>0</v>
      </c>
      <c r="M525" s="22">
        <v>1</v>
      </c>
      <c r="N525" s="22">
        <v>1</v>
      </c>
    </row>
    <row r="526" spans="1:14">
      <c r="A526" s="38">
        <f t="shared" si="44"/>
        <v>526</v>
      </c>
      <c r="B526" s="56"/>
      <c r="C526" s="85" t="s">
        <v>238</v>
      </c>
      <c r="D526" s="81" t="s">
        <v>328</v>
      </c>
      <c r="E526" s="56"/>
      <c r="F526" s="56"/>
      <c r="G526" s="56"/>
      <c r="H526" s="56"/>
      <c r="I526" s="56"/>
      <c r="J526" s="51">
        <f t="shared" si="43"/>
        <v>0</v>
      </c>
      <c r="K526" s="55"/>
      <c r="L526" s="297"/>
      <c r="M526" s="22">
        <f t="shared" ref="M526:M533" si="46">IF(J526&lt;&gt;0,1,0)</f>
        <v>0</v>
      </c>
      <c r="N526" s="22">
        <v>0</v>
      </c>
    </row>
    <row r="527" spans="1:14">
      <c r="A527" s="38">
        <f t="shared" si="44"/>
        <v>527</v>
      </c>
      <c r="B527" s="56"/>
      <c r="C527" s="85" t="s">
        <v>26</v>
      </c>
      <c r="D527" s="81" t="s">
        <v>327</v>
      </c>
      <c r="E527" s="56"/>
      <c r="F527" s="56"/>
      <c r="G527" s="56"/>
      <c r="H527" s="56"/>
      <c r="I527" s="56"/>
      <c r="J527" s="51">
        <f t="shared" si="43"/>
        <v>0</v>
      </c>
      <c r="K527" s="55"/>
      <c r="L527" s="297"/>
      <c r="M527" s="22">
        <f t="shared" si="46"/>
        <v>0</v>
      </c>
      <c r="N527" s="22">
        <v>0</v>
      </c>
    </row>
    <row r="528" spans="1:14">
      <c r="A528" s="38">
        <f t="shared" si="44"/>
        <v>528</v>
      </c>
      <c r="B528" s="56"/>
      <c r="C528" s="85" t="s">
        <v>216</v>
      </c>
      <c r="D528" s="81" t="s">
        <v>239</v>
      </c>
      <c r="E528" s="56"/>
      <c r="F528" s="56"/>
      <c r="G528" s="56"/>
      <c r="H528" s="56"/>
      <c r="I528" s="56"/>
      <c r="J528" s="51">
        <f t="shared" si="43"/>
        <v>0</v>
      </c>
      <c r="K528" s="62">
        <f>SUM(K529:K532)</f>
        <v>0</v>
      </c>
      <c r="L528" s="51">
        <f>SUM(L529:L532)</f>
        <v>0</v>
      </c>
      <c r="M528" s="22">
        <f t="shared" si="46"/>
        <v>0</v>
      </c>
      <c r="N528" s="22">
        <v>0</v>
      </c>
    </row>
    <row r="529" spans="1:14">
      <c r="A529" s="38">
        <f t="shared" si="44"/>
        <v>529</v>
      </c>
      <c r="B529" s="56"/>
      <c r="C529" s="56"/>
      <c r="D529" s="54" t="s">
        <v>174</v>
      </c>
      <c r="E529" s="81" t="s">
        <v>240</v>
      </c>
      <c r="F529" s="56"/>
      <c r="G529" s="56"/>
      <c r="H529" s="56"/>
      <c r="I529" s="56"/>
      <c r="J529" s="51">
        <f t="shared" si="43"/>
        <v>0</v>
      </c>
      <c r="K529" s="55"/>
      <c r="L529" s="297"/>
      <c r="M529" s="22">
        <f t="shared" si="46"/>
        <v>0</v>
      </c>
      <c r="N529" s="22">
        <v>0</v>
      </c>
    </row>
    <row r="530" spans="1:14">
      <c r="A530" s="38">
        <f t="shared" si="44"/>
        <v>530</v>
      </c>
      <c r="B530" s="56"/>
      <c r="C530" s="56"/>
      <c r="D530" s="54" t="s">
        <v>186</v>
      </c>
      <c r="E530" s="81" t="s">
        <v>241</v>
      </c>
      <c r="F530" s="56"/>
      <c r="G530" s="56"/>
      <c r="H530" s="56"/>
      <c r="I530" s="56"/>
      <c r="J530" s="51">
        <f t="shared" si="43"/>
        <v>0</v>
      </c>
      <c r="K530" s="55"/>
      <c r="L530" s="297"/>
      <c r="M530" s="22">
        <f t="shared" si="46"/>
        <v>0</v>
      </c>
      <c r="N530" s="22">
        <v>0</v>
      </c>
    </row>
    <row r="531" spans="1:14">
      <c r="A531" s="38">
        <f t="shared" si="44"/>
        <v>531</v>
      </c>
      <c r="B531" s="56"/>
      <c r="C531" s="56"/>
      <c r="D531" s="54" t="s">
        <v>223</v>
      </c>
      <c r="E531" s="81" t="s">
        <v>242</v>
      </c>
      <c r="F531" s="56"/>
      <c r="G531" s="56"/>
      <c r="H531" s="56"/>
      <c r="I531" s="56"/>
      <c r="J531" s="51">
        <f t="shared" si="43"/>
        <v>0</v>
      </c>
      <c r="K531" s="55"/>
      <c r="L531" s="297"/>
      <c r="M531" s="22">
        <f t="shared" si="46"/>
        <v>0</v>
      </c>
      <c r="N531" s="22">
        <v>0</v>
      </c>
    </row>
    <row r="532" spans="1:14">
      <c r="A532" s="38">
        <f t="shared" si="44"/>
        <v>532</v>
      </c>
      <c r="B532" s="56"/>
      <c r="C532" s="56"/>
      <c r="D532" s="54" t="s">
        <v>72</v>
      </c>
      <c r="E532" s="81" t="s">
        <v>243</v>
      </c>
      <c r="F532" s="56"/>
      <c r="G532" s="56"/>
      <c r="H532" s="56"/>
      <c r="I532" s="56"/>
      <c r="J532" s="51">
        <f t="shared" si="43"/>
        <v>0</v>
      </c>
      <c r="K532" s="87"/>
      <c r="L532" s="305"/>
      <c r="M532" s="22">
        <f t="shared" si="46"/>
        <v>0</v>
      </c>
      <c r="N532" s="22">
        <v>0</v>
      </c>
    </row>
    <row r="533" spans="1:14">
      <c r="A533" s="38">
        <f t="shared" si="44"/>
        <v>533</v>
      </c>
      <c r="B533" s="56"/>
      <c r="C533" s="56"/>
      <c r="D533" s="56"/>
      <c r="E533" s="56"/>
      <c r="F533" s="56"/>
      <c r="G533" s="56"/>
      <c r="H533" s="56"/>
      <c r="I533" s="57"/>
      <c r="J533" s="84"/>
      <c r="K533" s="84"/>
      <c r="L533" s="306"/>
      <c r="M533" s="22">
        <f t="shared" si="46"/>
        <v>0</v>
      </c>
      <c r="N533" s="22">
        <v>0</v>
      </c>
    </row>
    <row r="534" spans="1:14" ht="14">
      <c r="A534" s="38">
        <f t="shared" si="44"/>
        <v>534</v>
      </c>
      <c r="B534" s="40" t="s">
        <v>244</v>
      </c>
      <c r="C534" s="61"/>
      <c r="D534" s="61"/>
      <c r="E534" s="61"/>
      <c r="F534" s="61"/>
      <c r="G534" s="61"/>
      <c r="H534" s="61"/>
      <c r="I534" s="61"/>
      <c r="J534" s="51">
        <f t="shared" si="43"/>
        <v>0</v>
      </c>
      <c r="K534" s="88"/>
      <c r="L534" s="88"/>
      <c r="M534" s="22">
        <v>1</v>
      </c>
      <c r="N534" s="22">
        <v>1</v>
      </c>
    </row>
    <row r="535" spans="1:14" ht="15.5">
      <c r="A535" s="307">
        <f t="shared" si="44"/>
        <v>535</v>
      </c>
      <c r="B535" s="1023" t="s">
        <v>245</v>
      </c>
      <c r="C535" s="1024"/>
      <c r="D535" s="1024"/>
      <c r="E535" s="1024"/>
      <c r="F535" s="1024"/>
      <c r="G535" s="1024"/>
      <c r="H535" s="1024"/>
      <c r="I535" s="1024"/>
      <c r="J535" s="308">
        <f t="shared" si="43"/>
        <v>0</v>
      </c>
      <c r="K535" s="42">
        <f>SUM(K8,K494,K502,K525,K534)</f>
        <v>0</v>
      </c>
      <c r="L535" s="42">
        <f>SUM(L8,L494,L502,L525,L534)</f>
        <v>0</v>
      </c>
      <c r="M535" s="22">
        <v>1</v>
      </c>
      <c r="N535" s="22">
        <v>1</v>
      </c>
    </row>
    <row r="536" spans="1:14">
      <c r="A536" s="89"/>
      <c r="B536" s="90"/>
      <c r="C536" s="90"/>
      <c r="D536" s="90"/>
      <c r="E536" s="90"/>
      <c r="F536" s="90"/>
      <c r="G536" s="90"/>
      <c r="H536" s="90"/>
      <c r="I536" s="90"/>
      <c r="J536" s="91"/>
      <c r="K536" s="93"/>
      <c r="L536" s="93"/>
    </row>
    <row r="537" spans="1:14" ht="18">
      <c r="A537" s="89"/>
      <c r="B537" s="90"/>
      <c r="C537" s="92" t="e">
        <f>IF(AND(#REF!&gt;0,#REF!=0),'106'!#REF!," ")</f>
        <v>#REF!</v>
      </c>
      <c r="D537" s="90"/>
      <c r="F537" s="90"/>
      <c r="G537" s="90"/>
      <c r="H537" s="90"/>
      <c r="J537" s="91"/>
      <c r="K537" s="93"/>
      <c r="L537" s="93"/>
    </row>
    <row r="538" spans="1:14">
      <c r="A538" s="89"/>
      <c r="B538" s="94" t="s">
        <v>246</v>
      </c>
      <c r="C538" s="90"/>
      <c r="D538" s="1816"/>
      <c r="E538" s="1817"/>
      <c r="F538" s="1817"/>
      <c r="G538" s="1817"/>
      <c r="H538" s="1817"/>
      <c r="I538" s="1818"/>
      <c r="J538" s="95" t="s">
        <v>247</v>
      </c>
      <c r="K538" s="93"/>
      <c r="L538" s="93"/>
    </row>
    <row r="539" spans="1:14">
      <c r="A539" s="89"/>
      <c r="B539" s="94" t="s">
        <v>246</v>
      </c>
      <c r="C539" s="90"/>
      <c r="D539" s="1816"/>
      <c r="E539" s="1817"/>
      <c r="F539" s="1817"/>
      <c r="G539" s="1817"/>
      <c r="H539" s="1817"/>
      <c r="I539" s="1818"/>
      <c r="J539" s="95" t="s">
        <v>247</v>
      </c>
      <c r="K539" s="93"/>
      <c r="L539" s="93"/>
    </row>
    <row r="540" spans="1:14">
      <c r="A540" s="89"/>
      <c r="B540" s="90"/>
      <c r="C540" s="90"/>
      <c r="D540" s="90"/>
      <c r="E540" s="90"/>
      <c r="F540" s="90"/>
      <c r="G540" s="90"/>
      <c r="H540" s="90"/>
      <c r="I540" s="90"/>
      <c r="J540" s="91"/>
      <c r="K540" s="93"/>
      <c r="L540" s="93"/>
    </row>
    <row r="541" spans="1:14">
      <c r="A541" s="89"/>
      <c r="B541" s="90"/>
      <c r="C541" s="90"/>
      <c r="D541" s="90"/>
      <c r="E541" s="90"/>
      <c r="F541" s="90"/>
      <c r="G541" s="90"/>
      <c r="H541" s="90"/>
      <c r="I541" s="90"/>
      <c r="J541" s="91"/>
      <c r="K541" s="93"/>
      <c r="L541" s="93"/>
    </row>
    <row r="542" spans="1:14">
      <c r="A542" s="97"/>
      <c r="B542" s="96"/>
      <c r="C542" s="97"/>
      <c r="D542" s="97"/>
      <c r="E542" s="97"/>
      <c r="F542" s="97"/>
      <c r="G542" s="97"/>
      <c r="H542" s="97"/>
      <c r="I542" s="97"/>
      <c r="J542" s="97"/>
      <c r="K542" s="97"/>
      <c r="L542" s="97"/>
    </row>
    <row r="543" spans="1:14">
      <c r="A543" s="97"/>
      <c r="B543" s="96"/>
      <c r="C543" s="97"/>
      <c r="D543" s="97"/>
      <c r="E543" s="97"/>
      <c r="F543" s="97"/>
      <c r="G543" s="97"/>
      <c r="H543" s="97"/>
      <c r="I543" s="98"/>
      <c r="J543" s="97"/>
      <c r="K543" s="97"/>
      <c r="L543" s="97"/>
    </row>
    <row r="544" spans="1:14">
      <c r="A544" s="97"/>
      <c r="B544" s="96"/>
      <c r="C544" s="97"/>
      <c r="D544" s="97"/>
      <c r="E544" s="97"/>
      <c r="F544" s="97"/>
      <c r="G544" s="97"/>
      <c r="H544" s="97"/>
      <c r="I544" s="97"/>
      <c r="J544" s="97"/>
      <c r="K544" s="97"/>
      <c r="L544" s="97"/>
    </row>
    <row r="545" spans="1:12">
      <c r="A545" s="97"/>
      <c r="B545" s="96"/>
      <c r="C545" s="97"/>
      <c r="D545" s="97"/>
      <c r="E545" s="97"/>
      <c r="F545" s="97"/>
      <c r="G545" s="97"/>
      <c r="H545" s="97"/>
      <c r="I545" s="97"/>
      <c r="J545" s="97"/>
      <c r="K545" s="97"/>
      <c r="L545" s="97"/>
    </row>
    <row r="546" spans="1:12">
      <c r="A546" s="97"/>
      <c r="B546" s="96"/>
      <c r="C546" s="97"/>
      <c r="D546" s="97"/>
      <c r="E546" s="97"/>
      <c r="F546" s="97"/>
      <c r="G546" s="97"/>
      <c r="H546" s="97"/>
      <c r="I546" s="97"/>
      <c r="J546" s="97"/>
      <c r="K546" s="97"/>
      <c r="L546" s="97"/>
    </row>
    <row r="547" spans="1:12">
      <c r="A547" s="97"/>
      <c r="B547" s="96"/>
      <c r="C547" s="97"/>
      <c r="D547" s="97"/>
      <c r="E547" s="97"/>
      <c r="F547" s="97"/>
      <c r="G547" s="97"/>
      <c r="H547" s="97"/>
      <c r="I547" s="97"/>
      <c r="J547" s="97"/>
      <c r="K547" s="97"/>
      <c r="L547" s="97"/>
    </row>
    <row r="548" spans="1:12">
      <c r="A548" s="97"/>
      <c r="B548" s="96"/>
      <c r="C548" s="97"/>
      <c r="D548" s="97"/>
      <c r="E548" s="97"/>
      <c r="F548" s="97"/>
      <c r="G548" s="97"/>
      <c r="H548" s="97"/>
      <c r="I548" s="97"/>
      <c r="J548" s="97"/>
      <c r="K548" s="97"/>
      <c r="L548" s="97"/>
    </row>
    <row r="549" spans="1:12">
      <c r="A549" s="97"/>
      <c r="B549" s="96"/>
      <c r="C549" s="97"/>
      <c r="D549" s="97"/>
      <c r="E549" s="97"/>
      <c r="F549" s="97"/>
      <c r="G549" s="97"/>
      <c r="H549" s="97"/>
      <c r="I549" s="97"/>
      <c r="J549" s="97"/>
      <c r="K549" s="97"/>
      <c r="L549" s="97"/>
    </row>
    <row r="550" spans="1:12">
      <c r="A550" s="97"/>
      <c r="B550" s="96"/>
      <c r="C550" s="97"/>
      <c r="D550" s="97"/>
      <c r="E550" s="97"/>
      <c r="F550" s="97"/>
      <c r="G550" s="97"/>
      <c r="H550" s="97"/>
      <c r="I550" s="97"/>
      <c r="J550" s="97"/>
      <c r="K550" s="97"/>
      <c r="L550" s="97"/>
    </row>
  </sheetData>
  <sheetProtection password="EA36" sheet="1" objects="1" scenarios="1" formatCells="0" formatColumns="0" formatRows="0" autoFilter="0"/>
  <autoFilter ref="M8:N540"/>
  <mergeCells count="3">
    <mergeCell ref="A6:I6"/>
    <mergeCell ref="D538:I538"/>
    <mergeCell ref="D539:I539"/>
  </mergeCells>
  <dataValidations count="1">
    <dataValidation type="decimal" allowBlank="1" showInputMessage="1" showErrorMessage="1" sqref="F19 D7:I16 E19:E21 C26:I121 C9:C16 C7 J70:L70 K57:L58 K74:L88 J66:L66 K8:L8 J45:L45 J31:L31 J49:L49 J53:L53 J62:L62 J7:J30 J32:J44 J46:J48 J50:J52 J54:J61 J63:J65 J67:J69 J71:J151">
      <formula1>-1000000</formula1>
      <formula2>100000000</formula2>
    </dataValidation>
  </dataValidations>
  <hyperlinks>
    <hyperlink ref="L1" location="Information!A1" display="חזרה"/>
  </hyperlinks>
  <printOptions horizontalCentered="1"/>
  <pageMargins left="0" right="0" top="0.59055118110236227" bottom="0.39370078740157483" header="0.39370078740157483" footer="0.19685039370078741"/>
  <pageSetup paperSize="9" scale="87" fitToHeight="9" orientation="portrait" blackAndWhite="1" horizontalDpi="300" verticalDpi="300" r:id="rId1"/>
  <headerFooter alignWithMargins="0">
    <oddFooter>&amp;L&amp;F     &amp;A&amp;C&amp;P/&amp;N&amp;R&amp;T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E47"/>
  <sheetViews>
    <sheetView rightToLeft="1" workbookViewId="0"/>
  </sheetViews>
  <sheetFormatPr defaultRowHeight="12.5"/>
  <cols>
    <col min="2" max="2" width="46.54296875" customWidth="1"/>
    <col min="3" max="3" width="14.1796875" customWidth="1"/>
    <col min="4" max="4" width="14.453125" bestFit="1" customWidth="1"/>
  </cols>
  <sheetData>
    <row r="1" spans="1:5" ht="18">
      <c r="B1" s="15" t="str">
        <f>company</f>
        <v>_____חברה מנהלת</v>
      </c>
      <c r="D1" s="20" t="str">
        <f>Information!$E$1</f>
        <v>חזרה</v>
      </c>
    </row>
    <row r="2" spans="1:5" ht="18">
      <c r="B2" s="23" t="s">
        <v>2897</v>
      </c>
    </row>
    <row r="3" spans="1:5" ht="15.5">
      <c r="B3" s="28" t="str">
        <f>Information!$M$21</f>
        <v>הנתונים באלפי ש"ח</v>
      </c>
      <c r="C3" s="1427" t="s">
        <v>2929</v>
      </c>
    </row>
    <row r="4" spans="1:5" ht="15.5">
      <c r="C4" s="1428" t="s">
        <v>2928</v>
      </c>
    </row>
    <row r="5" spans="1:5" ht="31">
      <c r="A5" s="1401"/>
      <c r="B5" s="1470" t="s">
        <v>3876</v>
      </c>
      <c r="C5" s="1402" t="s">
        <v>2895</v>
      </c>
      <c r="E5" s="1595" t="s">
        <v>4881</v>
      </c>
    </row>
    <row r="6" spans="1:5" ht="14">
      <c r="A6" s="1401"/>
      <c r="B6" s="1403"/>
      <c r="C6" s="1404" t="str">
        <f>'2'!C4</f>
        <v>שנת 2021</v>
      </c>
    </row>
    <row r="7" spans="1:5" ht="14">
      <c r="A7" s="1401"/>
      <c r="B7" s="1405"/>
      <c r="C7" s="1406" t="s">
        <v>29</v>
      </c>
    </row>
    <row r="8" spans="1:5" ht="14">
      <c r="A8">
        <v>0</v>
      </c>
      <c r="B8" s="1407" t="s">
        <v>2868</v>
      </c>
      <c r="C8" s="1408">
        <f>SUM(C9:C10)</f>
        <v>0</v>
      </c>
    </row>
    <row r="9" spans="1:5" ht="14">
      <c r="A9">
        <v>0</v>
      </c>
      <c r="B9" s="1409" t="s">
        <v>2869</v>
      </c>
      <c r="C9" s="1411"/>
    </row>
    <row r="10" spans="1:5" ht="14">
      <c r="A10">
        <v>0</v>
      </c>
      <c r="B10" s="1409" t="s">
        <v>2870</v>
      </c>
      <c r="C10" s="1411"/>
    </row>
    <row r="11" spans="1:5" ht="14">
      <c r="A11">
        <v>0</v>
      </c>
      <c r="B11" s="1412"/>
      <c r="C11" s="1413"/>
    </row>
    <row r="12" spans="1:5" ht="14">
      <c r="A12">
        <v>0</v>
      </c>
      <c r="B12" s="1412" t="s">
        <v>2871</v>
      </c>
      <c r="C12" s="1410">
        <f>SUM(C13:C14)</f>
        <v>0</v>
      </c>
    </row>
    <row r="13" spans="1:5" ht="14">
      <c r="A13">
        <v>0</v>
      </c>
      <c r="B13" s="1409" t="s">
        <v>2869</v>
      </c>
      <c r="C13" s="1411"/>
    </row>
    <row r="14" spans="1:5" ht="14">
      <c r="A14">
        <v>0</v>
      </c>
      <c r="B14" s="1409" t="s">
        <v>2870</v>
      </c>
      <c r="C14" s="1411"/>
    </row>
    <row r="15" spans="1:5" ht="14">
      <c r="A15">
        <v>0</v>
      </c>
      <c r="B15" s="1412"/>
      <c r="C15" s="1413"/>
    </row>
    <row r="16" spans="1:5" ht="14">
      <c r="A16">
        <v>0</v>
      </c>
      <c r="B16" s="1412" t="s">
        <v>2872</v>
      </c>
      <c r="C16" s="1410">
        <f>SUM(C17:C19)</f>
        <v>0</v>
      </c>
    </row>
    <row r="17" spans="1:3" ht="28">
      <c r="A17">
        <v>1</v>
      </c>
      <c r="B17" s="1409" t="s">
        <v>2873</v>
      </c>
      <c r="C17" s="1411"/>
    </row>
    <row r="18" spans="1:3" ht="14">
      <c r="A18" s="1021">
        <v>0</v>
      </c>
      <c r="B18" s="1409" t="s">
        <v>2874</v>
      </c>
      <c r="C18" s="1411"/>
    </row>
    <row r="19" spans="1:3" ht="14">
      <c r="A19">
        <v>0</v>
      </c>
      <c r="B19" s="1409" t="s">
        <v>2875</v>
      </c>
      <c r="C19" s="1411"/>
    </row>
    <row r="20" spans="1:3" ht="14">
      <c r="A20">
        <v>0</v>
      </c>
      <c r="B20" s="1412"/>
      <c r="C20" s="1413"/>
    </row>
    <row r="21" spans="1:3" ht="14">
      <c r="A21">
        <v>1</v>
      </c>
      <c r="B21" s="1412" t="s">
        <v>2876</v>
      </c>
      <c r="C21" s="1410">
        <f>SUM(C22:C29)</f>
        <v>0</v>
      </c>
    </row>
    <row r="22" spans="1:3" ht="14">
      <c r="A22">
        <v>0</v>
      </c>
      <c r="B22" s="1409" t="s">
        <v>2877</v>
      </c>
      <c r="C22" s="1411"/>
    </row>
    <row r="23" spans="1:3" ht="14">
      <c r="A23">
        <v>0</v>
      </c>
      <c r="B23" s="1409" t="s">
        <v>2878</v>
      </c>
      <c r="C23" s="1411"/>
    </row>
    <row r="24" spans="1:3" ht="14">
      <c r="A24">
        <v>0</v>
      </c>
      <c r="B24" s="1409" t="s">
        <v>2879</v>
      </c>
      <c r="C24" s="1411"/>
    </row>
    <row r="25" spans="1:3" ht="14">
      <c r="A25">
        <v>0</v>
      </c>
      <c r="B25" s="1409" t="s">
        <v>2880</v>
      </c>
      <c r="C25" s="1411"/>
    </row>
    <row r="26" spans="1:3" ht="14">
      <c r="A26">
        <v>0</v>
      </c>
      <c r="B26" s="1409" t="s">
        <v>2881</v>
      </c>
      <c r="C26" s="1411"/>
    </row>
    <row r="27" spans="1:3" ht="14">
      <c r="A27">
        <v>0</v>
      </c>
      <c r="B27" s="1409" t="s">
        <v>2882</v>
      </c>
      <c r="C27" s="1411"/>
    </row>
    <row r="28" spans="1:3" ht="14">
      <c r="A28">
        <v>0</v>
      </c>
      <c r="B28" s="1409" t="s">
        <v>2883</v>
      </c>
      <c r="C28" s="1411"/>
    </row>
    <row r="29" spans="1:3" ht="14">
      <c r="A29">
        <v>0</v>
      </c>
      <c r="B29" s="1409" t="s">
        <v>2884</v>
      </c>
      <c r="C29" s="1411"/>
    </row>
    <row r="30" spans="1:3" ht="14">
      <c r="A30">
        <v>0</v>
      </c>
      <c r="B30" s="1412"/>
      <c r="C30" s="1413"/>
    </row>
    <row r="31" spans="1:3" ht="14">
      <c r="A31">
        <v>0</v>
      </c>
      <c r="B31" s="1412" t="s">
        <v>2885</v>
      </c>
      <c r="C31" s="1410">
        <f>SUM(C32:C33)</f>
        <v>0</v>
      </c>
    </row>
    <row r="32" spans="1:3" ht="14">
      <c r="A32">
        <v>0</v>
      </c>
      <c r="B32" s="1409" t="s">
        <v>2886</v>
      </c>
      <c r="C32" s="1411"/>
    </row>
    <row r="33" spans="1:3" ht="14">
      <c r="A33">
        <v>1</v>
      </c>
      <c r="B33" s="1409" t="s">
        <v>2887</v>
      </c>
      <c r="C33" s="1411"/>
    </row>
    <row r="34" spans="1:3" ht="14">
      <c r="B34" s="1412"/>
      <c r="C34" s="1413"/>
    </row>
    <row r="35" spans="1:3" ht="14">
      <c r="B35" s="1412" t="s">
        <v>2888</v>
      </c>
      <c r="C35" s="1414"/>
    </row>
    <row r="36" spans="1:3" ht="28">
      <c r="A36">
        <v>1</v>
      </c>
      <c r="B36" s="1409" t="s">
        <v>2889</v>
      </c>
      <c r="C36" s="1415">
        <f>SUMIF($A$8:$A$33,$A$36,C8:C33)</f>
        <v>0</v>
      </c>
    </row>
    <row r="37" spans="1:3" ht="14">
      <c r="A37" s="1401"/>
      <c r="B37" s="1409" t="s">
        <v>2890</v>
      </c>
      <c r="C37" s="1415">
        <f>SUM(C31,C21,C16,C11,C8,C12)</f>
        <v>0</v>
      </c>
    </row>
    <row r="38" spans="1:3" ht="14">
      <c r="A38" s="1401"/>
      <c r="B38" s="1412"/>
      <c r="C38" s="1413"/>
    </row>
    <row r="39" spans="1:3" ht="14">
      <c r="A39" s="1401"/>
      <c r="B39" s="1412" t="s">
        <v>2891</v>
      </c>
      <c r="C39" s="1416"/>
    </row>
    <row r="40" spans="1:3" ht="28">
      <c r="A40" s="1401"/>
      <c r="B40" s="1417" t="s">
        <v>2892</v>
      </c>
      <c r="C40" s="1421">
        <f>IF(C36=0,0,C36/($C$44+$C$45))</f>
        <v>0</v>
      </c>
    </row>
    <row r="41" spans="1:3" ht="14">
      <c r="A41" s="1401"/>
      <c r="B41" s="1417" t="s">
        <v>4988</v>
      </c>
      <c r="C41" s="1642">
        <f>IF(C37=0,0,C37/((C44+C45+C47)/2))</f>
        <v>0</v>
      </c>
    </row>
    <row r="42" spans="1:3" ht="14">
      <c r="A42" s="1401"/>
      <c r="B42" s="1412"/>
      <c r="C42" s="1413"/>
    </row>
    <row r="43" spans="1:3" ht="14">
      <c r="A43" s="1401"/>
      <c r="B43" s="1412" t="s">
        <v>2893</v>
      </c>
      <c r="C43" s="1411"/>
    </row>
    <row r="44" spans="1:3" ht="28">
      <c r="A44" s="1401"/>
      <c r="B44" s="1409" t="s">
        <v>2905</v>
      </c>
      <c r="C44" s="1422"/>
    </row>
    <row r="45" spans="1:3" ht="28">
      <c r="A45" s="1401"/>
      <c r="B45" s="1409" t="s">
        <v>2904</v>
      </c>
      <c r="C45" s="1422"/>
    </row>
    <row r="46" spans="1:3" ht="14">
      <c r="A46" s="1401"/>
      <c r="B46" s="1423"/>
      <c r="C46" s="1422"/>
    </row>
    <row r="47" spans="1:3" ht="14">
      <c r="A47" s="1401"/>
      <c r="B47" s="1418" t="s">
        <v>2894</v>
      </c>
      <c r="C47" s="1419"/>
    </row>
  </sheetData>
  <sheetProtection password="B436" sheet="1" objects="1" scenarios="1" formatCells="0" formatColumns="0" formatRows="0"/>
  <hyperlinks>
    <hyperlink ref="D1" location="Information!A1" display="חזרה"/>
    <hyperlink ref="C4" r:id="rId1"/>
    <hyperlink ref="C3" r:id="rId2" display="חוזר גופים מוסדיים 2015-9-5"/>
    <hyperlink ref="B5" location="Information!A60" display="הערות"/>
  </hyperlinks>
  <pageMargins left="0" right="0.7" top="0" bottom="0.75" header="0" footer="0.3"/>
  <pageSetup paperSize="9" scale="96" orientation="portrait" r:id="rId3"/>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783DE2A4-A34E-4A90-B2B2-3FC594F3B1E0}">
            <xm:f>Information!$G$54&gt;0</xm:f>
            <x14:dxf>
              <font>
                <b/>
                <i val="0"/>
                <color theme="1"/>
              </font>
              <fill>
                <patternFill>
                  <bgColor rgb="FFFFFF00"/>
                </patternFill>
              </fill>
            </x14:dxf>
          </x14:cfRule>
          <xm:sqref>B5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3:V15"/>
  <sheetViews>
    <sheetView showGridLines="0" rightToLeft="1" workbookViewId="0"/>
  </sheetViews>
  <sheetFormatPr defaultColWidth="9.1796875" defaultRowHeight="14"/>
  <cols>
    <col min="1" max="1" width="29.453125" style="1655" bestFit="1" customWidth="1"/>
    <col min="2" max="16384" width="9.1796875" style="1655"/>
  </cols>
  <sheetData>
    <row r="3" spans="1:22" ht="15" customHeight="1">
      <c r="A3" s="1822" t="s">
        <v>5028</v>
      </c>
      <c r="B3" s="1823"/>
      <c r="C3" s="1823"/>
      <c r="D3" s="1823"/>
      <c r="E3" s="1823"/>
      <c r="F3" s="1823"/>
      <c r="G3" s="1823"/>
      <c r="H3" s="1823"/>
      <c r="I3" s="1823"/>
      <c r="J3" s="1823"/>
      <c r="K3" s="1823"/>
      <c r="L3" s="1823"/>
    </row>
    <row r="4" spans="1:22" ht="15" customHeight="1">
      <c r="A4" s="1656" t="s">
        <v>5029</v>
      </c>
      <c r="B4" s="1824" t="s">
        <v>5030</v>
      </c>
      <c r="C4" s="1824"/>
      <c r="D4" s="1824"/>
      <c r="E4" s="1824"/>
      <c r="F4" s="1824"/>
      <c r="G4" s="1824"/>
      <c r="H4" s="1824"/>
      <c r="I4" s="1824"/>
      <c r="J4" s="1824"/>
      <c r="K4" s="1824"/>
      <c r="L4" s="1819"/>
    </row>
    <row r="5" spans="1:22" ht="14.25" customHeight="1">
      <c r="A5" s="1657" t="s">
        <v>5031</v>
      </c>
      <c r="B5" s="1825" t="s">
        <v>5032</v>
      </c>
      <c r="C5" s="1825"/>
      <c r="D5" s="1825"/>
      <c r="E5" s="1825"/>
      <c r="F5" s="1825"/>
      <c r="G5" s="1825"/>
      <c r="H5" s="1825"/>
      <c r="I5" s="1825"/>
      <c r="J5" s="1825"/>
      <c r="K5" s="1825"/>
      <c r="L5" s="1826"/>
    </row>
    <row r="7" spans="1:22">
      <c r="A7" s="1658" t="s">
        <v>5033</v>
      </c>
      <c r="B7" s="1827" t="s">
        <v>5034</v>
      </c>
      <c r="C7" s="1828"/>
      <c r="D7" s="1828"/>
      <c r="E7" s="1828"/>
      <c r="F7" s="1828"/>
      <c r="G7" s="1828"/>
      <c r="H7" s="1828"/>
      <c r="I7" s="1828"/>
      <c r="J7" s="1828"/>
      <c r="K7" s="1828"/>
      <c r="L7" s="1828"/>
      <c r="M7" s="1828"/>
      <c r="N7" s="1828"/>
      <c r="O7" s="1828"/>
      <c r="P7" s="1828"/>
      <c r="Q7" s="1828"/>
      <c r="R7" s="1828"/>
      <c r="S7" s="1828"/>
      <c r="T7" s="1828"/>
      <c r="U7" s="1828"/>
      <c r="V7" s="1828"/>
    </row>
    <row r="8" spans="1:22" ht="14.25" customHeight="1">
      <c r="A8" s="1659" t="s">
        <v>5035</v>
      </c>
      <c r="B8" s="1819" t="s">
        <v>5036</v>
      </c>
      <c r="C8" s="1820"/>
      <c r="D8" s="1820"/>
      <c r="E8" s="1820"/>
      <c r="F8" s="1820"/>
      <c r="G8" s="1820"/>
      <c r="H8" s="1820"/>
      <c r="I8" s="1820"/>
      <c r="J8" s="1820"/>
      <c r="K8" s="1820"/>
      <c r="L8" s="1820"/>
      <c r="M8" s="1820"/>
      <c r="N8" s="1820"/>
      <c r="O8" s="1820"/>
      <c r="P8" s="1820"/>
      <c r="Q8" s="1820"/>
      <c r="R8" s="1820"/>
      <c r="S8" s="1820"/>
      <c r="T8" s="1820"/>
      <c r="U8" s="1820"/>
      <c r="V8" s="1821"/>
    </row>
    <row r="9" spans="1:22" ht="14.25" customHeight="1">
      <c r="A9" s="1659" t="s">
        <v>4905</v>
      </c>
      <c r="B9" s="1819" t="s">
        <v>5037</v>
      </c>
      <c r="C9" s="1820"/>
      <c r="D9" s="1820"/>
      <c r="E9" s="1820"/>
      <c r="F9" s="1820"/>
      <c r="G9" s="1820"/>
      <c r="H9" s="1820"/>
      <c r="I9" s="1820"/>
      <c r="J9" s="1820"/>
      <c r="K9" s="1820"/>
      <c r="L9" s="1820"/>
      <c r="M9" s="1820"/>
      <c r="N9" s="1820"/>
      <c r="O9" s="1820"/>
      <c r="P9" s="1820"/>
      <c r="Q9" s="1820"/>
      <c r="R9" s="1820"/>
      <c r="S9" s="1820"/>
      <c r="T9" s="1820"/>
      <c r="U9" s="1820"/>
      <c r="V9" s="1821"/>
    </row>
    <row r="10" spans="1:22" ht="14.25" customHeight="1">
      <c r="A10" s="1659" t="s">
        <v>4906</v>
      </c>
      <c r="B10" s="1819" t="s">
        <v>5038</v>
      </c>
      <c r="C10" s="1820"/>
      <c r="D10" s="1820"/>
      <c r="E10" s="1820"/>
      <c r="F10" s="1820"/>
      <c r="G10" s="1820"/>
      <c r="H10" s="1820"/>
      <c r="I10" s="1820"/>
      <c r="J10" s="1820"/>
      <c r="K10" s="1820"/>
      <c r="L10" s="1820"/>
      <c r="M10" s="1820"/>
      <c r="N10" s="1820"/>
      <c r="O10" s="1820"/>
      <c r="P10" s="1820"/>
      <c r="Q10" s="1820"/>
      <c r="R10" s="1820"/>
      <c r="S10" s="1820"/>
      <c r="T10" s="1820"/>
      <c r="U10" s="1820"/>
      <c r="V10" s="1821"/>
    </row>
    <row r="11" spans="1:22">
      <c r="A11" s="1659" t="s">
        <v>4907</v>
      </c>
      <c r="B11" s="1819" t="s">
        <v>5039</v>
      </c>
      <c r="C11" s="1820"/>
      <c r="D11" s="1820"/>
      <c r="E11" s="1820"/>
      <c r="F11" s="1820"/>
      <c r="G11" s="1820"/>
      <c r="H11" s="1820"/>
      <c r="I11" s="1820"/>
      <c r="J11" s="1820"/>
      <c r="K11" s="1820"/>
      <c r="L11" s="1820"/>
      <c r="M11" s="1820"/>
      <c r="N11" s="1820"/>
      <c r="O11" s="1820"/>
      <c r="P11" s="1820"/>
      <c r="Q11" s="1820"/>
      <c r="R11" s="1820"/>
      <c r="S11" s="1820"/>
      <c r="T11" s="1820"/>
      <c r="U11" s="1820"/>
      <c r="V11" s="1821"/>
    </row>
    <row r="12" spans="1:22" ht="15.75" customHeight="1">
      <c r="A12" s="1659" t="s">
        <v>5040</v>
      </c>
      <c r="B12" s="1819" t="s">
        <v>5041</v>
      </c>
      <c r="C12" s="1820"/>
      <c r="D12" s="1820"/>
      <c r="E12" s="1820"/>
      <c r="F12" s="1820"/>
      <c r="G12" s="1820"/>
      <c r="H12" s="1820"/>
      <c r="I12" s="1820"/>
      <c r="J12" s="1820"/>
      <c r="K12" s="1820"/>
      <c r="L12" s="1820"/>
      <c r="M12" s="1820"/>
      <c r="N12" s="1820"/>
      <c r="O12" s="1820"/>
      <c r="P12" s="1820"/>
      <c r="Q12" s="1820"/>
      <c r="R12" s="1820"/>
      <c r="S12" s="1820"/>
      <c r="T12" s="1820"/>
      <c r="U12" s="1820"/>
      <c r="V12" s="1821"/>
    </row>
    <row r="13" spans="1:22" ht="14.25" customHeight="1">
      <c r="A13" s="1659" t="s">
        <v>4909</v>
      </c>
      <c r="B13" s="1819" t="s">
        <v>5042</v>
      </c>
      <c r="C13" s="1820"/>
      <c r="D13" s="1820"/>
      <c r="E13" s="1820"/>
      <c r="F13" s="1820"/>
      <c r="G13" s="1820"/>
      <c r="H13" s="1820"/>
      <c r="I13" s="1820"/>
      <c r="J13" s="1820"/>
      <c r="K13" s="1820"/>
      <c r="L13" s="1820"/>
      <c r="M13" s="1820"/>
      <c r="N13" s="1820"/>
      <c r="O13" s="1820"/>
      <c r="P13" s="1820"/>
      <c r="Q13" s="1820"/>
      <c r="R13" s="1820"/>
      <c r="S13" s="1820"/>
      <c r="T13" s="1820"/>
      <c r="U13" s="1820"/>
      <c r="V13" s="1821"/>
    </row>
    <row r="14" spans="1:22" ht="15" customHeight="1">
      <c r="A14" s="1659" t="s">
        <v>4910</v>
      </c>
      <c r="B14" s="1660" t="s">
        <v>5043</v>
      </c>
      <c r="C14" s="1661"/>
      <c r="D14" s="1662"/>
      <c r="E14" s="1662"/>
      <c r="F14" s="1662"/>
      <c r="G14" s="1662"/>
      <c r="H14" s="1662"/>
      <c r="I14" s="1662"/>
      <c r="J14" s="1662"/>
      <c r="K14" s="1662"/>
      <c r="L14" s="1662"/>
      <c r="M14" s="1662"/>
      <c r="N14" s="1662"/>
      <c r="O14" s="1662"/>
      <c r="P14" s="1662"/>
      <c r="Q14" s="1662"/>
      <c r="R14" s="1662"/>
      <c r="S14" s="1662"/>
      <c r="T14" s="1662"/>
      <c r="U14" s="1662"/>
      <c r="V14" s="1663"/>
    </row>
    <row r="15" spans="1:22">
      <c r="A15" s="1659" t="s">
        <v>4911</v>
      </c>
      <c r="B15" s="1819" t="s">
        <v>5044</v>
      </c>
      <c r="C15" s="1820"/>
      <c r="D15" s="1820"/>
      <c r="E15" s="1820"/>
      <c r="F15" s="1820"/>
      <c r="G15" s="1820"/>
      <c r="H15" s="1820"/>
      <c r="I15" s="1820"/>
      <c r="J15" s="1820"/>
      <c r="K15" s="1820"/>
      <c r="L15" s="1820"/>
      <c r="M15" s="1820"/>
      <c r="N15" s="1820"/>
      <c r="O15" s="1820"/>
      <c r="P15" s="1820"/>
      <c r="Q15" s="1820"/>
      <c r="R15" s="1820"/>
      <c r="S15" s="1820"/>
      <c r="T15" s="1820"/>
      <c r="U15" s="1820"/>
      <c r="V15" s="1821"/>
    </row>
  </sheetData>
  <mergeCells count="11">
    <mergeCell ref="B10:V10"/>
    <mergeCell ref="B11:V11"/>
    <mergeCell ref="B12:V12"/>
    <mergeCell ref="B13:V13"/>
    <mergeCell ref="B15:V15"/>
    <mergeCell ref="B9:V9"/>
    <mergeCell ref="A3:L3"/>
    <mergeCell ref="B4:L4"/>
    <mergeCell ref="B5:L5"/>
    <mergeCell ref="B7:V7"/>
    <mergeCell ref="B8:V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R1389"/>
  <sheetViews>
    <sheetView showGridLines="0" rightToLeft="1" workbookViewId="0">
      <pane xSplit="3" ySplit="11" topLeftCell="H183" activePane="bottomRight" state="frozen"/>
      <selection activeCell="H14" sqref="H14"/>
      <selection pane="topRight" activeCell="H14" sqref="H14"/>
      <selection pane="bottomLeft" activeCell="H14" sqref="H14"/>
      <selection pane="bottomRight" activeCell="O187" sqref="O187"/>
    </sheetView>
  </sheetViews>
  <sheetFormatPr defaultColWidth="9.1796875" defaultRowHeight="14"/>
  <cols>
    <col min="1" max="1" width="3.81640625" style="1655" customWidth="1"/>
    <col min="2" max="2" width="21.54296875" style="1655" customWidth="1"/>
    <col min="3" max="3" width="19.453125" style="1655" customWidth="1"/>
    <col min="4" max="4" width="11.453125" style="1655" customWidth="1"/>
    <col min="5" max="10" width="9.1796875" style="1665"/>
    <col min="11" max="12" width="12.1796875" style="1655" customWidth="1"/>
    <col min="13" max="13" width="12.1796875" style="1665" customWidth="1"/>
    <col min="14" max="16" width="9.1796875" style="1655"/>
    <col min="17" max="17" width="16.1796875" style="1655" customWidth="1"/>
    <col min="18" max="16384" width="9.1796875" style="1655"/>
  </cols>
  <sheetData>
    <row r="1" spans="1:18" ht="18.75" customHeight="1">
      <c r="B1" s="15" t="str">
        <f>company</f>
        <v>_____חברה מנהלת</v>
      </c>
      <c r="C1" s="1664"/>
    </row>
    <row r="2" spans="1:18" ht="18.75" customHeight="1">
      <c r="B2" s="23" t="s">
        <v>5051</v>
      </c>
      <c r="E2" s="642" t="s">
        <v>263</v>
      </c>
    </row>
    <row r="3" spans="1:18" ht="15.75" customHeight="1">
      <c r="B3" s="1457" t="s">
        <v>5045</v>
      </c>
      <c r="C3" s="1666" t="str">
        <f>Date1</f>
        <v>31.12.2021</v>
      </c>
    </row>
    <row r="4" spans="1:18" ht="15.75" customHeight="1">
      <c r="B4" s="1667" t="str">
        <f>line3</f>
        <v>הנתונים באלפי ש"ח</v>
      </c>
      <c r="C4" s="1428"/>
    </row>
    <row r="5" spans="1:18" ht="18.75" customHeight="1">
      <c r="A5" s="1401"/>
      <c r="B5" s="23" t="s">
        <v>5046</v>
      </c>
      <c r="C5" s="1458" t="s">
        <v>5047</v>
      </c>
      <c r="O5" s="1668"/>
      <c r="Q5" s="1755" t="s">
        <v>5291</v>
      </c>
      <c r="R5" s="1755" t="s">
        <v>5292</v>
      </c>
    </row>
    <row r="6" spans="1:18" ht="15" customHeight="1">
      <c r="A6" s="1401"/>
      <c r="B6" s="1669" t="s">
        <v>4904</v>
      </c>
      <c r="C6" s="1411"/>
      <c r="O6" s="1668"/>
    </row>
    <row r="7" spans="1:18" ht="15" customHeight="1">
      <c r="A7" s="1401"/>
      <c r="B7" s="1670" t="s">
        <v>4946</v>
      </c>
      <c r="C7" s="1411"/>
      <c r="O7" s="1668"/>
    </row>
    <row r="8" spans="1:18" ht="14.5">
      <c r="A8" s="1401">
        <v>1</v>
      </c>
      <c r="B8" s="1756" t="str">
        <f ca="1">IF(P11&gt;0,mESS18,"")</f>
        <v>לפחות אחד השמות של הקבוצה \ תאגיד לא ברשמיה Names</v>
      </c>
      <c r="O8" s="1668"/>
    </row>
    <row r="9" spans="1:18" ht="18">
      <c r="A9" s="1401">
        <v>1</v>
      </c>
      <c r="B9" s="23" t="s">
        <v>5048</v>
      </c>
      <c r="E9" s="1671"/>
      <c r="F9" s="1749">
        <f>SUM(F12:F1200)/2</f>
        <v>0</v>
      </c>
      <c r="G9" s="1672"/>
      <c r="H9" s="1671"/>
      <c r="I9" s="1671"/>
      <c r="J9" s="1749">
        <f>SUM(J12:J1200)/2</f>
        <v>0</v>
      </c>
      <c r="K9" s="1668"/>
      <c r="L9" s="1668"/>
      <c r="M9" s="1749">
        <f>SUM(M12:M1200)/2</f>
        <v>0</v>
      </c>
      <c r="N9" s="1668"/>
      <c r="O9" s="1668" t="s">
        <v>5290</v>
      </c>
      <c r="R9" s="1655">
        <v>26</v>
      </c>
    </row>
    <row r="10" spans="1:18" ht="15.75" customHeight="1">
      <c r="A10" s="1752"/>
      <c r="B10" s="1750"/>
      <c r="C10" s="1829" t="s">
        <v>4905</v>
      </c>
      <c r="D10" s="1829" t="s">
        <v>4906</v>
      </c>
      <c r="E10" s="1833" t="s">
        <v>4907</v>
      </c>
      <c r="F10" s="1833" t="s">
        <v>4908</v>
      </c>
      <c r="G10" s="1833"/>
      <c r="H10" s="1833"/>
      <c r="I10" s="1833"/>
      <c r="J10" s="1833"/>
      <c r="K10" s="1829" t="s">
        <v>4909</v>
      </c>
      <c r="L10" s="1829" t="s">
        <v>4910</v>
      </c>
      <c r="M10" s="1831" t="s">
        <v>4911</v>
      </c>
      <c r="N10" s="1668"/>
      <c r="O10" s="1668">
        <v>12</v>
      </c>
      <c r="Q10" s="1696" t="s">
        <v>5052</v>
      </c>
    </row>
    <row r="11" spans="1:18" ht="49.5" customHeight="1">
      <c r="A11" s="1752">
        <v>1</v>
      </c>
      <c r="B11" s="1751" t="s">
        <v>5035</v>
      </c>
      <c r="C11" s="1830"/>
      <c r="D11" s="1830"/>
      <c r="E11" s="1834"/>
      <c r="F11" s="1673" t="s">
        <v>5049</v>
      </c>
      <c r="G11" s="1673" t="s">
        <v>1653</v>
      </c>
      <c r="H11" s="1673" t="s">
        <v>4912</v>
      </c>
      <c r="I11" s="1673" t="s">
        <v>75</v>
      </c>
      <c r="J11" s="1673" t="s">
        <v>70</v>
      </c>
      <c r="K11" s="1830"/>
      <c r="L11" s="1830"/>
      <c r="M11" s="1832"/>
      <c r="N11" s="1668"/>
      <c r="O11" s="1668"/>
      <c r="P11" s="1655">
        <f ca="1">SUM(P12:P36)</f>
        <v>25</v>
      </c>
      <c r="Q11" s="1697" t="s">
        <v>5050</v>
      </c>
    </row>
    <row r="12" spans="1:18" ht="14.5">
      <c r="A12" s="1674">
        <v>1</v>
      </c>
      <c r="B12" s="1675"/>
      <c r="C12" s="1676"/>
      <c r="D12" s="1677"/>
      <c r="E12" s="1678">
        <f t="shared" ref="E12:E15" si="0">SUM(F12:J12)</f>
        <v>0</v>
      </c>
      <c r="F12" s="1679">
        <f t="shared" ref="F12:I12" si="1">SUM(F13:F37)</f>
        <v>0</v>
      </c>
      <c r="G12" s="1679">
        <f t="shared" si="1"/>
        <v>0</v>
      </c>
      <c r="H12" s="1679">
        <f t="shared" si="1"/>
        <v>0</v>
      </c>
      <c r="I12" s="1679">
        <f t="shared" si="1"/>
        <v>0</v>
      </c>
      <c r="J12" s="1679">
        <f>SUM(J13:J37)</f>
        <v>0</v>
      </c>
      <c r="K12" s="1680" t="str">
        <f>IFERROR(E12/$C$6,"")</f>
        <v/>
      </c>
      <c r="L12" s="1680" t="str">
        <f>IFERROR(E12/$C$7,"")</f>
        <v/>
      </c>
      <c r="M12" s="1681">
        <f>SUM(M13:M37)</f>
        <v>0</v>
      </c>
      <c r="N12" s="1668"/>
      <c r="O12" s="1668">
        <f ca="1">INDIRECT(CONCATENATE("B",R12))</f>
        <v>0</v>
      </c>
      <c r="P12" s="1682">
        <f t="shared" ref="P12:P43" ca="1" si="2">IFERROR(VLOOKUP(O12,Groups,1,0),1)</f>
        <v>1</v>
      </c>
      <c r="Q12" s="1757" t="s">
        <v>5814</v>
      </c>
      <c r="R12" s="1655">
        <v>12</v>
      </c>
    </row>
    <row r="13" spans="1:18" ht="14.5">
      <c r="A13" s="1655">
        <f>IF(E13&lt;&gt;0,1,0)</f>
        <v>0</v>
      </c>
      <c r="B13" s="1412"/>
      <c r="C13" s="1621" t="s">
        <v>4962</v>
      </c>
      <c r="D13" s="1683"/>
      <c r="E13" s="1678">
        <f t="shared" si="0"/>
        <v>0</v>
      </c>
      <c r="F13" s="1684"/>
      <c r="G13" s="1684"/>
      <c r="H13" s="1684"/>
      <c r="I13" s="1684"/>
      <c r="J13" s="1684"/>
      <c r="K13" s="1685" t="str">
        <f t="shared" ref="K13:K37" si="3">IFERROR(E13/$C$6,"")</f>
        <v/>
      </c>
      <c r="L13" s="1685" t="str">
        <f t="shared" ref="L13:L37" si="4">IFERROR(E13/$C$7,"")</f>
        <v/>
      </c>
      <c r="M13" s="1686"/>
      <c r="N13" s="1668"/>
      <c r="O13" s="1668" t="str">
        <f t="shared" ref="O13:O64" ca="1" si="5">INDIRECT(CONCATENATE("B",R13))</f>
        <v xml:space="preserve">בחר </v>
      </c>
      <c r="P13" s="1682">
        <f t="shared" ca="1" si="2"/>
        <v>1</v>
      </c>
      <c r="Q13" s="1757" t="s">
        <v>5293</v>
      </c>
      <c r="R13" s="1754">
        <v>38</v>
      </c>
    </row>
    <row r="14" spans="1:18" ht="14.5">
      <c r="A14" s="1655">
        <f t="shared" ref="A14:A37" si="6">IF(E14&lt;&gt;0,1,0)</f>
        <v>0</v>
      </c>
      <c r="B14" s="1409"/>
      <c r="C14" s="1621" t="s">
        <v>4963</v>
      </c>
      <c r="D14" s="1683"/>
      <c r="E14" s="1678">
        <f t="shared" si="0"/>
        <v>0</v>
      </c>
      <c r="F14" s="1687"/>
      <c r="G14" s="1684"/>
      <c r="H14" s="1684"/>
      <c r="I14" s="1684"/>
      <c r="J14" s="1684"/>
      <c r="K14" s="1685" t="str">
        <f t="shared" si="3"/>
        <v/>
      </c>
      <c r="L14" s="1685" t="str">
        <f t="shared" si="4"/>
        <v/>
      </c>
      <c r="M14" s="1686"/>
      <c r="N14" s="1668"/>
      <c r="O14" s="1668" t="str">
        <f t="shared" ca="1" si="5"/>
        <v xml:space="preserve">בחר </v>
      </c>
      <c r="P14" s="1682">
        <f t="shared" ca="1" si="2"/>
        <v>1</v>
      </c>
      <c r="Q14" s="1757" t="s">
        <v>5903</v>
      </c>
      <c r="R14" s="1754">
        <v>64</v>
      </c>
    </row>
    <row r="15" spans="1:18" ht="14.5">
      <c r="A15" s="1655">
        <f t="shared" si="6"/>
        <v>0</v>
      </c>
      <c r="B15" s="1409"/>
      <c r="C15" s="1621" t="s">
        <v>4964</v>
      </c>
      <c r="D15" s="1683"/>
      <c r="E15" s="1678">
        <f t="shared" si="0"/>
        <v>0</v>
      </c>
      <c r="F15" s="1687"/>
      <c r="G15" s="1684"/>
      <c r="H15" s="1684"/>
      <c r="I15" s="1684"/>
      <c r="J15" s="1684"/>
      <c r="K15" s="1685" t="str">
        <f t="shared" si="3"/>
        <v/>
      </c>
      <c r="L15" s="1685" t="str">
        <f t="shared" si="4"/>
        <v/>
      </c>
      <c r="M15" s="1686"/>
      <c r="N15" s="1668"/>
      <c r="O15" s="1668" t="str">
        <f t="shared" ca="1" si="5"/>
        <v xml:space="preserve">בחר </v>
      </c>
      <c r="P15" s="1682">
        <f t="shared" ca="1" si="2"/>
        <v>1</v>
      </c>
      <c r="Q15" s="1757" t="s">
        <v>5294</v>
      </c>
      <c r="R15" s="1754">
        <v>90</v>
      </c>
    </row>
    <row r="16" spans="1:18" ht="14.5">
      <c r="A16" s="1655">
        <f t="shared" si="6"/>
        <v>0</v>
      </c>
      <c r="B16" s="1409"/>
      <c r="C16" s="1621" t="s">
        <v>4965</v>
      </c>
      <c r="D16" s="1683"/>
      <c r="E16" s="1678">
        <f t="shared" ref="E16:E63" si="7">SUM(F16:J16)</f>
        <v>0</v>
      </c>
      <c r="F16" s="1687"/>
      <c r="G16" s="1684"/>
      <c r="H16" s="1684"/>
      <c r="I16" s="1684"/>
      <c r="J16" s="1684"/>
      <c r="K16" s="1685" t="str">
        <f t="shared" si="3"/>
        <v/>
      </c>
      <c r="L16" s="1685" t="str">
        <f t="shared" si="4"/>
        <v/>
      </c>
      <c r="M16" s="1686"/>
      <c r="N16" s="1668"/>
      <c r="O16" s="1668" t="str">
        <f t="shared" ca="1" si="5"/>
        <v xml:space="preserve">בחר </v>
      </c>
      <c r="P16" s="1682">
        <f t="shared" ca="1" si="2"/>
        <v>1</v>
      </c>
      <c r="Q16" s="1757" t="s">
        <v>5904</v>
      </c>
      <c r="R16" s="1754">
        <v>116</v>
      </c>
    </row>
    <row r="17" spans="1:18" ht="14.5">
      <c r="A17" s="1655">
        <f t="shared" si="6"/>
        <v>0</v>
      </c>
      <c r="B17" s="1409"/>
      <c r="C17" s="1621" t="s">
        <v>4966</v>
      </c>
      <c r="D17" s="1683"/>
      <c r="E17" s="1678">
        <f t="shared" si="7"/>
        <v>0</v>
      </c>
      <c r="F17" s="1687"/>
      <c r="G17" s="1684"/>
      <c r="H17" s="1684"/>
      <c r="I17" s="1684"/>
      <c r="J17" s="1684"/>
      <c r="K17" s="1685" t="str">
        <f t="shared" si="3"/>
        <v/>
      </c>
      <c r="L17" s="1685" t="str">
        <f t="shared" si="4"/>
        <v/>
      </c>
      <c r="M17" s="1686"/>
      <c r="N17" s="1668"/>
      <c r="O17" s="1668" t="str">
        <f t="shared" ca="1" si="5"/>
        <v xml:space="preserve">בחר </v>
      </c>
      <c r="P17" s="1682">
        <f t="shared" ca="1" si="2"/>
        <v>1</v>
      </c>
      <c r="Q17" s="1757" t="s">
        <v>4989</v>
      </c>
      <c r="R17" s="1754">
        <v>142</v>
      </c>
    </row>
    <row r="18" spans="1:18" ht="14.5">
      <c r="A18" s="1655">
        <f t="shared" si="6"/>
        <v>0</v>
      </c>
      <c r="B18" s="1409"/>
      <c r="C18" s="1621" t="s">
        <v>4967</v>
      </c>
      <c r="D18" s="1683"/>
      <c r="E18" s="1678">
        <f t="shared" si="7"/>
        <v>0</v>
      </c>
      <c r="F18" s="1687"/>
      <c r="G18" s="1684"/>
      <c r="H18" s="1684"/>
      <c r="I18" s="1684"/>
      <c r="J18" s="1684"/>
      <c r="K18" s="1685" t="str">
        <f t="shared" si="3"/>
        <v/>
      </c>
      <c r="L18" s="1685" t="str">
        <f t="shared" si="4"/>
        <v/>
      </c>
      <c r="M18" s="1686"/>
      <c r="N18" s="1668"/>
      <c r="O18" s="1668">
        <f t="shared" ca="1" si="5"/>
        <v>0</v>
      </c>
      <c r="P18" s="1682">
        <f t="shared" ca="1" si="2"/>
        <v>1</v>
      </c>
      <c r="Q18" s="1757" t="s">
        <v>4990</v>
      </c>
      <c r="R18" s="1754">
        <v>168</v>
      </c>
    </row>
    <row r="19" spans="1:18" ht="14.5">
      <c r="A19" s="1655">
        <f t="shared" si="6"/>
        <v>0</v>
      </c>
      <c r="B19" s="1409"/>
      <c r="C19" s="1621" t="s">
        <v>4968</v>
      </c>
      <c r="D19" s="1683"/>
      <c r="E19" s="1678">
        <f t="shared" si="7"/>
        <v>0</v>
      </c>
      <c r="F19" s="1687"/>
      <c r="G19" s="1684"/>
      <c r="H19" s="1684"/>
      <c r="I19" s="1684"/>
      <c r="J19" s="1684"/>
      <c r="K19" s="1685" t="str">
        <f t="shared" si="3"/>
        <v/>
      </c>
      <c r="L19" s="1685" t="str">
        <f t="shared" si="4"/>
        <v/>
      </c>
      <c r="M19" s="1686"/>
      <c r="N19" s="1668"/>
      <c r="O19" s="1668" t="str">
        <f t="shared" ca="1" si="5"/>
        <v xml:space="preserve">בחר </v>
      </c>
      <c r="P19" s="1682">
        <f t="shared" ca="1" si="2"/>
        <v>1</v>
      </c>
      <c r="Q19" s="1757" t="s">
        <v>5295</v>
      </c>
      <c r="R19" s="1754">
        <v>194</v>
      </c>
    </row>
    <row r="20" spans="1:18" ht="14.5">
      <c r="A20" s="1655">
        <f t="shared" si="6"/>
        <v>0</v>
      </c>
      <c r="B20" s="1409"/>
      <c r="C20" s="1621" t="s">
        <v>4969</v>
      </c>
      <c r="D20" s="1683"/>
      <c r="E20" s="1678">
        <f t="shared" si="7"/>
        <v>0</v>
      </c>
      <c r="F20" s="1687"/>
      <c r="G20" s="1684"/>
      <c r="H20" s="1684"/>
      <c r="I20" s="1684"/>
      <c r="J20" s="1684"/>
      <c r="K20" s="1685" t="str">
        <f t="shared" si="3"/>
        <v/>
      </c>
      <c r="L20" s="1685" t="str">
        <f t="shared" si="4"/>
        <v/>
      </c>
      <c r="M20" s="1686"/>
      <c r="N20" s="1668"/>
      <c r="O20" s="1668" t="str">
        <f t="shared" ca="1" si="5"/>
        <v xml:space="preserve">בחר </v>
      </c>
      <c r="P20" s="1682">
        <f t="shared" ca="1" si="2"/>
        <v>1</v>
      </c>
      <c r="Q20" s="1757" t="s">
        <v>5815</v>
      </c>
      <c r="R20" s="1754">
        <v>220</v>
      </c>
    </row>
    <row r="21" spans="1:18" ht="14.5">
      <c r="A21" s="1655">
        <f t="shared" si="6"/>
        <v>0</v>
      </c>
      <c r="B21" s="1409"/>
      <c r="C21" s="1621" t="s">
        <v>4970</v>
      </c>
      <c r="D21" s="1683"/>
      <c r="E21" s="1678">
        <f t="shared" si="7"/>
        <v>0</v>
      </c>
      <c r="F21" s="1687"/>
      <c r="G21" s="1684"/>
      <c r="H21" s="1684"/>
      <c r="I21" s="1684"/>
      <c r="J21" s="1684"/>
      <c r="K21" s="1685" t="str">
        <f t="shared" si="3"/>
        <v/>
      </c>
      <c r="L21" s="1685" t="str">
        <f t="shared" si="4"/>
        <v/>
      </c>
      <c r="M21" s="1686"/>
      <c r="N21" s="1668"/>
      <c r="O21" s="1668" t="str">
        <f t="shared" ca="1" si="5"/>
        <v xml:space="preserve">בחר </v>
      </c>
      <c r="P21" s="1682">
        <f t="shared" ca="1" si="2"/>
        <v>1</v>
      </c>
      <c r="Q21" s="1757" t="s">
        <v>5816</v>
      </c>
      <c r="R21" s="1754">
        <v>246</v>
      </c>
    </row>
    <row r="22" spans="1:18" ht="14.5">
      <c r="A22" s="1655">
        <f t="shared" si="6"/>
        <v>0</v>
      </c>
      <c r="B22" s="1409"/>
      <c r="C22" s="1621" t="s">
        <v>4971</v>
      </c>
      <c r="D22" s="1683"/>
      <c r="E22" s="1678">
        <f t="shared" si="7"/>
        <v>0</v>
      </c>
      <c r="F22" s="1687"/>
      <c r="G22" s="1684"/>
      <c r="H22" s="1684"/>
      <c r="I22" s="1684"/>
      <c r="J22" s="1684"/>
      <c r="K22" s="1685" t="str">
        <f t="shared" si="3"/>
        <v/>
      </c>
      <c r="L22" s="1685" t="str">
        <f t="shared" si="4"/>
        <v/>
      </c>
      <c r="M22" s="1686"/>
      <c r="N22" s="1668"/>
      <c r="O22" s="1668" t="str">
        <f t="shared" ca="1" si="5"/>
        <v xml:space="preserve">בחר </v>
      </c>
      <c r="P22" s="1682">
        <f t="shared" ca="1" si="2"/>
        <v>1</v>
      </c>
      <c r="Q22" s="1757" t="s">
        <v>4991</v>
      </c>
      <c r="R22" s="1754">
        <v>272</v>
      </c>
    </row>
    <row r="23" spans="1:18" ht="14.5">
      <c r="A23" s="1655">
        <f t="shared" si="6"/>
        <v>0</v>
      </c>
      <c r="B23" s="1409"/>
      <c r="C23" s="1621" t="s">
        <v>4972</v>
      </c>
      <c r="D23" s="1683"/>
      <c r="E23" s="1678">
        <f t="shared" si="7"/>
        <v>0</v>
      </c>
      <c r="F23" s="1687"/>
      <c r="G23" s="1684"/>
      <c r="H23" s="1684"/>
      <c r="I23" s="1684"/>
      <c r="J23" s="1684"/>
      <c r="K23" s="1685" t="str">
        <f t="shared" si="3"/>
        <v/>
      </c>
      <c r="L23" s="1685" t="str">
        <f t="shared" si="4"/>
        <v/>
      </c>
      <c r="M23" s="1686"/>
      <c r="N23" s="1668"/>
      <c r="O23" s="1668" t="str">
        <f t="shared" ca="1" si="5"/>
        <v xml:space="preserve">בחר </v>
      </c>
      <c r="P23" s="1682">
        <f t="shared" ca="1" si="2"/>
        <v>1</v>
      </c>
      <c r="Q23" s="1757" t="s">
        <v>5296</v>
      </c>
      <c r="R23" s="1754">
        <v>298</v>
      </c>
    </row>
    <row r="24" spans="1:18" ht="14.5">
      <c r="A24" s="1655">
        <f t="shared" si="6"/>
        <v>0</v>
      </c>
      <c r="B24" s="1412"/>
      <c r="C24" s="1621" t="s">
        <v>4973</v>
      </c>
      <c r="D24" s="1683"/>
      <c r="E24" s="1678">
        <f t="shared" si="7"/>
        <v>0</v>
      </c>
      <c r="F24" s="1687"/>
      <c r="G24" s="1684"/>
      <c r="H24" s="1684"/>
      <c r="I24" s="1684"/>
      <c r="J24" s="1684"/>
      <c r="K24" s="1685" t="str">
        <f t="shared" si="3"/>
        <v/>
      </c>
      <c r="L24" s="1685" t="str">
        <f t="shared" si="4"/>
        <v/>
      </c>
      <c r="M24" s="1686"/>
      <c r="N24" s="1668"/>
      <c r="O24" s="1668" t="str">
        <f t="shared" ca="1" si="5"/>
        <v xml:space="preserve">בחר </v>
      </c>
      <c r="P24" s="1682">
        <f t="shared" ca="1" si="2"/>
        <v>1</v>
      </c>
      <c r="Q24" s="1757" t="s">
        <v>5817</v>
      </c>
      <c r="R24" s="1754">
        <v>324</v>
      </c>
    </row>
    <row r="25" spans="1:18" ht="14.5">
      <c r="A25" s="1655">
        <f t="shared" si="6"/>
        <v>0</v>
      </c>
      <c r="B25" s="1412"/>
      <c r="C25" s="1621" t="s">
        <v>4974</v>
      </c>
      <c r="D25" s="1683"/>
      <c r="E25" s="1678">
        <f t="shared" si="7"/>
        <v>0</v>
      </c>
      <c r="F25" s="1687"/>
      <c r="G25" s="1684"/>
      <c r="H25" s="1684"/>
      <c r="I25" s="1684"/>
      <c r="J25" s="1684"/>
      <c r="K25" s="1685" t="str">
        <f t="shared" si="3"/>
        <v/>
      </c>
      <c r="L25" s="1685" t="str">
        <f t="shared" si="4"/>
        <v/>
      </c>
      <c r="M25" s="1686"/>
      <c r="N25" s="1668"/>
      <c r="O25" s="1668" t="str">
        <f t="shared" ca="1" si="5"/>
        <v xml:space="preserve">בחר </v>
      </c>
      <c r="P25" s="1682">
        <f t="shared" ca="1" si="2"/>
        <v>1</v>
      </c>
      <c r="Q25" s="1757" t="s">
        <v>5297</v>
      </c>
      <c r="R25" s="1754">
        <v>350</v>
      </c>
    </row>
    <row r="26" spans="1:18" ht="14.5">
      <c r="A26" s="1655">
        <f t="shared" si="6"/>
        <v>0</v>
      </c>
      <c r="B26" s="1409"/>
      <c r="C26" s="1621" t="s">
        <v>4975</v>
      </c>
      <c r="D26" s="1683"/>
      <c r="E26" s="1678">
        <f t="shared" si="7"/>
        <v>0</v>
      </c>
      <c r="F26" s="1687"/>
      <c r="G26" s="1684"/>
      <c r="H26" s="1684"/>
      <c r="I26" s="1684"/>
      <c r="J26" s="1684"/>
      <c r="K26" s="1685" t="str">
        <f t="shared" si="3"/>
        <v/>
      </c>
      <c r="L26" s="1685" t="str">
        <f t="shared" si="4"/>
        <v/>
      </c>
      <c r="M26" s="1686"/>
      <c r="N26" s="1668"/>
      <c r="O26" s="1668" t="str">
        <f t="shared" ca="1" si="5"/>
        <v xml:space="preserve">בחר </v>
      </c>
      <c r="P26" s="1682">
        <f t="shared" ca="1" si="2"/>
        <v>1</v>
      </c>
      <c r="Q26" s="1757" t="s">
        <v>4992</v>
      </c>
      <c r="R26" s="1754">
        <v>376</v>
      </c>
    </row>
    <row r="27" spans="1:18" ht="14.5">
      <c r="A27" s="1655">
        <f t="shared" si="6"/>
        <v>0</v>
      </c>
      <c r="B27" s="1409"/>
      <c r="C27" s="1621" t="s">
        <v>4976</v>
      </c>
      <c r="D27" s="1683"/>
      <c r="E27" s="1678">
        <f t="shared" si="7"/>
        <v>0</v>
      </c>
      <c r="F27" s="1687"/>
      <c r="G27" s="1684"/>
      <c r="H27" s="1684"/>
      <c r="I27" s="1684"/>
      <c r="J27" s="1684"/>
      <c r="K27" s="1685" t="str">
        <f t="shared" si="3"/>
        <v/>
      </c>
      <c r="L27" s="1685" t="str">
        <f t="shared" si="4"/>
        <v/>
      </c>
      <c r="M27" s="1686"/>
      <c r="N27" s="1668"/>
      <c r="O27" s="1668" t="str">
        <f t="shared" ca="1" si="5"/>
        <v xml:space="preserve">בחר </v>
      </c>
      <c r="P27" s="1682">
        <f t="shared" ca="1" si="2"/>
        <v>1</v>
      </c>
      <c r="Q27" s="1757" t="s">
        <v>5818</v>
      </c>
      <c r="R27" s="1754">
        <v>402</v>
      </c>
    </row>
    <row r="28" spans="1:18" ht="14.5">
      <c r="A28" s="1655">
        <f t="shared" si="6"/>
        <v>0</v>
      </c>
      <c r="B28" s="1409"/>
      <c r="C28" s="1621" t="s">
        <v>4977</v>
      </c>
      <c r="D28" s="1683"/>
      <c r="E28" s="1678">
        <f t="shared" si="7"/>
        <v>0</v>
      </c>
      <c r="F28" s="1687"/>
      <c r="G28" s="1684"/>
      <c r="H28" s="1684"/>
      <c r="I28" s="1684"/>
      <c r="J28" s="1684"/>
      <c r="K28" s="1685" t="str">
        <f t="shared" si="3"/>
        <v/>
      </c>
      <c r="L28" s="1685" t="str">
        <f t="shared" si="4"/>
        <v/>
      </c>
      <c r="M28" s="1686"/>
      <c r="N28" s="1668"/>
      <c r="O28" s="1668" t="str">
        <f t="shared" ca="1" si="5"/>
        <v xml:space="preserve">בחר </v>
      </c>
      <c r="P28" s="1682">
        <f t="shared" ca="1" si="2"/>
        <v>1</v>
      </c>
      <c r="Q28" s="1757" t="s">
        <v>4993</v>
      </c>
      <c r="R28" s="1754">
        <v>428</v>
      </c>
    </row>
    <row r="29" spans="1:18" ht="14.5">
      <c r="A29" s="1655">
        <f t="shared" si="6"/>
        <v>0</v>
      </c>
      <c r="B29" s="1409"/>
      <c r="C29" s="1621" t="s">
        <v>4978</v>
      </c>
      <c r="D29" s="1683"/>
      <c r="E29" s="1678">
        <f t="shared" si="7"/>
        <v>0</v>
      </c>
      <c r="F29" s="1687"/>
      <c r="G29" s="1684"/>
      <c r="H29" s="1684"/>
      <c r="I29" s="1684"/>
      <c r="J29" s="1684"/>
      <c r="K29" s="1685" t="str">
        <f t="shared" si="3"/>
        <v/>
      </c>
      <c r="L29" s="1685" t="str">
        <f t="shared" si="4"/>
        <v/>
      </c>
      <c r="M29" s="1686"/>
      <c r="N29" s="1668"/>
      <c r="O29" s="1668" t="str">
        <f t="shared" ca="1" si="5"/>
        <v xml:space="preserve">בחר </v>
      </c>
      <c r="P29" s="1682">
        <f t="shared" ca="1" si="2"/>
        <v>1</v>
      </c>
      <c r="Q29" s="1757" t="s">
        <v>4994</v>
      </c>
      <c r="R29" s="1754">
        <v>454</v>
      </c>
    </row>
    <row r="30" spans="1:18" ht="14.5">
      <c r="A30" s="1655">
        <f t="shared" si="6"/>
        <v>0</v>
      </c>
      <c r="B30" s="1409"/>
      <c r="C30" s="1621" t="s">
        <v>4979</v>
      </c>
      <c r="D30" s="1683"/>
      <c r="E30" s="1678">
        <f t="shared" si="7"/>
        <v>0</v>
      </c>
      <c r="F30" s="1687"/>
      <c r="G30" s="1684"/>
      <c r="H30" s="1684"/>
      <c r="I30" s="1684"/>
      <c r="J30" s="1684"/>
      <c r="K30" s="1685" t="str">
        <f t="shared" si="3"/>
        <v/>
      </c>
      <c r="L30" s="1685" t="str">
        <f t="shared" si="4"/>
        <v/>
      </c>
      <c r="M30" s="1686"/>
      <c r="N30" s="1668"/>
      <c r="O30" s="1668" t="str">
        <f t="shared" ca="1" si="5"/>
        <v xml:space="preserve">בחר </v>
      </c>
      <c r="P30" s="1682">
        <f t="shared" ca="1" si="2"/>
        <v>1</v>
      </c>
      <c r="Q30" s="1757" t="s">
        <v>4995</v>
      </c>
      <c r="R30" s="1754">
        <v>480</v>
      </c>
    </row>
    <row r="31" spans="1:18" ht="14.5">
      <c r="A31" s="1655">
        <f t="shared" si="6"/>
        <v>0</v>
      </c>
      <c r="B31" s="1409"/>
      <c r="C31" s="1621" t="s">
        <v>4980</v>
      </c>
      <c r="D31" s="1683"/>
      <c r="E31" s="1678">
        <f t="shared" si="7"/>
        <v>0</v>
      </c>
      <c r="F31" s="1687"/>
      <c r="G31" s="1684"/>
      <c r="H31" s="1684"/>
      <c r="I31" s="1684"/>
      <c r="J31" s="1684"/>
      <c r="K31" s="1685" t="str">
        <f t="shared" si="3"/>
        <v/>
      </c>
      <c r="L31" s="1685" t="str">
        <f t="shared" si="4"/>
        <v/>
      </c>
      <c r="M31" s="1686"/>
      <c r="N31" s="1668"/>
      <c r="O31" s="1668" t="str">
        <f t="shared" ca="1" si="5"/>
        <v xml:space="preserve">בחר </v>
      </c>
      <c r="P31" s="1682">
        <f t="shared" ca="1" si="2"/>
        <v>1</v>
      </c>
      <c r="Q31" s="1757" t="s">
        <v>5819</v>
      </c>
      <c r="R31" s="1754">
        <v>506</v>
      </c>
    </row>
    <row r="32" spans="1:18" ht="14.5">
      <c r="A32" s="1655">
        <f t="shared" si="6"/>
        <v>0</v>
      </c>
      <c r="B32" s="1409"/>
      <c r="C32" s="1621" t="s">
        <v>4981</v>
      </c>
      <c r="D32" s="1683"/>
      <c r="E32" s="1678">
        <f t="shared" si="7"/>
        <v>0</v>
      </c>
      <c r="F32" s="1687"/>
      <c r="G32" s="1684"/>
      <c r="H32" s="1684"/>
      <c r="I32" s="1684"/>
      <c r="J32" s="1684"/>
      <c r="K32" s="1685" t="str">
        <f t="shared" si="3"/>
        <v/>
      </c>
      <c r="L32" s="1685" t="str">
        <f t="shared" si="4"/>
        <v/>
      </c>
      <c r="M32" s="1686"/>
      <c r="N32" s="1668"/>
      <c r="O32" s="1668" t="str">
        <f t="shared" ca="1" si="5"/>
        <v xml:space="preserve">בחר </v>
      </c>
      <c r="P32" s="1682">
        <f t="shared" ca="1" si="2"/>
        <v>1</v>
      </c>
      <c r="Q32" s="1757" t="s">
        <v>4996</v>
      </c>
      <c r="R32" s="1754">
        <v>532</v>
      </c>
    </row>
    <row r="33" spans="1:18" ht="14.5">
      <c r="A33" s="1655">
        <f t="shared" si="6"/>
        <v>0</v>
      </c>
      <c r="B33" s="1409"/>
      <c r="C33" s="1621" t="s">
        <v>4982</v>
      </c>
      <c r="D33" s="1683"/>
      <c r="E33" s="1678">
        <f t="shared" si="7"/>
        <v>0</v>
      </c>
      <c r="F33" s="1687"/>
      <c r="G33" s="1684"/>
      <c r="H33" s="1684"/>
      <c r="I33" s="1684"/>
      <c r="J33" s="1684"/>
      <c r="K33" s="1685" t="str">
        <f t="shared" si="3"/>
        <v/>
      </c>
      <c r="L33" s="1685" t="str">
        <f t="shared" si="4"/>
        <v/>
      </c>
      <c r="M33" s="1686"/>
      <c r="N33" s="1668"/>
      <c r="O33" s="1668" t="str">
        <f t="shared" ca="1" si="5"/>
        <v xml:space="preserve">בחר </v>
      </c>
      <c r="P33" s="1682">
        <f t="shared" ca="1" si="2"/>
        <v>1</v>
      </c>
      <c r="Q33" s="1757" t="s">
        <v>5820</v>
      </c>
      <c r="R33" s="1754">
        <v>558</v>
      </c>
    </row>
    <row r="34" spans="1:18" ht="14.5">
      <c r="A34" s="1655">
        <f t="shared" si="6"/>
        <v>0</v>
      </c>
      <c r="B34" s="1409"/>
      <c r="C34" s="1621" t="s">
        <v>4983</v>
      </c>
      <c r="D34" s="1683"/>
      <c r="E34" s="1678">
        <f t="shared" si="7"/>
        <v>0</v>
      </c>
      <c r="F34" s="1687"/>
      <c r="G34" s="1684"/>
      <c r="H34" s="1684"/>
      <c r="I34" s="1684"/>
      <c r="J34" s="1684"/>
      <c r="K34" s="1685" t="str">
        <f t="shared" si="3"/>
        <v/>
      </c>
      <c r="L34" s="1685" t="str">
        <f t="shared" si="4"/>
        <v/>
      </c>
      <c r="M34" s="1686"/>
      <c r="N34" s="1668"/>
      <c r="O34" s="1668" t="str">
        <f t="shared" ca="1" si="5"/>
        <v xml:space="preserve">בחר </v>
      </c>
      <c r="P34" s="1682">
        <f t="shared" ca="1" si="2"/>
        <v>1</v>
      </c>
      <c r="Q34" s="1757" t="s">
        <v>5298</v>
      </c>
      <c r="R34" s="1754">
        <v>584</v>
      </c>
    </row>
    <row r="35" spans="1:18" ht="14.5">
      <c r="A35" s="1655">
        <f t="shared" si="6"/>
        <v>0</v>
      </c>
      <c r="B35" s="1409"/>
      <c r="C35" s="1621" t="s">
        <v>4984</v>
      </c>
      <c r="D35" s="1683"/>
      <c r="E35" s="1678">
        <f t="shared" si="7"/>
        <v>0</v>
      </c>
      <c r="F35" s="1687"/>
      <c r="G35" s="1684"/>
      <c r="H35" s="1684"/>
      <c r="I35" s="1684"/>
      <c r="J35" s="1684"/>
      <c r="K35" s="1685" t="str">
        <f t="shared" si="3"/>
        <v/>
      </c>
      <c r="L35" s="1685" t="str">
        <f t="shared" si="4"/>
        <v/>
      </c>
      <c r="M35" s="1686"/>
      <c r="N35" s="1668"/>
      <c r="O35" s="1668" t="str">
        <f t="shared" ca="1" si="5"/>
        <v xml:space="preserve">בחר </v>
      </c>
      <c r="P35" s="1682">
        <f t="shared" ca="1" si="2"/>
        <v>1</v>
      </c>
      <c r="Q35" s="1757" t="s">
        <v>5821</v>
      </c>
      <c r="R35" s="1754">
        <v>610</v>
      </c>
    </row>
    <row r="36" spans="1:18" ht="14.5">
      <c r="A36" s="1655">
        <f t="shared" si="6"/>
        <v>0</v>
      </c>
      <c r="B36" s="1409"/>
      <c r="C36" s="1621" t="s">
        <v>4985</v>
      </c>
      <c r="D36" s="1683"/>
      <c r="E36" s="1678">
        <f t="shared" si="7"/>
        <v>0</v>
      </c>
      <c r="F36" s="1687"/>
      <c r="G36" s="1684"/>
      <c r="H36" s="1684"/>
      <c r="I36" s="1684"/>
      <c r="J36" s="1684"/>
      <c r="K36" s="1685" t="str">
        <f t="shared" si="3"/>
        <v/>
      </c>
      <c r="L36" s="1685" t="str">
        <f t="shared" si="4"/>
        <v/>
      </c>
      <c r="M36" s="1686"/>
      <c r="N36" s="1668"/>
      <c r="O36" s="1668" t="str">
        <f t="shared" ca="1" si="5"/>
        <v xml:space="preserve">בחר </v>
      </c>
      <c r="P36" s="1682">
        <f t="shared" ca="1" si="2"/>
        <v>1</v>
      </c>
      <c r="Q36" s="1757" t="s">
        <v>5822</v>
      </c>
      <c r="R36" s="1754">
        <v>636</v>
      </c>
    </row>
    <row r="37" spans="1:18" ht="14.5">
      <c r="A37" s="1655">
        <f t="shared" si="6"/>
        <v>0</v>
      </c>
      <c r="B37" s="1688"/>
      <c r="C37" s="1689" t="s">
        <v>4986</v>
      </c>
      <c r="D37" s="1690"/>
      <c r="E37" s="1691">
        <f t="shared" si="7"/>
        <v>0</v>
      </c>
      <c r="F37" s="1692"/>
      <c r="G37" s="1693"/>
      <c r="H37" s="1693"/>
      <c r="I37" s="1693"/>
      <c r="J37" s="1693"/>
      <c r="K37" s="1694" t="str">
        <f t="shared" si="3"/>
        <v/>
      </c>
      <c r="L37" s="1694" t="str">
        <f t="shared" si="4"/>
        <v/>
      </c>
      <c r="M37" s="1695"/>
      <c r="N37" s="1668"/>
      <c r="O37" s="1668" t="str">
        <f t="shared" ca="1" si="5"/>
        <v xml:space="preserve">בחר </v>
      </c>
      <c r="P37" s="1682">
        <f t="shared" ca="1" si="2"/>
        <v>1</v>
      </c>
      <c r="Q37" s="1757" t="s">
        <v>5823</v>
      </c>
      <c r="R37" s="1754">
        <v>662</v>
      </c>
    </row>
    <row r="38" spans="1:18" ht="14.5">
      <c r="A38" s="1674">
        <f>A12+1</f>
        <v>2</v>
      </c>
      <c r="B38" s="1675" t="s">
        <v>5050</v>
      </c>
      <c r="C38" s="1676"/>
      <c r="D38" s="1677"/>
      <c r="E38" s="1678">
        <f t="shared" si="7"/>
        <v>0</v>
      </c>
      <c r="F38" s="1679">
        <f t="shared" ref="F38:I38" si="8">SUM(F39:F63)</f>
        <v>0</v>
      </c>
      <c r="G38" s="1679">
        <f t="shared" si="8"/>
        <v>0</v>
      </c>
      <c r="H38" s="1679">
        <f t="shared" si="8"/>
        <v>0</v>
      </c>
      <c r="I38" s="1679">
        <f t="shared" si="8"/>
        <v>0</v>
      </c>
      <c r="J38" s="1679">
        <f>SUM(J39:J63)</f>
        <v>0</v>
      </c>
      <c r="K38" s="1680" t="str">
        <f>IFERROR(E38/$C$6,"")</f>
        <v/>
      </c>
      <c r="L38" s="1680" t="str">
        <f>IFERROR(E38/$C$7,"")</f>
        <v/>
      </c>
      <c r="M38" s="1681">
        <f>SUM(M39:M63)</f>
        <v>0</v>
      </c>
      <c r="N38" s="1668"/>
      <c r="O38" s="1668" t="str">
        <f t="shared" ca="1" si="5"/>
        <v xml:space="preserve">בחר </v>
      </c>
      <c r="P38" s="1682">
        <f t="shared" ca="1" si="2"/>
        <v>1</v>
      </c>
      <c r="Q38" s="1757" t="s">
        <v>5299</v>
      </c>
      <c r="R38" s="1754">
        <v>688</v>
      </c>
    </row>
    <row r="39" spans="1:18" ht="14.5">
      <c r="A39" s="1655">
        <f>IF(E39&lt;&gt;0,1,0)</f>
        <v>0</v>
      </c>
      <c r="B39" s="1412"/>
      <c r="C39" s="1621" t="s">
        <v>4962</v>
      </c>
      <c r="D39" s="1683"/>
      <c r="E39" s="1678">
        <f t="shared" si="7"/>
        <v>0</v>
      </c>
      <c r="F39" s="1684"/>
      <c r="G39" s="1684"/>
      <c r="H39" s="1684"/>
      <c r="I39" s="1684"/>
      <c r="J39" s="1684"/>
      <c r="K39" s="1685" t="str">
        <f t="shared" ref="K39:K63" si="9">IFERROR(E39/$C$6,"")</f>
        <v/>
      </c>
      <c r="L39" s="1685" t="str">
        <f t="shared" ref="L39:L63" si="10">IFERROR(E39/$C$7,"")</f>
        <v/>
      </c>
      <c r="M39" s="1686"/>
      <c r="N39" s="1668"/>
      <c r="O39" s="1668" t="str">
        <f t="shared" ca="1" si="5"/>
        <v xml:space="preserve">בחר </v>
      </c>
      <c r="P39" s="1682">
        <f t="shared" ca="1" si="2"/>
        <v>1</v>
      </c>
      <c r="Q39" s="1757" t="s">
        <v>5824</v>
      </c>
      <c r="R39" s="1754">
        <v>714</v>
      </c>
    </row>
    <row r="40" spans="1:18" ht="14.5">
      <c r="A40" s="1655">
        <f t="shared" ref="A40:A63" si="11">IF(E40&lt;&gt;0,1,0)</f>
        <v>0</v>
      </c>
      <c r="B40" s="1409"/>
      <c r="C40" s="1621" t="s">
        <v>4963</v>
      </c>
      <c r="D40" s="1683"/>
      <c r="E40" s="1678">
        <f t="shared" si="7"/>
        <v>0</v>
      </c>
      <c r="F40" s="1687"/>
      <c r="G40" s="1684"/>
      <c r="H40" s="1684"/>
      <c r="I40" s="1684"/>
      <c r="J40" s="1684"/>
      <c r="K40" s="1685" t="str">
        <f t="shared" si="9"/>
        <v/>
      </c>
      <c r="L40" s="1685" t="str">
        <f t="shared" si="10"/>
        <v/>
      </c>
      <c r="M40" s="1686"/>
      <c r="N40" s="1668"/>
      <c r="O40" s="1668" t="str">
        <f t="shared" ca="1" si="5"/>
        <v xml:space="preserve">בחר </v>
      </c>
      <c r="P40" s="1682">
        <f t="shared" ca="1" si="2"/>
        <v>1</v>
      </c>
      <c r="Q40" s="1757" t="s">
        <v>5825</v>
      </c>
      <c r="R40" s="1754">
        <v>740</v>
      </c>
    </row>
    <row r="41" spans="1:18" ht="14.5">
      <c r="A41" s="1655">
        <f t="shared" si="11"/>
        <v>0</v>
      </c>
      <c r="B41" s="1409"/>
      <c r="C41" s="1621" t="s">
        <v>4964</v>
      </c>
      <c r="D41" s="1683"/>
      <c r="E41" s="1678">
        <f t="shared" si="7"/>
        <v>0</v>
      </c>
      <c r="F41" s="1687"/>
      <c r="G41" s="1684"/>
      <c r="H41" s="1684"/>
      <c r="I41" s="1684"/>
      <c r="J41" s="1684"/>
      <c r="K41" s="1685" t="str">
        <f t="shared" si="9"/>
        <v/>
      </c>
      <c r="L41" s="1685" t="str">
        <f t="shared" si="10"/>
        <v/>
      </c>
      <c r="M41" s="1686"/>
      <c r="N41" s="1668"/>
      <c r="O41" s="1668" t="str">
        <f t="shared" ca="1" si="5"/>
        <v xml:space="preserve">בחר </v>
      </c>
      <c r="P41" s="1682">
        <f t="shared" ca="1" si="2"/>
        <v>1</v>
      </c>
      <c r="Q41" s="1757" t="s">
        <v>5826</v>
      </c>
      <c r="R41" s="1754">
        <v>766</v>
      </c>
    </row>
    <row r="42" spans="1:18" ht="14.5">
      <c r="A42" s="1655">
        <f t="shared" si="11"/>
        <v>0</v>
      </c>
      <c r="B42" s="1409"/>
      <c r="C42" s="1621" t="s">
        <v>4965</v>
      </c>
      <c r="D42" s="1683"/>
      <c r="E42" s="1678">
        <f t="shared" si="7"/>
        <v>0</v>
      </c>
      <c r="F42" s="1687"/>
      <c r="G42" s="1684"/>
      <c r="H42" s="1684"/>
      <c r="I42" s="1684"/>
      <c r="J42" s="1684"/>
      <c r="K42" s="1685" t="str">
        <f t="shared" si="9"/>
        <v/>
      </c>
      <c r="L42" s="1685" t="str">
        <f t="shared" si="10"/>
        <v/>
      </c>
      <c r="M42" s="1686"/>
      <c r="N42" s="1668"/>
      <c r="O42" s="1668" t="str">
        <f t="shared" ca="1" si="5"/>
        <v xml:space="preserve">בחר </v>
      </c>
      <c r="P42" s="1682">
        <f t="shared" ca="1" si="2"/>
        <v>1</v>
      </c>
      <c r="Q42" s="1757" t="s">
        <v>5905</v>
      </c>
      <c r="R42" s="1754">
        <v>792</v>
      </c>
    </row>
    <row r="43" spans="1:18" ht="14.5">
      <c r="A43" s="1655">
        <f t="shared" si="11"/>
        <v>0</v>
      </c>
      <c r="B43" s="1409"/>
      <c r="C43" s="1621" t="s">
        <v>4966</v>
      </c>
      <c r="D43" s="1683"/>
      <c r="E43" s="1678">
        <f t="shared" si="7"/>
        <v>0</v>
      </c>
      <c r="F43" s="1687"/>
      <c r="G43" s="1684"/>
      <c r="H43" s="1684"/>
      <c r="I43" s="1684"/>
      <c r="J43" s="1684"/>
      <c r="K43" s="1685" t="str">
        <f t="shared" si="9"/>
        <v/>
      </c>
      <c r="L43" s="1685" t="str">
        <f t="shared" si="10"/>
        <v/>
      </c>
      <c r="M43" s="1686"/>
      <c r="N43" s="1668"/>
      <c r="O43" s="1668" t="str">
        <f t="shared" ca="1" si="5"/>
        <v xml:space="preserve">בחר </v>
      </c>
      <c r="P43" s="1682">
        <f t="shared" ca="1" si="2"/>
        <v>1</v>
      </c>
      <c r="Q43" s="1757" t="s">
        <v>5006</v>
      </c>
      <c r="R43" s="1754">
        <v>818</v>
      </c>
    </row>
    <row r="44" spans="1:18" ht="14.5">
      <c r="A44" s="1655">
        <f t="shared" si="11"/>
        <v>0</v>
      </c>
      <c r="B44" s="1409"/>
      <c r="C44" s="1621" t="s">
        <v>4967</v>
      </c>
      <c r="D44" s="1683"/>
      <c r="E44" s="1678">
        <f t="shared" si="7"/>
        <v>0</v>
      </c>
      <c r="F44" s="1687"/>
      <c r="G44" s="1684"/>
      <c r="H44" s="1684"/>
      <c r="I44" s="1684"/>
      <c r="J44" s="1684"/>
      <c r="K44" s="1685" t="str">
        <f t="shared" si="9"/>
        <v/>
      </c>
      <c r="L44" s="1685" t="str">
        <f t="shared" si="10"/>
        <v/>
      </c>
      <c r="M44" s="1686"/>
      <c r="N44" s="1668"/>
      <c r="O44" s="1668" t="str">
        <f t="shared" ca="1" si="5"/>
        <v xml:space="preserve">בחר </v>
      </c>
      <c r="P44" s="1682">
        <f t="shared" ref="P44:P63" ca="1" si="12">IFERROR(VLOOKUP(O44,Groups,1,0),1)</f>
        <v>1</v>
      </c>
      <c r="Q44" s="1757" t="s">
        <v>5300</v>
      </c>
      <c r="R44" s="1754">
        <v>844</v>
      </c>
    </row>
    <row r="45" spans="1:18" ht="14.5">
      <c r="A45" s="1655">
        <f t="shared" si="11"/>
        <v>0</v>
      </c>
      <c r="B45" s="1409"/>
      <c r="C45" s="1621" t="s">
        <v>4968</v>
      </c>
      <c r="D45" s="1683"/>
      <c r="E45" s="1678">
        <f t="shared" si="7"/>
        <v>0</v>
      </c>
      <c r="F45" s="1687"/>
      <c r="G45" s="1684"/>
      <c r="H45" s="1684"/>
      <c r="I45" s="1684"/>
      <c r="J45" s="1684"/>
      <c r="K45" s="1685" t="str">
        <f t="shared" si="9"/>
        <v/>
      </c>
      <c r="L45" s="1685" t="str">
        <f t="shared" si="10"/>
        <v/>
      </c>
      <c r="M45" s="1686"/>
      <c r="N45" s="1668"/>
      <c r="O45" s="1668" t="str">
        <f t="shared" ca="1" si="5"/>
        <v xml:space="preserve">בחר </v>
      </c>
      <c r="P45" s="1682">
        <f t="shared" ca="1" si="12"/>
        <v>1</v>
      </c>
      <c r="Q45" s="1757" t="s">
        <v>5827</v>
      </c>
      <c r="R45" s="1754">
        <v>870</v>
      </c>
    </row>
    <row r="46" spans="1:18" ht="14.5">
      <c r="A46" s="1655">
        <f t="shared" si="11"/>
        <v>0</v>
      </c>
      <c r="B46" s="1409"/>
      <c r="C46" s="1621" t="s">
        <v>4969</v>
      </c>
      <c r="D46" s="1683"/>
      <c r="E46" s="1678">
        <f t="shared" si="7"/>
        <v>0</v>
      </c>
      <c r="F46" s="1687"/>
      <c r="G46" s="1684"/>
      <c r="H46" s="1684"/>
      <c r="I46" s="1684"/>
      <c r="J46" s="1684"/>
      <c r="K46" s="1685" t="str">
        <f t="shared" si="9"/>
        <v/>
      </c>
      <c r="L46" s="1685" t="str">
        <f t="shared" si="10"/>
        <v/>
      </c>
      <c r="M46" s="1686"/>
      <c r="N46" s="1668"/>
      <c r="O46" s="1668" t="str">
        <f t="shared" ca="1" si="5"/>
        <v xml:space="preserve">בחר </v>
      </c>
      <c r="P46" s="1682">
        <f t="shared" ca="1" si="12"/>
        <v>1</v>
      </c>
      <c r="Q46" s="1757" t="s">
        <v>5828</v>
      </c>
      <c r="R46" s="1754">
        <v>896</v>
      </c>
    </row>
    <row r="47" spans="1:18" ht="14.5">
      <c r="A47" s="1655">
        <f t="shared" si="11"/>
        <v>0</v>
      </c>
      <c r="B47" s="1409"/>
      <c r="C47" s="1621" t="s">
        <v>4970</v>
      </c>
      <c r="D47" s="1683"/>
      <c r="E47" s="1678">
        <f t="shared" si="7"/>
        <v>0</v>
      </c>
      <c r="F47" s="1687"/>
      <c r="G47" s="1684"/>
      <c r="H47" s="1684"/>
      <c r="I47" s="1684"/>
      <c r="J47" s="1684"/>
      <c r="K47" s="1685" t="str">
        <f t="shared" si="9"/>
        <v/>
      </c>
      <c r="L47" s="1685" t="str">
        <f t="shared" si="10"/>
        <v/>
      </c>
      <c r="M47" s="1686"/>
      <c r="N47" s="1668"/>
      <c r="O47" s="1668" t="str">
        <f t="shared" ca="1" si="5"/>
        <v xml:space="preserve">בחר </v>
      </c>
      <c r="P47" s="1682">
        <f t="shared" ca="1" si="12"/>
        <v>1</v>
      </c>
      <c r="Q47" s="1757" t="s">
        <v>5301</v>
      </c>
      <c r="R47" s="1754">
        <v>922</v>
      </c>
    </row>
    <row r="48" spans="1:18" ht="14.5">
      <c r="A48" s="1655">
        <f t="shared" si="11"/>
        <v>0</v>
      </c>
      <c r="B48" s="1409"/>
      <c r="C48" s="1621" t="s">
        <v>4971</v>
      </c>
      <c r="D48" s="1683"/>
      <c r="E48" s="1678">
        <f t="shared" si="7"/>
        <v>0</v>
      </c>
      <c r="F48" s="1687"/>
      <c r="G48" s="1684"/>
      <c r="H48" s="1684"/>
      <c r="I48" s="1684"/>
      <c r="J48" s="1684"/>
      <c r="K48" s="1685" t="str">
        <f t="shared" si="9"/>
        <v/>
      </c>
      <c r="L48" s="1685" t="str">
        <f t="shared" si="10"/>
        <v/>
      </c>
      <c r="M48" s="1686"/>
      <c r="N48" s="1668"/>
      <c r="O48" s="1668" t="str">
        <f t="shared" ca="1" si="5"/>
        <v xml:space="preserve">בחר </v>
      </c>
      <c r="P48" s="1682">
        <f t="shared" ca="1" si="12"/>
        <v>1</v>
      </c>
      <c r="Q48" s="1757" t="s">
        <v>5302</v>
      </c>
      <c r="R48" s="1754">
        <v>948</v>
      </c>
    </row>
    <row r="49" spans="1:18" ht="14.5">
      <c r="A49" s="1655">
        <f t="shared" si="11"/>
        <v>0</v>
      </c>
      <c r="B49" s="1409"/>
      <c r="C49" s="1621" t="s">
        <v>4972</v>
      </c>
      <c r="D49" s="1683"/>
      <c r="E49" s="1678">
        <f t="shared" si="7"/>
        <v>0</v>
      </c>
      <c r="F49" s="1687"/>
      <c r="G49" s="1684"/>
      <c r="H49" s="1684"/>
      <c r="I49" s="1684"/>
      <c r="J49" s="1684"/>
      <c r="K49" s="1685" t="str">
        <f t="shared" si="9"/>
        <v/>
      </c>
      <c r="L49" s="1685" t="str">
        <f t="shared" si="10"/>
        <v/>
      </c>
      <c r="M49" s="1686"/>
      <c r="N49" s="1668"/>
      <c r="O49" s="1668" t="str">
        <f t="shared" ca="1" si="5"/>
        <v xml:space="preserve">בחר </v>
      </c>
      <c r="P49" s="1682">
        <f t="shared" ca="1" si="12"/>
        <v>1</v>
      </c>
      <c r="Q49" s="1757" t="s">
        <v>5829</v>
      </c>
      <c r="R49" s="1754">
        <v>974</v>
      </c>
    </row>
    <row r="50" spans="1:18" ht="14.5">
      <c r="A50" s="1655">
        <f t="shared" si="11"/>
        <v>0</v>
      </c>
      <c r="B50" s="1412"/>
      <c r="C50" s="1621" t="s">
        <v>4973</v>
      </c>
      <c r="D50" s="1683"/>
      <c r="E50" s="1678">
        <f t="shared" si="7"/>
        <v>0</v>
      </c>
      <c r="F50" s="1687"/>
      <c r="G50" s="1684"/>
      <c r="H50" s="1684"/>
      <c r="I50" s="1684"/>
      <c r="J50" s="1684"/>
      <c r="K50" s="1685" t="str">
        <f t="shared" si="9"/>
        <v/>
      </c>
      <c r="L50" s="1685" t="str">
        <f t="shared" si="10"/>
        <v/>
      </c>
      <c r="M50" s="1686"/>
      <c r="N50" s="1668"/>
      <c r="O50" s="1668" t="str">
        <f t="shared" ca="1" si="5"/>
        <v xml:space="preserve">בחר </v>
      </c>
      <c r="P50" s="1682">
        <f t="shared" ca="1" si="12"/>
        <v>1</v>
      </c>
      <c r="Q50" s="1757" t="s">
        <v>5303</v>
      </c>
      <c r="R50" s="1754">
        <v>1000</v>
      </c>
    </row>
    <row r="51" spans="1:18" ht="14.5">
      <c r="A51" s="1655">
        <f t="shared" si="11"/>
        <v>0</v>
      </c>
      <c r="B51" s="1412"/>
      <c r="C51" s="1621" t="s">
        <v>4974</v>
      </c>
      <c r="D51" s="1683"/>
      <c r="E51" s="1678">
        <f t="shared" si="7"/>
        <v>0</v>
      </c>
      <c r="F51" s="1687"/>
      <c r="G51" s="1684"/>
      <c r="H51" s="1684"/>
      <c r="I51" s="1684"/>
      <c r="J51" s="1684"/>
      <c r="K51" s="1685" t="str">
        <f t="shared" si="9"/>
        <v/>
      </c>
      <c r="L51" s="1685" t="str">
        <f t="shared" si="10"/>
        <v/>
      </c>
      <c r="M51" s="1686"/>
      <c r="N51" s="1668"/>
      <c r="O51" s="1668" t="str">
        <f t="shared" ca="1" si="5"/>
        <v xml:space="preserve">בחר </v>
      </c>
      <c r="P51" s="1682">
        <f t="shared" ca="1" si="12"/>
        <v>1</v>
      </c>
      <c r="Q51" s="1757" t="s">
        <v>5304</v>
      </c>
      <c r="R51" s="1754">
        <v>1026</v>
      </c>
    </row>
    <row r="52" spans="1:18" ht="14.5">
      <c r="A52" s="1655">
        <f t="shared" si="11"/>
        <v>0</v>
      </c>
      <c r="B52" s="1409"/>
      <c r="C52" s="1621" t="s">
        <v>4975</v>
      </c>
      <c r="D52" s="1683"/>
      <c r="E52" s="1678">
        <f t="shared" si="7"/>
        <v>0</v>
      </c>
      <c r="F52" s="1687"/>
      <c r="G52" s="1684"/>
      <c r="H52" s="1684"/>
      <c r="I52" s="1684"/>
      <c r="J52" s="1684"/>
      <c r="K52" s="1685" t="str">
        <f t="shared" si="9"/>
        <v/>
      </c>
      <c r="L52" s="1685" t="str">
        <f t="shared" si="10"/>
        <v/>
      </c>
      <c r="M52" s="1686"/>
      <c r="N52" s="1668"/>
      <c r="O52" s="1668" t="str">
        <f t="shared" ca="1" si="5"/>
        <v xml:space="preserve">בחר </v>
      </c>
      <c r="P52" s="1682">
        <f t="shared" ca="1" si="12"/>
        <v>1</v>
      </c>
      <c r="Q52" s="1757" t="s">
        <v>5053</v>
      </c>
      <c r="R52" s="1754">
        <v>1052</v>
      </c>
    </row>
    <row r="53" spans="1:18" ht="14.5">
      <c r="A53" s="1655">
        <f t="shared" si="11"/>
        <v>0</v>
      </c>
      <c r="B53" s="1409"/>
      <c r="C53" s="1621" t="s">
        <v>4976</v>
      </c>
      <c r="D53" s="1683"/>
      <c r="E53" s="1678">
        <f t="shared" si="7"/>
        <v>0</v>
      </c>
      <c r="F53" s="1687"/>
      <c r="G53" s="1684"/>
      <c r="H53" s="1684"/>
      <c r="I53" s="1684"/>
      <c r="J53" s="1684"/>
      <c r="K53" s="1685" t="str">
        <f t="shared" si="9"/>
        <v/>
      </c>
      <c r="L53" s="1685" t="str">
        <f t="shared" si="10"/>
        <v/>
      </c>
      <c r="M53" s="1686"/>
      <c r="N53" s="1668"/>
      <c r="O53" s="1668" t="str">
        <f t="shared" ca="1" si="5"/>
        <v xml:space="preserve">בחר </v>
      </c>
      <c r="P53" s="1682">
        <f t="shared" ca="1" si="12"/>
        <v>1</v>
      </c>
      <c r="Q53" s="1757" t="s">
        <v>5830</v>
      </c>
      <c r="R53" s="1754">
        <v>1078</v>
      </c>
    </row>
    <row r="54" spans="1:18" ht="14.5">
      <c r="A54" s="1655">
        <f t="shared" si="11"/>
        <v>0</v>
      </c>
      <c r="B54" s="1409"/>
      <c r="C54" s="1621" t="s">
        <v>4977</v>
      </c>
      <c r="D54" s="1683"/>
      <c r="E54" s="1678">
        <f t="shared" si="7"/>
        <v>0</v>
      </c>
      <c r="F54" s="1687"/>
      <c r="G54" s="1684"/>
      <c r="H54" s="1684"/>
      <c r="I54" s="1684"/>
      <c r="J54" s="1684"/>
      <c r="K54" s="1685" t="str">
        <f t="shared" si="9"/>
        <v/>
      </c>
      <c r="L54" s="1685" t="str">
        <f t="shared" si="10"/>
        <v/>
      </c>
      <c r="M54" s="1686"/>
      <c r="N54" s="1668"/>
      <c r="O54" s="1668" t="str">
        <f t="shared" ca="1" si="5"/>
        <v xml:space="preserve">בחר </v>
      </c>
      <c r="P54" s="1682">
        <f t="shared" ca="1" si="12"/>
        <v>1</v>
      </c>
      <c r="Q54" s="1757" t="s">
        <v>5054</v>
      </c>
      <c r="R54" s="1754">
        <v>1104</v>
      </c>
    </row>
    <row r="55" spans="1:18" ht="14.5">
      <c r="A55" s="1655">
        <f t="shared" si="11"/>
        <v>0</v>
      </c>
      <c r="B55" s="1409"/>
      <c r="C55" s="1621" t="s">
        <v>4978</v>
      </c>
      <c r="D55" s="1683"/>
      <c r="E55" s="1678">
        <f t="shared" si="7"/>
        <v>0</v>
      </c>
      <c r="F55" s="1687"/>
      <c r="G55" s="1684"/>
      <c r="H55" s="1684"/>
      <c r="I55" s="1684"/>
      <c r="J55" s="1684"/>
      <c r="K55" s="1685" t="str">
        <f t="shared" si="9"/>
        <v/>
      </c>
      <c r="L55" s="1685" t="str">
        <f t="shared" si="10"/>
        <v/>
      </c>
      <c r="M55" s="1686"/>
      <c r="N55" s="1668"/>
      <c r="O55" s="1668" t="str">
        <f t="shared" ca="1" si="5"/>
        <v xml:space="preserve">בחר </v>
      </c>
      <c r="P55" s="1682">
        <f t="shared" ca="1" si="12"/>
        <v>1</v>
      </c>
      <c r="Q55" s="1757" t="s">
        <v>5831</v>
      </c>
      <c r="R55" s="1754">
        <v>1130</v>
      </c>
    </row>
    <row r="56" spans="1:18" ht="14.5">
      <c r="A56" s="1655">
        <f t="shared" si="11"/>
        <v>0</v>
      </c>
      <c r="B56" s="1409"/>
      <c r="C56" s="1621" t="s">
        <v>4979</v>
      </c>
      <c r="D56" s="1683"/>
      <c r="E56" s="1678">
        <f t="shared" si="7"/>
        <v>0</v>
      </c>
      <c r="F56" s="1687"/>
      <c r="G56" s="1684"/>
      <c r="H56" s="1684"/>
      <c r="I56" s="1684"/>
      <c r="J56" s="1684"/>
      <c r="K56" s="1685" t="str">
        <f t="shared" si="9"/>
        <v/>
      </c>
      <c r="L56" s="1685" t="str">
        <f t="shared" si="10"/>
        <v/>
      </c>
      <c r="M56" s="1686"/>
      <c r="N56" s="1668"/>
      <c r="O56" s="1668" t="str">
        <f t="shared" ca="1" si="5"/>
        <v xml:space="preserve">בחר </v>
      </c>
      <c r="P56" s="1682">
        <f t="shared" ca="1" si="12"/>
        <v>1</v>
      </c>
      <c r="Q56" s="1757" t="s">
        <v>5832</v>
      </c>
      <c r="R56" s="1754">
        <v>1156</v>
      </c>
    </row>
    <row r="57" spans="1:18" ht="14.5">
      <c r="A57" s="1655">
        <f t="shared" si="11"/>
        <v>0</v>
      </c>
      <c r="B57" s="1409"/>
      <c r="C57" s="1621" t="s">
        <v>4980</v>
      </c>
      <c r="D57" s="1683"/>
      <c r="E57" s="1678">
        <f t="shared" si="7"/>
        <v>0</v>
      </c>
      <c r="F57" s="1687"/>
      <c r="G57" s="1684"/>
      <c r="H57" s="1684"/>
      <c r="I57" s="1684"/>
      <c r="J57" s="1684"/>
      <c r="K57" s="1685" t="str">
        <f t="shared" si="9"/>
        <v/>
      </c>
      <c r="L57" s="1685" t="str">
        <f t="shared" si="10"/>
        <v/>
      </c>
      <c r="M57" s="1686"/>
      <c r="N57" s="1668"/>
      <c r="O57" s="1668" t="str">
        <f t="shared" ca="1" si="5"/>
        <v xml:space="preserve">בחר </v>
      </c>
      <c r="P57" s="1682">
        <f t="shared" ca="1" si="12"/>
        <v>1</v>
      </c>
      <c r="Q57" s="1757" t="s">
        <v>5833</v>
      </c>
      <c r="R57" s="1754">
        <v>1182</v>
      </c>
    </row>
    <row r="58" spans="1:18" ht="14.5">
      <c r="A58" s="1655">
        <f t="shared" si="11"/>
        <v>0</v>
      </c>
      <c r="B58" s="1409"/>
      <c r="C58" s="1621" t="s">
        <v>4981</v>
      </c>
      <c r="D58" s="1683"/>
      <c r="E58" s="1678">
        <f t="shared" si="7"/>
        <v>0</v>
      </c>
      <c r="F58" s="1687"/>
      <c r="G58" s="1684"/>
      <c r="H58" s="1684"/>
      <c r="I58" s="1684"/>
      <c r="J58" s="1684"/>
      <c r="K58" s="1685" t="str">
        <f t="shared" si="9"/>
        <v/>
      </c>
      <c r="L58" s="1685" t="str">
        <f t="shared" si="10"/>
        <v/>
      </c>
      <c r="M58" s="1686"/>
      <c r="N58" s="1668"/>
      <c r="O58" s="1668" t="str">
        <f t="shared" ca="1" si="5"/>
        <v xml:space="preserve">בחר </v>
      </c>
      <c r="P58" s="1682">
        <f t="shared" ca="1" si="12"/>
        <v>1</v>
      </c>
      <c r="Q58" s="1757" t="s">
        <v>5834</v>
      </c>
      <c r="R58" s="1754">
        <v>1208</v>
      </c>
    </row>
    <row r="59" spans="1:18" ht="14.5">
      <c r="A59" s="1655">
        <f t="shared" si="11"/>
        <v>0</v>
      </c>
      <c r="B59" s="1409"/>
      <c r="C59" s="1621" t="s">
        <v>4982</v>
      </c>
      <c r="D59" s="1683"/>
      <c r="E59" s="1678">
        <f t="shared" si="7"/>
        <v>0</v>
      </c>
      <c r="F59" s="1687"/>
      <c r="G59" s="1684"/>
      <c r="H59" s="1684"/>
      <c r="I59" s="1684"/>
      <c r="J59" s="1684"/>
      <c r="K59" s="1685" t="str">
        <f t="shared" si="9"/>
        <v/>
      </c>
      <c r="L59" s="1685" t="str">
        <f t="shared" si="10"/>
        <v/>
      </c>
      <c r="M59" s="1686"/>
      <c r="N59" s="1668"/>
      <c r="O59" s="1668" t="str">
        <f t="shared" ca="1" si="5"/>
        <v xml:space="preserve">בחר </v>
      </c>
      <c r="P59" s="1682">
        <f t="shared" ca="1" si="12"/>
        <v>1</v>
      </c>
      <c r="Q59" s="1757" t="s">
        <v>4997</v>
      </c>
      <c r="R59" s="1754">
        <v>1234</v>
      </c>
    </row>
    <row r="60" spans="1:18" ht="14.5">
      <c r="A60" s="1655">
        <f t="shared" si="11"/>
        <v>0</v>
      </c>
      <c r="B60" s="1409"/>
      <c r="C60" s="1621" t="s">
        <v>4983</v>
      </c>
      <c r="D60" s="1683"/>
      <c r="E60" s="1678">
        <f t="shared" si="7"/>
        <v>0</v>
      </c>
      <c r="F60" s="1687"/>
      <c r="G60" s="1684"/>
      <c r="H60" s="1684"/>
      <c r="I60" s="1684"/>
      <c r="J60" s="1684"/>
      <c r="K60" s="1685" t="str">
        <f t="shared" si="9"/>
        <v/>
      </c>
      <c r="L60" s="1685" t="str">
        <f t="shared" si="10"/>
        <v/>
      </c>
      <c r="M60" s="1686"/>
      <c r="N60" s="1668"/>
      <c r="O60" s="1668" t="str">
        <f t="shared" ca="1" si="5"/>
        <v xml:space="preserve">בחר </v>
      </c>
      <c r="P60" s="1682">
        <f t="shared" ca="1" si="12"/>
        <v>1</v>
      </c>
      <c r="Q60" s="1757" t="s">
        <v>5305</v>
      </c>
      <c r="R60" s="1754">
        <v>1260</v>
      </c>
    </row>
    <row r="61" spans="1:18" ht="14.5">
      <c r="A61" s="1655">
        <f t="shared" si="11"/>
        <v>0</v>
      </c>
      <c r="B61" s="1409"/>
      <c r="C61" s="1621" t="s">
        <v>4984</v>
      </c>
      <c r="D61" s="1683"/>
      <c r="E61" s="1678">
        <f t="shared" si="7"/>
        <v>0</v>
      </c>
      <c r="F61" s="1687"/>
      <c r="G61" s="1684"/>
      <c r="H61" s="1684"/>
      <c r="I61" s="1684"/>
      <c r="J61" s="1684"/>
      <c r="K61" s="1685" t="str">
        <f t="shared" si="9"/>
        <v/>
      </c>
      <c r="L61" s="1685" t="str">
        <f t="shared" si="10"/>
        <v/>
      </c>
      <c r="M61" s="1686"/>
      <c r="N61" s="1668"/>
      <c r="O61" s="1668" t="str">
        <f t="shared" ca="1" si="5"/>
        <v xml:space="preserve">בחר </v>
      </c>
      <c r="P61" s="1682">
        <f t="shared" ca="1" si="12"/>
        <v>1</v>
      </c>
      <c r="Q61" s="1757" t="s">
        <v>4998</v>
      </c>
      <c r="R61" s="1754">
        <v>1286</v>
      </c>
    </row>
    <row r="62" spans="1:18" ht="14.5">
      <c r="A62" s="1655">
        <f t="shared" si="11"/>
        <v>0</v>
      </c>
      <c r="B62" s="1409"/>
      <c r="C62" s="1621" t="s">
        <v>4985</v>
      </c>
      <c r="D62" s="1683"/>
      <c r="E62" s="1678">
        <f t="shared" si="7"/>
        <v>0</v>
      </c>
      <c r="F62" s="1687"/>
      <c r="G62" s="1684"/>
      <c r="H62" s="1684"/>
      <c r="I62" s="1684"/>
      <c r="J62" s="1684"/>
      <c r="K62" s="1685" t="str">
        <f t="shared" si="9"/>
        <v/>
      </c>
      <c r="L62" s="1685" t="str">
        <f t="shared" si="10"/>
        <v/>
      </c>
      <c r="M62" s="1686"/>
      <c r="N62" s="1668"/>
      <c r="O62" s="1668" t="str">
        <f t="shared" ca="1" si="5"/>
        <v xml:space="preserve">בחר </v>
      </c>
      <c r="P62" s="1682">
        <f t="shared" ca="1" si="12"/>
        <v>1</v>
      </c>
      <c r="Q62" s="1757" t="s">
        <v>5835</v>
      </c>
      <c r="R62" s="1754">
        <v>1312</v>
      </c>
    </row>
    <row r="63" spans="1:18" ht="14.5">
      <c r="A63" s="1655">
        <f t="shared" si="11"/>
        <v>0</v>
      </c>
      <c r="B63" s="1688"/>
      <c r="C63" s="1689" t="s">
        <v>4986</v>
      </c>
      <c r="D63" s="1690"/>
      <c r="E63" s="1691">
        <f t="shared" si="7"/>
        <v>0</v>
      </c>
      <c r="F63" s="1692"/>
      <c r="G63" s="1693"/>
      <c r="H63" s="1693"/>
      <c r="I63" s="1693"/>
      <c r="J63" s="1693"/>
      <c r="K63" s="1694" t="str">
        <f t="shared" si="9"/>
        <v/>
      </c>
      <c r="L63" s="1694" t="str">
        <f t="shared" si="10"/>
        <v/>
      </c>
      <c r="M63" s="1695"/>
      <c r="N63" s="1668"/>
      <c r="O63" s="1668" t="str">
        <f t="shared" ca="1" si="5"/>
        <v xml:space="preserve">בחר </v>
      </c>
      <c r="P63" s="1682">
        <f t="shared" ca="1" si="12"/>
        <v>1</v>
      </c>
      <c r="Q63" s="1757" t="s">
        <v>5836</v>
      </c>
      <c r="R63" s="1754">
        <v>1338</v>
      </c>
    </row>
    <row r="64" spans="1:18" ht="14.5">
      <c r="A64" s="1674">
        <f>A38+1</f>
        <v>3</v>
      </c>
      <c r="B64" s="1675" t="s">
        <v>5050</v>
      </c>
      <c r="C64" s="1676"/>
      <c r="D64" s="1677"/>
      <c r="E64" s="1679">
        <f t="shared" ref="E64:I64" si="13">SUM(E65:E89)</f>
        <v>0</v>
      </c>
      <c r="F64" s="1679">
        <f t="shared" si="13"/>
        <v>0</v>
      </c>
      <c r="G64" s="1679">
        <f t="shared" si="13"/>
        <v>0</v>
      </c>
      <c r="H64" s="1679">
        <f t="shared" si="13"/>
        <v>0</v>
      </c>
      <c r="I64" s="1679">
        <f t="shared" si="13"/>
        <v>0</v>
      </c>
      <c r="J64" s="1679">
        <f>SUM(J65:J89)</f>
        <v>0</v>
      </c>
      <c r="K64" s="1680" t="str">
        <f>IFERROR(E64/$C$6,"")</f>
        <v/>
      </c>
      <c r="L64" s="1680" t="str">
        <f>IFERROR(E64/$C$7,"")</f>
        <v/>
      </c>
      <c r="M64" s="1681">
        <f>SUM(M65:M89)</f>
        <v>0</v>
      </c>
      <c r="N64" s="1668"/>
      <c r="O64" s="1668" t="str">
        <f t="shared" ca="1" si="5"/>
        <v xml:space="preserve">בחר </v>
      </c>
      <c r="P64" s="1682">
        <f ca="1">IFERROR(VLOOKUP(O64,Groups,1,0),1)</f>
        <v>1</v>
      </c>
      <c r="Q64" s="1757" t="s">
        <v>5837</v>
      </c>
      <c r="R64" s="1754">
        <v>1364</v>
      </c>
    </row>
    <row r="65" spans="1:18" ht="14.5">
      <c r="A65" s="1655">
        <f>IF(E65&lt;&gt;0,1,0)</f>
        <v>0</v>
      </c>
      <c r="B65" s="1412"/>
      <c r="C65" s="1621" t="s">
        <v>4962</v>
      </c>
      <c r="D65" s="1683"/>
      <c r="E65" s="1678">
        <f>SUM(F65:J65)</f>
        <v>0</v>
      </c>
      <c r="F65" s="1684"/>
      <c r="G65" s="1684"/>
      <c r="H65" s="1684"/>
      <c r="I65" s="1684"/>
      <c r="J65" s="1684"/>
      <c r="K65" s="1685" t="str">
        <f t="shared" ref="K65:K89" si="14">IFERROR(E65/$C$6,"")</f>
        <v/>
      </c>
      <c r="L65" s="1685" t="str">
        <f t="shared" ref="L65:L89" si="15">IFERROR(E65/$C$7,"")</f>
        <v/>
      </c>
      <c r="M65" s="1686"/>
      <c r="N65" s="1668"/>
      <c r="O65" s="1668"/>
      <c r="P65" s="1682"/>
      <c r="Q65" s="1757" t="s">
        <v>5838</v>
      </c>
      <c r="R65" s="1754">
        <f t="shared" ref="R65" si="16">R64+R$9</f>
        <v>1390</v>
      </c>
    </row>
    <row r="66" spans="1:18" ht="14.5">
      <c r="A66" s="1655">
        <f t="shared" ref="A66:A89" si="17">IF(E66&lt;&gt;0,1,0)</f>
        <v>0</v>
      </c>
      <c r="B66" s="1409"/>
      <c r="C66" s="1621" t="s">
        <v>4963</v>
      </c>
      <c r="D66" s="1683"/>
      <c r="E66" s="1678">
        <f t="shared" ref="E66:E89" si="18">SUM(F66:J66)</f>
        <v>0</v>
      </c>
      <c r="F66" s="1687"/>
      <c r="G66" s="1684"/>
      <c r="H66" s="1684"/>
      <c r="I66" s="1684"/>
      <c r="J66" s="1684"/>
      <c r="K66" s="1685" t="str">
        <f t="shared" si="14"/>
        <v/>
      </c>
      <c r="L66" s="1685" t="str">
        <f t="shared" si="15"/>
        <v/>
      </c>
      <c r="M66" s="1686"/>
      <c r="N66" s="1668"/>
      <c r="Q66" s="1757" t="s">
        <v>5839</v>
      </c>
    </row>
    <row r="67" spans="1:18" ht="14.5">
      <c r="A67" s="1655">
        <f t="shared" si="17"/>
        <v>0</v>
      </c>
      <c r="B67" s="1409"/>
      <c r="C67" s="1621" t="s">
        <v>4964</v>
      </c>
      <c r="D67" s="1683"/>
      <c r="E67" s="1678">
        <f t="shared" si="18"/>
        <v>0</v>
      </c>
      <c r="F67" s="1687"/>
      <c r="G67" s="1684"/>
      <c r="H67" s="1684"/>
      <c r="I67" s="1684"/>
      <c r="J67" s="1684"/>
      <c r="K67" s="1685" t="str">
        <f t="shared" si="14"/>
        <v/>
      </c>
      <c r="L67" s="1685" t="str">
        <f t="shared" si="15"/>
        <v/>
      </c>
      <c r="M67" s="1686"/>
      <c r="N67" s="1668"/>
      <c r="Q67" s="1757" t="s">
        <v>4999</v>
      </c>
    </row>
    <row r="68" spans="1:18" ht="14.5">
      <c r="A68" s="1655">
        <f t="shared" si="17"/>
        <v>0</v>
      </c>
      <c r="B68" s="1409"/>
      <c r="C68" s="1621" t="s">
        <v>4965</v>
      </c>
      <c r="D68" s="1683"/>
      <c r="E68" s="1678">
        <f t="shared" si="18"/>
        <v>0</v>
      </c>
      <c r="F68" s="1687"/>
      <c r="G68" s="1684"/>
      <c r="H68" s="1684"/>
      <c r="I68" s="1684"/>
      <c r="J68" s="1684"/>
      <c r="K68" s="1685" t="str">
        <f t="shared" si="14"/>
        <v/>
      </c>
      <c r="L68" s="1685" t="str">
        <f t="shared" si="15"/>
        <v/>
      </c>
      <c r="M68" s="1686"/>
      <c r="N68" s="1668"/>
      <c r="Q68" s="1757" t="s">
        <v>5840</v>
      </c>
    </row>
    <row r="69" spans="1:18" ht="14.5">
      <c r="A69" s="1655">
        <f t="shared" si="17"/>
        <v>0</v>
      </c>
      <c r="B69" s="1409"/>
      <c r="C69" s="1621" t="s">
        <v>4966</v>
      </c>
      <c r="D69" s="1683"/>
      <c r="E69" s="1678">
        <f t="shared" si="18"/>
        <v>0</v>
      </c>
      <c r="F69" s="1687"/>
      <c r="G69" s="1684"/>
      <c r="H69" s="1684"/>
      <c r="I69" s="1684"/>
      <c r="J69" s="1684"/>
      <c r="K69" s="1685" t="str">
        <f t="shared" si="14"/>
        <v/>
      </c>
      <c r="L69" s="1685" t="str">
        <f t="shared" si="15"/>
        <v/>
      </c>
      <c r="M69" s="1686"/>
      <c r="N69" s="1668"/>
      <c r="Q69" s="1757" t="s">
        <v>5841</v>
      </c>
    </row>
    <row r="70" spans="1:18" ht="14.5">
      <c r="A70" s="1655">
        <f t="shared" si="17"/>
        <v>0</v>
      </c>
      <c r="B70" s="1409"/>
      <c r="C70" s="1621" t="s">
        <v>4967</v>
      </c>
      <c r="D70" s="1683"/>
      <c r="E70" s="1678">
        <f t="shared" si="18"/>
        <v>0</v>
      </c>
      <c r="F70" s="1687"/>
      <c r="G70" s="1684"/>
      <c r="H70" s="1684"/>
      <c r="I70" s="1684"/>
      <c r="J70" s="1684"/>
      <c r="K70" s="1685" t="str">
        <f t="shared" si="14"/>
        <v/>
      </c>
      <c r="L70" s="1685" t="str">
        <f t="shared" si="15"/>
        <v/>
      </c>
      <c r="M70" s="1686"/>
      <c r="N70" s="1668"/>
      <c r="Q70" s="1757" t="s">
        <v>5842</v>
      </c>
    </row>
    <row r="71" spans="1:18" ht="14.5">
      <c r="A71" s="1655">
        <f t="shared" si="17"/>
        <v>0</v>
      </c>
      <c r="B71" s="1409"/>
      <c r="C71" s="1621" t="s">
        <v>4968</v>
      </c>
      <c r="D71" s="1683"/>
      <c r="E71" s="1678">
        <f t="shared" si="18"/>
        <v>0</v>
      </c>
      <c r="F71" s="1687"/>
      <c r="G71" s="1684"/>
      <c r="H71" s="1684"/>
      <c r="I71" s="1684"/>
      <c r="J71" s="1684"/>
      <c r="K71" s="1685" t="str">
        <f t="shared" si="14"/>
        <v/>
      </c>
      <c r="L71" s="1685" t="str">
        <f t="shared" si="15"/>
        <v/>
      </c>
      <c r="M71" s="1686"/>
      <c r="N71" s="1668"/>
      <c r="Q71" s="1757" t="s">
        <v>5906</v>
      </c>
    </row>
    <row r="72" spans="1:18" ht="14.5">
      <c r="A72" s="1655">
        <f t="shared" si="17"/>
        <v>0</v>
      </c>
      <c r="B72" s="1409"/>
      <c r="C72" s="1621" t="s">
        <v>4969</v>
      </c>
      <c r="D72" s="1683"/>
      <c r="E72" s="1678">
        <f t="shared" si="18"/>
        <v>0</v>
      </c>
      <c r="F72" s="1687"/>
      <c r="G72" s="1684"/>
      <c r="H72" s="1684"/>
      <c r="I72" s="1684"/>
      <c r="J72" s="1684"/>
      <c r="K72" s="1685" t="str">
        <f t="shared" si="14"/>
        <v/>
      </c>
      <c r="L72" s="1685" t="str">
        <f t="shared" si="15"/>
        <v/>
      </c>
      <c r="M72" s="1686"/>
      <c r="N72" s="1668"/>
      <c r="Q72" s="1757" t="s">
        <v>5306</v>
      </c>
    </row>
    <row r="73" spans="1:18" ht="14.5">
      <c r="A73" s="1655">
        <f t="shared" si="17"/>
        <v>0</v>
      </c>
      <c r="B73" s="1409"/>
      <c r="C73" s="1621" t="s">
        <v>4970</v>
      </c>
      <c r="D73" s="1683"/>
      <c r="E73" s="1678">
        <f t="shared" si="18"/>
        <v>0</v>
      </c>
      <c r="F73" s="1687"/>
      <c r="G73" s="1684"/>
      <c r="H73" s="1684"/>
      <c r="I73" s="1684"/>
      <c r="J73" s="1684"/>
      <c r="K73" s="1685" t="str">
        <f t="shared" si="14"/>
        <v/>
      </c>
      <c r="L73" s="1685" t="str">
        <f t="shared" si="15"/>
        <v/>
      </c>
      <c r="M73" s="1686"/>
      <c r="N73" s="1668"/>
      <c r="Q73" s="1757" t="s">
        <v>5307</v>
      </c>
    </row>
    <row r="74" spans="1:18" ht="14.5">
      <c r="A74" s="1655">
        <f t="shared" si="17"/>
        <v>0</v>
      </c>
      <c r="B74" s="1409"/>
      <c r="C74" s="1621" t="s">
        <v>4971</v>
      </c>
      <c r="D74" s="1683"/>
      <c r="E74" s="1678">
        <f t="shared" si="18"/>
        <v>0</v>
      </c>
      <c r="F74" s="1687"/>
      <c r="G74" s="1684"/>
      <c r="H74" s="1684"/>
      <c r="I74" s="1684"/>
      <c r="J74" s="1684"/>
      <c r="K74" s="1685" t="str">
        <f t="shared" si="14"/>
        <v/>
      </c>
      <c r="L74" s="1685" t="str">
        <f t="shared" si="15"/>
        <v/>
      </c>
      <c r="M74" s="1686"/>
      <c r="N74" s="1668"/>
      <c r="Q74" s="1757" t="s">
        <v>5000</v>
      </c>
    </row>
    <row r="75" spans="1:18" ht="14.5">
      <c r="A75" s="1655">
        <f t="shared" si="17"/>
        <v>0</v>
      </c>
      <c r="B75" s="1409"/>
      <c r="C75" s="1621" t="s">
        <v>4972</v>
      </c>
      <c r="D75" s="1683"/>
      <c r="E75" s="1678">
        <f t="shared" si="18"/>
        <v>0</v>
      </c>
      <c r="F75" s="1687"/>
      <c r="G75" s="1684"/>
      <c r="H75" s="1684"/>
      <c r="I75" s="1684"/>
      <c r="J75" s="1684"/>
      <c r="K75" s="1685" t="str">
        <f t="shared" si="14"/>
        <v/>
      </c>
      <c r="L75" s="1685" t="str">
        <f t="shared" si="15"/>
        <v/>
      </c>
      <c r="M75" s="1686"/>
      <c r="N75" s="1668"/>
      <c r="Q75" s="1757" t="s">
        <v>5907</v>
      </c>
    </row>
    <row r="76" spans="1:18" ht="14.5">
      <c r="A76" s="1655">
        <f t="shared" si="17"/>
        <v>0</v>
      </c>
      <c r="B76" s="1412"/>
      <c r="C76" s="1621" t="s">
        <v>4973</v>
      </c>
      <c r="D76" s="1683"/>
      <c r="E76" s="1678">
        <f t="shared" si="18"/>
        <v>0</v>
      </c>
      <c r="F76" s="1687"/>
      <c r="G76" s="1684"/>
      <c r="H76" s="1684"/>
      <c r="I76" s="1684"/>
      <c r="J76" s="1684"/>
      <c r="K76" s="1685" t="str">
        <f t="shared" si="14"/>
        <v/>
      </c>
      <c r="L76" s="1685" t="str">
        <f t="shared" si="15"/>
        <v/>
      </c>
      <c r="M76" s="1686"/>
      <c r="N76" s="1668"/>
      <c r="Q76" s="1757" t="s">
        <v>5055</v>
      </c>
    </row>
    <row r="77" spans="1:18" ht="14.5">
      <c r="A77" s="1655">
        <f t="shared" si="17"/>
        <v>0</v>
      </c>
      <c r="B77" s="1412"/>
      <c r="C77" s="1621" t="s">
        <v>4974</v>
      </c>
      <c r="D77" s="1683"/>
      <c r="E77" s="1678">
        <f t="shared" si="18"/>
        <v>0</v>
      </c>
      <c r="F77" s="1687"/>
      <c r="G77" s="1684"/>
      <c r="H77" s="1684"/>
      <c r="I77" s="1684"/>
      <c r="J77" s="1684"/>
      <c r="K77" s="1685" t="str">
        <f t="shared" si="14"/>
        <v/>
      </c>
      <c r="L77" s="1685" t="str">
        <f t="shared" si="15"/>
        <v/>
      </c>
      <c r="M77" s="1686"/>
      <c r="N77" s="1668"/>
      <c r="Q77" s="1757" t="s">
        <v>5843</v>
      </c>
    </row>
    <row r="78" spans="1:18" ht="14.5">
      <c r="A78" s="1655">
        <f t="shared" si="17"/>
        <v>0</v>
      </c>
      <c r="B78" s="1409"/>
      <c r="C78" s="1621" t="s">
        <v>4975</v>
      </c>
      <c r="D78" s="1683"/>
      <c r="E78" s="1678">
        <f t="shared" si="18"/>
        <v>0</v>
      </c>
      <c r="F78" s="1687"/>
      <c r="G78" s="1684"/>
      <c r="H78" s="1684"/>
      <c r="I78" s="1684"/>
      <c r="J78" s="1684"/>
      <c r="K78" s="1685" t="str">
        <f t="shared" si="14"/>
        <v/>
      </c>
      <c r="L78" s="1685" t="str">
        <f t="shared" si="15"/>
        <v/>
      </c>
      <c r="M78" s="1686"/>
      <c r="N78" s="1668"/>
      <c r="Q78" s="1757" t="s">
        <v>5001</v>
      </c>
    </row>
    <row r="79" spans="1:18" ht="14.5">
      <c r="A79" s="1655">
        <f t="shared" si="17"/>
        <v>0</v>
      </c>
      <c r="B79" s="1409"/>
      <c r="C79" s="1621" t="s">
        <v>4976</v>
      </c>
      <c r="D79" s="1683"/>
      <c r="E79" s="1678">
        <f t="shared" si="18"/>
        <v>0</v>
      </c>
      <c r="F79" s="1687"/>
      <c r="G79" s="1684"/>
      <c r="H79" s="1684"/>
      <c r="I79" s="1684"/>
      <c r="J79" s="1684"/>
      <c r="K79" s="1685" t="str">
        <f t="shared" si="14"/>
        <v/>
      </c>
      <c r="L79" s="1685" t="str">
        <f t="shared" si="15"/>
        <v/>
      </c>
      <c r="M79" s="1686"/>
      <c r="N79" s="1668"/>
      <c r="Q79" s="1757" t="s">
        <v>5844</v>
      </c>
    </row>
    <row r="80" spans="1:18" ht="14.5">
      <c r="A80" s="1655">
        <f t="shared" si="17"/>
        <v>0</v>
      </c>
      <c r="B80" s="1409"/>
      <c r="C80" s="1621" t="s">
        <v>4977</v>
      </c>
      <c r="D80" s="1683"/>
      <c r="E80" s="1678">
        <f t="shared" si="18"/>
        <v>0</v>
      </c>
      <c r="F80" s="1687"/>
      <c r="G80" s="1684"/>
      <c r="H80" s="1684"/>
      <c r="I80" s="1684"/>
      <c r="J80" s="1684"/>
      <c r="K80" s="1685" t="str">
        <f t="shared" si="14"/>
        <v/>
      </c>
      <c r="L80" s="1685" t="str">
        <f t="shared" si="15"/>
        <v/>
      </c>
      <c r="M80" s="1686"/>
      <c r="N80" s="1668"/>
      <c r="Q80" s="1757" t="s">
        <v>5308</v>
      </c>
    </row>
    <row r="81" spans="1:17" ht="14.5">
      <c r="A81" s="1655">
        <f t="shared" si="17"/>
        <v>0</v>
      </c>
      <c r="B81" s="1409"/>
      <c r="C81" s="1621" t="s">
        <v>4978</v>
      </c>
      <c r="D81" s="1683"/>
      <c r="E81" s="1678">
        <f t="shared" si="18"/>
        <v>0</v>
      </c>
      <c r="F81" s="1687"/>
      <c r="G81" s="1684"/>
      <c r="H81" s="1684"/>
      <c r="I81" s="1684"/>
      <c r="J81" s="1684"/>
      <c r="K81" s="1685" t="str">
        <f t="shared" si="14"/>
        <v/>
      </c>
      <c r="L81" s="1685" t="str">
        <f t="shared" si="15"/>
        <v/>
      </c>
      <c r="M81" s="1686"/>
      <c r="N81" s="1668"/>
      <c r="Q81" s="1757" t="s">
        <v>5309</v>
      </c>
    </row>
    <row r="82" spans="1:17" ht="14.5">
      <c r="A82" s="1655">
        <f t="shared" si="17"/>
        <v>0</v>
      </c>
      <c r="B82" s="1409"/>
      <c r="C82" s="1621" t="s">
        <v>4979</v>
      </c>
      <c r="D82" s="1683"/>
      <c r="E82" s="1678">
        <f t="shared" si="18"/>
        <v>0</v>
      </c>
      <c r="F82" s="1687"/>
      <c r="G82" s="1684"/>
      <c r="H82" s="1684"/>
      <c r="I82" s="1684"/>
      <c r="J82" s="1684"/>
      <c r="K82" s="1685" t="str">
        <f t="shared" si="14"/>
        <v/>
      </c>
      <c r="L82" s="1685" t="str">
        <f t="shared" si="15"/>
        <v/>
      </c>
      <c r="M82" s="1686"/>
      <c r="N82" s="1668"/>
      <c r="Q82" s="1757" t="s">
        <v>5003</v>
      </c>
    </row>
    <row r="83" spans="1:17" ht="14.5">
      <c r="A83" s="1655">
        <f t="shared" si="17"/>
        <v>0</v>
      </c>
      <c r="B83" s="1409"/>
      <c r="C83" s="1621" t="s">
        <v>4980</v>
      </c>
      <c r="D83" s="1683"/>
      <c r="E83" s="1678">
        <f t="shared" si="18"/>
        <v>0</v>
      </c>
      <c r="F83" s="1687"/>
      <c r="G83" s="1684"/>
      <c r="H83" s="1684"/>
      <c r="I83" s="1684"/>
      <c r="J83" s="1684"/>
      <c r="K83" s="1685" t="str">
        <f t="shared" si="14"/>
        <v/>
      </c>
      <c r="L83" s="1685" t="str">
        <f t="shared" si="15"/>
        <v/>
      </c>
      <c r="M83" s="1686"/>
      <c r="N83" s="1668"/>
      <c r="Q83" s="1757" t="s">
        <v>5015</v>
      </c>
    </row>
    <row r="84" spans="1:17" ht="14.5">
      <c r="A84" s="1655">
        <f t="shared" si="17"/>
        <v>0</v>
      </c>
      <c r="B84" s="1409"/>
      <c r="C84" s="1621" t="s">
        <v>4981</v>
      </c>
      <c r="D84" s="1683"/>
      <c r="E84" s="1678">
        <f t="shared" si="18"/>
        <v>0</v>
      </c>
      <c r="F84" s="1687"/>
      <c r="G84" s="1684"/>
      <c r="H84" s="1684"/>
      <c r="I84" s="1684"/>
      <c r="J84" s="1684"/>
      <c r="K84" s="1685" t="str">
        <f t="shared" si="14"/>
        <v/>
      </c>
      <c r="L84" s="1685" t="str">
        <f t="shared" si="15"/>
        <v/>
      </c>
      <c r="M84" s="1686"/>
      <c r="N84" s="1668"/>
      <c r="Q84" s="1757" t="s">
        <v>5002</v>
      </c>
    </row>
    <row r="85" spans="1:17" ht="14.5">
      <c r="A85" s="1655">
        <f t="shared" si="17"/>
        <v>0</v>
      </c>
      <c r="B85" s="1409"/>
      <c r="C85" s="1621" t="s">
        <v>4982</v>
      </c>
      <c r="D85" s="1683"/>
      <c r="E85" s="1678">
        <f t="shared" si="18"/>
        <v>0</v>
      </c>
      <c r="F85" s="1687"/>
      <c r="G85" s="1684"/>
      <c r="H85" s="1684"/>
      <c r="I85" s="1684"/>
      <c r="J85" s="1684"/>
      <c r="K85" s="1685" t="str">
        <f t="shared" si="14"/>
        <v/>
      </c>
      <c r="L85" s="1685" t="str">
        <f t="shared" si="15"/>
        <v/>
      </c>
      <c r="M85" s="1686"/>
      <c r="N85" s="1668"/>
      <c r="Q85" s="1757" t="s">
        <v>5004</v>
      </c>
    </row>
    <row r="86" spans="1:17" ht="14.5">
      <c r="A86" s="1655">
        <f t="shared" si="17"/>
        <v>0</v>
      </c>
      <c r="B86" s="1409"/>
      <c r="C86" s="1621" t="s">
        <v>4983</v>
      </c>
      <c r="D86" s="1683"/>
      <c r="E86" s="1678">
        <f t="shared" si="18"/>
        <v>0</v>
      </c>
      <c r="F86" s="1687"/>
      <c r="G86" s="1684"/>
      <c r="H86" s="1684"/>
      <c r="I86" s="1684"/>
      <c r="J86" s="1684"/>
      <c r="K86" s="1685" t="str">
        <f t="shared" si="14"/>
        <v/>
      </c>
      <c r="L86" s="1685" t="str">
        <f t="shared" si="15"/>
        <v/>
      </c>
      <c r="M86" s="1686"/>
      <c r="N86" s="1668"/>
      <c r="Q86" s="1757" t="s">
        <v>5845</v>
      </c>
    </row>
    <row r="87" spans="1:17" ht="14.5">
      <c r="A87" s="1655">
        <f t="shared" si="17"/>
        <v>0</v>
      </c>
      <c r="B87" s="1409"/>
      <c r="C87" s="1621" t="s">
        <v>4984</v>
      </c>
      <c r="D87" s="1683"/>
      <c r="E87" s="1678">
        <f t="shared" si="18"/>
        <v>0</v>
      </c>
      <c r="F87" s="1687"/>
      <c r="G87" s="1684"/>
      <c r="H87" s="1684"/>
      <c r="I87" s="1684"/>
      <c r="J87" s="1684"/>
      <c r="K87" s="1685" t="str">
        <f t="shared" si="14"/>
        <v/>
      </c>
      <c r="L87" s="1685" t="str">
        <f t="shared" si="15"/>
        <v/>
      </c>
      <c r="M87" s="1686"/>
      <c r="N87" s="1668"/>
      <c r="Q87" s="1757" t="s">
        <v>5310</v>
      </c>
    </row>
    <row r="88" spans="1:17" ht="14.5">
      <c r="A88" s="1655">
        <f t="shared" si="17"/>
        <v>0</v>
      </c>
      <c r="B88" s="1409"/>
      <c r="C88" s="1621" t="s">
        <v>4985</v>
      </c>
      <c r="D88" s="1683"/>
      <c r="E88" s="1678">
        <f t="shared" si="18"/>
        <v>0</v>
      </c>
      <c r="F88" s="1687"/>
      <c r="G88" s="1684"/>
      <c r="H88" s="1684"/>
      <c r="I88" s="1684"/>
      <c r="J88" s="1684"/>
      <c r="K88" s="1685" t="str">
        <f t="shared" si="14"/>
        <v/>
      </c>
      <c r="L88" s="1685" t="str">
        <f t="shared" si="15"/>
        <v/>
      </c>
      <c r="M88" s="1686"/>
      <c r="N88" s="1668"/>
      <c r="Q88" s="1757" t="s">
        <v>5311</v>
      </c>
    </row>
    <row r="89" spans="1:17" ht="14.5">
      <c r="A89" s="1655">
        <f t="shared" si="17"/>
        <v>0</v>
      </c>
      <c r="B89" s="1688"/>
      <c r="C89" s="1689" t="s">
        <v>4986</v>
      </c>
      <c r="D89" s="1690"/>
      <c r="E89" s="1691">
        <f t="shared" si="18"/>
        <v>0</v>
      </c>
      <c r="F89" s="1692"/>
      <c r="G89" s="1693"/>
      <c r="H89" s="1693"/>
      <c r="I89" s="1693"/>
      <c r="J89" s="1693"/>
      <c r="K89" s="1694" t="str">
        <f t="shared" si="14"/>
        <v/>
      </c>
      <c r="L89" s="1694" t="str">
        <f t="shared" si="15"/>
        <v/>
      </c>
      <c r="M89" s="1695"/>
      <c r="N89" s="1668"/>
      <c r="Q89" s="1757" t="s">
        <v>5846</v>
      </c>
    </row>
    <row r="90" spans="1:17" ht="14.5">
      <c r="A90" s="1674">
        <f>A64+1</f>
        <v>4</v>
      </c>
      <c r="B90" s="1675" t="s">
        <v>5050</v>
      </c>
      <c r="C90" s="1676"/>
      <c r="D90" s="1677"/>
      <c r="E90" s="1679">
        <f t="shared" ref="E90:I90" si="19">SUM(E91:E115)</f>
        <v>0</v>
      </c>
      <c r="F90" s="1679">
        <f t="shared" si="19"/>
        <v>0</v>
      </c>
      <c r="G90" s="1679">
        <f t="shared" si="19"/>
        <v>0</v>
      </c>
      <c r="H90" s="1679">
        <f t="shared" si="19"/>
        <v>0</v>
      </c>
      <c r="I90" s="1679">
        <f t="shared" si="19"/>
        <v>0</v>
      </c>
      <c r="J90" s="1679">
        <f>SUM(J91:J115)</f>
        <v>0</v>
      </c>
      <c r="K90" s="1680" t="str">
        <f>IFERROR(E90/$C$6,"")</f>
        <v/>
      </c>
      <c r="L90" s="1680" t="str">
        <f>IFERROR(E90/$C$7,"")</f>
        <v/>
      </c>
      <c r="M90" s="1681">
        <f>SUM(M91:M115)</f>
        <v>0</v>
      </c>
      <c r="N90" s="1668"/>
      <c r="Q90" s="1757" t="s">
        <v>5312</v>
      </c>
    </row>
    <row r="91" spans="1:17" ht="14.5">
      <c r="A91" s="1655">
        <f>IF(E91&lt;&gt;0,1,0)</f>
        <v>0</v>
      </c>
      <c r="B91" s="1412"/>
      <c r="C91" s="1621" t="s">
        <v>4962</v>
      </c>
      <c r="D91" s="1683"/>
      <c r="E91" s="1678">
        <f>SUM(F91:J91)</f>
        <v>0</v>
      </c>
      <c r="F91" s="1684"/>
      <c r="G91" s="1684"/>
      <c r="H91" s="1684"/>
      <c r="I91" s="1684"/>
      <c r="J91" s="1684"/>
      <c r="K91" s="1685" t="str">
        <f t="shared" ref="K91:K115" si="20">IFERROR(E91/$C$6,"")</f>
        <v/>
      </c>
      <c r="L91" s="1685" t="str">
        <f t="shared" ref="L91:L115" si="21">IFERROR(E91/$C$7,"")</f>
        <v/>
      </c>
      <c r="M91" s="1686"/>
      <c r="N91" s="1668"/>
      <c r="Q91" s="1757" t="s">
        <v>3079</v>
      </c>
    </row>
    <row r="92" spans="1:17" ht="14.5">
      <c r="A92" s="1655">
        <f t="shared" ref="A92:A115" si="22">IF(E92&lt;&gt;0,1,0)</f>
        <v>0</v>
      </c>
      <c r="B92" s="1409"/>
      <c r="C92" s="1621" t="s">
        <v>4963</v>
      </c>
      <c r="D92" s="1683"/>
      <c r="E92" s="1678">
        <f t="shared" ref="E92:E115" si="23">SUM(F92:J92)</f>
        <v>0</v>
      </c>
      <c r="F92" s="1687"/>
      <c r="G92" s="1684"/>
      <c r="H92" s="1684"/>
      <c r="I92" s="1684"/>
      <c r="J92" s="1684"/>
      <c r="K92" s="1685" t="str">
        <f t="shared" si="20"/>
        <v/>
      </c>
      <c r="L92" s="1685" t="str">
        <f t="shared" si="21"/>
        <v/>
      </c>
      <c r="M92" s="1686"/>
      <c r="N92" s="1668"/>
      <c r="Q92" s="1757" t="s">
        <v>5847</v>
      </c>
    </row>
    <row r="93" spans="1:17" ht="14.5">
      <c r="A93" s="1655">
        <f t="shared" si="22"/>
        <v>0</v>
      </c>
      <c r="B93" s="1409"/>
      <c r="C93" s="1621" t="s">
        <v>4964</v>
      </c>
      <c r="D93" s="1683"/>
      <c r="E93" s="1678">
        <f t="shared" si="23"/>
        <v>0</v>
      </c>
      <c r="F93" s="1687"/>
      <c r="G93" s="1684"/>
      <c r="H93" s="1684"/>
      <c r="I93" s="1684"/>
      <c r="J93" s="1684"/>
      <c r="K93" s="1685" t="str">
        <f t="shared" si="20"/>
        <v/>
      </c>
      <c r="L93" s="1685" t="str">
        <f t="shared" si="21"/>
        <v/>
      </c>
      <c r="M93" s="1686"/>
      <c r="N93" s="1668"/>
      <c r="Q93" s="1757" t="s">
        <v>5848</v>
      </c>
    </row>
    <row r="94" spans="1:17" ht="14.5">
      <c r="A94" s="1655">
        <f t="shared" si="22"/>
        <v>0</v>
      </c>
      <c r="B94" s="1409"/>
      <c r="C94" s="1621" t="s">
        <v>4965</v>
      </c>
      <c r="D94" s="1683"/>
      <c r="E94" s="1678">
        <f t="shared" si="23"/>
        <v>0</v>
      </c>
      <c r="F94" s="1687"/>
      <c r="G94" s="1684"/>
      <c r="H94" s="1684"/>
      <c r="I94" s="1684"/>
      <c r="J94" s="1684"/>
      <c r="K94" s="1685" t="str">
        <f t="shared" si="20"/>
        <v/>
      </c>
      <c r="L94" s="1685" t="str">
        <f t="shared" si="21"/>
        <v/>
      </c>
      <c r="M94" s="1686"/>
      <c r="N94" s="1668"/>
      <c r="Q94" s="1757" t="s">
        <v>5056</v>
      </c>
    </row>
    <row r="95" spans="1:17" ht="14.5">
      <c r="A95" s="1655">
        <f t="shared" si="22"/>
        <v>0</v>
      </c>
      <c r="B95" s="1409"/>
      <c r="C95" s="1621" t="s">
        <v>4966</v>
      </c>
      <c r="D95" s="1683"/>
      <c r="E95" s="1678">
        <f t="shared" si="23"/>
        <v>0</v>
      </c>
      <c r="F95" s="1687"/>
      <c r="G95" s="1684"/>
      <c r="H95" s="1684"/>
      <c r="I95" s="1684"/>
      <c r="J95" s="1684"/>
      <c r="K95" s="1685" t="str">
        <f t="shared" si="20"/>
        <v/>
      </c>
      <c r="L95" s="1685" t="str">
        <f t="shared" si="21"/>
        <v/>
      </c>
      <c r="M95" s="1686"/>
      <c r="N95" s="1668"/>
      <c r="Q95" s="1757" t="s">
        <v>5005</v>
      </c>
    </row>
    <row r="96" spans="1:17" ht="14.5">
      <c r="A96" s="1655">
        <f t="shared" si="22"/>
        <v>0</v>
      </c>
      <c r="B96" s="1409"/>
      <c r="C96" s="1621" t="s">
        <v>4967</v>
      </c>
      <c r="D96" s="1683"/>
      <c r="E96" s="1678">
        <f t="shared" si="23"/>
        <v>0</v>
      </c>
      <c r="F96" s="1687"/>
      <c r="G96" s="1684"/>
      <c r="H96" s="1684"/>
      <c r="I96" s="1684"/>
      <c r="J96" s="1684"/>
      <c r="K96" s="1685" t="str">
        <f t="shared" si="20"/>
        <v/>
      </c>
      <c r="L96" s="1685" t="str">
        <f t="shared" si="21"/>
        <v/>
      </c>
      <c r="M96" s="1686"/>
      <c r="N96" s="1668"/>
      <c r="Q96" s="1757" t="s">
        <v>5849</v>
      </c>
    </row>
    <row r="97" spans="1:17" ht="14.5">
      <c r="A97" s="1655">
        <f t="shared" si="22"/>
        <v>0</v>
      </c>
      <c r="B97" s="1409"/>
      <c r="C97" s="1621" t="s">
        <v>4968</v>
      </c>
      <c r="D97" s="1683"/>
      <c r="E97" s="1678">
        <f t="shared" si="23"/>
        <v>0</v>
      </c>
      <c r="F97" s="1687"/>
      <c r="G97" s="1684"/>
      <c r="H97" s="1684"/>
      <c r="I97" s="1684"/>
      <c r="J97" s="1684"/>
      <c r="K97" s="1685" t="str">
        <f t="shared" si="20"/>
        <v/>
      </c>
      <c r="L97" s="1685" t="str">
        <f t="shared" si="21"/>
        <v/>
      </c>
      <c r="M97" s="1686"/>
      <c r="N97" s="1668"/>
      <c r="Q97" s="1757" t="s">
        <v>5850</v>
      </c>
    </row>
    <row r="98" spans="1:17" ht="14.5">
      <c r="A98" s="1655">
        <f t="shared" si="22"/>
        <v>0</v>
      </c>
      <c r="B98" s="1409"/>
      <c r="C98" s="1621" t="s">
        <v>4969</v>
      </c>
      <c r="D98" s="1683"/>
      <c r="E98" s="1678">
        <f t="shared" si="23"/>
        <v>0</v>
      </c>
      <c r="F98" s="1687"/>
      <c r="G98" s="1684"/>
      <c r="H98" s="1684"/>
      <c r="I98" s="1684"/>
      <c r="J98" s="1684"/>
      <c r="K98" s="1685" t="str">
        <f t="shared" si="20"/>
        <v/>
      </c>
      <c r="L98" s="1685" t="str">
        <f t="shared" si="21"/>
        <v/>
      </c>
      <c r="M98" s="1686"/>
      <c r="N98" s="1668"/>
      <c r="Q98" s="1757" t="s">
        <v>5851</v>
      </c>
    </row>
    <row r="99" spans="1:17" ht="14.5">
      <c r="A99" s="1655">
        <f t="shared" si="22"/>
        <v>0</v>
      </c>
      <c r="B99" s="1409"/>
      <c r="C99" s="1621" t="s">
        <v>4970</v>
      </c>
      <c r="D99" s="1683"/>
      <c r="E99" s="1678">
        <f t="shared" si="23"/>
        <v>0</v>
      </c>
      <c r="F99" s="1687"/>
      <c r="G99" s="1684"/>
      <c r="H99" s="1684"/>
      <c r="I99" s="1684"/>
      <c r="J99" s="1684"/>
      <c r="K99" s="1685" t="str">
        <f t="shared" si="20"/>
        <v/>
      </c>
      <c r="L99" s="1685" t="str">
        <f t="shared" si="21"/>
        <v/>
      </c>
      <c r="M99" s="1686"/>
      <c r="N99" s="1668"/>
      <c r="Q99" s="1757" t="s">
        <v>5313</v>
      </c>
    </row>
    <row r="100" spans="1:17" ht="14.5">
      <c r="A100" s="1655">
        <f t="shared" si="22"/>
        <v>0</v>
      </c>
      <c r="B100" s="1409"/>
      <c r="C100" s="1621" t="s">
        <v>4971</v>
      </c>
      <c r="D100" s="1683"/>
      <c r="E100" s="1678">
        <f t="shared" si="23"/>
        <v>0</v>
      </c>
      <c r="F100" s="1687"/>
      <c r="G100" s="1684"/>
      <c r="H100" s="1684"/>
      <c r="I100" s="1684"/>
      <c r="J100" s="1684"/>
      <c r="K100" s="1685" t="str">
        <f t="shared" si="20"/>
        <v/>
      </c>
      <c r="L100" s="1685" t="str">
        <f t="shared" si="21"/>
        <v/>
      </c>
      <c r="M100" s="1686"/>
      <c r="N100" s="1668"/>
      <c r="Q100" s="1757" t="s">
        <v>5314</v>
      </c>
    </row>
    <row r="101" spans="1:17" ht="14.5">
      <c r="A101" s="1655">
        <f t="shared" si="22"/>
        <v>0</v>
      </c>
      <c r="B101" s="1409"/>
      <c r="C101" s="1621" t="s">
        <v>4972</v>
      </c>
      <c r="D101" s="1683"/>
      <c r="E101" s="1678">
        <f t="shared" si="23"/>
        <v>0</v>
      </c>
      <c r="F101" s="1687"/>
      <c r="G101" s="1684"/>
      <c r="H101" s="1684"/>
      <c r="I101" s="1684"/>
      <c r="J101" s="1684"/>
      <c r="K101" s="1685" t="str">
        <f t="shared" si="20"/>
        <v/>
      </c>
      <c r="L101" s="1685" t="str">
        <f t="shared" si="21"/>
        <v/>
      </c>
      <c r="M101" s="1686"/>
      <c r="N101" s="1668"/>
      <c r="Q101" s="1757" t="s">
        <v>5852</v>
      </c>
    </row>
    <row r="102" spans="1:17" ht="14.5">
      <c r="A102" s="1655">
        <f t="shared" si="22"/>
        <v>0</v>
      </c>
      <c r="B102" s="1412"/>
      <c r="C102" s="1621" t="s">
        <v>4973</v>
      </c>
      <c r="D102" s="1683"/>
      <c r="E102" s="1678">
        <f t="shared" si="23"/>
        <v>0</v>
      </c>
      <c r="F102" s="1687"/>
      <c r="G102" s="1684"/>
      <c r="H102" s="1684"/>
      <c r="I102" s="1684"/>
      <c r="J102" s="1684"/>
      <c r="K102" s="1685" t="str">
        <f t="shared" si="20"/>
        <v/>
      </c>
      <c r="L102" s="1685" t="str">
        <f t="shared" si="21"/>
        <v/>
      </c>
      <c r="M102" s="1686"/>
      <c r="N102" s="1668"/>
      <c r="Q102" s="1757" t="s">
        <v>5315</v>
      </c>
    </row>
    <row r="103" spans="1:17" ht="14.5">
      <c r="A103" s="1655">
        <f t="shared" si="22"/>
        <v>0</v>
      </c>
      <c r="B103" s="1412"/>
      <c r="C103" s="1621" t="s">
        <v>4974</v>
      </c>
      <c r="D103" s="1683"/>
      <c r="E103" s="1678">
        <f t="shared" si="23"/>
        <v>0</v>
      </c>
      <c r="F103" s="1687"/>
      <c r="G103" s="1684"/>
      <c r="H103" s="1684"/>
      <c r="I103" s="1684"/>
      <c r="J103" s="1684"/>
      <c r="K103" s="1685" t="str">
        <f t="shared" si="20"/>
        <v/>
      </c>
      <c r="L103" s="1685" t="str">
        <f t="shared" si="21"/>
        <v/>
      </c>
      <c r="M103" s="1686"/>
      <c r="N103" s="1668"/>
      <c r="Q103" s="1757" t="s">
        <v>5316</v>
      </c>
    </row>
    <row r="104" spans="1:17" ht="14.5">
      <c r="A104" s="1655">
        <f t="shared" si="22"/>
        <v>0</v>
      </c>
      <c r="B104" s="1409"/>
      <c r="C104" s="1621" t="s">
        <v>4975</v>
      </c>
      <c r="D104" s="1683"/>
      <c r="E104" s="1678">
        <f t="shared" si="23"/>
        <v>0</v>
      </c>
      <c r="F104" s="1687"/>
      <c r="G104" s="1684"/>
      <c r="H104" s="1684"/>
      <c r="I104" s="1684"/>
      <c r="J104" s="1684"/>
      <c r="K104" s="1685" t="str">
        <f t="shared" si="20"/>
        <v/>
      </c>
      <c r="L104" s="1685" t="str">
        <f t="shared" si="21"/>
        <v/>
      </c>
      <c r="M104" s="1686"/>
      <c r="N104" s="1668"/>
      <c r="Q104" s="1757" t="s">
        <v>5853</v>
      </c>
    </row>
    <row r="105" spans="1:17" ht="14.5">
      <c r="A105" s="1655">
        <f t="shared" si="22"/>
        <v>0</v>
      </c>
      <c r="B105" s="1409"/>
      <c r="C105" s="1621" t="s">
        <v>4976</v>
      </c>
      <c r="D105" s="1683"/>
      <c r="E105" s="1678">
        <f t="shared" si="23"/>
        <v>0</v>
      </c>
      <c r="F105" s="1687"/>
      <c r="G105" s="1684"/>
      <c r="H105" s="1684"/>
      <c r="I105" s="1684"/>
      <c r="J105" s="1684"/>
      <c r="K105" s="1685" t="str">
        <f t="shared" si="20"/>
        <v/>
      </c>
      <c r="L105" s="1685" t="str">
        <f t="shared" si="21"/>
        <v/>
      </c>
      <c r="M105" s="1686"/>
      <c r="N105" s="1668"/>
      <c r="Q105" s="1757" t="s">
        <v>5854</v>
      </c>
    </row>
    <row r="106" spans="1:17" ht="14.5">
      <c r="A106" s="1655">
        <f t="shared" si="22"/>
        <v>0</v>
      </c>
      <c r="B106" s="1409"/>
      <c r="C106" s="1621" t="s">
        <v>4977</v>
      </c>
      <c r="D106" s="1683"/>
      <c r="E106" s="1678">
        <f t="shared" si="23"/>
        <v>0</v>
      </c>
      <c r="F106" s="1687"/>
      <c r="G106" s="1684"/>
      <c r="H106" s="1684"/>
      <c r="I106" s="1684"/>
      <c r="J106" s="1684"/>
      <c r="K106" s="1685" t="str">
        <f t="shared" si="20"/>
        <v/>
      </c>
      <c r="L106" s="1685" t="str">
        <f t="shared" si="21"/>
        <v/>
      </c>
      <c r="M106" s="1686"/>
      <c r="N106" s="1668"/>
      <c r="Q106" s="1757" t="s">
        <v>5855</v>
      </c>
    </row>
    <row r="107" spans="1:17" ht="14.5">
      <c r="A107" s="1655">
        <f t="shared" si="22"/>
        <v>0</v>
      </c>
      <c r="B107" s="1409"/>
      <c r="C107" s="1621" t="s">
        <v>4978</v>
      </c>
      <c r="D107" s="1683"/>
      <c r="E107" s="1678">
        <f t="shared" si="23"/>
        <v>0</v>
      </c>
      <c r="F107" s="1687"/>
      <c r="G107" s="1684"/>
      <c r="H107" s="1684"/>
      <c r="I107" s="1684"/>
      <c r="J107" s="1684"/>
      <c r="K107" s="1685" t="str">
        <f t="shared" si="20"/>
        <v/>
      </c>
      <c r="L107" s="1685" t="str">
        <f t="shared" si="21"/>
        <v/>
      </c>
      <c r="M107" s="1686"/>
      <c r="N107" s="1668"/>
      <c r="Q107" s="1757" t="s">
        <v>5856</v>
      </c>
    </row>
    <row r="108" spans="1:17" ht="14.5">
      <c r="A108" s="1655">
        <f t="shared" si="22"/>
        <v>0</v>
      </c>
      <c r="B108" s="1409"/>
      <c r="C108" s="1621" t="s">
        <v>4979</v>
      </c>
      <c r="D108" s="1683"/>
      <c r="E108" s="1678">
        <f t="shared" si="23"/>
        <v>0</v>
      </c>
      <c r="F108" s="1687"/>
      <c r="G108" s="1684"/>
      <c r="H108" s="1684"/>
      <c r="I108" s="1684"/>
      <c r="J108" s="1684"/>
      <c r="K108" s="1685" t="str">
        <f t="shared" si="20"/>
        <v/>
      </c>
      <c r="L108" s="1685" t="str">
        <f t="shared" si="21"/>
        <v/>
      </c>
      <c r="M108" s="1686"/>
      <c r="N108" s="1668"/>
      <c r="Q108" s="1757" t="s">
        <v>5908</v>
      </c>
    </row>
    <row r="109" spans="1:17" ht="14.5">
      <c r="A109" s="1655">
        <f t="shared" si="22"/>
        <v>0</v>
      </c>
      <c r="B109" s="1409"/>
      <c r="C109" s="1621" t="s">
        <v>4980</v>
      </c>
      <c r="D109" s="1683"/>
      <c r="E109" s="1678">
        <f t="shared" si="23"/>
        <v>0</v>
      </c>
      <c r="F109" s="1687"/>
      <c r="G109" s="1684"/>
      <c r="H109" s="1684"/>
      <c r="I109" s="1684"/>
      <c r="J109" s="1684"/>
      <c r="K109" s="1685" t="str">
        <f t="shared" si="20"/>
        <v/>
      </c>
      <c r="L109" s="1685" t="str">
        <f t="shared" si="21"/>
        <v/>
      </c>
      <c r="M109" s="1686"/>
      <c r="N109" s="1668"/>
      <c r="Q109" s="1757" t="s">
        <v>5317</v>
      </c>
    </row>
    <row r="110" spans="1:17" ht="14.5">
      <c r="A110" s="1655">
        <f t="shared" si="22"/>
        <v>0</v>
      </c>
      <c r="B110" s="1409"/>
      <c r="C110" s="1621" t="s">
        <v>4981</v>
      </c>
      <c r="D110" s="1683"/>
      <c r="E110" s="1678">
        <f t="shared" si="23"/>
        <v>0</v>
      </c>
      <c r="F110" s="1687"/>
      <c r="G110" s="1684"/>
      <c r="H110" s="1684"/>
      <c r="I110" s="1684"/>
      <c r="J110" s="1684"/>
      <c r="K110" s="1685" t="str">
        <f t="shared" si="20"/>
        <v/>
      </c>
      <c r="L110" s="1685" t="str">
        <f t="shared" si="21"/>
        <v/>
      </c>
      <c r="M110" s="1686"/>
      <c r="N110" s="1668"/>
      <c r="Q110" s="1757" t="s">
        <v>5909</v>
      </c>
    </row>
    <row r="111" spans="1:17" ht="14.5">
      <c r="A111" s="1655">
        <f t="shared" si="22"/>
        <v>0</v>
      </c>
      <c r="B111" s="1409"/>
      <c r="C111" s="1621" t="s">
        <v>4982</v>
      </c>
      <c r="D111" s="1683"/>
      <c r="E111" s="1678">
        <f t="shared" si="23"/>
        <v>0</v>
      </c>
      <c r="F111" s="1687"/>
      <c r="G111" s="1684"/>
      <c r="H111" s="1684"/>
      <c r="I111" s="1684"/>
      <c r="J111" s="1684"/>
      <c r="K111" s="1685" t="str">
        <f t="shared" si="20"/>
        <v/>
      </c>
      <c r="L111" s="1685" t="str">
        <f t="shared" si="21"/>
        <v/>
      </c>
      <c r="M111" s="1686"/>
      <c r="N111" s="1668"/>
      <c r="Q111" s="1757" t="s">
        <v>5318</v>
      </c>
    </row>
    <row r="112" spans="1:17" ht="14.5">
      <c r="A112" s="1655">
        <f t="shared" si="22"/>
        <v>0</v>
      </c>
      <c r="B112" s="1409"/>
      <c r="C112" s="1621" t="s">
        <v>4983</v>
      </c>
      <c r="D112" s="1683"/>
      <c r="E112" s="1678">
        <f t="shared" si="23"/>
        <v>0</v>
      </c>
      <c r="F112" s="1687"/>
      <c r="G112" s="1684"/>
      <c r="H112" s="1684"/>
      <c r="I112" s="1684"/>
      <c r="J112" s="1684"/>
      <c r="K112" s="1685" t="str">
        <f t="shared" si="20"/>
        <v/>
      </c>
      <c r="L112" s="1685" t="str">
        <f t="shared" si="21"/>
        <v/>
      </c>
      <c r="M112" s="1686"/>
      <c r="N112" s="1668"/>
      <c r="Q112" s="1757" t="s">
        <v>5857</v>
      </c>
    </row>
    <row r="113" spans="1:17" ht="14.5">
      <c r="A113" s="1655">
        <f t="shared" si="22"/>
        <v>0</v>
      </c>
      <c r="B113" s="1409"/>
      <c r="C113" s="1621" t="s">
        <v>4984</v>
      </c>
      <c r="D113" s="1683"/>
      <c r="E113" s="1678">
        <f t="shared" si="23"/>
        <v>0</v>
      </c>
      <c r="F113" s="1687"/>
      <c r="G113" s="1684"/>
      <c r="H113" s="1684"/>
      <c r="I113" s="1684"/>
      <c r="J113" s="1684"/>
      <c r="K113" s="1685" t="str">
        <f t="shared" si="20"/>
        <v/>
      </c>
      <c r="L113" s="1685" t="str">
        <f t="shared" si="21"/>
        <v/>
      </c>
      <c r="M113" s="1686"/>
      <c r="N113" s="1668"/>
      <c r="Q113" s="1757" t="s">
        <v>2754</v>
      </c>
    </row>
    <row r="114" spans="1:17" ht="14.5">
      <c r="A114" s="1655">
        <f t="shared" si="22"/>
        <v>0</v>
      </c>
      <c r="B114" s="1409"/>
      <c r="C114" s="1621" t="s">
        <v>4985</v>
      </c>
      <c r="D114" s="1683"/>
      <c r="E114" s="1678">
        <f t="shared" si="23"/>
        <v>0</v>
      </c>
      <c r="F114" s="1687"/>
      <c r="G114" s="1684"/>
      <c r="H114" s="1684"/>
      <c r="I114" s="1684"/>
      <c r="J114" s="1684"/>
      <c r="K114" s="1685" t="str">
        <f t="shared" si="20"/>
        <v/>
      </c>
      <c r="L114" s="1685" t="str">
        <f t="shared" si="21"/>
        <v/>
      </c>
      <c r="M114" s="1686"/>
      <c r="N114" s="1668"/>
      <c r="Q114" s="1757" t="s">
        <v>5858</v>
      </c>
    </row>
    <row r="115" spans="1:17" ht="14.5">
      <c r="A115" s="1655">
        <f t="shared" si="22"/>
        <v>0</v>
      </c>
      <c r="B115" s="1688"/>
      <c r="C115" s="1689" t="s">
        <v>4986</v>
      </c>
      <c r="D115" s="1690"/>
      <c r="E115" s="1691">
        <f t="shared" si="23"/>
        <v>0</v>
      </c>
      <c r="F115" s="1692"/>
      <c r="G115" s="1693"/>
      <c r="H115" s="1693"/>
      <c r="I115" s="1693"/>
      <c r="J115" s="1693"/>
      <c r="K115" s="1694" t="str">
        <f t="shared" si="20"/>
        <v/>
      </c>
      <c r="L115" s="1694" t="str">
        <f t="shared" si="21"/>
        <v/>
      </c>
      <c r="M115" s="1695"/>
      <c r="N115" s="1668"/>
      <c r="Q115" s="1757" t="s">
        <v>5859</v>
      </c>
    </row>
    <row r="116" spans="1:17" ht="14.5">
      <c r="A116" s="1674">
        <f>A90+1</f>
        <v>5</v>
      </c>
      <c r="B116" s="1675" t="s">
        <v>5050</v>
      </c>
      <c r="C116" s="1676"/>
      <c r="D116" s="1677"/>
      <c r="E116" s="1679">
        <f t="shared" ref="E116:I116" si="24">SUM(E117:E141)</f>
        <v>0</v>
      </c>
      <c r="F116" s="1679">
        <f t="shared" si="24"/>
        <v>0</v>
      </c>
      <c r="G116" s="1679">
        <f t="shared" si="24"/>
        <v>0</v>
      </c>
      <c r="H116" s="1679">
        <f t="shared" si="24"/>
        <v>0</v>
      </c>
      <c r="I116" s="1679">
        <f t="shared" si="24"/>
        <v>0</v>
      </c>
      <c r="J116" s="1679">
        <f>SUM(J117:J141)</f>
        <v>0</v>
      </c>
      <c r="K116" s="1680" t="str">
        <f>IFERROR(E116/$C$6,"")</f>
        <v/>
      </c>
      <c r="L116" s="1680" t="str">
        <f>IFERROR(E116/$C$7,"")</f>
        <v/>
      </c>
      <c r="M116" s="1681">
        <f>SUM(M117:M141)</f>
        <v>0</v>
      </c>
      <c r="N116" s="1668"/>
      <c r="Q116" s="1757" t="s">
        <v>5860</v>
      </c>
    </row>
    <row r="117" spans="1:17" ht="14.5">
      <c r="A117" s="1655">
        <f>IF(E117&lt;&gt;0,1,0)</f>
        <v>0</v>
      </c>
      <c r="B117" s="1412"/>
      <c r="C117" s="1621" t="s">
        <v>4962</v>
      </c>
      <c r="D117" s="1683"/>
      <c r="E117" s="1678">
        <f>SUM(F117:J117)</f>
        <v>0</v>
      </c>
      <c r="F117" s="1684"/>
      <c r="G117" s="1684"/>
      <c r="H117" s="1684"/>
      <c r="I117" s="1684"/>
      <c r="J117" s="1684"/>
      <c r="K117" s="1685" t="str">
        <f t="shared" ref="K117:K141" si="25">IFERROR(E117/$C$6,"")</f>
        <v/>
      </c>
      <c r="L117" s="1685" t="str">
        <f t="shared" ref="L117:L141" si="26">IFERROR(E117/$C$7,"")</f>
        <v/>
      </c>
      <c r="M117" s="1686"/>
      <c r="N117" s="1668"/>
      <c r="Q117" s="1757" t="s">
        <v>5861</v>
      </c>
    </row>
    <row r="118" spans="1:17" ht="14.5">
      <c r="A118" s="1655">
        <f t="shared" ref="A118:A141" si="27">IF(E118&lt;&gt;0,1,0)</f>
        <v>0</v>
      </c>
      <c r="B118" s="1409"/>
      <c r="C118" s="1621" t="s">
        <v>4963</v>
      </c>
      <c r="D118" s="1683"/>
      <c r="E118" s="1678">
        <f t="shared" ref="E118:E141" si="28">SUM(F118:J118)</f>
        <v>0</v>
      </c>
      <c r="F118" s="1687"/>
      <c r="G118" s="1684"/>
      <c r="H118" s="1684"/>
      <c r="I118" s="1684"/>
      <c r="J118" s="1684"/>
      <c r="K118" s="1685" t="str">
        <f t="shared" si="25"/>
        <v/>
      </c>
      <c r="L118" s="1685" t="str">
        <f t="shared" si="26"/>
        <v/>
      </c>
      <c r="M118" s="1686"/>
      <c r="N118" s="1668"/>
      <c r="Q118" s="1757" t="s">
        <v>5862</v>
      </c>
    </row>
    <row r="119" spans="1:17" ht="14.5">
      <c r="A119" s="1655">
        <f t="shared" si="27"/>
        <v>0</v>
      </c>
      <c r="B119" s="1409"/>
      <c r="C119" s="1621" t="s">
        <v>4964</v>
      </c>
      <c r="D119" s="1683"/>
      <c r="E119" s="1678">
        <f t="shared" si="28"/>
        <v>0</v>
      </c>
      <c r="F119" s="1687"/>
      <c r="G119" s="1684"/>
      <c r="H119" s="1684"/>
      <c r="I119" s="1684"/>
      <c r="J119" s="1684"/>
      <c r="K119" s="1685" t="str">
        <f t="shared" si="25"/>
        <v/>
      </c>
      <c r="L119" s="1685" t="str">
        <f t="shared" si="26"/>
        <v/>
      </c>
      <c r="M119" s="1686"/>
      <c r="N119" s="1668"/>
      <c r="Q119" s="1757" t="s">
        <v>5863</v>
      </c>
    </row>
    <row r="120" spans="1:17" ht="14.5">
      <c r="A120" s="1655">
        <f t="shared" si="27"/>
        <v>0</v>
      </c>
      <c r="B120" s="1409"/>
      <c r="C120" s="1621" t="s">
        <v>4965</v>
      </c>
      <c r="D120" s="1683"/>
      <c r="E120" s="1678">
        <f t="shared" si="28"/>
        <v>0</v>
      </c>
      <c r="F120" s="1687"/>
      <c r="G120" s="1684"/>
      <c r="H120" s="1684"/>
      <c r="I120" s="1684"/>
      <c r="J120" s="1684"/>
      <c r="K120" s="1685" t="str">
        <f t="shared" si="25"/>
        <v/>
      </c>
      <c r="L120" s="1685" t="str">
        <f t="shared" si="26"/>
        <v/>
      </c>
      <c r="M120" s="1686"/>
      <c r="N120" s="1668"/>
      <c r="Q120" s="1757" t="s">
        <v>5864</v>
      </c>
    </row>
    <row r="121" spans="1:17" ht="14.5">
      <c r="A121" s="1655">
        <f t="shared" si="27"/>
        <v>0</v>
      </c>
      <c r="B121" s="1409"/>
      <c r="C121" s="1621" t="s">
        <v>4966</v>
      </c>
      <c r="D121" s="1683"/>
      <c r="E121" s="1678">
        <f t="shared" si="28"/>
        <v>0</v>
      </c>
      <c r="F121" s="1687"/>
      <c r="G121" s="1684"/>
      <c r="H121" s="1684"/>
      <c r="I121" s="1684"/>
      <c r="J121" s="1684"/>
      <c r="K121" s="1685" t="str">
        <f t="shared" si="25"/>
        <v/>
      </c>
      <c r="L121" s="1685" t="str">
        <f t="shared" si="26"/>
        <v/>
      </c>
      <c r="M121" s="1686"/>
      <c r="N121" s="1668"/>
      <c r="Q121" s="1757" t="s">
        <v>5865</v>
      </c>
    </row>
    <row r="122" spans="1:17" ht="14.5">
      <c r="A122" s="1655">
        <f t="shared" si="27"/>
        <v>0</v>
      </c>
      <c r="B122" s="1409"/>
      <c r="C122" s="1621" t="s">
        <v>4967</v>
      </c>
      <c r="D122" s="1683"/>
      <c r="E122" s="1678">
        <f t="shared" si="28"/>
        <v>0</v>
      </c>
      <c r="F122" s="1687"/>
      <c r="G122" s="1684"/>
      <c r="H122" s="1684"/>
      <c r="I122" s="1684"/>
      <c r="J122" s="1684"/>
      <c r="K122" s="1685" t="str">
        <f t="shared" si="25"/>
        <v/>
      </c>
      <c r="L122" s="1685" t="str">
        <f t="shared" si="26"/>
        <v/>
      </c>
      <c r="M122" s="1686"/>
      <c r="N122" s="1668"/>
      <c r="Q122" s="1757" t="s">
        <v>5866</v>
      </c>
    </row>
    <row r="123" spans="1:17" ht="14.5">
      <c r="A123" s="1655">
        <f t="shared" si="27"/>
        <v>0</v>
      </c>
      <c r="B123" s="1409"/>
      <c r="C123" s="1621" t="s">
        <v>4968</v>
      </c>
      <c r="D123" s="1683"/>
      <c r="E123" s="1678">
        <f t="shared" si="28"/>
        <v>0</v>
      </c>
      <c r="F123" s="1687"/>
      <c r="G123" s="1684"/>
      <c r="H123" s="1684"/>
      <c r="I123" s="1684"/>
      <c r="J123" s="1684"/>
      <c r="K123" s="1685" t="str">
        <f t="shared" si="25"/>
        <v/>
      </c>
      <c r="L123" s="1685" t="str">
        <f t="shared" si="26"/>
        <v/>
      </c>
      <c r="M123" s="1686"/>
      <c r="N123" s="1668"/>
      <c r="Q123" s="1757" t="s">
        <v>5867</v>
      </c>
    </row>
    <row r="124" spans="1:17" ht="14.5">
      <c r="A124" s="1655">
        <f t="shared" si="27"/>
        <v>0</v>
      </c>
      <c r="B124" s="1409"/>
      <c r="C124" s="1621" t="s">
        <v>4969</v>
      </c>
      <c r="D124" s="1683"/>
      <c r="E124" s="1678">
        <f t="shared" si="28"/>
        <v>0</v>
      </c>
      <c r="F124" s="1687"/>
      <c r="G124" s="1684"/>
      <c r="H124" s="1684"/>
      <c r="I124" s="1684"/>
      <c r="J124" s="1684"/>
      <c r="K124" s="1685" t="str">
        <f t="shared" si="25"/>
        <v/>
      </c>
      <c r="L124" s="1685" t="str">
        <f t="shared" si="26"/>
        <v/>
      </c>
      <c r="M124" s="1686"/>
      <c r="N124" s="1668"/>
      <c r="Q124" s="1757" t="s">
        <v>5868</v>
      </c>
    </row>
    <row r="125" spans="1:17" ht="14.5">
      <c r="A125" s="1655">
        <f t="shared" si="27"/>
        <v>0</v>
      </c>
      <c r="B125" s="1409"/>
      <c r="C125" s="1621" t="s">
        <v>4970</v>
      </c>
      <c r="D125" s="1683"/>
      <c r="E125" s="1678">
        <f t="shared" si="28"/>
        <v>0</v>
      </c>
      <c r="F125" s="1687"/>
      <c r="G125" s="1684"/>
      <c r="H125" s="1684"/>
      <c r="I125" s="1684"/>
      <c r="J125" s="1684"/>
      <c r="K125" s="1685" t="str">
        <f t="shared" si="25"/>
        <v/>
      </c>
      <c r="L125" s="1685" t="str">
        <f t="shared" si="26"/>
        <v/>
      </c>
      <c r="M125" s="1686"/>
      <c r="N125" s="1668"/>
      <c r="Q125" s="1757" t="s">
        <v>5319</v>
      </c>
    </row>
    <row r="126" spans="1:17" ht="14.5">
      <c r="A126" s="1655">
        <f t="shared" si="27"/>
        <v>0</v>
      </c>
      <c r="B126" s="1409"/>
      <c r="C126" s="1621" t="s">
        <v>4971</v>
      </c>
      <c r="D126" s="1683"/>
      <c r="E126" s="1678">
        <f t="shared" si="28"/>
        <v>0</v>
      </c>
      <c r="F126" s="1687"/>
      <c r="G126" s="1684"/>
      <c r="H126" s="1684"/>
      <c r="I126" s="1684"/>
      <c r="J126" s="1684"/>
      <c r="K126" s="1685" t="str">
        <f t="shared" si="25"/>
        <v/>
      </c>
      <c r="L126" s="1685" t="str">
        <f t="shared" si="26"/>
        <v/>
      </c>
      <c r="M126" s="1686"/>
      <c r="N126" s="1668"/>
      <c r="Q126" s="1757" t="s">
        <v>5869</v>
      </c>
    </row>
    <row r="127" spans="1:17" ht="14.5">
      <c r="A127" s="1655">
        <f t="shared" si="27"/>
        <v>0</v>
      </c>
      <c r="B127" s="1409"/>
      <c r="C127" s="1621" t="s">
        <v>4972</v>
      </c>
      <c r="D127" s="1683"/>
      <c r="E127" s="1678">
        <f t="shared" si="28"/>
        <v>0</v>
      </c>
      <c r="F127" s="1687"/>
      <c r="G127" s="1684"/>
      <c r="H127" s="1684"/>
      <c r="I127" s="1684"/>
      <c r="J127" s="1684"/>
      <c r="K127" s="1685" t="str">
        <f t="shared" si="25"/>
        <v/>
      </c>
      <c r="L127" s="1685" t="str">
        <f t="shared" si="26"/>
        <v/>
      </c>
      <c r="M127" s="1686"/>
      <c r="N127" s="1668"/>
      <c r="Q127" s="1757" t="s">
        <v>5870</v>
      </c>
    </row>
    <row r="128" spans="1:17" ht="14.5">
      <c r="A128" s="1655">
        <f t="shared" si="27"/>
        <v>0</v>
      </c>
      <c r="B128" s="1412"/>
      <c r="C128" s="1621" t="s">
        <v>4973</v>
      </c>
      <c r="D128" s="1683"/>
      <c r="E128" s="1678">
        <f t="shared" si="28"/>
        <v>0</v>
      </c>
      <c r="F128" s="1687"/>
      <c r="G128" s="1684"/>
      <c r="H128" s="1684"/>
      <c r="I128" s="1684"/>
      <c r="J128" s="1684"/>
      <c r="K128" s="1685" t="str">
        <f t="shared" si="25"/>
        <v/>
      </c>
      <c r="L128" s="1685" t="str">
        <f t="shared" si="26"/>
        <v/>
      </c>
      <c r="M128" s="1686"/>
      <c r="N128" s="1668"/>
      <c r="Q128" s="1757" t="s">
        <v>5871</v>
      </c>
    </row>
    <row r="129" spans="1:17" ht="14.5">
      <c r="A129" s="1655">
        <f t="shared" si="27"/>
        <v>0</v>
      </c>
      <c r="B129" s="1412"/>
      <c r="C129" s="1621" t="s">
        <v>4974</v>
      </c>
      <c r="D129" s="1683"/>
      <c r="E129" s="1678">
        <f t="shared" si="28"/>
        <v>0</v>
      </c>
      <c r="F129" s="1687"/>
      <c r="G129" s="1684"/>
      <c r="H129" s="1684"/>
      <c r="I129" s="1684"/>
      <c r="J129" s="1684"/>
      <c r="K129" s="1685" t="str">
        <f t="shared" si="25"/>
        <v/>
      </c>
      <c r="L129" s="1685" t="str">
        <f t="shared" si="26"/>
        <v/>
      </c>
      <c r="M129" s="1686"/>
      <c r="N129" s="1668"/>
      <c r="Q129" s="1757" t="s">
        <v>5910</v>
      </c>
    </row>
    <row r="130" spans="1:17" ht="14.5">
      <c r="A130" s="1655">
        <f t="shared" si="27"/>
        <v>0</v>
      </c>
      <c r="B130" s="1409"/>
      <c r="C130" s="1621" t="s">
        <v>4975</v>
      </c>
      <c r="D130" s="1683"/>
      <c r="E130" s="1678">
        <f t="shared" si="28"/>
        <v>0</v>
      </c>
      <c r="F130" s="1687"/>
      <c r="G130" s="1684"/>
      <c r="H130" s="1684"/>
      <c r="I130" s="1684"/>
      <c r="J130" s="1684"/>
      <c r="K130" s="1685" t="str">
        <f t="shared" si="25"/>
        <v/>
      </c>
      <c r="L130" s="1685" t="str">
        <f t="shared" si="26"/>
        <v/>
      </c>
      <c r="M130" s="1686"/>
      <c r="N130" s="1668"/>
      <c r="Q130" s="1757" t="s">
        <v>5872</v>
      </c>
    </row>
    <row r="131" spans="1:17" ht="14.5">
      <c r="A131" s="1655">
        <f t="shared" si="27"/>
        <v>0</v>
      </c>
      <c r="B131" s="1409"/>
      <c r="C131" s="1621" t="s">
        <v>4976</v>
      </c>
      <c r="D131" s="1683"/>
      <c r="E131" s="1678">
        <f t="shared" si="28"/>
        <v>0</v>
      </c>
      <c r="F131" s="1687"/>
      <c r="G131" s="1684"/>
      <c r="H131" s="1684"/>
      <c r="I131" s="1684"/>
      <c r="J131" s="1684"/>
      <c r="K131" s="1685" t="str">
        <f t="shared" si="25"/>
        <v/>
      </c>
      <c r="L131" s="1685" t="str">
        <f t="shared" si="26"/>
        <v/>
      </c>
      <c r="M131" s="1686"/>
      <c r="N131" s="1668"/>
      <c r="Q131" s="1757" t="s">
        <v>5873</v>
      </c>
    </row>
    <row r="132" spans="1:17" ht="14.5">
      <c r="A132" s="1655">
        <f t="shared" si="27"/>
        <v>0</v>
      </c>
      <c r="B132" s="1409"/>
      <c r="C132" s="1621" t="s">
        <v>4977</v>
      </c>
      <c r="D132" s="1683"/>
      <c r="E132" s="1678">
        <f t="shared" si="28"/>
        <v>0</v>
      </c>
      <c r="F132" s="1687"/>
      <c r="G132" s="1684"/>
      <c r="H132" s="1684"/>
      <c r="I132" s="1684"/>
      <c r="J132" s="1684"/>
      <c r="K132" s="1685" t="str">
        <f t="shared" si="25"/>
        <v/>
      </c>
      <c r="L132" s="1685" t="str">
        <f t="shared" si="26"/>
        <v/>
      </c>
      <c r="M132" s="1686"/>
      <c r="N132" s="1668"/>
      <c r="Q132" s="1757" t="s">
        <v>5874</v>
      </c>
    </row>
    <row r="133" spans="1:17" ht="14.5">
      <c r="A133" s="1655">
        <f t="shared" si="27"/>
        <v>0</v>
      </c>
      <c r="B133" s="1409"/>
      <c r="C133" s="1621" t="s">
        <v>4978</v>
      </c>
      <c r="D133" s="1683"/>
      <c r="E133" s="1678">
        <f t="shared" si="28"/>
        <v>0</v>
      </c>
      <c r="F133" s="1687"/>
      <c r="G133" s="1684"/>
      <c r="H133" s="1684"/>
      <c r="I133" s="1684"/>
      <c r="J133" s="1684"/>
      <c r="K133" s="1685" t="str">
        <f t="shared" si="25"/>
        <v/>
      </c>
      <c r="L133" s="1685" t="str">
        <f t="shared" si="26"/>
        <v/>
      </c>
      <c r="M133" s="1686"/>
      <c r="N133" s="1668"/>
      <c r="Q133" s="1757" t="s">
        <v>5875</v>
      </c>
    </row>
    <row r="134" spans="1:17" ht="14.5">
      <c r="A134" s="1655">
        <f t="shared" si="27"/>
        <v>0</v>
      </c>
      <c r="B134" s="1409"/>
      <c r="C134" s="1621" t="s">
        <v>4979</v>
      </c>
      <c r="D134" s="1683"/>
      <c r="E134" s="1678">
        <f t="shared" si="28"/>
        <v>0</v>
      </c>
      <c r="F134" s="1687"/>
      <c r="G134" s="1684"/>
      <c r="H134" s="1684"/>
      <c r="I134" s="1684"/>
      <c r="J134" s="1684"/>
      <c r="K134" s="1685" t="str">
        <f t="shared" si="25"/>
        <v/>
      </c>
      <c r="L134" s="1685" t="str">
        <f t="shared" si="26"/>
        <v/>
      </c>
      <c r="M134" s="1686"/>
      <c r="N134" s="1668"/>
      <c r="Q134" s="1757" t="s">
        <v>5911</v>
      </c>
    </row>
    <row r="135" spans="1:17" ht="14.5">
      <c r="A135" s="1655">
        <f t="shared" si="27"/>
        <v>0</v>
      </c>
      <c r="B135" s="1409"/>
      <c r="C135" s="1621" t="s">
        <v>4980</v>
      </c>
      <c r="D135" s="1683"/>
      <c r="E135" s="1678">
        <f t="shared" si="28"/>
        <v>0</v>
      </c>
      <c r="F135" s="1687"/>
      <c r="G135" s="1684"/>
      <c r="H135" s="1684"/>
      <c r="I135" s="1684"/>
      <c r="J135" s="1684"/>
      <c r="K135" s="1685" t="str">
        <f t="shared" si="25"/>
        <v/>
      </c>
      <c r="L135" s="1685" t="str">
        <f t="shared" si="26"/>
        <v/>
      </c>
      <c r="M135" s="1686"/>
      <c r="N135" s="1668"/>
      <c r="Q135" s="1757" t="s">
        <v>5876</v>
      </c>
    </row>
    <row r="136" spans="1:17" ht="14.5">
      <c r="A136" s="1655">
        <f t="shared" si="27"/>
        <v>0</v>
      </c>
      <c r="B136" s="1409"/>
      <c r="C136" s="1621" t="s">
        <v>4981</v>
      </c>
      <c r="D136" s="1683"/>
      <c r="E136" s="1678">
        <f t="shared" si="28"/>
        <v>0</v>
      </c>
      <c r="F136" s="1687"/>
      <c r="G136" s="1684"/>
      <c r="H136" s="1684"/>
      <c r="I136" s="1684"/>
      <c r="J136" s="1684"/>
      <c r="K136" s="1685" t="str">
        <f t="shared" si="25"/>
        <v/>
      </c>
      <c r="L136" s="1685" t="str">
        <f t="shared" si="26"/>
        <v/>
      </c>
      <c r="M136" s="1686"/>
      <c r="N136" s="1668"/>
      <c r="Q136" s="1757" t="s">
        <v>5877</v>
      </c>
    </row>
    <row r="137" spans="1:17" ht="14.5">
      <c r="A137" s="1655">
        <f t="shared" si="27"/>
        <v>0</v>
      </c>
      <c r="B137" s="1409"/>
      <c r="C137" s="1621" t="s">
        <v>4982</v>
      </c>
      <c r="D137" s="1683"/>
      <c r="E137" s="1678">
        <f t="shared" si="28"/>
        <v>0</v>
      </c>
      <c r="F137" s="1687"/>
      <c r="G137" s="1684"/>
      <c r="H137" s="1684"/>
      <c r="I137" s="1684"/>
      <c r="J137" s="1684"/>
      <c r="K137" s="1685" t="str">
        <f t="shared" si="25"/>
        <v/>
      </c>
      <c r="L137" s="1685" t="str">
        <f t="shared" si="26"/>
        <v/>
      </c>
      <c r="M137" s="1686"/>
      <c r="N137" s="1668"/>
      <c r="Q137" s="1757" t="s">
        <v>5878</v>
      </c>
    </row>
    <row r="138" spans="1:17" ht="14.5">
      <c r="A138" s="1655">
        <f t="shared" si="27"/>
        <v>0</v>
      </c>
      <c r="B138" s="1409"/>
      <c r="C138" s="1621" t="s">
        <v>4983</v>
      </c>
      <c r="D138" s="1683"/>
      <c r="E138" s="1678">
        <f t="shared" si="28"/>
        <v>0</v>
      </c>
      <c r="F138" s="1687"/>
      <c r="G138" s="1684"/>
      <c r="H138" s="1684"/>
      <c r="I138" s="1684"/>
      <c r="J138" s="1684"/>
      <c r="K138" s="1685" t="str">
        <f t="shared" si="25"/>
        <v/>
      </c>
      <c r="L138" s="1685" t="str">
        <f t="shared" si="26"/>
        <v/>
      </c>
      <c r="M138" s="1686"/>
      <c r="N138" s="1668"/>
      <c r="Q138" s="1757" t="s">
        <v>5879</v>
      </c>
    </row>
    <row r="139" spans="1:17" ht="14.5">
      <c r="A139" s="1655">
        <f t="shared" si="27"/>
        <v>0</v>
      </c>
      <c r="B139" s="1409"/>
      <c r="C139" s="1621" t="s">
        <v>4984</v>
      </c>
      <c r="D139" s="1683"/>
      <c r="E139" s="1678">
        <f t="shared" si="28"/>
        <v>0</v>
      </c>
      <c r="F139" s="1687"/>
      <c r="G139" s="1684"/>
      <c r="H139" s="1684"/>
      <c r="I139" s="1684"/>
      <c r="J139" s="1684"/>
      <c r="K139" s="1685" t="str">
        <f t="shared" si="25"/>
        <v/>
      </c>
      <c r="L139" s="1685" t="str">
        <f t="shared" si="26"/>
        <v/>
      </c>
      <c r="M139" s="1686"/>
      <c r="N139" s="1668"/>
      <c r="Q139" s="1757" t="s">
        <v>5912</v>
      </c>
    </row>
    <row r="140" spans="1:17" ht="14.5">
      <c r="A140" s="1655">
        <f t="shared" si="27"/>
        <v>0</v>
      </c>
      <c r="B140" s="1409"/>
      <c r="C140" s="1621" t="s">
        <v>4985</v>
      </c>
      <c r="D140" s="1683"/>
      <c r="E140" s="1678">
        <f t="shared" si="28"/>
        <v>0</v>
      </c>
      <c r="F140" s="1687"/>
      <c r="G140" s="1684"/>
      <c r="H140" s="1684"/>
      <c r="I140" s="1684"/>
      <c r="J140" s="1684"/>
      <c r="K140" s="1685" t="str">
        <f t="shared" si="25"/>
        <v/>
      </c>
      <c r="L140" s="1685" t="str">
        <f t="shared" si="26"/>
        <v/>
      </c>
      <c r="M140" s="1686"/>
      <c r="N140" s="1668"/>
      <c r="Q140" s="1757" t="s">
        <v>5880</v>
      </c>
    </row>
    <row r="141" spans="1:17" ht="14.5">
      <c r="A141" s="1655">
        <f t="shared" si="27"/>
        <v>0</v>
      </c>
      <c r="B141" s="1688"/>
      <c r="C141" s="1689" t="s">
        <v>4986</v>
      </c>
      <c r="D141" s="1690"/>
      <c r="E141" s="1691">
        <f t="shared" si="28"/>
        <v>0</v>
      </c>
      <c r="F141" s="1692"/>
      <c r="G141" s="1693"/>
      <c r="H141" s="1693"/>
      <c r="I141" s="1693"/>
      <c r="J141" s="1693"/>
      <c r="K141" s="1694" t="str">
        <f t="shared" si="25"/>
        <v/>
      </c>
      <c r="L141" s="1694" t="str">
        <f t="shared" si="26"/>
        <v/>
      </c>
      <c r="M141" s="1695"/>
      <c r="N141" s="1668"/>
      <c r="Q141" s="1757" t="s">
        <v>5881</v>
      </c>
    </row>
    <row r="142" spans="1:17" ht="14.5">
      <c r="A142" s="1674">
        <f>A116+1</f>
        <v>6</v>
      </c>
      <c r="B142" s="1675" t="s">
        <v>5050</v>
      </c>
      <c r="C142" s="1676"/>
      <c r="D142" s="1677"/>
      <c r="E142" s="1679">
        <f t="shared" ref="E142:I142" si="29">SUM(E143:E167)</f>
        <v>0</v>
      </c>
      <c r="F142" s="1679">
        <f t="shared" si="29"/>
        <v>0</v>
      </c>
      <c r="G142" s="1679">
        <f t="shared" si="29"/>
        <v>0</v>
      </c>
      <c r="H142" s="1679">
        <f t="shared" si="29"/>
        <v>0</v>
      </c>
      <c r="I142" s="1679">
        <f t="shared" si="29"/>
        <v>0</v>
      </c>
      <c r="J142" s="1679">
        <f>SUM(J143:J167)</f>
        <v>0</v>
      </c>
      <c r="K142" s="1680" t="str">
        <f>IFERROR(E142/$C$6,"")</f>
        <v/>
      </c>
      <c r="L142" s="1680" t="str">
        <f>IFERROR(E142/$C$7,"")</f>
        <v/>
      </c>
      <c r="M142" s="1681">
        <f>SUM(M143:M167)</f>
        <v>0</v>
      </c>
      <c r="N142" s="1668"/>
      <c r="Q142" s="1757" t="s">
        <v>5882</v>
      </c>
    </row>
    <row r="143" spans="1:17" ht="14.5">
      <c r="A143" s="1655">
        <f>IF(E143&lt;&gt;0,1,0)</f>
        <v>0</v>
      </c>
      <c r="B143" s="1412"/>
      <c r="C143" s="1621" t="s">
        <v>4962</v>
      </c>
      <c r="D143" s="1683"/>
      <c r="E143" s="1678">
        <f>SUM(F143:J143)</f>
        <v>0</v>
      </c>
      <c r="F143" s="1684"/>
      <c r="G143" s="1684"/>
      <c r="H143" s="1684"/>
      <c r="I143" s="1684"/>
      <c r="J143" s="1684"/>
      <c r="K143" s="1685" t="str">
        <f t="shared" ref="K143:K167" si="30">IFERROR(E143/$C$6,"")</f>
        <v/>
      </c>
      <c r="L143" s="1685" t="str">
        <f t="shared" ref="L143:L167" si="31">IFERROR(E143/$C$7,"")</f>
        <v/>
      </c>
      <c r="M143" s="1686"/>
      <c r="N143" s="1668"/>
      <c r="Q143" s="1757" t="s">
        <v>5320</v>
      </c>
    </row>
    <row r="144" spans="1:17" ht="14.5">
      <c r="A144" s="1655">
        <f t="shared" ref="A144:A167" si="32">IF(E144&lt;&gt;0,1,0)</f>
        <v>0</v>
      </c>
      <c r="B144" s="1409"/>
      <c r="C144" s="1621" t="s">
        <v>4963</v>
      </c>
      <c r="D144" s="1683"/>
      <c r="E144" s="1678">
        <f t="shared" ref="E144:E167" si="33">SUM(F144:J144)</f>
        <v>0</v>
      </c>
      <c r="F144" s="1687"/>
      <c r="G144" s="1684"/>
      <c r="H144" s="1684"/>
      <c r="I144" s="1684"/>
      <c r="J144" s="1684"/>
      <c r="K144" s="1685" t="str">
        <f t="shared" si="30"/>
        <v/>
      </c>
      <c r="L144" s="1685" t="str">
        <f t="shared" si="31"/>
        <v/>
      </c>
      <c r="M144" s="1686"/>
      <c r="N144" s="1668"/>
      <c r="Q144" s="1757" t="s">
        <v>5883</v>
      </c>
    </row>
    <row r="145" spans="1:17" ht="14.5">
      <c r="A145" s="1655">
        <f t="shared" si="32"/>
        <v>0</v>
      </c>
      <c r="B145" s="1409"/>
      <c r="C145" s="1621" t="s">
        <v>4964</v>
      </c>
      <c r="D145" s="1683"/>
      <c r="E145" s="1678">
        <f t="shared" si="33"/>
        <v>0</v>
      </c>
      <c r="F145" s="1687"/>
      <c r="G145" s="1684"/>
      <c r="H145" s="1684"/>
      <c r="I145" s="1684"/>
      <c r="J145" s="1684"/>
      <c r="K145" s="1685" t="str">
        <f t="shared" si="30"/>
        <v/>
      </c>
      <c r="L145" s="1685" t="str">
        <f t="shared" si="31"/>
        <v/>
      </c>
      <c r="M145" s="1686"/>
      <c r="N145" s="1668"/>
      <c r="Q145" s="1757" t="s">
        <v>5884</v>
      </c>
    </row>
    <row r="146" spans="1:17" ht="14.5">
      <c r="A146" s="1655">
        <f t="shared" si="32"/>
        <v>0</v>
      </c>
      <c r="B146" s="1409"/>
      <c r="C146" s="1621" t="s">
        <v>4965</v>
      </c>
      <c r="D146" s="1683"/>
      <c r="E146" s="1678">
        <f t="shared" si="33"/>
        <v>0</v>
      </c>
      <c r="F146" s="1687"/>
      <c r="G146" s="1684"/>
      <c r="H146" s="1684"/>
      <c r="I146" s="1684"/>
      <c r="J146" s="1684"/>
      <c r="K146" s="1685" t="str">
        <f t="shared" si="30"/>
        <v/>
      </c>
      <c r="L146" s="1685" t="str">
        <f t="shared" si="31"/>
        <v/>
      </c>
      <c r="M146" s="1686"/>
      <c r="N146" s="1668"/>
      <c r="Q146" s="1757" t="s">
        <v>5885</v>
      </c>
    </row>
    <row r="147" spans="1:17" ht="14.5">
      <c r="A147" s="1655">
        <f t="shared" si="32"/>
        <v>0</v>
      </c>
      <c r="B147" s="1409"/>
      <c r="C147" s="1621" t="s">
        <v>4966</v>
      </c>
      <c r="D147" s="1683"/>
      <c r="E147" s="1678">
        <f t="shared" si="33"/>
        <v>0</v>
      </c>
      <c r="F147" s="1687"/>
      <c r="G147" s="1684"/>
      <c r="H147" s="1684"/>
      <c r="I147" s="1684"/>
      <c r="J147" s="1684"/>
      <c r="K147" s="1685" t="str">
        <f t="shared" si="30"/>
        <v/>
      </c>
      <c r="L147" s="1685" t="str">
        <f t="shared" si="31"/>
        <v/>
      </c>
      <c r="M147" s="1686"/>
      <c r="N147" s="1668"/>
      <c r="Q147" s="1757" t="s">
        <v>5886</v>
      </c>
    </row>
    <row r="148" spans="1:17" ht="14.5">
      <c r="A148" s="1655">
        <f t="shared" si="32"/>
        <v>0</v>
      </c>
      <c r="B148" s="1409"/>
      <c r="C148" s="1621" t="s">
        <v>4967</v>
      </c>
      <c r="D148" s="1683"/>
      <c r="E148" s="1678">
        <f t="shared" si="33"/>
        <v>0</v>
      </c>
      <c r="F148" s="1687"/>
      <c r="G148" s="1684"/>
      <c r="H148" s="1684"/>
      <c r="I148" s="1684"/>
      <c r="J148" s="1684"/>
      <c r="K148" s="1685" t="str">
        <f t="shared" si="30"/>
        <v/>
      </c>
      <c r="L148" s="1685" t="str">
        <f t="shared" si="31"/>
        <v/>
      </c>
      <c r="M148" s="1686"/>
      <c r="N148" s="1668"/>
      <c r="Q148" s="1757" t="s">
        <v>5887</v>
      </c>
    </row>
    <row r="149" spans="1:17" ht="14.5">
      <c r="A149" s="1655">
        <f t="shared" si="32"/>
        <v>0</v>
      </c>
      <c r="B149" s="1409"/>
      <c r="C149" s="1621" t="s">
        <v>4968</v>
      </c>
      <c r="D149" s="1683"/>
      <c r="E149" s="1678">
        <f t="shared" si="33"/>
        <v>0</v>
      </c>
      <c r="F149" s="1687"/>
      <c r="G149" s="1684"/>
      <c r="H149" s="1684"/>
      <c r="I149" s="1684"/>
      <c r="J149" s="1684"/>
      <c r="K149" s="1685" t="str">
        <f t="shared" si="30"/>
        <v/>
      </c>
      <c r="L149" s="1685" t="str">
        <f t="shared" si="31"/>
        <v/>
      </c>
      <c r="M149" s="1686"/>
      <c r="N149" s="1668"/>
      <c r="Q149" s="1757" t="s">
        <v>5888</v>
      </c>
    </row>
    <row r="150" spans="1:17" ht="14.5">
      <c r="A150" s="1655">
        <f t="shared" si="32"/>
        <v>0</v>
      </c>
      <c r="B150" s="1409"/>
      <c r="C150" s="1621" t="s">
        <v>4969</v>
      </c>
      <c r="D150" s="1683"/>
      <c r="E150" s="1678">
        <f t="shared" si="33"/>
        <v>0</v>
      </c>
      <c r="F150" s="1687"/>
      <c r="G150" s="1684"/>
      <c r="H150" s="1684"/>
      <c r="I150" s="1684"/>
      <c r="J150" s="1684"/>
      <c r="K150" s="1685" t="str">
        <f t="shared" si="30"/>
        <v/>
      </c>
      <c r="L150" s="1685" t="str">
        <f t="shared" si="31"/>
        <v/>
      </c>
      <c r="M150" s="1686"/>
      <c r="N150" s="1668"/>
      <c r="Q150" s="1757" t="s">
        <v>5889</v>
      </c>
    </row>
    <row r="151" spans="1:17" ht="14.5">
      <c r="A151" s="1655">
        <f t="shared" si="32"/>
        <v>0</v>
      </c>
      <c r="B151" s="1409"/>
      <c r="C151" s="1621" t="s">
        <v>4970</v>
      </c>
      <c r="D151" s="1683"/>
      <c r="E151" s="1678">
        <f t="shared" si="33"/>
        <v>0</v>
      </c>
      <c r="F151" s="1687"/>
      <c r="G151" s="1684"/>
      <c r="H151" s="1684"/>
      <c r="I151" s="1684"/>
      <c r="J151" s="1684"/>
      <c r="K151" s="1685" t="str">
        <f t="shared" si="30"/>
        <v/>
      </c>
      <c r="L151" s="1685" t="str">
        <f t="shared" si="31"/>
        <v/>
      </c>
      <c r="M151" s="1686"/>
      <c r="N151" s="1668"/>
      <c r="Q151" s="1757" t="s">
        <v>5321</v>
      </c>
    </row>
    <row r="152" spans="1:17" ht="14.5">
      <c r="A152" s="1655">
        <f t="shared" si="32"/>
        <v>0</v>
      </c>
      <c r="B152" s="1409"/>
      <c r="C152" s="1621" t="s">
        <v>4971</v>
      </c>
      <c r="D152" s="1683"/>
      <c r="E152" s="1678">
        <f t="shared" si="33"/>
        <v>0</v>
      </c>
      <c r="F152" s="1687"/>
      <c r="G152" s="1684"/>
      <c r="H152" s="1684"/>
      <c r="I152" s="1684"/>
      <c r="J152" s="1684"/>
      <c r="K152" s="1685" t="str">
        <f t="shared" si="30"/>
        <v/>
      </c>
      <c r="L152" s="1685" t="str">
        <f t="shared" si="31"/>
        <v/>
      </c>
      <c r="M152" s="1686"/>
      <c r="N152" s="1668"/>
      <c r="Q152" s="1757" t="s">
        <v>5890</v>
      </c>
    </row>
    <row r="153" spans="1:17" ht="14.5">
      <c r="A153" s="1655">
        <f t="shared" si="32"/>
        <v>0</v>
      </c>
      <c r="B153" s="1409"/>
      <c r="C153" s="1621" t="s">
        <v>4972</v>
      </c>
      <c r="D153" s="1683"/>
      <c r="E153" s="1678">
        <f t="shared" si="33"/>
        <v>0</v>
      </c>
      <c r="F153" s="1687"/>
      <c r="G153" s="1684"/>
      <c r="H153" s="1684"/>
      <c r="I153" s="1684"/>
      <c r="J153" s="1684"/>
      <c r="K153" s="1685" t="str">
        <f t="shared" si="30"/>
        <v/>
      </c>
      <c r="L153" s="1685" t="str">
        <f t="shared" si="31"/>
        <v/>
      </c>
      <c r="M153" s="1686"/>
      <c r="N153" s="1668"/>
      <c r="Q153" s="1757" t="s">
        <v>5891</v>
      </c>
    </row>
    <row r="154" spans="1:17" ht="14.5">
      <c r="A154" s="1655">
        <f t="shared" si="32"/>
        <v>0</v>
      </c>
      <c r="B154" s="1412"/>
      <c r="C154" s="1621" t="s">
        <v>4973</v>
      </c>
      <c r="D154" s="1683"/>
      <c r="E154" s="1678">
        <f t="shared" si="33"/>
        <v>0</v>
      </c>
      <c r="F154" s="1687"/>
      <c r="G154" s="1684"/>
      <c r="H154" s="1684"/>
      <c r="I154" s="1684"/>
      <c r="J154" s="1684"/>
      <c r="K154" s="1685" t="str">
        <f t="shared" si="30"/>
        <v/>
      </c>
      <c r="L154" s="1685" t="str">
        <f t="shared" si="31"/>
        <v/>
      </c>
      <c r="M154" s="1686"/>
      <c r="N154" s="1668"/>
      <c r="Q154" s="1757" t="s">
        <v>5892</v>
      </c>
    </row>
    <row r="155" spans="1:17" ht="14.5">
      <c r="A155" s="1655">
        <f t="shared" si="32"/>
        <v>0</v>
      </c>
      <c r="B155" s="1412"/>
      <c r="C155" s="1621" t="s">
        <v>4974</v>
      </c>
      <c r="D155" s="1683"/>
      <c r="E155" s="1678">
        <f t="shared" si="33"/>
        <v>0</v>
      </c>
      <c r="F155" s="1687"/>
      <c r="G155" s="1684"/>
      <c r="H155" s="1684"/>
      <c r="I155" s="1684"/>
      <c r="J155" s="1684"/>
      <c r="K155" s="1685" t="str">
        <f t="shared" si="30"/>
        <v/>
      </c>
      <c r="L155" s="1685" t="str">
        <f t="shared" si="31"/>
        <v/>
      </c>
      <c r="M155" s="1686"/>
      <c r="N155" s="1668"/>
      <c r="Q155" s="1757" t="s">
        <v>5893</v>
      </c>
    </row>
    <row r="156" spans="1:17" ht="14.5">
      <c r="A156" s="1655">
        <f t="shared" si="32"/>
        <v>0</v>
      </c>
      <c r="B156" s="1409"/>
      <c r="C156" s="1621" t="s">
        <v>4975</v>
      </c>
      <c r="D156" s="1683"/>
      <c r="E156" s="1678">
        <f t="shared" si="33"/>
        <v>0</v>
      </c>
      <c r="F156" s="1687"/>
      <c r="G156" s="1684"/>
      <c r="H156" s="1684"/>
      <c r="I156" s="1684"/>
      <c r="J156" s="1684"/>
      <c r="K156" s="1685" t="str">
        <f t="shared" si="30"/>
        <v/>
      </c>
      <c r="L156" s="1685" t="str">
        <f t="shared" si="31"/>
        <v/>
      </c>
      <c r="M156" s="1686"/>
      <c r="N156" s="1668"/>
      <c r="Q156" s="1757" t="s">
        <v>5894</v>
      </c>
    </row>
    <row r="157" spans="1:17" ht="14.5">
      <c r="A157" s="1655">
        <f t="shared" si="32"/>
        <v>0</v>
      </c>
      <c r="B157" s="1409"/>
      <c r="C157" s="1621" t="s">
        <v>4976</v>
      </c>
      <c r="D157" s="1683"/>
      <c r="E157" s="1678">
        <f t="shared" si="33"/>
        <v>0</v>
      </c>
      <c r="F157" s="1687"/>
      <c r="G157" s="1684"/>
      <c r="H157" s="1684"/>
      <c r="I157" s="1684"/>
      <c r="J157" s="1684"/>
      <c r="K157" s="1685" t="str">
        <f t="shared" si="30"/>
        <v/>
      </c>
      <c r="L157" s="1685" t="str">
        <f t="shared" si="31"/>
        <v/>
      </c>
      <c r="M157" s="1686"/>
      <c r="N157" s="1668"/>
      <c r="Q157" s="1757" t="s">
        <v>5913</v>
      </c>
    </row>
    <row r="158" spans="1:17" ht="14.5">
      <c r="A158" s="1655">
        <f t="shared" si="32"/>
        <v>0</v>
      </c>
      <c r="B158" s="1409"/>
      <c r="C158" s="1621" t="s">
        <v>4977</v>
      </c>
      <c r="D158" s="1683"/>
      <c r="E158" s="1678">
        <f t="shared" si="33"/>
        <v>0</v>
      </c>
      <c r="F158" s="1687"/>
      <c r="G158" s="1684"/>
      <c r="H158" s="1684"/>
      <c r="I158" s="1684"/>
      <c r="J158" s="1684"/>
      <c r="K158" s="1685" t="str">
        <f t="shared" si="30"/>
        <v/>
      </c>
      <c r="L158" s="1685" t="str">
        <f t="shared" si="31"/>
        <v/>
      </c>
      <c r="M158" s="1686"/>
      <c r="N158" s="1668"/>
      <c r="Q158" s="1757" t="s">
        <v>5895</v>
      </c>
    </row>
    <row r="159" spans="1:17" ht="14.5">
      <c r="A159" s="1655">
        <f t="shared" si="32"/>
        <v>0</v>
      </c>
      <c r="B159" s="1409"/>
      <c r="C159" s="1621" t="s">
        <v>4978</v>
      </c>
      <c r="D159" s="1683"/>
      <c r="E159" s="1678">
        <f t="shared" si="33"/>
        <v>0</v>
      </c>
      <c r="F159" s="1687"/>
      <c r="G159" s="1684"/>
      <c r="H159" s="1684"/>
      <c r="I159" s="1684"/>
      <c r="J159" s="1684"/>
      <c r="K159" s="1685" t="str">
        <f t="shared" si="30"/>
        <v/>
      </c>
      <c r="L159" s="1685" t="str">
        <f t="shared" si="31"/>
        <v/>
      </c>
      <c r="M159" s="1686"/>
      <c r="N159" s="1668"/>
      <c r="Q159" s="1757" t="s">
        <v>5896</v>
      </c>
    </row>
    <row r="160" spans="1:17" ht="14.5">
      <c r="A160" s="1655">
        <f t="shared" si="32"/>
        <v>0</v>
      </c>
      <c r="B160" s="1409"/>
      <c r="C160" s="1621" t="s">
        <v>4979</v>
      </c>
      <c r="D160" s="1683"/>
      <c r="E160" s="1678">
        <f t="shared" si="33"/>
        <v>0</v>
      </c>
      <c r="F160" s="1687"/>
      <c r="G160" s="1684"/>
      <c r="H160" s="1684"/>
      <c r="I160" s="1684"/>
      <c r="J160" s="1684"/>
      <c r="K160" s="1685" t="str">
        <f t="shared" si="30"/>
        <v/>
      </c>
      <c r="L160" s="1685" t="str">
        <f t="shared" si="31"/>
        <v/>
      </c>
      <c r="M160" s="1686"/>
      <c r="N160" s="1668"/>
      <c r="Q160" s="1757" t="s">
        <v>5897</v>
      </c>
    </row>
    <row r="161" spans="1:17" ht="14.5">
      <c r="A161" s="1655">
        <f t="shared" si="32"/>
        <v>0</v>
      </c>
      <c r="B161" s="1409"/>
      <c r="C161" s="1621" t="s">
        <v>4980</v>
      </c>
      <c r="D161" s="1683"/>
      <c r="E161" s="1678">
        <f t="shared" si="33"/>
        <v>0</v>
      </c>
      <c r="F161" s="1687"/>
      <c r="G161" s="1684"/>
      <c r="H161" s="1684"/>
      <c r="I161" s="1684"/>
      <c r="J161" s="1684"/>
      <c r="K161" s="1685" t="str">
        <f t="shared" si="30"/>
        <v/>
      </c>
      <c r="L161" s="1685" t="str">
        <f t="shared" si="31"/>
        <v/>
      </c>
      <c r="M161" s="1686"/>
      <c r="N161" s="1668"/>
      <c r="Q161" s="1757" t="s">
        <v>5898</v>
      </c>
    </row>
    <row r="162" spans="1:17" ht="14.5">
      <c r="A162" s="1655">
        <f t="shared" si="32"/>
        <v>0</v>
      </c>
      <c r="B162" s="1409"/>
      <c r="C162" s="1621" t="s">
        <v>4981</v>
      </c>
      <c r="D162" s="1683"/>
      <c r="E162" s="1678">
        <f t="shared" si="33"/>
        <v>0</v>
      </c>
      <c r="F162" s="1687"/>
      <c r="G162" s="1684"/>
      <c r="H162" s="1684"/>
      <c r="I162" s="1684"/>
      <c r="J162" s="1684"/>
      <c r="K162" s="1685" t="str">
        <f t="shared" si="30"/>
        <v/>
      </c>
      <c r="L162" s="1685" t="str">
        <f t="shared" si="31"/>
        <v/>
      </c>
      <c r="M162" s="1686"/>
      <c r="N162" s="1668"/>
      <c r="Q162" s="1757" t="s">
        <v>5322</v>
      </c>
    </row>
    <row r="163" spans="1:17" ht="14.5">
      <c r="A163" s="1655">
        <f t="shared" si="32"/>
        <v>0</v>
      </c>
      <c r="B163" s="1409"/>
      <c r="C163" s="1621" t="s">
        <v>4982</v>
      </c>
      <c r="D163" s="1683"/>
      <c r="E163" s="1678">
        <f t="shared" si="33"/>
        <v>0</v>
      </c>
      <c r="F163" s="1687"/>
      <c r="G163" s="1684"/>
      <c r="H163" s="1684"/>
      <c r="I163" s="1684"/>
      <c r="J163" s="1684"/>
      <c r="K163" s="1685" t="str">
        <f t="shared" si="30"/>
        <v/>
      </c>
      <c r="L163" s="1685" t="str">
        <f t="shared" si="31"/>
        <v/>
      </c>
      <c r="M163" s="1686"/>
      <c r="N163" s="1668"/>
      <c r="Q163" s="1757" t="s">
        <v>5899</v>
      </c>
    </row>
    <row r="164" spans="1:17" ht="14.5">
      <c r="A164" s="1655">
        <f t="shared" si="32"/>
        <v>0</v>
      </c>
      <c r="B164" s="1409"/>
      <c r="C164" s="1621" t="s">
        <v>4983</v>
      </c>
      <c r="D164" s="1683"/>
      <c r="E164" s="1678">
        <f t="shared" si="33"/>
        <v>0</v>
      </c>
      <c r="F164" s="1687"/>
      <c r="G164" s="1684"/>
      <c r="H164" s="1684"/>
      <c r="I164" s="1684"/>
      <c r="J164" s="1684"/>
      <c r="K164" s="1685" t="str">
        <f t="shared" si="30"/>
        <v/>
      </c>
      <c r="L164" s="1685" t="str">
        <f t="shared" si="31"/>
        <v/>
      </c>
      <c r="M164" s="1686"/>
      <c r="N164" s="1668"/>
      <c r="Q164" s="1757" t="s">
        <v>5900</v>
      </c>
    </row>
    <row r="165" spans="1:17" ht="14.5">
      <c r="A165" s="1655">
        <f t="shared" si="32"/>
        <v>0</v>
      </c>
      <c r="B165" s="1409"/>
      <c r="C165" s="1621" t="s">
        <v>4984</v>
      </c>
      <c r="D165" s="1683"/>
      <c r="E165" s="1678">
        <f t="shared" si="33"/>
        <v>0</v>
      </c>
      <c r="F165" s="1687"/>
      <c r="G165" s="1684"/>
      <c r="H165" s="1684"/>
      <c r="I165" s="1684"/>
      <c r="J165" s="1684"/>
      <c r="K165" s="1685" t="str">
        <f t="shared" si="30"/>
        <v/>
      </c>
      <c r="L165" s="1685" t="str">
        <f t="shared" si="31"/>
        <v/>
      </c>
      <c r="M165" s="1686"/>
      <c r="N165" s="1668"/>
      <c r="Q165" s="1757" t="s">
        <v>5901</v>
      </c>
    </row>
    <row r="166" spans="1:17" ht="14.5">
      <c r="A166" s="1655">
        <f t="shared" si="32"/>
        <v>0</v>
      </c>
      <c r="B166" s="1409"/>
      <c r="C166" s="1621" t="s">
        <v>4985</v>
      </c>
      <c r="D166" s="1683"/>
      <c r="E166" s="1678">
        <f t="shared" si="33"/>
        <v>0</v>
      </c>
      <c r="F166" s="1687"/>
      <c r="G166" s="1684"/>
      <c r="H166" s="1684"/>
      <c r="I166" s="1684"/>
      <c r="J166" s="1684"/>
      <c r="K166" s="1685" t="str">
        <f t="shared" si="30"/>
        <v/>
      </c>
      <c r="L166" s="1685" t="str">
        <f t="shared" si="31"/>
        <v/>
      </c>
      <c r="M166" s="1686"/>
      <c r="N166" s="1668"/>
      <c r="Q166" s="1698" t="s">
        <v>5057</v>
      </c>
    </row>
    <row r="167" spans="1:17" ht="14.5">
      <c r="A167" s="1655">
        <f t="shared" si="32"/>
        <v>0</v>
      </c>
      <c r="B167" s="1688"/>
      <c r="C167" s="1689" t="s">
        <v>4986</v>
      </c>
      <c r="D167" s="1690"/>
      <c r="E167" s="1691">
        <f t="shared" si="33"/>
        <v>0</v>
      </c>
      <c r="F167" s="1692"/>
      <c r="G167" s="1693"/>
      <c r="H167" s="1693"/>
      <c r="I167" s="1693"/>
      <c r="J167" s="1693"/>
      <c r="K167" s="1694" t="str">
        <f t="shared" si="30"/>
        <v/>
      </c>
      <c r="L167" s="1694" t="str">
        <f t="shared" si="31"/>
        <v/>
      </c>
      <c r="M167" s="1695"/>
      <c r="N167" s="1668"/>
      <c r="Q167" s="1698" t="s">
        <v>5057</v>
      </c>
    </row>
    <row r="168" spans="1:17" ht="14.5">
      <c r="A168" s="1674">
        <f>A142+1</f>
        <v>7</v>
      </c>
      <c r="B168" s="1675"/>
      <c r="C168" s="1676"/>
      <c r="D168" s="1677"/>
      <c r="E168" s="1679">
        <f t="shared" ref="E168:I168" si="34">SUM(E169:E193)</f>
        <v>0</v>
      </c>
      <c r="F168" s="1679">
        <f t="shared" si="34"/>
        <v>0</v>
      </c>
      <c r="G168" s="1679">
        <f t="shared" si="34"/>
        <v>0</v>
      </c>
      <c r="H168" s="1679">
        <f t="shared" si="34"/>
        <v>0</v>
      </c>
      <c r="I168" s="1679">
        <f t="shared" si="34"/>
        <v>0</v>
      </c>
      <c r="J168" s="1679">
        <f>SUM(J169:J193)</f>
        <v>0</v>
      </c>
      <c r="K168" s="1680" t="str">
        <f>IFERROR(E168/$C$6,"")</f>
        <v/>
      </c>
      <c r="L168" s="1680" t="str">
        <f>IFERROR(E168/$C$7,"")</f>
        <v/>
      </c>
      <c r="M168" s="1681">
        <f>SUM(M169:M193)</f>
        <v>0</v>
      </c>
      <c r="N168" s="1668"/>
      <c r="Q168" s="1698" t="s">
        <v>5057</v>
      </c>
    </row>
    <row r="169" spans="1:17" ht="14.5">
      <c r="A169" s="1655">
        <f>IF(E169&lt;&gt;0,1,0)</f>
        <v>0</v>
      </c>
      <c r="B169" s="1412"/>
      <c r="C169" s="1621" t="s">
        <v>4962</v>
      </c>
      <c r="D169" s="1683"/>
      <c r="E169" s="1678">
        <f>SUM(F169:J169)</f>
        <v>0</v>
      </c>
      <c r="F169" s="1684"/>
      <c r="G169" s="1684"/>
      <c r="H169" s="1684"/>
      <c r="I169" s="1684"/>
      <c r="J169" s="1684"/>
      <c r="K169" s="1685" t="str">
        <f t="shared" ref="K169:K193" si="35">IFERROR(E169/$C$6,"")</f>
        <v/>
      </c>
      <c r="L169" s="1685" t="str">
        <f t="shared" ref="L169:L193" si="36">IFERROR(E169/$C$7,"")</f>
        <v/>
      </c>
      <c r="M169" s="1686"/>
      <c r="N169" s="1668"/>
      <c r="Q169" s="1698" t="s">
        <v>5057</v>
      </c>
    </row>
    <row r="170" spans="1:17" ht="14.5">
      <c r="A170" s="1655">
        <f t="shared" ref="A170:A193" si="37">IF(E170&lt;&gt;0,1,0)</f>
        <v>0</v>
      </c>
      <c r="B170" s="1409"/>
      <c r="C170" s="1621" t="s">
        <v>4963</v>
      </c>
      <c r="D170" s="1683"/>
      <c r="E170" s="1678">
        <f t="shared" ref="E170:E193" si="38">SUM(F170:J170)</f>
        <v>0</v>
      </c>
      <c r="F170" s="1687"/>
      <c r="G170" s="1684"/>
      <c r="H170" s="1684"/>
      <c r="I170" s="1684"/>
      <c r="J170" s="1684"/>
      <c r="K170" s="1685" t="str">
        <f t="shared" si="35"/>
        <v/>
      </c>
      <c r="L170" s="1685" t="str">
        <f t="shared" si="36"/>
        <v/>
      </c>
      <c r="M170" s="1686"/>
      <c r="N170" s="1668"/>
      <c r="Q170" s="1698" t="s">
        <v>5057</v>
      </c>
    </row>
    <row r="171" spans="1:17" ht="14.5">
      <c r="A171" s="1655">
        <f t="shared" si="37"/>
        <v>0</v>
      </c>
      <c r="B171" s="1409"/>
      <c r="C171" s="1621" t="s">
        <v>4964</v>
      </c>
      <c r="D171" s="1683"/>
      <c r="E171" s="1678">
        <f t="shared" si="38"/>
        <v>0</v>
      </c>
      <c r="F171" s="1687"/>
      <c r="G171" s="1684"/>
      <c r="H171" s="1684"/>
      <c r="I171" s="1684"/>
      <c r="J171" s="1684"/>
      <c r="K171" s="1685" t="str">
        <f t="shared" si="35"/>
        <v/>
      </c>
      <c r="L171" s="1685" t="str">
        <f t="shared" si="36"/>
        <v/>
      </c>
      <c r="M171" s="1686"/>
      <c r="N171" s="1668"/>
      <c r="Q171" s="1698" t="s">
        <v>5057</v>
      </c>
    </row>
    <row r="172" spans="1:17" ht="14.5">
      <c r="A172" s="1655">
        <f t="shared" si="37"/>
        <v>0</v>
      </c>
      <c r="B172" s="1409"/>
      <c r="C172" s="1621" t="s">
        <v>4965</v>
      </c>
      <c r="D172" s="1683"/>
      <c r="E172" s="1678">
        <f t="shared" si="38"/>
        <v>0</v>
      </c>
      <c r="F172" s="1687"/>
      <c r="G172" s="1684"/>
      <c r="H172" s="1684"/>
      <c r="I172" s="1684"/>
      <c r="J172" s="1684"/>
      <c r="K172" s="1685" t="str">
        <f t="shared" si="35"/>
        <v/>
      </c>
      <c r="L172" s="1685" t="str">
        <f t="shared" si="36"/>
        <v/>
      </c>
      <c r="M172" s="1686"/>
      <c r="N172" s="1668"/>
      <c r="Q172" s="1698" t="s">
        <v>5057</v>
      </c>
    </row>
    <row r="173" spans="1:17" ht="14.5">
      <c r="A173" s="1655">
        <f t="shared" si="37"/>
        <v>0</v>
      </c>
      <c r="B173" s="1409"/>
      <c r="C173" s="1621" t="s">
        <v>4966</v>
      </c>
      <c r="D173" s="1683"/>
      <c r="E173" s="1678">
        <f t="shared" si="38"/>
        <v>0</v>
      </c>
      <c r="F173" s="1687"/>
      <c r="G173" s="1684"/>
      <c r="H173" s="1684"/>
      <c r="I173" s="1684"/>
      <c r="J173" s="1684"/>
      <c r="K173" s="1685" t="str">
        <f t="shared" si="35"/>
        <v/>
      </c>
      <c r="L173" s="1685" t="str">
        <f t="shared" si="36"/>
        <v/>
      </c>
      <c r="M173" s="1686"/>
      <c r="N173" s="1668"/>
      <c r="Q173" s="1698" t="s">
        <v>5057</v>
      </c>
    </row>
    <row r="174" spans="1:17" ht="14.5">
      <c r="A174" s="1655">
        <f t="shared" si="37"/>
        <v>0</v>
      </c>
      <c r="B174" s="1409"/>
      <c r="C174" s="1621" t="s">
        <v>4967</v>
      </c>
      <c r="D174" s="1683"/>
      <c r="E174" s="1678">
        <f t="shared" si="38"/>
        <v>0</v>
      </c>
      <c r="F174" s="1687"/>
      <c r="G174" s="1684"/>
      <c r="H174" s="1684"/>
      <c r="I174" s="1684"/>
      <c r="J174" s="1684"/>
      <c r="K174" s="1685" t="str">
        <f t="shared" si="35"/>
        <v/>
      </c>
      <c r="L174" s="1685" t="str">
        <f t="shared" si="36"/>
        <v/>
      </c>
      <c r="M174" s="1686"/>
      <c r="N174" s="1668"/>
      <c r="Q174" s="1698" t="s">
        <v>5057</v>
      </c>
    </row>
    <row r="175" spans="1:17" ht="14.5">
      <c r="A175" s="1655">
        <f t="shared" si="37"/>
        <v>0</v>
      </c>
      <c r="B175" s="1409"/>
      <c r="C175" s="1621" t="s">
        <v>4968</v>
      </c>
      <c r="D175" s="1683"/>
      <c r="E175" s="1678">
        <f t="shared" si="38"/>
        <v>0</v>
      </c>
      <c r="F175" s="1687"/>
      <c r="G175" s="1684"/>
      <c r="H175" s="1684"/>
      <c r="I175" s="1684"/>
      <c r="J175" s="1684"/>
      <c r="K175" s="1685" t="str">
        <f t="shared" si="35"/>
        <v/>
      </c>
      <c r="L175" s="1685" t="str">
        <f t="shared" si="36"/>
        <v/>
      </c>
      <c r="M175" s="1686"/>
      <c r="N175" s="1668"/>
      <c r="Q175" s="1698" t="s">
        <v>5057</v>
      </c>
    </row>
    <row r="176" spans="1:17" ht="14.5">
      <c r="A176" s="1655">
        <f t="shared" si="37"/>
        <v>0</v>
      </c>
      <c r="B176" s="1409"/>
      <c r="C176" s="1621" t="s">
        <v>4969</v>
      </c>
      <c r="D176" s="1683"/>
      <c r="E176" s="1678">
        <f t="shared" si="38"/>
        <v>0</v>
      </c>
      <c r="F176" s="1687"/>
      <c r="G176" s="1684"/>
      <c r="H176" s="1684"/>
      <c r="I176" s="1684"/>
      <c r="J176" s="1684"/>
      <c r="K176" s="1685" t="str">
        <f t="shared" si="35"/>
        <v/>
      </c>
      <c r="L176" s="1685" t="str">
        <f t="shared" si="36"/>
        <v/>
      </c>
      <c r="M176" s="1686"/>
      <c r="N176" s="1668"/>
      <c r="Q176" s="1698" t="s">
        <v>5057</v>
      </c>
    </row>
    <row r="177" spans="1:17" ht="14.5">
      <c r="A177" s="1655">
        <f t="shared" si="37"/>
        <v>0</v>
      </c>
      <c r="B177" s="1409"/>
      <c r="C177" s="1621" t="s">
        <v>4970</v>
      </c>
      <c r="D177" s="1683"/>
      <c r="E177" s="1678">
        <f t="shared" si="38"/>
        <v>0</v>
      </c>
      <c r="F177" s="1687"/>
      <c r="G177" s="1684"/>
      <c r="H177" s="1684"/>
      <c r="I177" s="1684"/>
      <c r="J177" s="1684"/>
      <c r="K177" s="1685" t="str">
        <f t="shared" si="35"/>
        <v/>
      </c>
      <c r="L177" s="1685" t="str">
        <f t="shared" si="36"/>
        <v/>
      </c>
      <c r="M177" s="1686"/>
      <c r="N177" s="1668"/>
      <c r="Q177" s="1698" t="s">
        <v>5057</v>
      </c>
    </row>
    <row r="178" spans="1:17" ht="14.5">
      <c r="A178" s="1655">
        <f t="shared" si="37"/>
        <v>0</v>
      </c>
      <c r="B178" s="1409"/>
      <c r="C178" s="1621" t="s">
        <v>4971</v>
      </c>
      <c r="D178" s="1683"/>
      <c r="E178" s="1678">
        <f t="shared" si="38"/>
        <v>0</v>
      </c>
      <c r="F178" s="1687"/>
      <c r="G178" s="1684"/>
      <c r="H178" s="1684"/>
      <c r="I178" s="1684"/>
      <c r="J178" s="1684"/>
      <c r="K178" s="1685" t="str">
        <f t="shared" si="35"/>
        <v/>
      </c>
      <c r="L178" s="1685" t="str">
        <f t="shared" si="36"/>
        <v/>
      </c>
      <c r="M178" s="1686"/>
      <c r="N178" s="1668"/>
      <c r="Q178" s="1698" t="s">
        <v>5057</v>
      </c>
    </row>
    <row r="179" spans="1:17" ht="14.5">
      <c r="A179" s="1655">
        <f t="shared" si="37"/>
        <v>0</v>
      </c>
      <c r="B179" s="1409"/>
      <c r="C179" s="1621" t="s">
        <v>4972</v>
      </c>
      <c r="D179" s="1683"/>
      <c r="E179" s="1678">
        <f t="shared" si="38"/>
        <v>0</v>
      </c>
      <c r="F179" s="1687"/>
      <c r="G179" s="1684"/>
      <c r="H179" s="1684"/>
      <c r="I179" s="1684"/>
      <c r="J179" s="1684"/>
      <c r="K179" s="1685" t="str">
        <f t="shared" si="35"/>
        <v/>
      </c>
      <c r="L179" s="1685" t="str">
        <f t="shared" si="36"/>
        <v/>
      </c>
      <c r="M179" s="1686"/>
      <c r="N179" s="1668"/>
      <c r="Q179" s="1698" t="s">
        <v>5057</v>
      </c>
    </row>
    <row r="180" spans="1:17" ht="14.5">
      <c r="A180" s="1655">
        <f t="shared" si="37"/>
        <v>0</v>
      </c>
      <c r="B180" s="1412"/>
      <c r="C180" s="1621" t="s">
        <v>4973</v>
      </c>
      <c r="D180" s="1683"/>
      <c r="E180" s="1678">
        <f t="shared" si="38"/>
        <v>0</v>
      </c>
      <c r="F180" s="1687"/>
      <c r="G180" s="1684"/>
      <c r="H180" s="1684"/>
      <c r="I180" s="1684"/>
      <c r="J180" s="1684"/>
      <c r="K180" s="1685" t="str">
        <f t="shared" si="35"/>
        <v/>
      </c>
      <c r="L180" s="1685" t="str">
        <f t="shared" si="36"/>
        <v/>
      </c>
      <c r="M180" s="1686"/>
      <c r="N180" s="1668"/>
      <c r="Q180" s="1698" t="s">
        <v>5057</v>
      </c>
    </row>
    <row r="181" spans="1:17" ht="14.5">
      <c r="A181" s="1655">
        <f t="shared" si="37"/>
        <v>0</v>
      </c>
      <c r="B181" s="1412"/>
      <c r="C181" s="1621" t="s">
        <v>4974</v>
      </c>
      <c r="D181" s="1683"/>
      <c r="E181" s="1678">
        <f t="shared" si="38"/>
        <v>0</v>
      </c>
      <c r="F181" s="1687"/>
      <c r="G181" s="1684"/>
      <c r="H181" s="1684"/>
      <c r="I181" s="1684"/>
      <c r="J181" s="1684"/>
      <c r="K181" s="1685" t="str">
        <f t="shared" si="35"/>
        <v/>
      </c>
      <c r="L181" s="1685" t="str">
        <f t="shared" si="36"/>
        <v/>
      </c>
      <c r="M181" s="1686"/>
      <c r="N181" s="1668"/>
      <c r="Q181" s="1698" t="s">
        <v>5057</v>
      </c>
    </row>
    <row r="182" spans="1:17" ht="14.5">
      <c r="A182" s="1655">
        <f t="shared" si="37"/>
        <v>0</v>
      </c>
      <c r="B182" s="1409"/>
      <c r="C182" s="1621" t="s">
        <v>4975</v>
      </c>
      <c r="D182" s="1683"/>
      <c r="E182" s="1678">
        <f t="shared" si="38"/>
        <v>0</v>
      </c>
      <c r="F182" s="1687"/>
      <c r="G182" s="1684"/>
      <c r="H182" s="1684"/>
      <c r="I182" s="1684"/>
      <c r="J182" s="1684"/>
      <c r="K182" s="1685" t="str">
        <f t="shared" si="35"/>
        <v/>
      </c>
      <c r="L182" s="1685" t="str">
        <f t="shared" si="36"/>
        <v/>
      </c>
      <c r="M182" s="1686"/>
      <c r="N182" s="1668"/>
      <c r="Q182" s="1698" t="s">
        <v>5057</v>
      </c>
    </row>
    <row r="183" spans="1:17" ht="14.5">
      <c r="A183" s="1655">
        <f t="shared" si="37"/>
        <v>0</v>
      </c>
      <c r="B183" s="1409"/>
      <c r="C183" s="1621" t="s">
        <v>4976</v>
      </c>
      <c r="D183" s="1683"/>
      <c r="E183" s="1678">
        <f t="shared" si="38"/>
        <v>0</v>
      </c>
      <c r="F183" s="1687"/>
      <c r="G183" s="1684"/>
      <c r="H183" s="1684"/>
      <c r="I183" s="1684"/>
      <c r="J183" s="1684"/>
      <c r="K183" s="1685" t="str">
        <f t="shared" si="35"/>
        <v/>
      </c>
      <c r="L183" s="1685" t="str">
        <f t="shared" si="36"/>
        <v/>
      </c>
      <c r="M183" s="1686"/>
      <c r="N183" s="1668"/>
      <c r="Q183" s="1698" t="s">
        <v>5057</v>
      </c>
    </row>
    <row r="184" spans="1:17" ht="14.5">
      <c r="A184" s="1655">
        <f t="shared" si="37"/>
        <v>0</v>
      </c>
      <c r="B184" s="1409"/>
      <c r="C184" s="1621" t="s">
        <v>4977</v>
      </c>
      <c r="D184" s="1683"/>
      <c r="E184" s="1678">
        <f t="shared" si="38"/>
        <v>0</v>
      </c>
      <c r="F184" s="1687"/>
      <c r="G184" s="1684"/>
      <c r="H184" s="1684"/>
      <c r="I184" s="1684"/>
      <c r="J184" s="1684"/>
      <c r="K184" s="1685" t="str">
        <f t="shared" si="35"/>
        <v/>
      </c>
      <c r="L184" s="1685" t="str">
        <f t="shared" si="36"/>
        <v/>
      </c>
      <c r="M184" s="1686"/>
      <c r="N184" s="1668"/>
      <c r="Q184" s="1698" t="s">
        <v>5057</v>
      </c>
    </row>
    <row r="185" spans="1:17" ht="14.5">
      <c r="A185" s="1655">
        <f t="shared" si="37"/>
        <v>0</v>
      </c>
      <c r="B185" s="1409"/>
      <c r="C185" s="1621" t="s">
        <v>4978</v>
      </c>
      <c r="D185" s="1683"/>
      <c r="E185" s="1678">
        <f t="shared" si="38"/>
        <v>0</v>
      </c>
      <c r="F185" s="1687"/>
      <c r="G185" s="1684"/>
      <c r="H185" s="1684"/>
      <c r="I185" s="1684"/>
      <c r="J185" s="1684"/>
      <c r="K185" s="1685" t="str">
        <f t="shared" si="35"/>
        <v/>
      </c>
      <c r="L185" s="1685" t="str">
        <f t="shared" si="36"/>
        <v/>
      </c>
      <c r="M185" s="1686"/>
      <c r="N185" s="1668"/>
      <c r="Q185" s="1698" t="s">
        <v>5057</v>
      </c>
    </row>
    <row r="186" spans="1:17" ht="14.5">
      <c r="A186" s="1655">
        <f t="shared" si="37"/>
        <v>0</v>
      </c>
      <c r="B186" s="1409"/>
      <c r="C186" s="1621" t="s">
        <v>4979</v>
      </c>
      <c r="D186" s="1683"/>
      <c r="E186" s="1678">
        <f t="shared" si="38"/>
        <v>0</v>
      </c>
      <c r="F186" s="1687"/>
      <c r="G186" s="1684"/>
      <c r="H186" s="1684"/>
      <c r="I186" s="1684"/>
      <c r="J186" s="1684"/>
      <c r="K186" s="1685" t="str">
        <f t="shared" si="35"/>
        <v/>
      </c>
      <c r="L186" s="1685" t="str">
        <f t="shared" si="36"/>
        <v/>
      </c>
      <c r="M186" s="1686"/>
      <c r="N186" s="1668"/>
    </row>
    <row r="187" spans="1:17" ht="14.5">
      <c r="A187" s="1655">
        <f t="shared" si="37"/>
        <v>0</v>
      </c>
      <c r="B187" s="1409"/>
      <c r="C187" s="1621" t="s">
        <v>4980</v>
      </c>
      <c r="D187" s="1683"/>
      <c r="E187" s="1678">
        <f t="shared" si="38"/>
        <v>0</v>
      </c>
      <c r="F187" s="1687"/>
      <c r="G187" s="1684"/>
      <c r="H187" s="1684"/>
      <c r="I187" s="1684"/>
      <c r="J187" s="1684"/>
      <c r="K187" s="1685" t="str">
        <f t="shared" si="35"/>
        <v/>
      </c>
      <c r="L187" s="1685" t="str">
        <f t="shared" si="36"/>
        <v/>
      </c>
      <c r="M187" s="1686"/>
      <c r="N187" s="1668"/>
    </row>
    <row r="188" spans="1:17" ht="14.5">
      <c r="A188" s="1655">
        <f t="shared" si="37"/>
        <v>0</v>
      </c>
      <c r="B188" s="1409"/>
      <c r="C188" s="1621" t="s">
        <v>4981</v>
      </c>
      <c r="D188" s="1683"/>
      <c r="E188" s="1678">
        <f t="shared" si="38"/>
        <v>0</v>
      </c>
      <c r="F188" s="1687"/>
      <c r="G188" s="1684"/>
      <c r="H188" s="1684"/>
      <c r="I188" s="1684"/>
      <c r="J188" s="1684"/>
      <c r="K188" s="1685" t="str">
        <f t="shared" si="35"/>
        <v/>
      </c>
      <c r="L188" s="1685" t="str">
        <f t="shared" si="36"/>
        <v/>
      </c>
      <c r="M188" s="1686"/>
      <c r="N188" s="1668"/>
    </row>
    <row r="189" spans="1:17" ht="14.5">
      <c r="A189" s="1655">
        <f t="shared" si="37"/>
        <v>0</v>
      </c>
      <c r="B189" s="1409"/>
      <c r="C189" s="1621" t="s">
        <v>4982</v>
      </c>
      <c r="D189" s="1683"/>
      <c r="E189" s="1678">
        <f t="shared" si="38"/>
        <v>0</v>
      </c>
      <c r="F189" s="1687"/>
      <c r="G189" s="1684"/>
      <c r="H189" s="1684"/>
      <c r="I189" s="1684"/>
      <c r="J189" s="1684"/>
      <c r="K189" s="1685" t="str">
        <f t="shared" si="35"/>
        <v/>
      </c>
      <c r="L189" s="1685" t="str">
        <f t="shared" si="36"/>
        <v/>
      </c>
      <c r="M189" s="1686"/>
      <c r="N189" s="1668"/>
    </row>
    <row r="190" spans="1:17" ht="14.5">
      <c r="A190" s="1655">
        <f t="shared" si="37"/>
        <v>0</v>
      </c>
      <c r="B190" s="1409"/>
      <c r="C190" s="1621" t="s">
        <v>4983</v>
      </c>
      <c r="D190" s="1683"/>
      <c r="E190" s="1678">
        <f t="shared" si="38"/>
        <v>0</v>
      </c>
      <c r="F190" s="1687"/>
      <c r="G190" s="1684"/>
      <c r="H190" s="1684"/>
      <c r="I190" s="1684"/>
      <c r="J190" s="1684"/>
      <c r="K190" s="1685" t="str">
        <f t="shared" si="35"/>
        <v/>
      </c>
      <c r="L190" s="1685" t="str">
        <f t="shared" si="36"/>
        <v/>
      </c>
      <c r="M190" s="1686"/>
      <c r="N190" s="1668"/>
    </row>
    <row r="191" spans="1:17" ht="14.5">
      <c r="A191" s="1655">
        <f t="shared" si="37"/>
        <v>0</v>
      </c>
      <c r="B191" s="1409"/>
      <c r="C191" s="1621" t="s">
        <v>4984</v>
      </c>
      <c r="D191" s="1683"/>
      <c r="E191" s="1678">
        <f t="shared" si="38"/>
        <v>0</v>
      </c>
      <c r="F191" s="1687"/>
      <c r="G191" s="1684"/>
      <c r="H191" s="1684"/>
      <c r="I191" s="1684"/>
      <c r="J191" s="1684"/>
      <c r="K191" s="1685" t="str">
        <f t="shared" si="35"/>
        <v/>
      </c>
      <c r="L191" s="1685" t="str">
        <f t="shared" si="36"/>
        <v/>
      </c>
      <c r="M191" s="1686"/>
      <c r="N191" s="1668"/>
    </row>
    <row r="192" spans="1:17" ht="14.5">
      <c r="A192" s="1655">
        <f t="shared" si="37"/>
        <v>0</v>
      </c>
      <c r="B192" s="1409"/>
      <c r="C192" s="1621" t="s">
        <v>4985</v>
      </c>
      <c r="D192" s="1683"/>
      <c r="E192" s="1678">
        <f t="shared" si="38"/>
        <v>0</v>
      </c>
      <c r="F192" s="1687"/>
      <c r="G192" s="1684"/>
      <c r="H192" s="1684"/>
      <c r="I192" s="1684"/>
      <c r="J192" s="1684"/>
      <c r="K192" s="1685" t="str">
        <f t="shared" si="35"/>
        <v/>
      </c>
      <c r="L192" s="1685" t="str">
        <f t="shared" si="36"/>
        <v/>
      </c>
      <c r="M192" s="1686"/>
      <c r="N192" s="1668"/>
    </row>
    <row r="193" spans="1:14" ht="14.5">
      <c r="A193" s="1655">
        <f t="shared" si="37"/>
        <v>0</v>
      </c>
      <c r="B193" s="1688"/>
      <c r="C193" s="1689" t="s">
        <v>4986</v>
      </c>
      <c r="D193" s="1690"/>
      <c r="E193" s="1691">
        <f t="shared" si="38"/>
        <v>0</v>
      </c>
      <c r="F193" s="1692"/>
      <c r="G193" s="1693"/>
      <c r="H193" s="1693"/>
      <c r="I193" s="1693"/>
      <c r="J193" s="1693"/>
      <c r="K193" s="1694" t="str">
        <f t="shared" si="35"/>
        <v/>
      </c>
      <c r="L193" s="1694" t="str">
        <f t="shared" si="36"/>
        <v/>
      </c>
      <c r="M193" s="1695"/>
      <c r="N193" s="1668"/>
    </row>
    <row r="194" spans="1:14" ht="14.5">
      <c r="A194" s="1674">
        <f>A168+1</f>
        <v>8</v>
      </c>
      <c r="B194" s="1675" t="s">
        <v>5050</v>
      </c>
      <c r="C194" s="1676"/>
      <c r="D194" s="1677"/>
      <c r="E194" s="1679">
        <f t="shared" ref="E194:I194" si="39">SUM(E195:E219)</f>
        <v>0</v>
      </c>
      <c r="F194" s="1679">
        <f t="shared" si="39"/>
        <v>0</v>
      </c>
      <c r="G194" s="1679">
        <f t="shared" si="39"/>
        <v>0</v>
      </c>
      <c r="H194" s="1679">
        <f t="shared" si="39"/>
        <v>0</v>
      </c>
      <c r="I194" s="1679">
        <f t="shared" si="39"/>
        <v>0</v>
      </c>
      <c r="J194" s="1679">
        <f>SUM(J195:J219)</f>
        <v>0</v>
      </c>
      <c r="K194" s="1680" t="str">
        <f>IFERROR(E194/$C$6,"")</f>
        <v/>
      </c>
      <c r="L194" s="1680" t="str">
        <f>IFERROR(E194/$C$7,"")</f>
        <v/>
      </c>
      <c r="M194" s="1681">
        <f>SUM(M195:M219)</f>
        <v>0</v>
      </c>
      <c r="N194" s="1668"/>
    </row>
    <row r="195" spans="1:14" ht="14.5">
      <c r="A195" s="1655">
        <f>IF(E195&lt;&gt;0,1,0)</f>
        <v>0</v>
      </c>
      <c r="B195" s="1412"/>
      <c r="C195" s="1621" t="s">
        <v>4962</v>
      </c>
      <c r="D195" s="1683"/>
      <c r="E195" s="1678">
        <f>SUM(F195:J195)</f>
        <v>0</v>
      </c>
      <c r="F195" s="1684"/>
      <c r="G195" s="1684"/>
      <c r="H195" s="1684"/>
      <c r="I195" s="1684"/>
      <c r="J195" s="1684"/>
      <c r="K195" s="1685" t="str">
        <f t="shared" ref="K195:K219" si="40">IFERROR(E195/$C$6,"")</f>
        <v/>
      </c>
      <c r="L195" s="1685" t="str">
        <f t="shared" ref="L195:L219" si="41">IFERROR(E195/$C$7,"")</f>
        <v/>
      </c>
      <c r="M195" s="1686"/>
      <c r="N195" s="1668"/>
    </row>
    <row r="196" spans="1:14" ht="14.5">
      <c r="A196" s="1655">
        <f t="shared" ref="A196:A219" si="42">IF(E196&lt;&gt;0,1,0)</f>
        <v>0</v>
      </c>
      <c r="B196" s="1409"/>
      <c r="C196" s="1621" t="s">
        <v>4963</v>
      </c>
      <c r="D196" s="1683"/>
      <c r="E196" s="1678">
        <f t="shared" ref="E196:E219" si="43">SUM(F196:J196)</f>
        <v>0</v>
      </c>
      <c r="F196" s="1687"/>
      <c r="G196" s="1684"/>
      <c r="H196" s="1684"/>
      <c r="I196" s="1684"/>
      <c r="J196" s="1684"/>
      <c r="K196" s="1685" t="str">
        <f t="shared" si="40"/>
        <v/>
      </c>
      <c r="L196" s="1685" t="str">
        <f t="shared" si="41"/>
        <v/>
      </c>
      <c r="M196" s="1686"/>
      <c r="N196" s="1668"/>
    </row>
    <row r="197" spans="1:14" ht="14.5">
      <c r="A197" s="1655">
        <f t="shared" si="42"/>
        <v>0</v>
      </c>
      <c r="B197" s="1409"/>
      <c r="C197" s="1621" t="s">
        <v>4964</v>
      </c>
      <c r="D197" s="1683"/>
      <c r="E197" s="1678">
        <f t="shared" si="43"/>
        <v>0</v>
      </c>
      <c r="F197" s="1687"/>
      <c r="G197" s="1684"/>
      <c r="H197" s="1684"/>
      <c r="I197" s="1684"/>
      <c r="J197" s="1684"/>
      <c r="K197" s="1685" t="str">
        <f t="shared" si="40"/>
        <v/>
      </c>
      <c r="L197" s="1685" t="str">
        <f t="shared" si="41"/>
        <v/>
      </c>
      <c r="M197" s="1686"/>
      <c r="N197" s="1668"/>
    </row>
    <row r="198" spans="1:14" ht="14.5">
      <c r="A198" s="1655">
        <f t="shared" si="42"/>
        <v>0</v>
      </c>
      <c r="B198" s="1409"/>
      <c r="C198" s="1621" t="s">
        <v>4965</v>
      </c>
      <c r="D198" s="1683"/>
      <c r="E198" s="1678">
        <f t="shared" si="43"/>
        <v>0</v>
      </c>
      <c r="F198" s="1687"/>
      <c r="G198" s="1684"/>
      <c r="H198" s="1684"/>
      <c r="I198" s="1684"/>
      <c r="J198" s="1684"/>
      <c r="K198" s="1685" t="str">
        <f t="shared" si="40"/>
        <v/>
      </c>
      <c r="L198" s="1685" t="str">
        <f t="shared" si="41"/>
        <v/>
      </c>
      <c r="M198" s="1686"/>
      <c r="N198" s="1668"/>
    </row>
    <row r="199" spans="1:14" ht="14.5">
      <c r="A199" s="1655">
        <f t="shared" si="42"/>
        <v>0</v>
      </c>
      <c r="B199" s="1409"/>
      <c r="C199" s="1621" t="s">
        <v>4966</v>
      </c>
      <c r="D199" s="1683"/>
      <c r="E199" s="1678">
        <f t="shared" si="43"/>
        <v>0</v>
      </c>
      <c r="F199" s="1687"/>
      <c r="G199" s="1684"/>
      <c r="H199" s="1684"/>
      <c r="I199" s="1684"/>
      <c r="J199" s="1684"/>
      <c r="K199" s="1685" t="str">
        <f t="shared" si="40"/>
        <v/>
      </c>
      <c r="L199" s="1685" t="str">
        <f t="shared" si="41"/>
        <v/>
      </c>
      <c r="M199" s="1686"/>
      <c r="N199" s="1668"/>
    </row>
    <row r="200" spans="1:14" ht="14.5">
      <c r="A200" s="1655">
        <f t="shared" si="42"/>
        <v>0</v>
      </c>
      <c r="B200" s="1409"/>
      <c r="C200" s="1621" t="s">
        <v>4967</v>
      </c>
      <c r="D200" s="1683"/>
      <c r="E200" s="1678">
        <f t="shared" si="43"/>
        <v>0</v>
      </c>
      <c r="F200" s="1687"/>
      <c r="G200" s="1684"/>
      <c r="H200" s="1684"/>
      <c r="I200" s="1684"/>
      <c r="J200" s="1684"/>
      <c r="K200" s="1685" t="str">
        <f t="shared" si="40"/>
        <v/>
      </c>
      <c r="L200" s="1685" t="str">
        <f t="shared" si="41"/>
        <v/>
      </c>
      <c r="M200" s="1686"/>
      <c r="N200" s="1668"/>
    </row>
    <row r="201" spans="1:14" ht="14.5">
      <c r="A201" s="1655">
        <f t="shared" si="42"/>
        <v>0</v>
      </c>
      <c r="B201" s="1409"/>
      <c r="C201" s="1621" t="s">
        <v>4968</v>
      </c>
      <c r="D201" s="1683"/>
      <c r="E201" s="1678">
        <f t="shared" si="43"/>
        <v>0</v>
      </c>
      <c r="F201" s="1687"/>
      <c r="G201" s="1684"/>
      <c r="H201" s="1684"/>
      <c r="I201" s="1684"/>
      <c r="J201" s="1684"/>
      <c r="K201" s="1685" t="str">
        <f t="shared" si="40"/>
        <v/>
      </c>
      <c r="L201" s="1685" t="str">
        <f t="shared" si="41"/>
        <v/>
      </c>
      <c r="M201" s="1686"/>
      <c r="N201" s="1668"/>
    </row>
    <row r="202" spans="1:14" ht="14.5">
      <c r="A202" s="1655">
        <f t="shared" si="42"/>
        <v>0</v>
      </c>
      <c r="B202" s="1409"/>
      <c r="C202" s="1621" t="s">
        <v>4969</v>
      </c>
      <c r="D202" s="1683"/>
      <c r="E202" s="1678">
        <f t="shared" si="43"/>
        <v>0</v>
      </c>
      <c r="F202" s="1687"/>
      <c r="G202" s="1684"/>
      <c r="H202" s="1684"/>
      <c r="I202" s="1684"/>
      <c r="J202" s="1684"/>
      <c r="K202" s="1685" t="str">
        <f t="shared" si="40"/>
        <v/>
      </c>
      <c r="L202" s="1685" t="str">
        <f t="shared" si="41"/>
        <v/>
      </c>
      <c r="M202" s="1686"/>
      <c r="N202" s="1668"/>
    </row>
    <row r="203" spans="1:14" ht="14.5">
      <c r="A203" s="1655">
        <f t="shared" si="42"/>
        <v>0</v>
      </c>
      <c r="B203" s="1409"/>
      <c r="C203" s="1621" t="s">
        <v>4970</v>
      </c>
      <c r="D203" s="1683"/>
      <c r="E203" s="1678">
        <f t="shared" si="43"/>
        <v>0</v>
      </c>
      <c r="F203" s="1687"/>
      <c r="G203" s="1684"/>
      <c r="H203" s="1684"/>
      <c r="I203" s="1684"/>
      <c r="J203" s="1684"/>
      <c r="K203" s="1685" t="str">
        <f t="shared" si="40"/>
        <v/>
      </c>
      <c r="L203" s="1685" t="str">
        <f t="shared" si="41"/>
        <v/>
      </c>
      <c r="M203" s="1686"/>
      <c r="N203" s="1668"/>
    </row>
    <row r="204" spans="1:14" ht="14.5">
      <c r="A204" s="1655">
        <f t="shared" si="42"/>
        <v>0</v>
      </c>
      <c r="B204" s="1409"/>
      <c r="C204" s="1621" t="s">
        <v>4971</v>
      </c>
      <c r="D204" s="1683"/>
      <c r="E204" s="1678">
        <f t="shared" si="43"/>
        <v>0</v>
      </c>
      <c r="F204" s="1687"/>
      <c r="G204" s="1684"/>
      <c r="H204" s="1684"/>
      <c r="I204" s="1684"/>
      <c r="J204" s="1684"/>
      <c r="K204" s="1685" t="str">
        <f t="shared" si="40"/>
        <v/>
      </c>
      <c r="L204" s="1685" t="str">
        <f t="shared" si="41"/>
        <v/>
      </c>
      <c r="M204" s="1686"/>
      <c r="N204" s="1668"/>
    </row>
    <row r="205" spans="1:14" ht="14.5">
      <c r="A205" s="1655">
        <f t="shared" si="42"/>
        <v>0</v>
      </c>
      <c r="B205" s="1409"/>
      <c r="C205" s="1621" t="s">
        <v>4972</v>
      </c>
      <c r="D205" s="1683"/>
      <c r="E205" s="1678">
        <f t="shared" si="43"/>
        <v>0</v>
      </c>
      <c r="F205" s="1687"/>
      <c r="G205" s="1684"/>
      <c r="H205" s="1684"/>
      <c r="I205" s="1684"/>
      <c r="J205" s="1684"/>
      <c r="K205" s="1685" t="str">
        <f t="shared" si="40"/>
        <v/>
      </c>
      <c r="L205" s="1685" t="str">
        <f t="shared" si="41"/>
        <v/>
      </c>
      <c r="M205" s="1686"/>
      <c r="N205" s="1668"/>
    </row>
    <row r="206" spans="1:14" ht="14.5">
      <c r="A206" s="1655">
        <f t="shared" si="42"/>
        <v>0</v>
      </c>
      <c r="B206" s="1412"/>
      <c r="C206" s="1621" t="s">
        <v>4973</v>
      </c>
      <c r="D206" s="1683"/>
      <c r="E206" s="1678">
        <f t="shared" si="43"/>
        <v>0</v>
      </c>
      <c r="F206" s="1687"/>
      <c r="G206" s="1684"/>
      <c r="H206" s="1684"/>
      <c r="I206" s="1684"/>
      <c r="J206" s="1684"/>
      <c r="K206" s="1685" t="str">
        <f t="shared" si="40"/>
        <v/>
      </c>
      <c r="L206" s="1685" t="str">
        <f t="shared" si="41"/>
        <v/>
      </c>
      <c r="M206" s="1686"/>
      <c r="N206" s="1668"/>
    </row>
    <row r="207" spans="1:14" ht="14.5">
      <c r="A207" s="1655">
        <f t="shared" si="42"/>
        <v>0</v>
      </c>
      <c r="B207" s="1412"/>
      <c r="C207" s="1621" t="s">
        <v>4974</v>
      </c>
      <c r="D207" s="1683"/>
      <c r="E207" s="1678">
        <f t="shared" si="43"/>
        <v>0</v>
      </c>
      <c r="F207" s="1687"/>
      <c r="G207" s="1684"/>
      <c r="H207" s="1684"/>
      <c r="I207" s="1684"/>
      <c r="J207" s="1684"/>
      <c r="K207" s="1685" t="str">
        <f t="shared" si="40"/>
        <v/>
      </c>
      <c r="L207" s="1685" t="str">
        <f t="shared" si="41"/>
        <v/>
      </c>
      <c r="M207" s="1686"/>
      <c r="N207" s="1668"/>
    </row>
    <row r="208" spans="1:14" ht="14.5">
      <c r="A208" s="1655">
        <f t="shared" si="42"/>
        <v>0</v>
      </c>
      <c r="B208" s="1409"/>
      <c r="C208" s="1621" t="s">
        <v>4975</v>
      </c>
      <c r="D208" s="1683"/>
      <c r="E208" s="1678">
        <f t="shared" si="43"/>
        <v>0</v>
      </c>
      <c r="F208" s="1687"/>
      <c r="G208" s="1684"/>
      <c r="H208" s="1684"/>
      <c r="I208" s="1684"/>
      <c r="J208" s="1684"/>
      <c r="K208" s="1685" t="str">
        <f t="shared" si="40"/>
        <v/>
      </c>
      <c r="L208" s="1685" t="str">
        <f t="shared" si="41"/>
        <v/>
      </c>
      <c r="M208" s="1686"/>
      <c r="N208" s="1668"/>
    </row>
    <row r="209" spans="1:14" ht="14.5">
      <c r="A209" s="1655">
        <f t="shared" si="42"/>
        <v>0</v>
      </c>
      <c r="B209" s="1409"/>
      <c r="C209" s="1621" t="s">
        <v>4976</v>
      </c>
      <c r="D209" s="1683"/>
      <c r="E209" s="1678">
        <f t="shared" si="43"/>
        <v>0</v>
      </c>
      <c r="F209" s="1687"/>
      <c r="G209" s="1684"/>
      <c r="H209" s="1684"/>
      <c r="I209" s="1684"/>
      <c r="J209" s="1684"/>
      <c r="K209" s="1685" t="str">
        <f t="shared" si="40"/>
        <v/>
      </c>
      <c r="L209" s="1685" t="str">
        <f t="shared" si="41"/>
        <v/>
      </c>
      <c r="M209" s="1686"/>
      <c r="N209" s="1668"/>
    </row>
    <row r="210" spans="1:14" ht="14.5">
      <c r="A210" s="1655">
        <f t="shared" si="42"/>
        <v>0</v>
      </c>
      <c r="B210" s="1409"/>
      <c r="C210" s="1621" t="s">
        <v>4977</v>
      </c>
      <c r="D210" s="1683"/>
      <c r="E210" s="1678">
        <f t="shared" si="43"/>
        <v>0</v>
      </c>
      <c r="F210" s="1687"/>
      <c r="G210" s="1684"/>
      <c r="H210" s="1684"/>
      <c r="I210" s="1684"/>
      <c r="J210" s="1684"/>
      <c r="K210" s="1685" t="str">
        <f t="shared" si="40"/>
        <v/>
      </c>
      <c r="L210" s="1685" t="str">
        <f t="shared" si="41"/>
        <v/>
      </c>
      <c r="M210" s="1686"/>
      <c r="N210" s="1668"/>
    </row>
    <row r="211" spans="1:14" ht="14.5">
      <c r="A211" s="1655">
        <f t="shared" si="42"/>
        <v>0</v>
      </c>
      <c r="B211" s="1409"/>
      <c r="C211" s="1621" t="s">
        <v>4978</v>
      </c>
      <c r="D211" s="1683"/>
      <c r="E211" s="1678">
        <f t="shared" si="43"/>
        <v>0</v>
      </c>
      <c r="F211" s="1687"/>
      <c r="G211" s="1684"/>
      <c r="H211" s="1684"/>
      <c r="I211" s="1684"/>
      <c r="J211" s="1684"/>
      <c r="K211" s="1685" t="str">
        <f t="shared" si="40"/>
        <v/>
      </c>
      <c r="L211" s="1685" t="str">
        <f t="shared" si="41"/>
        <v/>
      </c>
      <c r="M211" s="1686"/>
      <c r="N211" s="1668"/>
    </row>
    <row r="212" spans="1:14" ht="14.5">
      <c r="A212" s="1655">
        <f t="shared" si="42"/>
        <v>0</v>
      </c>
      <c r="B212" s="1409"/>
      <c r="C212" s="1621" t="s">
        <v>4979</v>
      </c>
      <c r="D212" s="1683"/>
      <c r="E212" s="1678">
        <f t="shared" si="43"/>
        <v>0</v>
      </c>
      <c r="F212" s="1687"/>
      <c r="G212" s="1684"/>
      <c r="H212" s="1684"/>
      <c r="I212" s="1684"/>
      <c r="J212" s="1684"/>
      <c r="K212" s="1685" t="str">
        <f t="shared" si="40"/>
        <v/>
      </c>
      <c r="L212" s="1685" t="str">
        <f t="shared" si="41"/>
        <v/>
      </c>
      <c r="M212" s="1686"/>
      <c r="N212" s="1668"/>
    </row>
    <row r="213" spans="1:14" ht="14.5">
      <c r="A213" s="1655">
        <f t="shared" si="42"/>
        <v>0</v>
      </c>
      <c r="B213" s="1409"/>
      <c r="C213" s="1621" t="s">
        <v>4980</v>
      </c>
      <c r="D213" s="1683"/>
      <c r="E213" s="1678">
        <f t="shared" si="43"/>
        <v>0</v>
      </c>
      <c r="F213" s="1687"/>
      <c r="G213" s="1684"/>
      <c r="H213" s="1684"/>
      <c r="I213" s="1684"/>
      <c r="J213" s="1684"/>
      <c r="K213" s="1685" t="str">
        <f t="shared" si="40"/>
        <v/>
      </c>
      <c r="L213" s="1685" t="str">
        <f t="shared" si="41"/>
        <v/>
      </c>
      <c r="M213" s="1686"/>
      <c r="N213" s="1668"/>
    </row>
    <row r="214" spans="1:14" ht="14.5">
      <c r="A214" s="1655">
        <f t="shared" si="42"/>
        <v>0</v>
      </c>
      <c r="B214" s="1409"/>
      <c r="C214" s="1621" t="s">
        <v>4981</v>
      </c>
      <c r="D214" s="1683"/>
      <c r="E214" s="1678">
        <f t="shared" si="43"/>
        <v>0</v>
      </c>
      <c r="F214" s="1687"/>
      <c r="G214" s="1684"/>
      <c r="H214" s="1684"/>
      <c r="I214" s="1684"/>
      <c r="J214" s="1684"/>
      <c r="K214" s="1685" t="str">
        <f t="shared" si="40"/>
        <v/>
      </c>
      <c r="L214" s="1685" t="str">
        <f t="shared" si="41"/>
        <v/>
      </c>
      <c r="M214" s="1686"/>
      <c r="N214" s="1668"/>
    </row>
    <row r="215" spans="1:14" ht="14.5">
      <c r="A215" s="1655">
        <f t="shared" si="42"/>
        <v>0</v>
      </c>
      <c r="B215" s="1409"/>
      <c r="C215" s="1621" t="s">
        <v>4982</v>
      </c>
      <c r="D215" s="1683"/>
      <c r="E215" s="1678">
        <f t="shared" si="43"/>
        <v>0</v>
      </c>
      <c r="F215" s="1687"/>
      <c r="G215" s="1684"/>
      <c r="H215" s="1684"/>
      <c r="I215" s="1684"/>
      <c r="J215" s="1684"/>
      <c r="K215" s="1685" t="str">
        <f t="shared" si="40"/>
        <v/>
      </c>
      <c r="L215" s="1685" t="str">
        <f t="shared" si="41"/>
        <v/>
      </c>
      <c r="M215" s="1686"/>
      <c r="N215" s="1668"/>
    </row>
    <row r="216" spans="1:14" ht="14.5">
      <c r="A216" s="1655">
        <f t="shared" si="42"/>
        <v>0</v>
      </c>
      <c r="B216" s="1409"/>
      <c r="C216" s="1621" t="s">
        <v>4983</v>
      </c>
      <c r="D216" s="1683"/>
      <c r="E216" s="1678">
        <f t="shared" si="43"/>
        <v>0</v>
      </c>
      <c r="F216" s="1687"/>
      <c r="G216" s="1684"/>
      <c r="H216" s="1684"/>
      <c r="I216" s="1684"/>
      <c r="J216" s="1684"/>
      <c r="K216" s="1685" t="str">
        <f t="shared" si="40"/>
        <v/>
      </c>
      <c r="L216" s="1685" t="str">
        <f t="shared" si="41"/>
        <v/>
      </c>
      <c r="M216" s="1686"/>
      <c r="N216" s="1668"/>
    </row>
    <row r="217" spans="1:14" ht="14.5">
      <c r="A217" s="1655">
        <f t="shared" si="42"/>
        <v>0</v>
      </c>
      <c r="B217" s="1409"/>
      <c r="C217" s="1621" t="s">
        <v>4984</v>
      </c>
      <c r="D217" s="1683"/>
      <c r="E217" s="1678">
        <f t="shared" si="43"/>
        <v>0</v>
      </c>
      <c r="F217" s="1687"/>
      <c r="G217" s="1684"/>
      <c r="H217" s="1684"/>
      <c r="I217" s="1684"/>
      <c r="J217" s="1684"/>
      <c r="K217" s="1685" t="str">
        <f t="shared" si="40"/>
        <v/>
      </c>
      <c r="L217" s="1685" t="str">
        <f t="shared" si="41"/>
        <v/>
      </c>
      <c r="M217" s="1686"/>
      <c r="N217" s="1668"/>
    </row>
    <row r="218" spans="1:14" ht="14.5">
      <c r="A218" s="1655">
        <f t="shared" si="42"/>
        <v>0</v>
      </c>
      <c r="B218" s="1409"/>
      <c r="C218" s="1621" t="s">
        <v>4985</v>
      </c>
      <c r="D218" s="1683"/>
      <c r="E218" s="1678">
        <f t="shared" si="43"/>
        <v>0</v>
      </c>
      <c r="F218" s="1687"/>
      <c r="G218" s="1684"/>
      <c r="H218" s="1684"/>
      <c r="I218" s="1684"/>
      <c r="J218" s="1684"/>
      <c r="K218" s="1685" t="str">
        <f t="shared" si="40"/>
        <v/>
      </c>
      <c r="L218" s="1685" t="str">
        <f t="shared" si="41"/>
        <v/>
      </c>
      <c r="M218" s="1686"/>
      <c r="N218" s="1668"/>
    </row>
    <row r="219" spans="1:14" ht="14.5">
      <c r="A219" s="1655">
        <f t="shared" si="42"/>
        <v>0</v>
      </c>
      <c r="B219" s="1688"/>
      <c r="C219" s="1689" t="s">
        <v>4986</v>
      </c>
      <c r="D219" s="1690"/>
      <c r="E219" s="1691">
        <f t="shared" si="43"/>
        <v>0</v>
      </c>
      <c r="F219" s="1692"/>
      <c r="G219" s="1693"/>
      <c r="H219" s="1693"/>
      <c r="I219" s="1693"/>
      <c r="J219" s="1693"/>
      <c r="K219" s="1694" t="str">
        <f t="shared" si="40"/>
        <v/>
      </c>
      <c r="L219" s="1694" t="str">
        <f t="shared" si="41"/>
        <v/>
      </c>
      <c r="M219" s="1695"/>
      <c r="N219" s="1668"/>
    </row>
    <row r="220" spans="1:14" ht="14.5">
      <c r="A220" s="1674">
        <f>A194+1</f>
        <v>9</v>
      </c>
      <c r="B220" s="1675" t="s">
        <v>5050</v>
      </c>
      <c r="C220" s="1676"/>
      <c r="D220" s="1677"/>
      <c r="E220" s="1679">
        <f t="shared" ref="E220:I220" si="44">SUM(E221:E245)</f>
        <v>0</v>
      </c>
      <c r="F220" s="1679">
        <f t="shared" si="44"/>
        <v>0</v>
      </c>
      <c r="G220" s="1679">
        <f t="shared" si="44"/>
        <v>0</v>
      </c>
      <c r="H220" s="1679">
        <f t="shared" si="44"/>
        <v>0</v>
      </c>
      <c r="I220" s="1679">
        <f t="shared" si="44"/>
        <v>0</v>
      </c>
      <c r="J220" s="1679">
        <f>SUM(J221:J245)</f>
        <v>0</v>
      </c>
      <c r="K220" s="1680" t="str">
        <f>IFERROR(E220/$C$6,"")</f>
        <v/>
      </c>
      <c r="L220" s="1680" t="str">
        <f>IFERROR(E220/$C$7,"")</f>
        <v/>
      </c>
      <c r="M220" s="1681">
        <f>SUM(M221:M245)</f>
        <v>0</v>
      </c>
      <c r="N220" s="1668"/>
    </row>
    <row r="221" spans="1:14" ht="14.5">
      <c r="A221" s="1655">
        <f>IF(E221&lt;&gt;0,1,0)</f>
        <v>0</v>
      </c>
      <c r="B221" s="1412"/>
      <c r="C221" s="1621" t="s">
        <v>4962</v>
      </c>
      <c r="D221" s="1683"/>
      <c r="E221" s="1678">
        <f>SUM(F221:J221)</f>
        <v>0</v>
      </c>
      <c r="F221" s="1684"/>
      <c r="G221" s="1684"/>
      <c r="H221" s="1684"/>
      <c r="I221" s="1684"/>
      <c r="J221" s="1684"/>
      <c r="K221" s="1685" t="str">
        <f t="shared" ref="K221:K245" si="45">IFERROR(E221/$C$6,"")</f>
        <v/>
      </c>
      <c r="L221" s="1685" t="str">
        <f t="shared" ref="L221:L245" si="46">IFERROR(E221/$C$7,"")</f>
        <v/>
      </c>
      <c r="M221" s="1686"/>
      <c r="N221" s="1668"/>
    </row>
    <row r="222" spans="1:14" ht="14.5">
      <c r="A222" s="1655">
        <f t="shared" ref="A222:A245" si="47">IF(E222&lt;&gt;0,1,0)</f>
        <v>0</v>
      </c>
      <c r="B222" s="1409"/>
      <c r="C222" s="1621" t="s">
        <v>4963</v>
      </c>
      <c r="D222" s="1683"/>
      <c r="E222" s="1678">
        <f t="shared" ref="E222:E245" si="48">SUM(F222:J222)</f>
        <v>0</v>
      </c>
      <c r="F222" s="1687"/>
      <c r="G222" s="1684"/>
      <c r="H222" s="1684"/>
      <c r="I222" s="1684"/>
      <c r="J222" s="1684"/>
      <c r="K222" s="1685" t="str">
        <f t="shared" si="45"/>
        <v/>
      </c>
      <c r="L222" s="1685" t="str">
        <f t="shared" si="46"/>
        <v/>
      </c>
      <c r="M222" s="1686"/>
      <c r="N222" s="1668"/>
    </row>
    <row r="223" spans="1:14" ht="14.5">
      <c r="A223" s="1655">
        <f t="shared" si="47"/>
        <v>0</v>
      </c>
      <c r="B223" s="1409"/>
      <c r="C223" s="1621" t="s">
        <v>4964</v>
      </c>
      <c r="D223" s="1683"/>
      <c r="E223" s="1678">
        <f t="shared" si="48"/>
        <v>0</v>
      </c>
      <c r="F223" s="1687"/>
      <c r="G223" s="1684"/>
      <c r="H223" s="1684"/>
      <c r="I223" s="1684"/>
      <c r="J223" s="1684"/>
      <c r="K223" s="1685" t="str">
        <f t="shared" si="45"/>
        <v/>
      </c>
      <c r="L223" s="1685" t="str">
        <f t="shared" si="46"/>
        <v/>
      </c>
      <c r="M223" s="1686"/>
      <c r="N223" s="1668"/>
    </row>
    <row r="224" spans="1:14" ht="14.5">
      <c r="A224" s="1655">
        <f t="shared" si="47"/>
        <v>0</v>
      </c>
      <c r="B224" s="1409"/>
      <c r="C224" s="1621" t="s">
        <v>4965</v>
      </c>
      <c r="D224" s="1683"/>
      <c r="E224" s="1678">
        <f t="shared" si="48"/>
        <v>0</v>
      </c>
      <c r="F224" s="1687"/>
      <c r="G224" s="1684"/>
      <c r="H224" s="1684"/>
      <c r="I224" s="1684"/>
      <c r="J224" s="1684"/>
      <c r="K224" s="1685" t="str">
        <f t="shared" si="45"/>
        <v/>
      </c>
      <c r="L224" s="1685" t="str">
        <f t="shared" si="46"/>
        <v/>
      </c>
      <c r="M224" s="1686"/>
      <c r="N224" s="1668"/>
    </row>
    <row r="225" spans="1:14" ht="14.5">
      <c r="A225" s="1655">
        <f t="shared" si="47"/>
        <v>0</v>
      </c>
      <c r="B225" s="1409"/>
      <c r="C225" s="1621" t="s">
        <v>4966</v>
      </c>
      <c r="D225" s="1683"/>
      <c r="E225" s="1678">
        <f t="shared" si="48"/>
        <v>0</v>
      </c>
      <c r="F225" s="1687"/>
      <c r="G225" s="1684"/>
      <c r="H225" s="1684"/>
      <c r="I225" s="1684"/>
      <c r="J225" s="1684"/>
      <c r="K225" s="1685" t="str">
        <f t="shared" si="45"/>
        <v/>
      </c>
      <c r="L225" s="1685" t="str">
        <f t="shared" si="46"/>
        <v/>
      </c>
      <c r="M225" s="1686"/>
      <c r="N225" s="1668"/>
    </row>
    <row r="226" spans="1:14" ht="14.5">
      <c r="A226" s="1655">
        <f t="shared" si="47"/>
        <v>0</v>
      </c>
      <c r="B226" s="1409"/>
      <c r="C226" s="1621" t="s">
        <v>4967</v>
      </c>
      <c r="D226" s="1683"/>
      <c r="E226" s="1678">
        <f t="shared" si="48"/>
        <v>0</v>
      </c>
      <c r="F226" s="1687"/>
      <c r="G226" s="1684"/>
      <c r="H226" s="1684"/>
      <c r="I226" s="1684"/>
      <c r="J226" s="1684"/>
      <c r="K226" s="1685" t="str">
        <f t="shared" si="45"/>
        <v/>
      </c>
      <c r="L226" s="1685" t="str">
        <f t="shared" si="46"/>
        <v/>
      </c>
      <c r="M226" s="1686"/>
      <c r="N226" s="1668"/>
    </row>
    <row r="227" spans="1:14" ht="14.5">
      <c r="A227" s="1655">
        <f t="shared" si="47"/>
        <v>0</v>
      </c>
      <c r="B227" s="1409"/>
      <c r="C227" s="1621" t="s">
        <v>4968</v>
      </c>
      <c r="D227" s="1683"/>
      <c r="E227" s="1678">
        <f t="shared" si="48"/>
        <v>0</v>
      </c>
      <c r="F227" s="1687"/>
      <c r="G227" s="1684"/>
      <c r="H227" s="1684"/>
      <c r="I227" s="1684"/>
      <c r="J227" s="1684"/>
      <c r="K227" s="1685" t="str">
        <f t="shared" si="45"/>
        <v/>
      </c>
      <c r="L227" s="1685" t="str">
        <f t="shared" si="46"/>
        <v/>
      </c>
      <c r="M227" s="1686"/>
      <c r="N227" s="1668"/>
    </row>
    <row r="228" spans="1:14" ht="14.5">
      <c r="A228" s="1655">
        <f t="shared" si="47"/>
        <v>0</v>
      </c>
      <c r="B228" s="1409"/>
      <c r="C228" s="1621" t="s">
        <v>4969</v>
      </c>
      <c r="D228" s="1683"/>
      <c r="E228" s="1678">
        <f t="shared" si="48"/>
        <v>0</v>
      </c>
      <c r="F228" s="1687"/>
      <c r="G228" s="1684"/>
      <c r="H228" s="1684"/>
      <c r="I228" s="1684"/>
      <c r="J228" s="1684"/>
      <c r="K228" s="1685" t="str">
        <f t="shared" si="45"/>
        <v/>
      </c>
      <c r="L228" s="1685" t="str">
        <f t="shared" si="46"/>
        <v/>
      </c>
      <c r="M228" s="1686"/>
      <c r="N228" s="1668"/>
    </row>
    <row r="229" spans="1:14" ht="14.5">
      <c r="A229" s="1655">
        <f t="shared" si="47"/>
        <v>0</v>
      </c>
      <c r="B229" s="1409"/>
      <c r="C229" s="1621" t="s">
        <v>4970</v>
      </c>
      <c r="D229" s="1683"/>
      <c r="E229" s="1678">
        <f t="shared" si="48"/>
        <v>0</v>
      </c>
      <c r="F229" s="1687"/>
      <c r="G229" s="1684"/>
      <c r="H229" s="1684"/>
      <c r="I229" s="1684"/>
      <c r="J229" s="1684"/>
      <c r="K229" s="1685" t="str">
        <f t="shared" si="45"/>
        <v/>
      </c>
      <c r="L229" s="1685" t="str">
        <f t="shared" si="46"/>
        <v/>
      </c>
      <c r="M229" s="1686"/>
      <c r="N229" s="1668"/>
    </row>
    <row r="230" spans="1:14" ht="14.5">
      <c r="A230" s="1655">
        <f t="shared" si="47"/>
        <v>0</v>
      </c>
      <c r="B230" s="1409"/>
      <c r="C230" s="1621" t="s">
        <v>4971</v>
      </c>
      <c r="D230" s="1683"/>
      <c r="E230" s="1678">
        <f t="shared" si="48"/>
        <v>0</v>
      </c>
      <c r="F230" s="1687"/>
      <c r="G230" s="1684"/>
      <c r="H230" s="1684"/>
      <c r="I230" s="1684"/>
      <c r="J230" s="1684"/>
      <c r="K230" s="1685" t="str">
        <f t="shared" si="45"/>
        <v/>
      </c>
      <c r="L230" s="1685" t="str">
        <f t="shared" si="46"/>
        <v/>
      </c>
      <c r="M230" s="1686"/>
      <c r="N230" s="1668"/>
    </row>
    <row r="231" spans="1:14" ht="14.5">
      <c r="A231" s="1655">
        <f t="shared" si="47"/>
        <v>0</v>
      </c>
      <c r="B231" s="1409"/>
      <c r="C231" s="1621" t="s">
        <v>4972</v>
      </c>
      <c r="D231" s="1683"/>
      <c r="E231" s="1678">
        <f t="shared" si="48"/>
        <v>0</v>
      </c>
      <c r="F231" s="1687"/>
      <c r="G231" s="1684"/>
      <c r="H231" s="1684"/>
      <c r="I231" s="1684"/>
      <c r="J231" s="1684"/>
      <c r="K231" s="1685" t="str">
        <f t="shared" si="45"/>
        <v/>
      </c>
      <c r="L231" s="1685" t="str">
        <f t="shared" si="46"/>
        <v/>
      </c>
      <c r="M231" s="1686"/>
      <c r="N231" s="1668"/>
    </row>
    <row r="232" spans="1:14" ht="14.5">
      <c r="A232" s="1655">
        <f t="shared" si="47"/>
        <v>0</v>
      </c>
      <c r="B232" s="1412"/>
      <c r="C232" s="1621" t="s">
        <v>4973</v>
      </c>
      <c r="D232" s="1683"/>
      <c r="E232" s="1678">
        <f t="shared" si="48"/>
        <v>0</v>
      </c>
      <c r="F232" s="1687"/>
      <c r="G232" s="1684"/>
      <c r="H232" s="1684"/>
      <c r="I232" s="1684"/>
      <c r="J232" s="1684"/>
      <c r="K232" s="1685" t="str">
        <f t="shared" si="45"/>
        <v/>
      </c>
      <c r="L232" s="1685" t="str">
        <f t="shared" si="46"/>
        <v/>
      </c>
      <c r="M232" s="1686"/>
      <c r="N232" s="1668"/>
    </row>
    <row r="233" spans="1:14" ht="14.5">
      <c r="A233" s="1655">
        <f t="shared" si="47"/>
        <v>0</v>
      </c>
      <c r="B233" s="1412"/>
      <c r="C233" s="1621" t="s">
        <v>4974</v>
      </c>
      <c r="D233" s="1683"/>
      <c r="E233" s="1678">
        <f t="shared" si="48"/>
        <v>0</v>
      </c>
      <c r="F233" s="1687"/>
      <c r="G233" s="1684"/>
      <c r="H233" s="1684"/>
      <c r="I233" s="1684"/>
      <c r="J233" s="1684"/>
      <c r="K233" s="1685" t="str">
        <f t="shared" si="45"/>
        <v/>
      </c>
      <c r="L233" s="1685" t="str">
        <f t="shared" si="46"/>
        <v/>
      </c>
      <c r="M233" s="1686"/>
      <c r="N233" s="1668"/>
    </row>
    <row r="234" spans="1:14" ht="14.5">
      <c r="A234" s="1655">
        <f t="shared" si="47"/>
        <v>0</v>
      </c>
      <c r="B234" s="1409"/>
      <c r="C234" s="1621" t="s">
        <v>4975</v>
      </c>
      <c r="D234" s="1683"/>
      <c r="E234" s="1678">
        <f t="shared" si="48"/>
        <v>0</v>
      </c>
      <c r="F234" s="1687"/>
      <c r="G234" s="1684"/>
      <c r="H234" s="1684"/>
      <c r="I234" s="1684"/>
      <c r="J234" s="1684"/>
      <c r="K234" s="1685" t="str">
        <f t="shared" si="45"/>
        <v/>
      </c>
      <c r="L234" s="1685" t="str">
        <f t="shared" si="46"/>
        <v/>
      </c>
      <c r="M234" s="1686"/>
      <c r="N234" s="1668"/>
    </row>
    <row r="235" spans="1:14" ht="14.5">
      <c r="A235" s="1655">
        <f t="shared" si="47"/>
        <v>0</v>
      </c>
      <c r="B235" s="1409"/>
      <c r="C235" s="1621" t="s">
        <v>4976</v>
      </c>
      <c r="D235" s="1683"/>
      <c r="E235" s="1678">
        <f t="shared" si="48"/>
        <v>0</v>
      </c>
      <c r="F235" s="1687"/>
      <c r="G235" s="1684"/>
      <c r="H235" s="1684"/>
      <c r="I235" s="1684"/>
      <c r="J235" s="1684"/>
      <c r="K235" s="1685" t="str">
        <f t="shared" si="45"/>
        <v/>
      </c>
      <c r="L235" s="1685" t="str">
        <f t="shared" si="46"/>
        <v/>
      </c>
      <c r="M235" s="1686"/>
      <c r="N235" s="1668"/>
    </row>
    <row r="236" spans="1:14" ht="14.5">
      <c r="A236" s="1655">
        <f t="shared" si="47"/>
        <v>0</v>
      </c>
      <c r="B236" s="1409"/>
      <c r="C236" s="1621" t="s">
        <v>4977</v>
      </c>
      <c r="D236" s="1683"/>
      <c r="E236" s="1678">
        <f t="shared" si="48"/>
        <v>0</v>
      </c>
      <c r="F236" s="1687"/>
      <c r="G236" s="1684"/>
      <c r="H236" s="1684"/>
      <c r="I236" s="1684"/>
      <c r="J236" s="1684"/>
      <c r="K236" s="1685" t="str">
        <f t="shared" si="45"/>
        <v/>
      </c>
      <c r="L236" s="1685" t="str">
        <f t="shared" si="46"/>
        <v/>
      </c>
      <c r="M236" s="1686"/>
      <c r="N236" s="1668"/>
    </row>
    <row r="237" spans="1:14" ht="14.5">
      <c r="A237" s="1655">
        <f t="shared" si="47"/>
        <v>0</v>
      </c>
      <c r="B237" s="1409"/>
      <c r="C237" s="1621" t="s">
        <v>4978</v>
      </c>
      <c r="D237" s="1683"/>
      <c r="E237" s="1678">
        <f t="shared" si="48"/>
        <v>0</v>
      </c>
      <c r="F237" s="1687"/>
      <c r="G237" s="1684"/>
      <c r="H237" s="1684"/>
      <c r="I237" s="1684"/>
      <c r="J237" s="1684"/>
      <c r="K237" s="1685" t="str">
        <f t="shared" si="45"/>
        <v/>
      </c>
      <c r="L237" s="1685" t="str">
        <f t="shared" si="46"/>
        <v/>
      </c>
      <c r="M237" s="1686"/>
      <c r="N237" s="1668"/>
    </row>
    <row r="238" spans="1:14" ht="14.5">
      <c r="A238" s="1655">
        <f t="shared" si="47"/>
        <v>0</v>
      </c>
      <c r="B238" s="1409"/>
      <c r="C238" s="1621" t="s">
        <v>4979</v>
      </c>
      <c r="D238" s="1683"/>
      <c r="E238" s="1678">
        <f t="shared" si="48"/>
        <v>0</v>
      </c>
      <c r="F238" s="1687"/>
      <c r="G238" s="1684"/>
      <c r="H238" s="1684"/>
      <c r="I238" s="1684"/>
      <c r="J238" s="1684"/>
      <c r="K238" s="1685" t="str">
        <f t="shared" si="45"/>
        <v/>
      </c>
      <c r="L238" s="1685" t="str">
        <f t="shared" si="46"/>
        <v/>
      </c>
      <c r="M238" s="1686"/>
      <c r="N238" s="1668"/>
    </row>
    <row r="239" spans="1:14" ht="14.5">
      <c r="A239" s="1655">
        <f t="shared" si="47"/>
        <v>0</v>
      </c>
      <c r="B239" s="1409"/>
      <c r="C239" s="1621" t="s">
        <v>4980</v>
      </c>
      <c r="D239" s="1683"/>
      <c r="E239" s="1678">
        <f t="shared" si="48"/>
        <v>0</v>
      </c>
      <c r="F239" s="1687"/>
      <c r="G239" s="1684"/>
      <c r="H239" s="1684"/>
      <c r="I239" s="1684"/>
      <c r="J239" s="1684"/>
      <c r="K239" s="1685" t="str">
        <f t="shared" si="45"/>
        <v/>
      </c>
      <c r="L239" s="1685" t="str">
        <f t="shared" si="46"/>
        <v/>
      </c>
      <c r="M239" s="1686"/>
      <c r="N239" s="1668"/>
    </row>
    <row r="240" spans="1:14" ht="14.5">
      <c r="A240" s="1655">
        <f t="shared" si="47"/>
        <v>0</v>
      </c>
      <c r="B240" s="1409"/>
      <c r="C240" s="1621" t="s">
        <v>4981</v>
      </c>
      <c r="D240" s="1683"/>
      <c r="E240" s="1678">
        <f t="shared" si="48"/>
        <v>0</v>
      </c>
      <c r="F240" s="1687"/>
      <c r="G240" s="1684"/>
      <c r="H240" s="1684"/>
      <c r="I240" s="1684"/>
      <c r="J240" s="1684"/>
      <c r="K240" s="1685" t="str">
        <f t="shared" si="45"/>
        <v/>
      </c>
      <c r="L240" s="1685" t="str">
        <f t="shared" si="46"/>
        <v/>
      </c>
      <c r="M240" s="1686"/>
      <c r="N240" s="1668"/>
    </row>
    <row r="241" spans="1:14" ht="14.5">
      <c r="A241" s="1655">
        <f t="shared" si="47"/>
        <v>0</v>
      </c>
      <c r="B241" s="1409"/>
      <c r="C241" s="1621" t="s">
        <v>4982</v>
      </c>
      <c r="D241" s="1683"/>
      <c r="E241" s="1678">
        <f t="shared" si="48"/>
        <v>0</v>
      </c>
      <c r="F241" s="1687"/>
      <c r="G241" s="1684"/>
      <c r="H241" s="1684"/>
      <c r="I241" s="1684"/>
      <c r="J241" s="1684"/>
      <c r="K241" s="1685" t="str">
        <f t="shared" si="45"/>
        <v/>
      </c>
      <c r="L241" s="1685" t="str">
        <f t="shared" si="46"/>
        <v/>
      </c>
      <c r="M241" s="1686"/>
      <c r="N241" s="1668"/>
    </row>
    <row r="242" spans="1:14" ht="14.5">
      <c r="A242" s="1655">
        <f t="shared" si="47"/>
        <v>0</v>
      </c>
      <c r="B242" s="1409"/>
      <c r="C242" s="1621" t="s">
        <v>4983</v>
      </c>
      <c r="D242" s="1683"/>
      <c r="E242" s="1678">
        <f t="shared" si="48"/>
        <v>0</v>
      </c>
      <c r="F242" s="1687"/>
      <c r="G242" s="1684"/>
      <c r="H242" s="1684"/>
      <c r="I242" s="1684"/>
      <c r="J242" s="1684"/>
      <c r="K242" s="1685" t="str">
        <f t="shared" si="45"/>
        <v/>
      </c>
      <c r="L242" s="1685" t="str">
        <f t="shared" si="46"/>
        <v/>
      </c>
      <c r="M242" s="1686"/>
      <c r="N242" s="1668"/>
    </row>
    <row r="243" spans="1:14" ht="14.5">
      <c r="A243" s="1655">
        <f t="shared" si="47"/>
        <v>0</v>
      </c>
      <c r="B243" s="1409"/>
      <c r="C243" s="1621" t="s">
        <v>4984</v>
      </c>
      <c r="D243" s="1683"/>
      <c r="E243" s="1678">
        <f t="shared" si="48"/>
        <v>0</v>
      </c>
      <c r="F243" s="1687"/>
      <c r="G243" s="1684"/>
      <c r="H243" s="1684"/>
      <c r="I243" s="1684"/>
      <c r="J243" s="1684"/>
      <c r="K243" s="1685" t="str">
        <f t="shared" si="45"/>
        <v/>
      </c>
      <c r="L243" s="1685" t="str">
        <f t="shared" si="46"/>
        <v/>
      </c>
      <c r="M243" s="1686"/>
      <c r="N243" s="1668"/>
    </row>
    <row r="244" spans="1:14" ht="14.5">
      <c r="A244" s="1655">
        <f t="shared" si="47"/>
        <v>0</v>
      </c>
      <c r="B244" s="1409"/>
      <c r="C244" s="1621" t="s">
        <v>4985</v>
      </c>
      <c r="D244" s="1683"/>
      <c r="E244" s="1678">
        <f t="shared" si="48"/>
        <v>0</v>
      </c>
      <c r="F244" s="1687"/>
      <c r="G244" s="1684"/>
      <c r="H244" s="1684"/>
      <c r="I244" s="1684"/>
      <c r="J244" s="1684"/>
      <c r="K244" s="1685" t="str">
        <f t="shared" si="45"/>
        <v/>
      </c>
      <c r="L244" s="1685" t="str">
        <f t="shared" si="46"/>
        <v/>
      </c>
      <c r="M244" s="1686"/>
      <c r="N244" s="1668"/>
    </row>
    <row r="245" spans="1:14" ht="14.5">
      <c r="A245" s="1655">
        <f t="shared" si="47"/>
        <v>0</v>
      </c>
      <c r="B245" s="1688"/>
      <c r="C245" s="1689" t="s">
        <v>4986</v>
      </c>
      <c r="D245" s="1690"/>
      <c r="E245" s="1691">
        <f t="shared" si="48"/>
        <v>0</v>
      </c>
      <c r="F245" s="1692"/>
      <c r="G245" s="1693"/>
      <c r="H245" s="1693"/>
      <c r="I245" s="1693"/>
      <c r="J245" s="1693"/>
      <c r="K245" s="1694" t="str">
        <f t="shared" si="45"/>
        <v/>
      </c>
      <c r="L245" s="1694" t="str">
        <f t="shared" si="46"/>
        <v/>
      </c>
      <c r="M245" s="1695"/>
      <c r="N245" s="1668"/>
    </row>
    <row r="246" spans="1:14" ht="14.5">
      <c r="A246" s="1674">
        <f>A220+1</f>
        <v>10</v>
      </c>
      <c r="B246" s="1675" t="s">
        <v>5050</v>
      </c>
      <c r="C246" s="1676"/>
      <c r="D246" s="1677"/>
      <c r="E246" s="1679">
        <f t="shared" ref="E246:I246" si="49">SUM(E247:E271)</f>
        <v>0</v>
      </c>
      <c r="F246" s="1679">
        <f t="shared" si="49"/>
        <v>0</v>
      </c>
      <c r="G246" s="1679">
        <f t="shared" si="49"/>
        <v>0</v>
      </c>
      <c r="H246" s="1679">
        <f t="shared" si="49"/>
        <v>0</v>
      </c>
      <c r="I246" s="1679">
        <f t="shared" si="49"/>
        <v>0</v>
      </c>
      <c r="J246" s="1679">
        <f>SUM(J247:J271)</f>
        <v>0</v>
      </c>
      <c r="K246" s="1680" t="str">
        <f>IFERROR(E246/$C$6,"")</f>
        <v/>
      </c>
      <c r="L246" s="1680" t="str">
        <f>IFERROR(E246/$C$7,"")</f>
        <v/>
      </c>
      <c r="M246" s="1681">
        <f>SUM(M247:M271)</f>
        <v>0</v>
      </c>
      <c r="N246" s="1668"/>
    </row>
    <row r="247" spans="1:14" ht="14.5">
      <c r="A247" s="1655">
        <f>IF(E247&lt;&gt;0,1,0)</f>
        <v>0</v>
      </c>
      <c r="B247" s="1412"/>
      <c r="C247" s="1621" t="s">
        <v>4962</v>
      </c>
      <c r="D247" s="1683"/>
      <c r="E247" s="1678">
        <f>SUM(F247:J247)</f>
        <v>0</v>
      </c>
      <c r="F247" s="1684"/>
      <c r="G247" s="1684"/>
      <c r="H247" s="1684"/>
      <c r="I247" s="1684"/>
      <c r="J247" s="1684"/>
      <c r="K247" s="1685" t="str">
        <f t="shared" ref="K247:K271" si="50">IFERROR(E247/$C$6,"")</f>
        <v/>
      </c>
      <c r="L247" s="1685" t="str">
        <f t="shared" ref="L247:L271" si="51">IFERROR(E247/$C$7,"")</f>
        <v/>
      </c>
      <c r="M247" s="1686"/>
      <c r="N247" s="1668"/>
    </row>
    <row r="248" spans="1:14" ht="14.5">
      <c r="A248" s="1655">
        <f t="shared" ref="A248:A271" si="52">IF(E248&lt;&gt;0,1,0)</f>
        <v>0</v>
      </c>
      <c r="B248" s="1409"/>
      <c r="C248" s="1621" t="s">
        <v>4963</v>
      </c>
      <c r="D248" s="1683"/>
      <c r="E248" s="1678">
        <f t="shared" ref="E248:E271" si="53">SUM(F248:J248)</f>
        <v>0</v>
      </c>
      <c r="F248" s="1687"/>
      <c r="G248" s="1684"/>
      <c r="H248" s="1684"/>
      <c r="I248" s="1684"/>
      <c r="J248" s="1684"/>
      <c r="K248" s="1685" t="str">
        <f t="shared" si="50"/>
        <v/>
      </c>
      <c r="L248" s="1685" t="str">
        <f t="shared" si="51"/>
        <v/>
      </c>
      <c r="M248" s="1686"/>
      <c r="N248" s="1668"/>
    </row>
    <row r="249" spans="1:14" ht="14.5">
      <c r="A249" s="1655">
        <f t="shared" si="52"/>
        <v>0</v>
      </c>
      <c r="B249" s="1409"/>
      <c r="C249" s="1621" t="s">
        <v>4964</v>
      </c>
      <c r="D249" s="1683"/>
      <c r="E249" s="1678">
        <f t="shared" si="53"/>
        <v>0</v>
      </c>
      <c r="F249" s="1687"/>
      <c r="G249" s="1684"/>
      <c r="H249" s="1684"/>
      <c r="I249" s="1684"/>
      <c r="J249" s="1684"/>
      <c r="K249" s="1685" t="str">
        <f t="shared" si="50"/>
        <v/>
      </c>
      <c r="L249" s="1685" t="str">
        <f t="shared" si="51"/>
        <v/>
      </c>
      <c r="M249" s="1686"/>
      <c r="N249" s="1668"/>
    </row>
    <row r="250" spans="1:14" ht="14.5">
      <c r="A250" s="1655">
        <f t="shared" si="52"/>
        <v>0</v>
      </c>
      <c r="B250" s="1409"/>
      <c r="C250" s="1621" t="s">
        <v>4965</v>
      </c>
      <c r="D250" s="1683"/>
      <c r="E250" s="1678">
        <f t="shared" si="53"/>
        <v>0</v>
      </c>
      <c r="F250" s="1687"/>
      <c r="G250" s="1684"/>
      <c r="H250" s="1684"/>
      <c r="I250" s="1684"/>
      <c r="J250" s="1684"/>
      <c r="K250" s="1685" t="str">
        <f t="shared" si="50"/>
        <v/>
      </c>
      <c r="L250" s="1685" t="str">
        <f t="shared" si="51"/>
        <v/>
      </c>
      <c r="M250" s="1686"/>
      <c r="N250" s="1668"/>
    </row>
    <row r="251" spans="1:14" ht="14.5">
      <c r="A251" s="1655">
        <f t="shared" si="52"/>
        <v>0</v>
      </c>
      <c r="B251" s="1409"/>
      <c r="C251" s="1621" t="s">
        <v>4966</v>
      </c>
      <c r="D251" s="1683"/>
      <c r="E251" s="1678">
        <f t="shared" si="53"/>
        <v>0</v>
      </c>
      <c r="F251" s="1687"/>
      <c r="G251" s="1684"/>
      <c r="H251" s="1684"/>
      <c r="I251" s="1684"/>
      <c r="J251" s="1684"/>
      <c r="K251" s="1685" t="str">
        <f t="shared" si="50"/>
        <v/>
      </c>
      <c r="L251" s="1685" t="str">
        <f t="shared" si="51"/>
        <v/>
      </c>
      <c r="M251" s="1686"/>
      <c r="N251" s="1668"/>
    </row>
    <row r="252" spans="1:14" ht="14.5">
      <c r="A252" s="1655">
        <f t="shared" si="52"/>
        <v>0</v>
      </c>
      <c r="B252" s="1409"/>
      <c r="C252" s="1621" t="s">
        <v>4967</v>
      </c>
      <c r="D252" s="1683"/>
      <c r="E252" s="1678">
        <f t="shared" si="53"/>
        <v>0</v>
      </c>
      <c r="F252" s="1687"/>
      <c r="G252" s="1684"/>
      <c r="H252" s="1684"/>
      <c r="I252" s="1684"/>
      <c r="J252" s="1684"/>
      <c r="K252" s="1685" t="str">
        <f t="shared" si="50"/>
        <v/>
      </c>
      <c r="L252" s="1685" t="str">
        <f t="shared" si="51"/>
        <v/>
      </c>
      <c r="M252" s="1686"/>
      <c r="N252" s="1668"/>
    </row>
    <row r="253" spans="1:14" ht="14.5">
      <c r="A253" s="1655">
        <f t="shared" si="52"/>
        <v>0</v>
      </c>
      <c r="B253" s="1409"/>
      <c r="C253" s="1621" t="s">
        <v>4968</v>
      </c>
      <c r="D253" s="1683"/>
      <c r="E253" s="1678">
        <f t="shared" si="53"/>
        <v>0</v>
      </c>
      <c r="F253" s="1687"/>
      <c r="G253" s="1684"/>
      <c r="H253" s="1684"/>
      <c r="I253" s="1684"/>
      <c r="J253" s="1684"/>
      <c r="K253" s="1685" t="str">
        <f t="shared" si="50"/>
        <v/>
      </c>
      <c r="L253" s="1685" t="str">
        <f t="shared" si="51"/>
        <v/>
      </c>
      <c r="M253" s="1686"/>
      <c r="N253" s="1668"/>
    </row>
    <row r="254" spans="1:14" ht="14.5">
      <c r="A254" s="1655">
        <f t="shared" si="52"/>
        <v>0</v>
      </c>
      <c r="B254" s="1409"/>
      <c r="C254" s="1621" t="s">
        <v>4969</v>
      </c>
      <c r="D254" s="1683"/>
      <c r="E254" s="1678">
        <f t="shared" si="53"/>
        <v>0</v>
      </c>
      <c r="F254" s="1687"/>
      <c r="G254" s="1684"/>
      <c r="H254" s="1684"/>
      <c r="I254" s="1684"/>
      <c r="J254" s="1684"/>
      <c r="K254" s="1685" t="str">
        <f t="shared" si="50"/>
        <v/>
      </c>
      <c r="L254" s="1685" t="str">
        <f t="shared" si="51"/>
        <v/>
      </c>
      <c r="M254" s="1686"/>
      <c r="N254" s="1668"/>
    </row>
    <row r="255" spans="1:14" ht="14.5">
      <c r="A255" s="1655">
        <f t="shared" si="52"/>
        <v>0</v>
      </c>
      <c r="B255" s="1409"/>
      <c r="C255" s="1621" t="s">
        <v>4970</v>
      </c>
      <c r="D255" s="1683"/>
      <c r="E255" s="1678">
        <f t="shared" si="53"/>
        <v>0</v>
      </c>
      <c r="F255" s="1687"/>
      <c r="G255" s="1684"/>
      <c r="H255" s="1684"/>
      <c r="I255" s="1684"/>
      <c r="J255" s="1684"/>
      <c r="K255" s="1685" t="str">
        <f t="shared" si="50"/>
        <v/>
      </c>
      <c r="L255" s="1685" t="str">
        <f t="shared" si="51"/>
        <v/>
      </c>
      <c r="M255" s="1686"/>
      <c r="N255" s="1668"/>
    </row>
    <row r="256" spans="1:14" ht="14.5">
      <c r="A256" s="1655">
        <f t="shared" si="52"/>
        <v>0</v>
      </c>
      <c r="B256" s="1409"/>
      <c r="C256" s="1621" t="s">
        <v>4971</v>
      </c>
      <c r="D256" s="1683"/>
      <c r="E256" s="1678">
        <f t="shared" si="53"/>
        <v>0</v>
      </c>
      <c r="F256" s="1687"/>
      <c r="G256" s="1684"/>
      <c r="H256" s="1684"/>
      <c r="I256" s="1684"/>
      <c r="J256" s="1684"/>
      <c r="K256" s="1685" t="str">
        <f t="shared" si="50"/>
        <v/>
      </c>
      <c r="L256" s="1685" t="str">
        <f t="shared" si="51"/>
        <v/>
      </c>
      <c r="M256" s="1686"/>
      <c r="N256" s="1668"/>
    </row>
    <row r="257" spans="1:14" ht="14.5">
      <c r="A257" s="1655">
        <f t="shared" si="52"/>
        <v>0</v>
      </c>
      <c r="B257" s="1409"/>
      <c r="C257" s="1621" t="s">
        <v>4972</v>
      </c>
      <c r="D257" s="1683"/>
      <c r="E257" s="1678">
        <f t="shared" si="53"/>
        <v>0</v>
      </c>
      <c r="F257" s="1687"/>
      <c r="G257" s="1684"/>
      <c r="H257" s="1684"/>
      <c r="I257" s="1684"/>
      <c r="J257" s="1684"/>
      <c r="K257" s="1685" t="str">
        <f t="shared" si="50"/>
        <v/>
      </c>
      <c r="L257" s="1685" t="str">
        <f t="shared" si="51"/>
        <v/>
      </c>
      <c r="M257" s="1686"/>
      <c r="N257" s="1668"/>
    </row>
    <row r="258" spans="1:14" ht="14.5">
      <c r="A258" s="1655">
        <f t="shared" si="52"/>
        <v>0</v>
      </c>
      <c r="B258" s="1412"/>
      <c r="C258" s="1621" t="s">
        <v>4973</v>
      </c>
      <c r="D258" s="1683"/>
      <c r="E258" s="1678">
        <f t="shared" si="53"/>
        <v>0</v>
      </c>
      <c r="F258" s="1687"/>
      <c r="G258" s="1684"/>
      <c r="H258" s="1684"/>
      <c r="I258" s="1684"/>
      <c r="J258" s="1684"/>
      <c r="K258" s="1685" t="str">
        <f t="shared" si="50"/>
        <v/>
      </c>
      <c r="L258" s="1685" t="str">
        <f t="shared" si="51"/>
        <v/>
      </c>
      <c r="M258" s="1686"/>
      <c r="N258" s="1668"/>
    </row>
    <row r="259" spans="1:14" ht="14.5">
      <c r="A259" s="1655">
        <f t="shared" si="52"/>
        <v>0</v>
      </c>
      <c r="B259" s="1412"/>
      <c r="C259" s="1621" t="s">
        <v>4974</v>
      </c>
      <c r="D259" s="1683"/>
      <c r="E259" s="1678">
        <f t="shared" si="53"/>
        <v>0</v>
      </c>
      <c r="F259" s="1687"/>
      <c r="G259" s="1684"/>
      <c r="H259" s="1684"/>
      <c r="I259" s="1684"/>
      <c r="J259" s="1684"/>
      <c r="K259" s="1685" t="str">
        <f t="shared" si="50"/>
        <v/>
      </c>
      <c r="L259" s="1685" t="str">
        <f t="shared" si="51"/>
        <v/>
      </c>
      <c r="M259" s="1686"/>
      <c r="N259" s="1668"/>
    </row>
    <row r="260" spans="1:14" ht="14.5">
      <c r="A260" s="1655">
        <f t="shared" si="52"/>
        <v>0</v>
      </c>
      <c r="B260" s="1409"/>
      <c r="C260" s="1621" t="s">
        <v>4975</v>
      </c>
      <c r="D260" s="1683"/>
      <c r="E260" s="1678">
        <f t="shared" si="53"/>
        <v>0</v>
      </c>
      <c r="F260" s="1687"/>
      <c r="G260" s="1684"/>
      <c r="H260" s="1684"/>
      <c r="I260" s="1684"/>
      <c r="J260" s="1684"/>
      <c r="K260" s="1685" t="str">
        <f t="shared" si="50"/>
        <v/>
      </c>
      <c r="L260" s="1685" t="str">
        <f t="shared" si="51"/>
        <v/>
      </c>
      <c r="M260" s="1686"/>
      <c r="N260" s="1668"/>
    </row>
    <row r="261" spans="1:14" ht="14.5">
      <c r="A261" s="1655">
        <f t="shared" si="52"/>
        <v>0</v>
      </c>
      <c r="B261" s="1409"/>
      <c r="C261" s="1621" t="s">
        <v>4976</v>
      </c>
      <c r="D261" s="1683"/>
      <c r="E261" s="1678">
        <f t="shared" si="53"/>
        <v>0</v>
      </c>
      <c r="F261" s="1687"/>
      <c r="G261" s="1684"/>
      <c r="H261" s="1684"/>
      <c r="I261" s="1684"/>
      <c r="J261" s="1684"/>
      <c r="K261" s="1685" t="str">
        <f t="shared" si="50"/>
        <v/>
      </c>
      <c r="L261" s="1685" t="str">
        <f t="shared" si="51"/>
        <v/>
      </c>
      <c r="M261" s="1686"/>
      <c r="N261" s="1668"/>
    </row>
    <row r="262" spans="1:14" ht="14.5">
      <c r="A262" s="1655">
        <f t="shared" si="52"/>
        <v>0</v>
      </c>
      <c r="B262" s="1409"/>
      <c r="C262" s="1621" t="s">
        <v>4977</v>
      </c>
      <c r="D262" s="1683"/>
      <c r="E262" s="1678">
        <f t="shared" si="53"/>
        <v>0</v>
      </c>
      <c r="F262" s="1687"/>
      <c r="G262" s="1684"/>
      <c r="H262" s="1684"/>
      <c r="I262" s="1684"/>
      <c r="J262" s="1684"/>
      <c r="K262" s="1685" t="str">
        <f t="shared" si="50"/>
        <v/>
      </c>
      <c r="L262" s="1685" t="str">
        <f t="shared" si="51"/>
        <v/>
      </c>
      <c r="M262" s="1686"/>
      <c r="N262" s="1668"/>
    </row>
    <row r="263" spans="1:14" ht="14.5">
      <c r="A263" s="1655">
        <f t="shared" si="52"/>
        <v>0</v>
      </c>
      <c r="B263" s="1409"/>
      <c r="C263" s="1621" t="s">
        <v>4978</v>
      </c>
      <c r="D263" s="1683"/>
      <c r="E263" s="1678">
        <f t="shared" si="53"/>
        <v>0</v>
      </c>
      <c r="F263" s="1687"/>
      <c r="G263" s="1684"/>
      <c r="H263" s="1684"/>
      <c r="I263" s="1684"/>
      <c r="J263" s="1684"/>
      <c r="K263" s="1685" t="str">
        <f t="shared" si="50"/>
        <v/>
      </c>
      <c r="L263" s="1685" t="str">
        <f t="shared" si="51"/>
        <v/>
      </c>
      <c r="M263" s="1686"/>
      <c r="N263" s="1668"/>
    </row>
    <row r="264" spans="1:14" ht="14.5">
      <c r="A264" s="1655">
        <f t="shared" si="52"/>
        <v>0</v>
      </c>
      <c r="B264" s="1409"/>
      <c r="C264" s="1621" t="s">
        <v>4979</v>
      </c>
      <c r="D264" s="1683"/>
      <c r="E264" s="1678">
        <f t="shared" si="53"/>
        <v>0</v>
      </c>
      <c r="F264" s="1687"/>
      <c r="G264" s="1684"/>
      <c r="H264" s="1684"/>
      <c r="I264" s="1684"/>
      <c r="J264" s="1684"/>
      <c r="K264" s="1685" t="str">
        <f t="shared" si="50"/>
        <v/>
      </c>
      <c r="L264" s="1685" t="str">
        <f t="shared" si="51"/>
        <v/>
      </c>
      <c r="M264" s="1686"/>
      <c r="N264" s="1668"/>
    </row>
    <row r="265" spans="1:14" ht="14.5">
      <c r="A265" s="1655">
        <f t="shared" si="52"/>
        <v>0</v>
      </c>
      <c r="B265" s="1409"/>
      <c r="C265" s="1621" t="s">
        <v>4980</v>
      </c>
      <c r="D265" s="1683"/>
      <c r="E265" s="1678">
        <f t="shared" si="53"/>
        <v>0</v>
      </c>
      <c r="F265" s="1687"/>
      <c r="G265" s="1684"/>
      <c r="H265" s="1684"/>
      <c r="I265" s="1684"/>
      <c r="J265" s="1684"/>
      <c r="K265" s="1685" t="str">
        <f t="shared" si="50"/>
        <v/>
      </c>
      <c r="L265" s="1685" t="str">
        <f t="shared" si="51"/>
        <v/>
      </c>
      <c r="M265" s="1686"/>
      <c r="N265" s="1668"/>
    </row>
    <row r="266" spans="1:14" ht="14.5">
      <c r="A266" s="1655">
        <f t="shared" si="52"/>
        <v>0</v>
      </c>
      <c r="B266" s="1409"/>
      <c r="C266" s="1621" t="s">
        <v>4981</v>
      </c>
      <c r="D266" s="1683"/>
      <c r="E266" s="1678">
        <f t="shared" si="53"/>
        <v>0</v>
      </c>
      <c r="F266" s="1687"/>
      <c r="G266" s="1684"/>
      <c r="H266" s="1684"/>
      <c r="I266" s="1684"/>
      <c r="J266" s="1684"/>
      <c r="K266" s="1685" t="str">
        <f t="shared" si="50"/>
        <v/>
      </c>
      <c r="L266" s="1685" t="str">
        <f t="shared" si="51"/>
        <v/>
      </c>
      <c r="M266" s="1686"/>
      <c r="N266" s="1668"/>
    </row>
    <row r="267" spans="1:14" ht="14.5">
      <c r="A267" s="1655">
        <f t="shared" si="52"/>
        <v>0</v>
      </c>
      <c r="B267" s="1409"/>
      <c r="C267" s="1621" t="s">
        <v>4982</v>
      </c>
      <c r="D267" s="1683"/>
      <c r="E267" s="1678">
        <f t="shared" si="53"/>
        <v>0</v>
      </c>
      <c r="F267" s="1687"/>
      <c r="G267" s="1684"/>
      <c r="H267" s="1684"/>
      <c r="I267" s="1684"/>
      <c r="J267" s="1684"/>
      <c r="K267" s="1685" t="str">
        <f t="shared" si="50"/>
        <v/>
      </c>
      <c r="L267" s="1685" t="str">
        <f t="shared" si="51"/>
        <v/>
      </c>
      <c r="M267" s="1686"/>
      <c r="N267" s="1668"/>
    </row>
    <row r="268" spans="1:14" ht="14.5">
      <c r="A268" s="1655">
        <f t="shared" si="52"/>
        <v>0</v>
      </c>
      <c r="B268" s="1409"/>
      <c r="C268" s="1621" t="s">
        <v>4983</v>
      </c>
      <c r="D268" s="1683"/>
      <c r="E268" s="1678">
        <f t="shared" si="53"/>
        <v>0</v>
      </c>
      <c r="F268" s="1687"/>
      <c r="G268" s="1684"/>
      <c r="H268" s="1684"/>
      <c r="I268" s="1684"/>
      <c r="J268" s="1684"/>
      <c r="K268" s="1685" t="str">
        <f t="shared" si="50"/>
        <v/>
      </c>
      <c r="L268" s="1685" t="str">
        <f t="shared" si="51"/>
        <v/>
      </c>
      <c r="M268" s="1686"/>
      <c r="N268" s="1668"/>
    </row>
    <row r="269" spans="1:14" ht="14.5">
      <c r="A269" s="1655">
        <f t="shared" si="52"/>
        <v>0</v>
      </c>
      <c r="B269" s="1409"/>
      <c r="C269" s="1621" t="s">
        <v>4984</v>
      </c>
      <c r="D269" s="1683"/>
      <c r="E269" s="1678">
        <f t="shared" si="53"/>
        <v>0</v>
      </c>
      <c r="F269" s="1687"/>
      <c r="G269" s="1684"/>
      <c r="H269" s="1684"/>
      <c r="I269" s="1684"/>
      <c r="J269" s="1684"/>
      <c r="K269" s="1685" t="str">
        <f t="shared" si="50"/>
        <v/>
      </c>
      <c r="L269" s="1685" t="str">
        <f t="shared" si="51"/>
        <v/>
      </c>
      <c r="M269" s="1686"/>
      <c r="N269" s="1668"/>
    </row>
    <row r="270" spans="1:14" ht="14.5">
      <c r="A270" s="1655">
        <f t="shared" si="52"/>
        <v>0</v>
      </c>
      <c r="B270" s="1409"/>
      <c r="C270" s="1621" t="s">
        <v>4985</v>
      </c>
      <c r="D270" s="1683"/>
      <c r="E270" s="1678">
        <f t="shared" si="53"/>
        <v>0</v>
      </c>
      <c r="F270" s="1687"/>
      <c r="G270" s="1684"/>
      <c r="H270" s="1684"/>
      <c r="I270" s="1684"/>
      <c r="J270" s="1684"/>
      <c r="K270" s="1685" t="str">
        <f t="shared" si="50"/>
        <v/>
      </c>
      <c r="L270" s="1685" t="str">
        <f t="shared" si="51"/>
        <v/>
      </c>
      <c r="M270" s="1686"/>
      <c r="N270" s="1668"/>
    </row>
    <row r="271" spans="1:14" ht="14.5">
      <c r="A271" s="1655">
        <f t="shared" si="52"/>
        <v>0</v>
      </c>
      <c r="B271" s="1688"/>
      <c r="C271" s="1689" t="s">
        <v>4986</v>
      </c>
      <c r="D271" s="1690"/>
      <c r="E271" s="1691">
        <f t="shared" si="53"/>
        <v>0</v>
      </c>
      <c r="F271" s="1692"/>
      <c r="G271" s="1693"/>
      <c r="H271" s="1693"/>
      <c r="I271" s="1693"/>
      <c r="J271" s="1693"/>
      <c r="K271" s="1694" t="str">
        <f t="shared" si="50"/>
        <v/>
      </c>
      <c r="L271" s="1694" t="str">
        <f t="shared" si="51"/>
        <v/>
      </c>
      <c r="M271" s="1695"/>
      <c r="N271" s="1668"/>
    </row>
    <row r="272" spans="1:14" ht="14.5">
      <c r="A272" s="1674">
        <f>A246+1</f>
        <v>11</v>
      </c>
      <c r="B272" s="1675" t="s">
        <v>5050</v>
      </c>
      <c r="C272" s="1676"/>
      <c r="D272" s="1677"/>
      <c r="E272" s="1679">
        <f t="shared" ref="E272:I272" si="54">SUM(E273:E297)</f>
        <v>0</v>
      </c>
      <c r="F272" s="1679">
        <f t="shared" si="54"/>
        <v>0</v>
      </c>
      <c r="G272" s="1679">
        <f t="shared" si="54"/>
        <v>0</v>
      </c>
      <c r="H272" s="1679">
        <f t="shared" si="54"/>
        <v>0</v>
      </c>
      <c r="I272" s="1679">
        <f t="shared" si="54"/>
        <v>0</v>
      </c>
      <c r="J272" s="1679">
        <f>SUM(J273:J297)</f>
        <v>0</v>
      </c>
      <c r="K272" s="1680" t="str">
        <f>IFERROR(E272/$C$6,"")</f>
        <v/>
      </c>
      <c r="L272" s="1680" t="str">
        <f>IFERROR(E272/$C$7,"")</f>
        <v/>
      </c>
      <c r="M272" s="1681">
        <f>SUM(M273:M297)</f>
        <v>0</v>
      </c>
      <c r="N272" s="1668"/>
    </row>
    <row r="273" spans="1:14" ht="14.5">
      <c r="A273" s="1655">
        <f>IF(E273&lt;&gt;0,1,0)</f>
        <v>0</v>
      </c>
      <c r="B273" s="1412"/>
      <c r="C273" s="1621" t="s">
        <v>4962</v>
      </c>
      <c r="D273" s="1683"/>
      <c r="E273" s="1678">
        <f>SUM(F273:J273)</f>
        <v>0</v>
      </c>
      <c r="F273" s="1684"/>
      <c r="G273" s="1684"/>
      <c r="H273" s="1684"/>
      <c r="I273" s="1684"/>
      <c r="J273" s="1684"/>
      <c r="K273" s="1685" t="str">
        <f t="shared" ref="K273:K297" si="55">IFERROR(E273/$C$6,"")</f>
        <v/>
      </c>
      <c r="L273" s="1685" t="str">
        <f t="shared" ref="L273:L297" si="56">IFERROR(E273/$C$7,"")</f>
        <v/>
      </c>
      <c r="M273" s="1686"/>
      <c r="N273" s="1668"/>
    </row>
    <row r="274" spans="1:14" ht="14.5">
      <c r="A274" s="1655">
        <f t="shared" ref="A274:A297" si="57">IF(E274&lt;&gt;0,1,0)</f>
        <v>0</v>
      </c>
      <c r="B274" s="1409"/>
      <c r="C274" s="1621" t="s">
        <v>4963</v>
      </c>
      <c r="D274" s="1683"/>
      <c r="E274" s="1678">
        <f t="shared" ref="E274:E297" si="58">SUM(F274:J274)</f>
        <v>0</v>
      </c>
      <c r="F274" s="1687"/>
      <c r="G274" s="1684"/>
      <c r="H274" s="1684"/>
      <c r="I274" s="1684"/>
      <c r="J274" s="1684"/>
      <c r="K274" s="1685" t="str">
        <f t="shared" si="55"/>
        <v/>
      </c>
      <c r="L274" s="1685" t="str">
        <f t="shared" si="56"/>
        <v/>
      </c>
      <c r="M274" s="1686"/>
      <c r="N274" s="1668"/>
    </row>
    <row r="275" spans="1:14" ht="14.5">
      <c r="A275" s="1655">
        <f t="shared" si="57"/>
        <v>0</v>
      </c>
      <c r="B275" s="1409"/>
      <c r="C275" s="1621" t="s">
        <v>4964</v>
      </c>
      <c r="D275" s="1683"/>
      <c r="E275" s="1678">
        <f t="shared" si="58"/>
        <v>0</v>
      </c>
      <c r="F275" s="1687"/>
      <c r="G275" s="1684"/>
      <c r="H275" s="1684"/>
      <c r="I275" s="1684"/>
      <c r="J275" s="1684"/>
      <c r="K275" s="1685" t="str">
        <f t="shared" si="55"/>
        <v/>
      </c>
      <c r="L275" s="1685" t="str">
        <f t="shared" si="56"/>
        <v/>
      </c>
      <c r="M275" s="1686"/>
      <c r="N275" s="1668"/>
    </row>
    <row r="276" spans="1:14" ht="14.5">
      <c r="A276" s="1655">
        <f t="shared" si="57"/>
        <v>0</v>
      </c>
      <c r="B276" s="1409"/>
      <c r="C276" s="1621" t="s">
        <v>4965</v>
      </c>
      <c r="D276" s="1683"/>
      <c r="E276" s="1678">
        <f t="shared" si="58"/>
        <v>0</v>
      </c>
      <c r="F276" s="1687"/>
      <c r="G276" s="1684"/>
      <c r="H276" s="1684"/>
      <c r="I276" s="1684"/>
      <c r="J276" s="1684"/>
      <c r="K276" s="1685" t="str">
        <f t="shared" si="55"/>
        <v/>
      </c>
      <c r="L276" s="1685" t="str">
        <f t="shared" si="56"/>
        <v/>
      </c>
      <c r="M276" s="1686"/>
      <c r="N276" s="1668"/>
    </row>
    <row r="277" spans="1:14" ht="14.5">
      <c r="A277" s="1655">
        <f t="shared" si="57"/>
        <v>0</v>
      </c>
      <c r="B277" s="1409"/>
      <c r="C277" s="1621" t="s">
        <v>4966</v>
      </c>
      <c r="D277" s="1683"/>
      <c r="E277" s="1678">
        <f t="shared" si="58"/>
        <v>0</v>
      </c>
      <c r="F277" s="1687"/>
      <c r="G277" s="1684"/>
      <c r="H277" s="1684"/>
      <c r="I277" s="1684"/>
      <c r="J277" s="1684"/>
      <c r="K277" s="1685" t="str">
        <f t="shared" si="55"/>
        <v/>
      </c>
      <c r="L277" s="1685" t="str">
        <f t="shared" si="56"/>
        <v/>
      </c>
      <c r="M277" s="1686"/>
      <c r="N277" s="1668"/>
    </row>
    <row r="278" spans="1:14" ht="14.5">
      <c r="A278" s="1655">
        <f t="shared" si="57"/>
        <v>0</v>
      </c>
      <c r="B278" s="1409"/>
      <c r="C278" s="1621" t="s">
        <v>4967</v>
      </c>
      <c r="D278" s="1683"/>
      <c r="E278" s="1678">
        <f t="shared" si="58"/>
        <v>0</v>
      </c>
      <c r="F278" s="1687"/>
      <c r="G278" s="1684"/>
      <c r="H278" s="1684"/>
      <c r="I278" s="1684"/>
      <c r="J278" s="1684"/>
      <c r="K278" s="1685" t="str">
        <f t="shared" si="55"/>
        <v/>
      </c>
      <c r="L278" s="1685" t="str">
        <f t="shared" si="56"/>
        <v/>
      </c>
      <c r="M278" s="1686"/>
      <c r="N278" s="1668"/>
    </row>
    <row r="279" spans="1:14" ht="14.5">
      <c r="A279" s="1655">
        <f t="shared" si="57"/>
        <v>0</v>
      </c>
      <c r="B279" s="1409"/>
      <c r="C279" s="1621" t="s">
        <v>4968</v>
      </c>
      <c r="D279" s="1683"/>
      <c r="E279" s="1678">
        <f t="shared" si="58"/>
        <v>0</v>
      </c>
      <c r="F279" s="1687"/>
      <c r="G279" s="1684"/>
      <c r="H279" s="1684"/>
      <c r="I279" s="1684"/>
      <c r="J279" s="1684"/>
      <c r="K279" s="1685" t="str">
        <f t="shared" si="55"/>
        <v/>
      </c>
      <c r="L279" s="1685" t="str">
        <f t="shared" si="56"/>
        <v/>
      </c>
      <c r="M279" s="1686"/>
      <c r="N279" s="1668"/>
    </row>
    <row r="280" spans="1:14" ht="14.5">
      <c r="A280" s="1655">
        <f t="shared" si="57"/>
        <v>0</v>
      </c>
      <c r="B280" s="1409"/>
      <c r="C280" s="1621" t="s">
        <v>4969</v>
      </c>
      <c r="D280" s="1683"/>
      <c r="E280" s="1678">
        <f t="shared" si="58"/>
        <v>0</v>
      </c>
      <c r="F280" s="1687"/>
      <c r="G280" s="1684"/>
      <c r="H280" s="1684"/>
      <c r="I280" s="1684"/>
      <c r="J280" s="1684"/>
      <c r="K280" s="1685" t="str">
        <f t="shared" si="55"/>
        <v/>
      </c>
      <c r="L280" s="1685" t="str">
        <f t="shared" si="56"/>
        <v/>
      </c>
      <c r="M280" s="1686"/>
      <c r="N280" s="1668"/>
    </row>
    <row r="281" spans="1:14" ht="14.5">
      <c r="A281" s="1655">
        <f t="shared" si="57"/>
        <v>0</v>
      </c>
      <c r="B281" s="1409"/>
      <c r="C281" s="1621" t="s">
        <v>4970</v>
      </c>
      <c r="D281" s="1683"/>
      <c r="E281" s="1678">
        <f t="shared" si="58"/>
        <v>0</v>
      </c>
      <c r="F281" s="1687"/>
      <c r="G281" s="1684"/>
      <c r="H281" s="1684"/>
      <c r="I281" s="1684"/>
      <c r="J281" s="1684"/>
      <c r="K281" s="1685" t="str">
        <f t="shared" si="55"/>
        <v/>
      </c>
      <c r="L281" s="1685" t="str">
        <f t="shared" si="56"/>
        <v/>
      </c>
      <c r="M281" s="1686"/>
      <c r="N281" s="1668"/>
    </row>
    <row r="282" spans="1:14" ht="14.5">
      <c r="A282" s="1655">
        <f t="shared" si="57"/>
        <v>0</v>
      </c>
      <c r="B282" s="1409"/>
      <c r="C282" s="1621" t="s">
        <v>4971</v>
      </c>
      <c r="D282" s="1683"/>
      <c r="E282" s="1678">
        <f t="shared" si="58"/>
        <v>0</v>
      </c>
      <c r="F282" s="1687"/>
      <c r="G282" s="1684"/>
      <c r="H282" s="1684"/>
      <c r="I282" s="1684"/>
      <c r="J282" s="1684"/>
      <c r="K282" s="1685" t="str">
        <f t="shared" si="55"/>
        <v/>
      </c>
      <c r="L282" s="1685" t="str">
        <f t="shared" si="56"/>
        <v/>
      </c>
      <c r="M282" s="1686"/>
      <c r="N282" s="1668"/>
    </row>
    <row r="283" spans="1:14" ht="14.5">
      <c r="A283" s="1655">
        <f t="shared" si="57"/>
        <v>0</v>
      </c>
      <c r="B283" s="1409"/>
      <c r="C283" s="1621" t="s">
        <v>4972</v>
      </c>
      <c r="D283" s="1683"/>
      <c r="E283" s="1678">
        <f t="shared" si="58"/>
        <v>0</v>
      </c>
      <c r="F283" s="1687"/>
      <c r="G283" s="1684"/>
      <c r="H283" s="1684"/>
      <c r="I283" s="1684"/>
      <c r="J283" s="1684"/>
      <c r="K283" s="1685" t="str">
        <f t="shared" si="55"/>
        <v/>
      </c>
      <c r="L283" s="1685" t="str">
        <f t="shared" si="56"/>
        <v/>
      </c>
      <c r="M283" s="1686"/>
      <c r="N283" s="1668"/>
    </row>
    <row r="284" spans="1:14" ht="14.5">
      <c r="A284" s="1655">
        <f t="shared" si="57"/>
        <v>0</v>
      </c>
      <c r="B284" s="1412"/>
      <c r="C284" s="1621" t="s">
        <v>4973</v>
      </c>
      <c r="D284" s="1683"/>
      <c r="E284" s="1678">
        <f t="shared" si="58"/>
        <v>0</v>
      </c>
      <c r="F284" s="1687"/>
      <c r="G284" s="1684"/>
      <c r="H284" s="1684"/>
      <c r="I284" s="1684"/>
      <c r="J284" s="1684"/>
      <c r="K284" s="1685" t="str">
        <f t="shared" si="55"/>
        <v/>
      </c>
      <c r="L284" s="1685" t="str">
        <f t="shared" si="56"/>
        <v/>
      </c>
      <c r="M284" s="1686"/>
      <c r="N284" s="1668"/>
    </row>
    <row r="285" spans="1:14" ht="14.5">
      <c r="A285" s="1655">
        <f t="shared" si="57"/>
        <v>0</v>
      </c>
      <c r="B285" s="1412"/>
      <c r="C285" s="1621" t="s">
        <v>4974</v>
      </c>
      <c r="D285" s="1683"/>
      <c r="E285" s="1678">
        <f t="shared" si="58"/>
        <v>0</v>
      </c>
      <c r="F285" s="1687"/>
      <c r="G285" s="1684"/>
      <c r="H285" s="1684"/>
      <c r="I285" s="1684"/>
      <c r="J285" s="1684"/>
      <c r="K285" s="1685" t="str">
        <f t="shared" si="55"/>
        <v/>
      </c>
      <c r="L285" s="1685" t="str">
        <f t="shared" si="56"/>
        <v/>
      </c>
      <c r="M285" s="1686"/>
      <c r="N285" s="1668"/>
    </row>
    <row r="286" spans="1:14" ht="14.5">
      <c r="A286" s="1655">
        <f t="shared" si="57"/>
        <v>0</v>
      </c>
      <c r="B286" s="1409"/>
      <c r="C286" s="1621" t="s">
        <v>4975</v>
      </c>
      <c r="D286" s="1683"/>
      <c r="E286" s="1678">
        <f t="shared" si="58"/>
        <v>0</v>
      </c>
      <c r="F286" s="1687"/>
      <c r="G286" s="1684"/>
      <c r="H286" s="1684"/>
      <c r="I286" s="1684"/>
      <c r="J286" s="1684"/>
      <c r="K286" s="1685" t="str">
        <f t="shared" si="55"/>
        <v/>
      </c>
      <c r="L286" s="1685" t="str">
        <f t="shared" si="56"/>
        <v/>
      </c>
      <c r="M286" s="1686"/>
      <c r="N286" s="1668"/>
    </row>
    <row r="287" spans="1:14" ht="14.5">
      <c r="A287" s="1655">
        <f t="shared" si="57"/>
        <v>0</v>
      </c>
      <c r="B287" s="1409"/>
      <c r="C287" s="1621" t="s">
        <v>4976</v>
      </c>
      <c r="D287" s="1683"/>
      <c r="E287" s="1678">
        <f t="shared" si="58"/>
        <v>0</v>
      </c>
      <c r="F287" s="1687"/>
      <c r="G287" s="1684"/>
      <c r="H287" s="1684"/>
      <c r="I287" s="1684"/>
      <c r="J287" s="1684"/>
      <c r="K287" s="1685" t="str">
        <f t="shared" si="55"/>
        <v/>
      </c>
      <c r="L287" s="1685" t="str">
        <f t="shared" si="56"/>
        <v/>
      </c>
      <c r="M287" s="1686"/>
      <c r="N287" s="1668"/>
    </row>
    <row r="288" spans="1:14" ht="14.5">
      <c r="A288" s="1655">
        <f t="shared" si="57"/>
        <v>0</v>
      </c>
      <c r="B288" s="1409"/>
      <c r="C288" s="1621" t="s">
        <v>4977</v>
      </c>
      <c r="D288" s="1683"/>
      <c r="E288" s="1678">
        <f t="shared" si="58"/>
        <v>0</v>
      </c>
      <c r="F288" s="1687"/>
      <c r="G288" s="1684"/>
      <c r="H288" s="1684"/>
      <c r="I288" s="1684"/>
      <c r="J288" s="1684"/>
      <c r="K288" s="1685" t="str">
        <f t="shared" si="55"/>
        <v/>
      </c>
      <c r="L288" s="1685" t="str">
        <f t="shared" si="56"/>
        <v/>
      </c>
      <c r="M288" s="1686"/>
      <c r="N288" s="1668"/>
    </row>
    <row r="289" spans="1:14" ht="14.5">
      <c r="A289" s="1655">
        <f t="shared" si="57"/>
        <v>0</v>
      </c>
      <c r="B289" s="1409"/>
      <c r="C289" s="1621" t="s">
        <v>4978</v>
      </c>
      <c r="D289" s="1683"/>
      <c r="E289" s="1678">
        <f t="shared" si="58"/>
        <v>0</v>
      </c>
      <c r="F289" s="1687"/>
      <c r="G289" s="1684"/>
      <c r="H289" s="1684"/>
      <c r="I289" s="1684"/>
      <c r="J289" s="1684"/>
      <c r="K289" s="1685" t="str">
        <f t="shared" si="55"/>
        <v/>
      </c>
      <c r="L289" s="1685" t="str">
        <f t="shared" si="56"/>
        <v/>
      </c>
      <c r="M289" s="1686"/>
      <c r="N289" s="1668"/>
    </row>
    <row r="290" spans="1:14" ht="14.5">
      <c r="A290" s="1655">
        <f t="shared" si="57"/>
        <v>0</v>
      </c>
      <c r="B290" s="1409"/>
      <c r="C290" s="1621" t="s">
        <v>4979</v>
      </c>
      <c r="D290" s="1683"/>
      <c r="E290" s="1678">
        <f t="shared" si="58"/>
        <v>0</v>
      </c>
      <c r="F290" s="1687"/>
      <c r="G290" s="1684"/>
      <c r="H290" s="1684"/>
      <c r="I290" s="1684"/>
      <c r="J290" s="1684"/>
      <c r="K290" s="1685" t="str">
        <f t="shared" si="55"/>
        <v/>
      </c>
      <c r="L290" s="1685" t="str">
        <f t="shared" si="56"/>
        <v/>
      </c>
      <c r="M290" s="1686"/>
      <c r="N290" s="1668"/>
    </row>
    <row r="291" spans="1:14" ht="14.5">
      <c r="A291" s="1655">
        <f t="shared" si="57"/>
        <v>0</v>
      </c>
      <c r="B291" s="1409"/>
      <c r="C291" s="1621" t="s">
        <v>4980</v>
      </c>
      <c r="D291" s="1683"/>
      <c r="E291" s="1678">
        <f t="shared" si="58"/>
        <v>0</v>
      </c>
      <c r="F291" s="1687"/>
      <c r="G291" s="1684"/>
      <c r="H291" s="1684"/>
      <c r="I291" s="1684"/>
      <c r="J291" s="1684"/>
      <c r="K291" s="1685" t="str">
        <f t="shared" si="55"/>
        <v/>
      </c>
      <c r="L291" s="1685" t="str">
        <f t="shared" si="56"/>
        <v/>
      </c>
      <c r="M291" s="1686"/>
      <c r="N291" s="1668"/>
    </row>
    <row r="292" spans="1:14" ht="14.5">
      <c r="A292" s="1655">
        <f t="shared" si="57"/>
        <v>0</v>
      </c>
      <c r="B292" s="1409"/>
      <c r="C292" s="1621" t="s">
        <v>4981</v>
      </c>
      <c r="D292" s="1683"/>
      <c r="E292" s="1678">
        <f t="shared" si="58"/>
        <v>0</v>
      </c>
      <c r="F292" s="1687"/>
      <c r="G292" s="1684"/>
      <c r="H292" s="1684"/>
      <c r="I292" s="1684"/>
      <c r="J292" s="1684"/>
      <c r="K292" s="1685" t="str">
        <f t="shared" si="55"/>
        <v/>
      </c>
      <c r="L292" s="1685" t="str">
        <f t="shared" si="56"/>
        <v/>
      </c>
      <c r="M292" s="1686"/>
      <c r="N292" s="1668"/>
    </row>
    <row r="293" spans="1:14" ht="14.5">
      <c r="A293" s="1655">
        <f t="shared" si="57"/>
        <v>0</v>
      </c>
      <c r="B293" s="1409"/>
      <c r="C293" s="1621" t="s">
        <v>4982</v>
      </c>
      <c r="D293" s="1683"/>
      <c r="E293" s="1678">
        <f t="shared" si="58"/>
        <v>0</v>
      </c>
      <c r="F293" s="1687"/>
      <c r="G293" s="1684"/>
      <c r="H293" s="1684"/>
      <c r="I293" s="1684"/>
      <c r="J293" s="1684"/>
      <c r="K293" s="1685" t="str">
        <f t="shared" si="55"/>
        <v/>
      </c>
      <c r="L293" s="1685" t="str">
        <f t="shared" si="56"/>
        <v/>
      </c>
      <c r="M293" s="1686"/>
      <c r="N293" s="1668"/>
    </row>
    <row r="294" spans="1:14" ht="14.5">
      <c r="A294" s="1655">
        <f t="shared" si="57"/>
        <v>0</v>
      </c>
      <c r="B294" s="1409"/>
      <c r="C294" s="1621" t="s">
        <v>4983</v>
      </c>
      <c r="D294" s="1683"/>
      <c r="E294" s="1678">
        <f t="shared" si="58"/>
        <v>0</v>
      </c>
      <c r="F294" s="1687"/>
      <c r="G294" s="1684"/>
      <c r="H294" s="1684"/>
      <c r="I294" s="1684"/>
      <c r="J294" s="1684"/>
      <c r="K294" s="1685" t="str">
        <f t="shared" si="55"/>
        <v/>
      </c>
      <c r="L294" s="1685" t="str">
        <f t="shared" si="56"/>
        <v/>
      </c>
      <c r="M294" s="1686"/>
      <c r="N294" s="1668"/>
    </row>
    <row r="295" spans="1:14" ht="14.5">
      <c r="A295" s="1655">
        <f t="shared" si="57"/>
        <v>0</v>
      </c>
      <c r="B295" s="1409"/>
      <c r="C295" s="1621" t="s">
        <v>4984</v>
      </c>
      <c r="D295" s="1683"/>
      <c r="E295" s="1678">
        <f t="shared" si="58"/>
        <v>0</v>
      </c>
      <c r="F295" s="1687"/>
      <c r="G295" s="1684"/>
      <c r="H295" s="1684"/>
      <c r="I295" s="1684"/>
      <c r="J295" s="1684"/>
      <c r="K295" s="1685" t="str">
        <f t="shared" si="55"/>
        <v/>
      </c>
      <c r="L295" s="1685" t="str">
        <f t="shared" si="56"/>
        <v/>
      </c>
      <c r="M295" s="1686"/>
      <c r="N295" s="1668"/>
    </row>
    <row r="296" spans="1:14" ht="14.5">
      <c r="A296" s="1655">
        <f t="shared" si="57"/>
        <v>0</v>
      </c>
      <c r="B296" s="1409"/>
      <c r="C296" s="1621" t="s">
        <v>4985</v>
      </c>
      <c r="D296" s="1683"/>
      <c r="E296" s="1678">
        <f t="shared" si="58"/>
        <v>0</v>
      </c>
      <c r="F296" s="1687"/>
      <c r="G296" s="1684"/>
      <c r="H296" s="1684"/>
      <c r="I296" s="1684"/>
      <c r="J296" s="1684"/>
      <c r="K296" s="1685" t="str">
        <f t="shared" si="55"/>
        <v/>
      </c>
      <c r="L296" s="1685" t="str">
        <f t="shared" si="56"/>
        <v/>
      </c>
      <c r="M296" s="1686"/>
      <c r="N296" s="1668"/>
    </row>
    <row r="297" spans="1:14" ht="14.5">
      <c r="A297" s="1655">
        <f t="shared" si="57"/>
        <v>0</v>
      </c>
      <c r="B297" s="1688"/>
      <c r="C297" s="1689" t="s">
        <v>4986</v>
      </c>
      <c r="D297" s="1690"/>
      <c r="E297" s="1691">
        <f t="shared" si="58"/>
        <v>0</v>
      </c>
      <c r="F297" s="1692"/>
      <c r="G297" s="1693"/>
      <c r="H297" s="1693"/>
      <c r="I297" s="1693"/>
      <c r="J297" s="1693"/>
      <c r="K297" s="1694" t="str">
        <f t="shared" si="55"/>
        <v/>
      </c>
      <c r="L297" s="1694" t="str">
        <f t="shared" si="56"/>
        <v/>
      </c>
      <c r="M297" s="1695"/>
      <c r="N297" s="1668"/>
    </row>
    <row r="298" spans="1:14" ht="14.5">
      <c r="A298" s="1674">
        <f>A272+1</f>
        <v>12</v>
      </c>
      <c r="B298" s="1675" t="s">
        <v>5050</v>
      </c>
      <c r="C298" s="1676"/>
      <c r="D298" s="1677"/>
      <c r="E298" s="1679">
        <f t="shared" ref="E298:I298" si="59">SUM(E299:E323)</f>
        <v>0</v>
      </c>
      <c r="F298" s="1679">
        <f t="shared" si="59"/>
        <v>0</v>
      </c>
      <c r="G298" s="1679">
        <f t="shared" si="59"/>
        <v>0</v>
      </c>
      <c r="H298" s="1679">
        <f t="shared" si="59"/>
        <v>0</v>
      </c>
      <c r="I298" s="1679">
        <f t="shared" si="59"/>
        <v>0</v>
      </c>
      <c r="J298" s="1679">
        <f>SUM(J299:J323)</f>
        <v>0</v>
      </c>
      <c r="K298" s="1680" t="str">
        <f>IFERROR(E298/$C$6,"")</f>
        <v/>
      </c>
      <c r="L298" s="1680" t="str">
        <f>IFERROR(E298/$C$7,"")</f>
        <v/>
      </c>
      <c r="M298" s="1681">
        <f>SUM(M299:M323)</f>
        <v>0</v>
      </c>
      <c r="N298" s="1668"/>
    </row>
    <row r="299" spans="1:14" ht="14.5">
      <c r="A299" s="1655">
        <f>IF(E299&lt;&gt;0,1,0)</f>
        <v>0</v>
      </c>
      <c r="B299" s="1412"/>
      <c r="C299" s="1621" t="s">
        <v>4962</v>
      </c>
      <c r="D299" s="1683"/>
      <c r="E299" s="1678">
        <f>SUM(F299:J299)</f>
        <v>0</v>
      </c>
      <c r="F299" s="1684"/>
      <c r="G299" s="1684"/>
      <c r="H299" s="1684"/>
      <c r="I299" s="1684"/>
      <c r="J299" s="1684"/>
      <c r="K299" s="1685" t="str">
        <f t="shared" ref="K299:K323" si="60">IFERROR(E299/$C$6,"")</f>
        <v/>
      </c>
      <c r="L299" s="1685" t="str">
        <f t="shared" ref="L299:L323" si="61">IFERROR(E299/$C$7,"")</f>
        <v/>
      </c>
      <c r="M299" s="1686"/>
      <c r="N299" s="1668"/>
    </row>
    <row r="300" spans="1:14" ht="14.5">
      <c r="A300" s="1655">
        <f t="shared" ref="A300:A323" si="62">IF(E300&lt;&gt;0,1,0)</f>
        <v>0</v>
      </c>
      <c r="B300" s="1409"/>
      <c r="C300" s="1621" t="s">
        <v>4963</v>
      </c>
      <c r="D300" s="1683"/>
      <c r="E300" s="1678">
        <f t="shared" ref="E300:E323" si="63">SUM(F300:J300)</f>
        <v>0</v>
      </c>
      <c r="F300" s="1687"/>
      <c r="G300" s="1684"/>
      <c r="H300" s="1684"/>
      <c r="I300" s="1684"/>
      <c r="J300" s="1684"/>
      <c r="K300" s="1685" t="str">
        <f t="shared" si="60"/>
        <v/>
      </c>
      <c r="L300" s="1685" t="str">
        <f t="shared" si="61"/>
        <v/>
      </c>
      <c r="M300" s="1686"/>
      <c r="N300" s="1668"/>
    </row>
    <row r="301" spans="1:14" ht="14.5">
      <c r="A301" s="1655">
        <f t="shared" si="62"/>
        <v>0</v>
      </c>
      <c r="B301" s="1409"/>
      <c r="C301" s="1621" t="s">
        <v>4964</v>
      </c>
      <c r="D301" s="1683"/>
      <c r="E301" s="1678">
        <f t="shared" si="63"/>
        <v>0</v>
      </c>
      <c r="F301" s="1687"/>
      <c r="G301" s="1684"/>
      <c r="H301" s="1684"/>
      <c r="I301" s="1684"/>
      <c r="J301" s="1684"/>
      <c r="K301" s="1685" t="str">
        <f t="shared" si="60"/>
        <v/>
      </c>
      <c r="L301" s="1685" t="str">
        <f t="shared" si="61"/>
        <v/>
      </c>
      <c r="M301" s="1686"/>
      <c r="N301" s="1668"/>
    </row>
    <row r="302" spans="1:14" ht="14.5">
      <c r="A302" s="1655">
        <f t="shared" si="62"/>
        <v>0</v>
      </c>
      <c r="B302" s="1409"/>
      <c r="C302" s="1621" t="s">
        <v>4965</v>
      </c>
      <c r="D302" s="1683"/>
      <c r="E302" s="1678">
        <f t="shared" si="63"/>
        <v>0</v>
      </c>
      <c r="F302" s="1687"/>
      <c r="G302" s="1684"/>
      <c r="H302" s="1684"/>
      <c r="I302" s="1684"/>
      <c r="J302" s="1684"/>
      <c r="K302" s="1685" t="str">
        <f t="shared" si="60"/>
        <v/>
      </c>
      <c r="L302" s="1685" t="str">
        <f t="shared" si="61"/>
        <v/>
      </c>
      <c r="M302" s="1686"/>
      <c r="N302" s="1668"/>
    </row>
    <row r="303" spans="1:14" ht="14.5">
      <c r="A303" s="1655">
        <f t="shared" si="62"/>
        <v>0</v>
      </c>
      <c r="B303" s="1409"/>
      <c r="C303" s="1621" t="s">
        <v>4966</v>
      </c>
      <c r="D303" s="1683"/>
      <c r="E303" s="1678">
        <f t="shared" si="63"/>
        <v>0</v>
      </c>
      <c r="F303" s="1687"/>
      <c r="G303" s="1684"/>
      <c r="H303" s="1684"/>
      <c r="I303" s="1684"/>
      <c r="J303" s="1684"/>
      <c r="K303" s="1685" t="str">
        <f t="shared" si="60"/>
        <v/>
      </c>
      <c r="L303" s="1685" t="str">
        <f t="shared" si="61"/>
        <v/>
      </c>
      <c r="M303" s="1686"/>
      <c r="N303" s="1668"/>
    </row>
    <row r="304" spans="1:14" ht="14.5">
      <c r="A304" s="1655">
        <f t="shared" si="62"/>
        <v>0</v>
      </c>
      <c r="B304" s="1409"/>
      <c r="C304" s="1621" t="s">
        <v>4967</v>
      </c>
      <c r="D304" s="1683"/>
      <c r="E304" s="1678">
        <f t="shared" si="63"/>
        <v>0</v>
      </c>
      <c r="F304" s="1687"/>
      <c r="G304" s="1684"/>
      <c r="H304" s="1684"/>
      <c r="I304" s="1684"/>
      <c r="J304" s="1684"/>
      <c r="K304" s="1685" t="str">
        <f t="shared" si="60"/>
        <v/>
      </c>
      <c r="L304" s="1685" t="str">
        <f t="shared" si="61"/>
        <v/>
      </c>
      <c r="M304" s="1686"/>
      <c r="N304" s="1668"/>
    </row>
    <row r="305" spans="1:14" ht="14.5">
      <c r="A305" s="1655">
        <f t="shared" si="62"/>
        <v>0</v>
      </c>
      <c r="B305" s="1409"/>
      <c r="C305" s="1621" t="s">
        <v>4968</v>
      </c>
      <c r="D305" s="1683"/>
      <c r="E305" s="1678">
        <f t="shared" si="63"/>
        <v>0</v>
      </c>
      <c r="F305" s="1687"/>
      <c r="G305" s="1684"/>
      <c r="H305" s="1684"/>
      <c r="I305" s="1684"/>
      <c r="J305" s="1684"/>
      <c r="K305" s="1685" t="str">
        <f t="shared" si="60"/>
        <v/>
      </c>
      <c r="L305" s="1685" t="str">
        <f t="shared" si="61"/>
        <v/>
      </c>
      <c r="M305" s="1686"/>
      <c r="N305" s="1668"/>
    </row>
    <row r="306" spans="1:14" ht="14.5">
      <c r="A306" s="1655">
        <f t="shared" si="62"/>
        <v>0</v>
      </c>
      <c r="B306" s="1409"/>
      <c r="C306" s="1621" t="s">
        <v>4969</v>
      </c>
      <c r="D306" s="1683"/>
      <c r="E306" s="1678">
        <f t="shared" si="63"/>
        <v>0</v>
      </c>
      <c r="F306" s="1687"/>
      <c r="G306" s="1684"/>
      <c r="H306" s="1684"/>
      <c r="I306" s="1684"/>
      <c r="J306" s="1684"/>
      <c r="K306" s="1685" t="str">
        <f t="shared" si="60"/>
        <v/>
      </c>
      <c r="L306" s="1685" t="str">
        <f t="shared" si="61"/>
        <v/>
      </c>
      <c r="M306" s="1686"/>
      <c r="N306" s="1668"/>
    </row>
    <row r="307" spans="1:14" ht="14.5">
      <c r="A307" s="1655">
        <f t="shared" si="62"/>
        <v>0</v>
      </c>
      <c r="B307" s="1409"/>
      <c r="C307" s="1621" t="s">
        <v>4970</v>
      </c>
      <c r="D307" s="1683"/>
      <c r="E307" s="1678">
        <f t="shared" si="63"/>
        <v>0</v>
      </c>
      <c r="F307" s="1687"/>
      <c r="G307" s="1684"/>
      <c r="H307" s="1684"/>
      <c r="I307" s="1684"/>
      <c r="J307" s="1684"/>
      <c r="K307" s="1685" t="str">
        <f t="shared" si="60"/>
        <v/>
      </c>
      <c r="L307" s="1685" t="str">
        <f t="shared" si="61"/>
        <v/>
      </c>
      <c r="M307" s="1686"/>
      <c r="N307" s="1668"/>
    </row>
    <row r="308" spans="1:14" ht="14.5">
      <c r="A308" s="1655">
        <f t="shared" si="62"/>
        <v>0</v>
      </c>
      <c r="B308" s="1409"/>
      <c r="C308" s="1621" t="s">
        <v>4971</v>
      </c>
      <c r="D308" s="1683"/>
      <c r="E308" s="1678">
        <f t="shared" si="63"/>
        <v>0</v>
      </c>
      <c r="F308" s="1687"/>
      <c r="G308" s="1684"/>
      <c r="H308" s="1684"/>
      <c r="I308" s="1684"/>
      <c r="J308" s="1684"/>
      <c r="K308" s="1685" t="str">
        <f t="shared" si="60"/>
        <v/>
      </c>
      <c r="L308" s="1685" t="str">
        <f t="shared" si="61"/>
        <v/>
      </c>
      <c r="M308" s="1686"/>
      <c r="N308" s="1668"/>
    </row>
    <row r="309" spans="1:14" ht="14.5">
      <c r="A309" s="1655">
        <f t="shared" si="62"/>
        <v>0</v>
      </c>
      <c r="B309" s="1409"/>
      <c r="C309" s="1621" t="s">
        <v>4972</v>
      </c>
      <c r="D309" s="1683"/>
      <c r="E309" s="1678">
        <f t="shared" si="63"/>
        <v>0</v>
      </c>
      <c r="F309" s="1687"/>
      <c r="G309" s="1684"/>
      <c r="H309" s="1684"/>
      <c r="I309" s="1684"/>
      <c r="J309" s="1684"/>
      <c r="K309" s="1685" t="str">
        <f t="shared" si="60"/>
        <v/>
      </c>
      <c r="L309" s="1685" t="str">
        <f t="shared" si="61"/>
        <v/>
      </c>
      <c r="M309" s="1686"/>
      <c r="N309" s="1668"/>
    </row>
    <row r="310" spans="1:14" ht="14.5">
      <c r="A310" s="1655">
        <f t="shared" si="62"/>
        <v>0</v>
      </c>
      <c r="B310" s="1412"/>
      <c r="C310" s="1621" t="s">
        <v>4973</v>
      </c>
      <c r="D310" s="1683"/>
      <c r="E310" s="1678">
        <f t="shared" si="63"/>
        <v>0</v>
      </c>
      <c r="F310" s="1687"/>
      <c r="G310" s="1684"/>
      <c r="H310" s="1684"/>
      <c r="I310" s="1684"/>
      <c r="J310" s="1684"/>
      <c r="K310" s="1685" t="str">
        <f t="shared" si="60"/>
        <v/>
      </c>
      <c r="L310" s="1685" t="str">
        <f t="shared" si="61"/>
        <v/>
      </c>
      <c r="M310" s="1686"/>
      <c r="N310" s="1668"/>
    </row>
    <row r="311" spans="1:14" ht="14.5">
      <c r="A311" s="1655">
        <f t="shared" si="62"/>
        <v>0</v>
      </c>
      <c r="B311" s="1412"/>
      <c r="C311" s="1621" t="s">
        <v>4974</v>
      </c>
      <c r="D311" s="1683"/>
      <c r="E311" s="1678">
        <f t="shared" si="63"/>
        <v>0</v>
      </c>
      <c r="F311" s="1687"/>
      <c r="G311" s="1684"/>
      <c r="H311" s="1684"/>
      <c r="I311" s="1684"/>
      <c r="J311" s="1684"/>
      <c r="K311" s="1685" t="str">
        <f t="shared" si="60"/>
        <v/>
      </c>
      <c r="L311" s="1685" t="str">
        <f t="shared" si="61"/>
        <v/>
      </c>
      <c r="M311" s="1686"/>
      <c r="N311" s="1668"/>
    </row>
    <row r="312" spans="1:14" ht="14.5">
      <c r="A312" s="1655">
        <f t="shared" si="62"/>
        <v>0</v>
      </c>
      <c r="B312" s="1409"/>
      <c r="C312" s="1621" t="s">
        <v>4975</v>
      </c>
      <c r="D312" s="1683"/>
      <c r="E312" s="1678">
        <f t="shared" si="63"/>
        <v>0</v>
      </c>
      <c r="F312" s="1687"/>
      <c r="G312" s="1684"/>
      <c r="H312" s="1684"/>
      <c r="I312" s="1684"/>
      <c r="J312" s="1684"/>
      <c r="K312" s="1685" t="str">
        <f t="shared" si="60"/>
        <v/>
      </c>
      <c r="L312" s="1685" t="str">
        <f t="shared" si="61"/>
        <v/>
      </c>
      <c r="M312" s="1686"/>
      <c r="N312" s="1668"/>
    </row>
    <row r="313" spans="1:14" ht="14.5">
      <c r="A313" s="1655">
        <f t="shared" si="62"/>
        <v>0</v>
      </c>
      <c r="B313" s="1409"/>
      <c r="C313" s="1621" t="s">
        <v>4976</v>
      </c>
      <c r="D313" s="1683"/>
      <c r="E313" s="1678">
        <f t="shared" si="63"/>
        <v>0</v>
      </c>
      <c r="F313" s="1687"/>
      <c r="G313" s="1684"/>
      <c r="H313" s="1684"/>
      <c r="I313" s="1684"/>
      <c r="J313" s="1684"/>
      <c r="K313" s="1685" t="str">
        <f t="shared" si="60"/>
        <v/>
      </c>
      <c r="L313" s="1685" t="str">
        <f t="shared" si="61"/>
        <v/>
      </c>
      <c r="M313" s="1686"/>
      <c r="N313" s="1668"/>
    </row>
    <row r="314" spans="1:14" ht="14.5">
      <c r="A314" s="1655">
        <f t="shared" si="62"/>
        <v>0</v>
      </c>
      <c r="B314" s="1409"/>
      <c r="C314" s="1621" t="s">
        <v>4977</v>
      </c>
      <c r="D314" s="1683"/>
      <c r="E314" s="1678">
        <f t="shared" si="63"/>
        <v>0</v>
      </c>
      <c r="F314" s="1687"/>
      <c r="G314" s="1684"/>
      <c r="H314" s="1684"/>
      <c r="I314" s="1684"/>
      <c r="J314" s="1684"/>
      <c r="K314" s="1685" t="str">
        <f t="shared" si="60"/>
        <v/>
      </c>
      <c r="L314" s="1685" t="str">
        <f t="shared" si="61"/>
        <v/>
      </c>
      <c r="M314" s="1686"/>
      <c r="N314" s="1668"/>
    </row>
    <row r="315" spans="1:14" ht="14.5">
      <c r="A315" s="1655">
        <f t="shared" si="62"/>
        <v>0</v>
      </c>
      <c r="B315" s="1409"/>
      <c r="C315" s="1621" t="s">
        <v>4978</v>
      </c>
      <c r="D315" s="1683"/>
      <c r="E315" s="1678">
        <f t="shared" si="63"/>
        <v>0</v>
      </c>
      <c r="F315" s="1687"/>
      <c r="G315" s="1684"/>
      <c r="H315" s="1684"/>
      <c r="I315" s="1684"/>
      <c r="J315" s="1684"/>
      <c r="K315" s="1685" t="str">
        <f t="shared" si="60"/>
        <v/>
      </c>
      <c r="L315" s="1685" t="str">
        <f t="shared" si="61"/>
        <v/>
      </c>
      <c r="M315" s="1686"/>
      <c r="N315" s="1668"/>
    </row>
    <row r="316" spans="1:14" ht="14.5">
      <c r="A316" s="1655">
        <f t="shared" si="62"/>
        <v>0</v>
      </c>
      <c r="B316" s="1409"/>
      <c r="C316" s="1621" t="s">
        <v>4979</v>
      </c>
      <c r="D316" s="1683"/>
      <c r="E316" s="1678">
        <f t="shared" si="63"/>
        <v>0</v>
      </c>
      <c r="F316" s="1687"/>
      <c r="G316" s="1684"/>
      <c r="H316" s="1684"/>
      <c r="I316" s="1684"/>
      <c r="J316" s="1684"/>
      <c r="K316" s="1685" t="str">
        <f t="shared" si="60"/>
        <v/>
      </c>
      <c r="L316" s="1685" t="str">
        <f t="shared" si="61"/>
        <v/>
      </c>
      <c r="M316" s="1686"/>
      <c r="N316" s="1668"/>
    </row>
    <row r="317" spans="1:14" ht="14.5">
      <c r="A317" s="1655">
        <f t="shared" si="62"/>
        <v>0</v>
      </c>
      <c r="B317" s="1409"/>
      <c r="C317" s="1621" t="s">
        <v>4980</v>
      </c>
      <c r="D317" s="1683"/>
      <c r="E317" s="1678">
        <f t="shared" si="63"/>
        <v>0</v>
      </c>
      <c r="F317" s="1687"/>
      <c r="G317" s="1684"/>
      <c r="H317" s="1684"/>
      <c r="I317" s="1684"/>
      <c r="J317" s="1684"/>
      <c r="K317" s="1685" t="str">
        <f t="shared" si="60"/>
        <v/>
      </c>
      <c r="L317" s="1685" t="str">
        <f t="shared" si="61"/>
        <v/>
      </c>
      <c r="M317" s="1686"/>
      <c r="N317" s="1668"/>
    </row>
    <row r="318" spans="1:14" ht="14.5">
      <c r="A318" s="1655">
        <f t="shared" si="62"/>
        <v>0</v>
      </c>
      <c r="B318" s="1409"/>
      <c r="C318" s="1621" t="s">
        <v>4981</v>
      </c>
      <c r="D318" s="1683"/>
      <c r="E318" s="1678">
        <f t="shared" si="63"/>
        <v>0</v>
      </c>
      <c r="F318" s="1687"/>
      <c r="G318" s="1684"/>
      <c r="H318" s="1684"/>
      <c r="I318" s="1684"/>
      <c r="J318" s="1684"/>
      <c r="K318" s="1685" t="str">
        <f t="shared" si="60"/>
        <v/>
      </c>
      <c r="L318" s="1685" t="str">
        <f t="shared" si="61"/>
        <v/>
      </c>
      <c r="M318" s="1686"/>
      <c r="N318" s="1668"/>
    </row>
    <row r="319" spans="1:14" ht="14.5">
      <c r="A319" s="1655">
        <f t="shared" si="62"/>
        <v>0</v>
      </c>
      <c r="B319" s="1409"/>
      <c r="C319" s="1621" t="s">
        <v>4982</v>
      </c>
      <c r="D319" s="1683"/>
      <c r="E319" s="1678">
        <f t="shared" si="63"/>
        <v>0</v>
      </c>
      <c r="F319" s="1687"/>
      <c r="G319" s="1684"/>
      <c r="H319" s="1684"/>
      <c r="I319" s="1684"/>
      <c r="J319" s="1684"/>
      <c r="K319" s="1685" t="str">
        <f t="shared" si="60"/>
        <v/>
      </c>
      <c r="L319" s="1685" t="str">
        <f t="shared" si="61"/>
        <v/>
      </c>
      <c r="M319" s="1686"/>
      <c r="N319" s="1668"/>
    </row>
    <row r="320" spans="1:14" ht="14.5">
      <c r="A320" s="1655">
        <f t="shared" si="62"/>
        <v>0</v>
      </c>
      <c r="B320" s="1409"/>
      <c r="C320" s="1621" t="s">
        <v>4983</v>
      </c>
      <c r="D320" s="1683"/>
      <c r="E320" s="1678">
        <f t="shared" si="63"/>
        <v>0</v>
      </c>
      <c r="F320" s="1687"/>
      <c r="G320" s="1684"/>
      <c r="H320" s="1684"/>
      <c r="I320" s="1684"/>
      <c r="J320" s="1684"/>
      <c r="K320" s="1685" t="str">
        <f t="shared" si="60"/>
        <v/>
      </c>
      <c r="L320" s="1685" t="str">
        <f t="shared" si="61"/>
        <v/>
      </c>
      <c r="M320" s="1686"/>
      <c r="N320" s="1668"/>
    </row>
    <row r="321" spans="1:14" ht="14.5">
      <c r="A321" s="1655">
        <f t="shared" si="62"/>
        <v>0</v>
      </c>
      <c r="B321" s="1409"/>
      <c r="C321" s="1621" t="s">
        <v>4984</v>
      </c>
      <c r="D321" s="1683"/>
      <c r="E321" s="1678">
        <f t="shared" si="63"/>
        <v>0</v>
      </c>
      <c r="F321" s="1687"/>
      <c r="G321" s="1684"/>
      <c r="H321" s="1684"/>
      <c r="I321" s="1684"/>
      <c r="J321" s="1684"/>
      <c r="K321" s="1685" t="str">
        <f t="shared" si="60"/>
        <v/>
      </c>
      <c r="L321" s="1685" t="str">
        <f t="shared" si="61"/>
        <v/>
      </c>
      <c r="M321" s="1686"/>
      <c r="N321" s="1668"/>
    </row>
    <row r="322" spans="1:14" ht="14.5">
      <c r="A322" s="1655">
        <f t="shared" si="62"/>
        <v>0</v>
      </c>
      <c r="B322" s="1409"/>
      <c r="C322" s="1621" t="s">
        <v>4985</v>
      </c>
      <c r="D322" s="1683"/>
      <c r="E322" s="1678">
        <f t="shared" si="63"/>
        <v>0</v>
      </c>
      <c r="F322" s="1687"/>
      <c r="G322" s="1684"/>
      <c r="H322" s="1684"/>
      <c r="I322" s="1684"/>
      <c r="J322" s="1684"/>
      <c r="K322" s="1685" t="str">
        <f t="shared" si="60"/>
        <v/>
      </c>
      <c r="L322" s="1685" t="str">
        <f t="shared" si="61"/>
        <v/>
      </c>
      <c r="M322" s="1686"/>
      <c r="N322" s="1668"/>
    </row>
    <row r="323" spans="1:14" ht="14.5">
      <c r="A323" s="1655">
        <f t="shared" si="62"/>
        <v>0</v>
      </c>
      <c r="B323" s="1688"/>
      <c r="C323" s="1689" t="s">
        <v>4986</v>
      </c>
      <c r="D323" s="1690"/>
      <c r="E323" s="1691">
        <f t="shared" si="63"/>
        <v>0</v>
      </c>
      <c r="F323" s="1692"/>
      <c r="G323" s="1693"/>
      <c r="H323" s="1693"/>
      <c r="I323" s="1693"/>
      <c r="J323" s="1693"/>
      <c r="K323" s="1694" t="str">
        <f t="shared" si="60"/>
        <v/>
      </c>
      <c r="L323" s="1694" t="str">
        <f t="shared" si="61"/>
        <v/>
      </c>
      <c r="M323" s="1695"/>
      <c r="N323" s="1668"/>
    </row>
    <row r="324" spans="1:14" ht="14.5">
      <c r="A324" s="1674">
        <f>A298+1</f>
        <v>13</v>
      </c>
      <c r="B324" s="1675" t="s">
        <v>5050</v>
      </c>
      <c r="C324" s="1676"/>
      <c r="D324" s="1677"/>
      <c r="E324" s="1679">
        <f t="shared" ref="E324:I324" si="64">SUM(E325:E349)</f>
        <v>0</v>
      </c>
      <c r="F324" s="1679">
        <f t="shared" si="64"/>
        <v>0</v>
      </c>
      <c r="G324" s="1679">
        <f t="shared" si="64"/>
        <v>0</v>
      </c>
      <c r="H324" s="1679">
        <f t="shared" si="64"/>
        <v>0</v>
      </c>
      <c r="I324" s="1679">
        <f t="shared" si="64"/>
        <v>0</v>
      </c>
      <c r="J324" s="1679">
        <f>SUM(J325:J349)</f>
        <v>0</v>
      </c>
      <c r="K324" s="1680" t="str">
        <f>IFERROR(E324/$C$6,"")</f>
        <v/>
      </c>
      <c r="L324" s="1680" t="str">
        <f>IFERROR(E324/$C$7,"")</f>
        <v/>
      </c>
      <c r="M324" s="1681">
        <f>SUM(M325:M349)</f>
        <v>0</v>
      </c>
      <c r="N324" s="1668"/>
    </row>
    <row r="325" spans="1:14" ht="14.5">
      <c r="A325" s="1655">
        <f>IF(E325&lt;&gt;0,1,0)</f>
        <v>0</v>
      </c>
      <c r="B325" s="1412"/>
      <c r="C325" s="1621" t="s">
        <v>4962</v>
      </c>
      <c r="D325" s="1683"/>
      <c r="E325" s="1678">
        <f>SUM(F325:J325)</f>
        <v>0</v>
      </c>
      <c r="F325" s="1684"/>
      <c r="G325" s="1684"/>
      <c r="H325" s="1684"/>
      <c r="I325" s="1684"/>
      <c r="J325" s="1684"/>
      <c r="K325" s="1685" t="str">
        <f t="shared" ref="K325:K349" si="65">IFERROR(E325/$C$6,"")</f>
        <v/>
      </c>
      <c r="L325" s="1685" t="str">
        <f t="shared" ref="L325:L349" si="66">IFERROR(E325/$C$7,"")</f>
        <v/>
      </c>
      <c r="M325" s="1686"/>
      <c r="N325" s="1668"/>
    </row>
    <row r="326" spans="1:14" ht="14.5">
      <c r="A326" s="1655">
        <f t="shared" ref="A326:A349" si="67">IF(E326&lt;&gt;0,1,0)</f>
        <v>0</v>
      </c>
      <c r="B326" s="1409"/>
      <c r="C326" s="1621" t="s">
        <v>4963</v>
      </c>
      <c r="D326" s="1683"/>
      <c r="E326" s="1678">
        <f t="shared" ref="E326:E349" si="68">SUM(F326:J326)</f>
        <v>0</v>
      </c>
      <c r="F326" s="1687"/>
      <c r="G326" s="1684"/>
      <c r="H326" s="1684"/>
      <c r="I326" s="1684"/>
      <c r="J326" s="1684"/>
      <c r="K326" s="1685" t="str">
        <f t="shared" si="65"/>
        <v/>
      </c>
      <c r="L326" s="1685" t="str">
        <f t="shared" si="66"/>
        <v/>
      </c>
      <c r="M326" s="1686"/>
      <c r="N326" s="1668"/>
    </row>
    <row r="327" spans="1:14" ht="14.5">
      <c r="A327" s="1655">
        <f t="shared" si="67"/>
        <v>0</v>
      </c>
      <c r="B327" s="1409"/>
      <c r="C327" s="1621" t="s">
        <v>4964</v>
      </c>
      <c r="D327" s="1683"/>
      <c r="E327" s="1678">
        <f t="shared" si="68"/>
        <v>0</v>
      </c>
      <c r="F327" s="1687"/>
      <c r="G327" s="1684"/>
      <c r="H327" s="1684"/>
      <c r="I327" s="1684"/>
      <c r="J327" s="1684"/>
      <c r="K327" s="1685" t="str">
        <f t="shared" si="65"/>
        <v/>
      </c>
      <c r="L327" s="1685" t="str">
        <f t="shared" si="66"/>
        <v/>
      </c>
      <c r="M327" s="1686"/>
      <c r="N327" s="1668"/>
    </row>
    <row r="328" spans="1:14" ht="14.5">
      <c r="A328" s="1655">
        <f t="shared" si="67"/>
        <v>0</v>
      </c>
      <c r="B328" s="1409"/>
      <c r="C328" s="1621" t="s">
        <v>4965</v>
      </c>
      <c r="D328" s="1683"/>
      <c r="E328" s="1678">
        <f t="shared" si="68"/>
        <v>0</v>
      </c>
      <c r="F328" s="1687"/>
      <c r="G328" s="1684"/>
      <c r="H328" s="1684"/>
      <c r="I328" s="1684"/>
      <c r="J328" s="1684"/>
      <c r="K328" s="1685" t="str">
        <f t="shared" si="65"/>
        <v/>
      </c>
      <c r="L328" s="1685" t="str">
        <f t="shared" si="66"/>
        <v/>
      </c>
      <c r="M328" s="1686"/>
      <c r="N328" s="1668"/>
    </row>
    <row r="329" spans="1:14" ht="14.5">
      <c r="A329" s="1655">
        <f t="shared" si="67"/>
        <v>0</v>
      </c>
      <c r="B329" s="1409"/>
      <c r="C329" s="1621" t="s">
        <v>4966</v>
      </c>
      <c r="D329" s="1683"/>
      <c r="E329" s="1678">
        <f t="shared" si="68"/>
        <v>0</v>
      </c>
      <c r="F329" s="1687"/>
      <c r="G329" s="1684"/>
      <c r="H329" s="1684"/>
      <c r="I329" s="1684"/>
      <c r="J329" s="1684"/>
      <c r="K329" s="1685" t="str">
        <f t="shared" si="65"/>
        <v/>
      </c>
      <c r="L329" s="1685" t="str">
        <f t="shared" si="66"/>
        <v/>
      </c>
      <c r="M329" s="1686"/>
      <c r="N329" s="1668"/>
    </row>
    <row r="330" spans="1:14" ht="14.5">
      <c r="A330" s="1655">
        <f t="shared" si="67"/>
        <v>0</v>
      </c>
      <c r="B330" s="1409"/>
      <c r="C330" s="1621" t="s">
        <v>4967</v>
      </c>
      <c r="D330" s="1683"/>
      <c r="E330" s="1678">
        <f t="shared" si="68"/>
        <v>0</v>
      </c>
      <c r="F330" s="1687"/>
      <c r="G330" s="1684"/>
      <c r="H330" s="1684"/>
      <c r="I330" s="1684"/>
      <c r="J330" s="1684"/>
      <c r="K330" s="1685" t="str">
        <f t="shared" si="65"/>
        <v/>
      </c>
      <c r="L330" s="1685" t="str">
        <f t="shared" si="66"/>
        <v/>
      </c>
      <c r="M330" s="1686"/>
      <c r="N330" s="1668"/>
    </row>
    <row r="331" spans="1:14" ht="14.5">
      <c r="A331" s="1655">
        <f t="shared" si="67"/>
        <v>0</v>
      </c>
      <c r="B331" s="1409"/>
      <c r="C331" s="1621" t="s">
        <v>4968</v>
      </c>
      <c r="D331" s="1683"/>
      <c r="E331" s="1678">
        <f t="shared" si="68"/>
        <v>0</v>
      </c>
      <c r="F331" s="1687"/>
      <c r="G331" s="1684"/>
      <c r="H331" s="1684"/>
      <c r="I331" s="1684"/>
      <c r="J331" s="1684"/>
      <c r="K331" s="1685" t="str">
        <f t="shared" si="65"/>
        <v/>
      </c>
      <c r="L331" s="1685" t="str">
        <f t="shared" si="66"/>
        <v/>
      </c>
      <c r="M331" s="1686"/>
      <c r="N331" s="1668"/>
    </row>
    <row r="332" spans="1:14" ht="14.5">
      <c r="A332" s="1655">
        <f t="shared" si="67"/>
        <v>0</v>
      </c>
      <c r="B332" s="1409"/>
      <c r="C332" s="1621" t="s">
        <v>4969</v>
      </c>
      <c r="D332" s="1683"/>
      <c r="E332" s="1678">
        <f t="shared" si="68"/>
        <v>0</v>
      </c>
      <c r="F332" s="1687"/>
      <c r="G332" s="1684"/>
      <c r="H332" s="1684"/>
      <c r="I332" s="1684"/>
      <c r="J332" s="1684"/>
      <c r="K332" s="1685" t="str">
        <f t="shared" si="65"/>
        <v/>
      </c>
      <c r="L332" s="1685" t="str">
        <f t="shared" si="66"/>
        <v/>
      </c>
      <c r="M332" s="1686"/>
      <c r="N332" s="1668"/>
    </row>
    <row r="333" spans="1:14" ht="14.5">
      <c r="A333" s="1655">
        <f t="shared" si="67"/>
        <v>0</v>
      </c>
      <c r="B333" s="1409"/>
      <c r="C333" s="1621" t="s">
        <v>4970</v>
      </c>
      <c r="D333" s="1683"/>
      <c r="E333" s="1678">
        <f t="shared" si="68"/>
        <v>0</v>
      </c>
      <c r="F333" s="1687"/>
      <c r="G333" s="1684"/>
      <c r="H333" s="1684"/>
      <c r="I333" s="1684"/>
      <c r="J333" s="1684"/>
      <c r="K333" s="1685" t="str">
        <f t="shared" si="65"/>
        <v/>
      </c>
      <c r="L333" s="1685" t="str">
        <f t="shared" si="66"/>
        <v/>
      </c>
      <c r="M333" s="1686"/>
      <c r="N333" s="1668"/>
    </row>
    <row r="334" spans="1:14" ht="14.5">
      <c r="A334" s="1655">
        <f t="shared" si="67"/>
        <v>0</v>
      </c>
      <c r="B334" s="1409"/>
      <c r="C334" s="1621" t="s">
        <v>4971</v>
      </c>
      <c r="D334" s="1683"/>
      <c r="E334" s="1678">
        <f t="shared" si="68"/>
        <v>0</v>
      </c>
      <c r="F334" s="1687"/>
      <c r="G334" s="1684"/>
      <c r="H334" s="1684"/>
      <c r="I334" s="1684"/>
      <c r="J334" s="1684"/>
      <c r="K334" s="1685" t="str">
        <f t="shared" si="65"/>
        <v/>
      </c>
      <c r="L334" s="1685" t="str">
        <f t="shared" si="66"/>
        <v/>
      </c>
      <c r="M334" s="1686"/>
      <c r="N334" s="1668"/>
    </row>
    <row r="335" spans="1:14" ht="14.5">
      <c r="A335" s="1655">
        <f t="shared" si="67"/>
        <v>0</v>
      </c>
      <c r="B335" s="1409"/>
      <c r="C335" s="1621" t="s">
        <v>4972</v>
      </c>
      <c r="D335" s="1683"/>
      <c r="E335" s="1678">
        <f t="shared" si="68"/>
        <v>0</v>
      </c>
      <c r="F335" s="1687"/>
      <c r="G335" s="1684"/>
      <c r="H335" s="1684"/>
      <c r="I335" s="1684"/>
      <c r="J335" s="1684"/>
      <c r="K335" s="1685" t="str">
        <f t="shared" si="65"/>
        <v/>
      </c>
      <c r="L335" s="1685" t="str">
        <f t="shared" si="66"/>
        <v/>
      </c>
      <c r="M335" s="1686"/>
      <c r="N335" s="1668"/>
    </row>
    <row r="336" spans="1:14" ht="14.5">
      <c r="A336" s="1655">
        <f t="shared" si="67"/>
        <v>0</v>
      </c>
      <c r="B336" s="1412"/>
      <c r="C336" s="1621" t="s">
        <v>4973</v>
      </c>
      <c r="D336" s="1683"/>
      <c r="E336" s="1678">
        <f t="shared" si="68"/>
        <v>0</v>
      </c>
      <c r="F336" s="1687"/>
      <c r="G336" s="1684"/>
      <c r="H336" s="1684"/>
      <c r="I336" s="1684"/>
      <c r="J336" s="1684"/>
      <c r="K336" s="1685" t="str">
        <f t="shared" si="65"/>
        <v/>
      </c>
      <c r="L336" s="1685" t="str">
        <f t="shared" si="66"/>
        <v/>
      </c>
      <c r="M336" s="1686"/>
      <c r="N336" s="1668"/>
    </row>
    <row r="337" spans="1:14" ht="14.5">
      <c r="A337" s="1655">
        <f t="shared" si="67"/>
        <v>0</v>
      </c>
      <c r="B337" s="1412"/>
      <c r="C337" s="1621" t="s">
        <v>4974</v>
      </c>
      <c r="D337" s="1683"/>
      <c r="E337" s="1678">
        <f t="shared" si="68"/>
        <v>0</v>
      </c>
      <c r="F337" s="1687"/>
      <c r="G337" s="1684"/>
      <c r="H337" s="1684"/>
      <c r="I337" s="1684"/>
      <c r="J337" s="1684"/>
      <c r="K337" s="1685" t="str">
        <f t="shared" si="65"/>
        <v/>
      </c>
      <c r="L337" s="1685" t="str">
        <f t="shared" si="66"/>
        <v/>
      </c>
      <c r="M337" s="1686"/>
      <c r="N337" s="1668"/>
    </row>
    <row r="338" spans="1:14" ht="14.5">
      <c r="A338" s="1655">
        <f t="shared" si="67"/>
        <v>0</v>
      </c>
      <c r="B338" s="1409"/>
      <c r="C338" s="1621" t="s">
        <v>4975</v>
      </c>
      <c r="D338" s="1683"/>
      <c r="E338" s="1678">
        <f t="shared" si="68"/>
        <v>0</v>
      </c>
      <c r="F338" s="1687"/>
      <c r="G338" s="1684"/>
      <c r="H338" s="1684"/>
      <c r="I338" s="1684"/>
      <c r="J338" s="1684"/>
      <c r="K338" s="1685" t="str">
        <f t="shared" si="65"/>
        <v/>
      </c>
      <c r="L338" s="1685" t="str">
        <f t="shared" si="66"/>
        <v/>
      </c>
      <c r="M338" s="1686"/>
      <c r="N338" s="1668"/>
    </row>
    <row r="339" spans="1:14" ht="14.5">
      <c r="A339" s="1655">
        <f t="shared" si="67"/>
        <v>0</v>
      </c>
      <c r="B339" s="1409"/>
      <c r="C339" s="1621" t="s">
        <v>4976</v>
      </c>
      <c r="D339" s="1683"/>
      <c r="E339" s="1678">
        <f t="shared" si="68"/>
        <v>0</v>
      </c>
      <c r="F339" s="1687"/>
      <c r="G339" s="1684"/>
      <c r="H339" s="1684"/>
      <c r="I339" s="1684"/>
      <c r="J339" s="1684"/>
      <c r="K339" s="1685" t="str">
        <f t="shared" si="65"/>
        <v/>
      </c>
      <c r="L339" s="1685" t="str">
        <f t="shared" si="66"/>
        <v/>
      </c>
      <c r="M339" s="1686"/>
      <c r="N339" s="1668"/>
    </row>
    <row r="340" spans="1:14" ht="14.5">
      <c r="A340" s="1655">
        <f t="shared" si="67"/>
        <v>0</v>
      </c>
      <c r="B340" s="1409"/>
      <c r="C340" s="1621" t="s">
        <v>4977</v>
      </c>
      <c r="D340" s="1683"/>
      <c r="E340" s="1678">
        <f t="shared" si="68"/>
        <v>0</v>
      </c>
      <c r="F340" s="1687"/>
      <c r="G340" s="1684"/>
      <c r="H340" s="1684"/>
      <c r="I340" s="1684"/>
      <c r="J340" s="1684"/>
      <c r="K340" s="1685" t="str">
        <f t="shared" si="65"/>
        <v/>
      </c>
      <c r="L340" s="1685" t="str">
        <f t="shared" si="66"/>
        <v/>
      </c>
      <c r="M340" s="1686"/>
      <c r="N340" s="1668"/>
    </row>
    <row r="341" spans="1:14" ht="14.5">
      <c r="A341" s="1655">
        <f t="shared" si="67"/>
        <v>0</v>
      </c>
      <c r="B341" s="1409"/>
      <c r="C341" s="1621" t="s">
        <v>4978</v>
      </c>
      <c r="D341" s="1683"/>
      <c r="E341" s="1678">
        <f t="shared" si="68"/>
        <v>0</v>
      </c>
      <c r="F341" s="1687"/>
      <c r="G341" s="1684"/>
      <c r="H341" s="1684"/>
      <c r="I341" s="1684"/>
      <c r="J341" s="1684"/>
      <c r="K341" s="1685" t="str">
        <f t="shared" si="65"/>
        <v/>
      </c>
      <c r="L341" s="1685" t="str">
        <f t="shared" si="66"/>
        <v/>
      </c>
      <c r="M341" s="1686"/>
      <c r="N341" s="1668"/>
    </row>
    <row r="342" spans="1:14" ht="14.5">
      <c r="A342" s="1655">
        <f t="shared" si="67"/>
        <v>0</v>
      </c>
      <c r="B342" s="1409"/>
      <c r="C342" s="1621" t="s">
        <v>4979</v>
      </c>
      <c r="D342" s="1683"/>
      <c r="E342" s="1678">
        <f t="shared" si="68"/>
        <v>0</v>
      </c>
      <c r="F342" s="1687"/>
      <c r="G342" s="1684"/>
      <c r="H342" s="1684"/>
      <c r="I342" s="1684"/>
      <c r="J342" s="1684"/>
      <c r="K342" s="1685" t="str">
        <f t="shared" si="65"/>
        <v/>
      </c>
      <c r="L342" s="1685" t="str">
        <f t="shared" si="66"/>
        <v/>
      </c>
      <c r="M342" s="1686"/>
      <c r="N342" s="1668"/>
    </row>
    <row r="343" spans="1:14" ht="14.5">
      <c r="A343" s="1655">
        <f t="shared" si="67"/>
        <v>0</v>
      </c>
      <c r="B343" s="1409"/>
      <c r="C343" s="1621" t="s">
        <v>4980</v>
      </c>
      <c r="D343" s="1683"/>
      <c r="E343" s="1678">
        <f t="shared" si="68"/>
        <v>0</v>
      </c>
      <c r="F343" s="1687"/>
      <c r="G343" s="1684"/>
      <c r="H343" s="1684"/>
      <c r="I343" s="1684"/>
      <c r="J343" s="1684"/>
      <c r="K343" s="1685" t="str">
        <f t="shared" si="65"/>
        <v/>
      </c>
      <c r="L343" s="1685" t="str">
        <f t="shared" si="66"/>
        <v/>
      </c>
      <c r="M343" s="1686"/>
      <c r="N343" s="1668"/>
    </row>
    <row r="344" spans="1:14" ht="14.5">
      <c r="A344" s="1655">
        <f t="shared" si="67"/>
        <v>0</v>
      </c>
      <c r="B344" s="1409"/>
      <c r="C344" s="1621" t="s">
        <v>4981</v>
      </c>
      <c r="D344" s="1683"/>
      <c r="E344" s="1678">
        <f t="shared" si="68"/>
        <v>0</v>
      </c>
      <c r="F344" s="1687"/>
      <c r="G344" s="1684"/>
      <c r="H344" s="1684"/>
      <c r="I344" s="1684"/>
      <c r="J344" s="1684"/>
      <c r="K344" s="1685" t="str">
        <f t="shared" si="65"/>
        <v/>
      </c>
      <c r="L344" s="1685" t="str">
        <f t="shared" si="66"/>
        <v/>
      </c>
      <c r="M344" s="1686"/>
      <c r="N344" s="1668"/>
    </row>
    <row r="345" spans="1:14" ht="14.5">
      <c r="A345" s="1655">
        <f t="shared" si="67"/>
        <v>0</v>
      </c>
      <c r="B345" s="1409"/>
      <c r="C345" s="1621" t="s">
        <v>4982</v>
      </c>
      <c r="D345" s="1683"/>
      <c r="E345" s="1678">
        <f t="shared" si="68"/>
        <v>0</v>
      </c>
      <c r="F345" s="1687"/>
      <c r="G345" s="1684"/>
      <c r="H345" s="1684"/>
      <c r="I345" s="1684"/>
      <c r="J345" s="1684"/>
      <c r="K345" s="1685" t="str">
        <f t="shared" si="65"/>
        <v/>
      </c>
      <c r="L345" s="1685" t="str">
        <f t="shared" si="66"/>
        <v/>
      </c>
      <c r="M345" s="1686"/>
      <c r="N345" s="1668"/>
    </row>
    <row r="346" spans="1:14" ht="14.5">
      <c r="A346" s="1655">
        <f t="shared" si="67"/>
        <v>0</v>
      </c>
      <c r="B346" s="1409"/>
      <c r="C346" s="1621" t="s">
        <v>4983</v>
      </c>
      <c r="D346" s="1683"/>
      <c r="E346" s="1678">
        <f t="shared" si="68"/>
        <v>0</v>
      </c>
      <c r="F346" s="1687"/>
      <c r="G346" s="1684"/>
      <c r="H346" s="1684"/>
      <c r="I346" s="1684"/>
      <c r="J346" s="1684"/>
      <c r="K346" s="1685" t="str">
        <f t="shared" si="65"/>
        <v/>
      </c>
      <c r="L346" s="1685" t="str">
        <f t="shared" si="66"/>
        <v/>
      </c>
      <c r="M346" s="1686"/>
      <c r="N346" s="1668"/>
    </row>
    <row r="347" spans="1:14" ht="14.5">
      <c r="A347" s="1655">
        <f t="shared" si="67"/>
        <v>0</v>
      </c>
      <c r="B347" s="1409"/>
      <c r="C347" s="1621" t="s">
        <v>4984</v>
      </c>
      <c r="D347" s="1683"/>
      <c r="E347" s="1678">
        <f t="shared" si="68"/>
        <v>0</v>
      </c>
      <c r="F347" s="1687"/>
      <c r="G347" s="1684"/>
      <c r="H347" s="1684"/>
      <c r="I347" s="1684"/>
      <c r="J347" s="1684"/>
      <c r="K347" s="1685" t="str">
        <f t="shared" si="65"/>
        <v/>
      </c>
      <c r="L347" s="1685" t="str">
        <f t="shared" si="66"/>
        <v/>
      </c>
      <c r="M347" s="1686"/>
      <c r="N347" s="1668"/>
    </row>
    <row r="348" spans="1:14" ht="14.5">
      <c r="A348" s="1655">
        <f t="shared" si="67"/>
        <v>0</v>
      </c>
      <c r="B348" s="1409"/>
      <c r="C348" s="1621" t="s">
        <v>4985</v>
      </c>
      <c r="D348" s="1683"/>
      <c r="E348" s="1678">
        <f t="shared" si="68"/>
        <v>0</v>
      </c>
      <c r="F348" s="1687"/>
      <c r="G348" s="1684"/>
      <c r="H348" s="1684"/>
      <c r="I348" s="1684"/>
      <c r="J348" s="1684"/>
      <c r="K348" s="1685" t="str">
        <f t="shared" si="65"/>
        <v/>
      </c>
      <c r="L348" s="1685" t="str">
        <f t="shared" si="66"/>
        <v/>
      </c>
      <c r="M348" s="1686"/>
      <c r="N348" s="1668"/>
    </row>
    <row r="349" spans="1:14" ht="14.5">
      <c r="A349" s="1655">
        <f t="shared" si="67"/>
        <v>0</v>
      </c>
      <c r="B349" s="1688"/>
      <c r="C349" s="1689" t="s">
        <v>4986</v>
      </c>
      <c r="D349" s="1690"/>
      <c r="E349" s="1691">
        <f t="shared" si="68"/>
        <v>0</v>
      </c>
      <c r="F349" s="1692"/>
      <c r="G349" s="1693"/>
      <c r="H349" s="1693"/>
      <c r="I349" s="1693"/>
      <c r="J349" s="1693"/>
      <c r="K349" s="1694" t="str">
        <f t="shared" si="65"/>
        <v/>
      </c>
      <c r="L349" s="1694" t="str">
        <f t="shared" si="66"/>
        <v/>
      </c>
      <c r="M349" s="1695"/>
      <c r="N349" s="1668"/>
    </row>
    <row r="350" spans="1:14" ht="14.5">
      <c r="A350" s="1674">
        <f>A324+1</f>
        <v>14</v>
      </c>
      <c r="B350" s="1675" t="s">
        <v>5050</v>
      </c>
      <c r="C350" s="1676"/>
      <c r="D350" s="1677"/>
      <c r="E350" s="1679">
        <f t="shared" ref="E350:I350" si="69">SUM(E351:E375)</f>
        <v>0</v>
      </c>
      <c r="F350" s="1679">
        <f t="shared" si="69"/>
        <v>0</v>
      </c>
      <c r="G350" s="1679">
        <f t="shared" si="69"/>
        <v>0</v>
      </c>
      <c r="H350" s="1679">
        <f t="shared" si="69"/>
        <v>0</v>
      </c>
      <c r="I350" s="1679">
        <f t="shared" si="69"/>
        <v>0</v>
      </c>
      <c r="J350" s="1679">
        <f>SUM(J351:J375)</f>
        <v>0</v>
      </c>
      <c r="K350" s="1680" t="str">
        <f>IFERROR(E350/$C$6,"")</f>
        <v/>
      </c>
      <c r="L350" s="1680" t="str">
        <f>IFERROR(E350/$C$7,"")</f>
        <v/>
      </c>
      <c r="M350" s="1681">
        <f>SUM(M351:M375)</f>
        <v>0</v>
      </c>
      <c r="N350" s="1668"/>
    </row>
    <row r="351" spans="1:14" ht="14.5">
      <c r="A351" s="1655">
        <f>IF(E351&lt;&gt;0,1,0)</f>
        <v>0</v>
      </c>
      <c r="B351" s="1412"/>
      <c r="C351" s="1621" t="s">
        <v>4962</v>
      </c>
      <c r="D351" s="1683"/>
      <c r="E351" s="1678">
        <f>SUM(F351:J351)</f>
        <v>0</v>
      </c>
      <c r="F351" s="1684"/>
      <c r="G351" s="1684"/>
      <c r="H351" s="1684"/>
      <c r="I351" s="1684"/>
      <c r="J351" s="1684"/>
      <c r="K351" s="1685" t="str">
        <f t="shared" ref="K351:K375" si="70">IFERROR(E351/$C$6,"")</f>
        <v/>
      </c>
      <c r="L351" s="1685" t="str">
        <f t="shared" ref="L351:L375" si="71">IFERROR(E351/$C$7,"")</f>
        <v/>
      </c>
      <c r="M351" s="1686"/>
      <c r="N351" s="1668"/>
    </row>
    <row r="352" spans="1:14" ht="14.5">
      <c r="A352" s="1655">
        <f t="shared" ref="A352:A375" si="72">IF(E352&lt;&gt;0,1,0)</f>
        <v>0</v>
      </c>
      <c r="B352" s="1409"/>
      <c r="C352" s="1621" t="s">
        <v>4963</v>
      </c>
      <c r="D352" s="1683"/>
      <c r="E352" s="1678">
        <f t="shared" ref="E352:E375" si="73">SUM(F352:J352)</f>
        <v>0</v>
      </c>
      <c r="F352" s="1687"/>
      <c r="G352" s="1684"/>
      <c r="H352" s="1684"/>
      <c r="I352" s="1684"/>
      <c r="J352" s="1684"/>
      <c r="K352" s="1685" t="str">
        <f t="shared" si="70"/>
        <v/>
      </c>
      <c r="L352" s="1685" t="str">
        <f t="shared" si="71"/>
        <v/>
      </c>
      <c r="M352" s="1686"/>
      <c r="N352" s="1668"/>
    </row>
    <row r="353" spans="1:14" ht="14.5">
      <c r="A353" s="1655">
        <f t="shared" si="72"/>
        <v>0</v>
      </c>
      <c r="B353" s="1409"/>
      <c r="C353" s="1621" t="s">
        <v>4964</v>
      </c>
      <c r="D353" s="1683"/>
      <c r="E353" s="1678">
        <f t="shared" si="73"/>
        <v>0</v>
      </c>
      <c r="F353" s="1687"/>
      <c r="G353" s="1684"/>
      <c r="H353" s="1684"/>
      <c r="I353" s="1684"/>
      <c r="J353" s="1684"/>
      <c r="K353" s="1685" t="str">
        <f t="shared" si="70"/>
        <v/>
      </c>
      <c r="L353" s="1685" t="str">
        <f t="shared" si="71"/>
        <v/>
      </c>
      <c r="M353" s="1686"/>
      <c r="N353" s="1668"/>
    </row>
    <row r="354" spans="1:14" ht="14.5">
      <c r="A354" s="1655">
        <f t="shared" si="72"/>
        <v>0</v>
      </c>
      <c r="B354" s="1409"/>
      <c r="C354" s="1621" t="s">
        <v>4965</v>
      </c>
      <c r="D354" s="1683"/>
      <c r="E354" s="1678">
        <f t="shared" si="73"/>
        <v>0</v>
      </c>
      <c r="F354" s="1687"/>
      <c r="G354" s="1684"/>
      <c r="H354" s="1684"/>
      <c r="I354" s="1684"/>
      <c r="J354" s="1684"/>
      <c r="K354" s="1685" t="str">
        <f t="shared" si="70"/>
        <v/>
      </c>
      <c r="L354" s="1685" t="str">
        <f t="shared" si="71"/>
        <v/>
      </c>
      <c r="M354" s="1686"/>
      <c r="N354" s="1668"/>
    </row>
    <row r="355" spans="1:14" ht="14.5">
      <c r="A355" s="1655">
        <f t="shared" si="72"/>
        <v>0</v>
      </c>
      <c r="B355" s="1409"/>
      <c r="C355" s="1621" t="s">
        <v>4966</v>
      </c>
      <c r="D355" s="1683"/>
      <c r="E355" s="1678">
        <f t="shared" si="73"/>
        <v>0</v>
      </c>
      <c r="F355" s="1687"/>
      <c r="G355" s="1684"/>
      <c r="H355" s="1684"/>
      <c r="I355" s="1684"/>
      <c r="J355" s="1684"/>
      <c r="K355" s="1685" t="str">
        <f t="shared" si="70"/>
        <v/>
      </c>
      <c r="L355" s="1685" t="str">
        <f t="shared" si="71"/>
        <v/>
      </c>
      <c r="M355" s="1686"/>
      <c r="N355" s="1668"/>
    </row>
    <row r="356" spans="1:14" ht="14.5">
      <c r="A356" s="1655">
        <f t="shared" si="72"/>
        <v>0</v>
      </c>
      <c r="B356" s="1409"/>
      <c r="C356" s="1621" t="s">
        <v>4967</v>
      </c>
      <c r="D356" s="1683"/>
      <c r="E356" s="1678">
        <f t="shared" si="73"/>
        <v>0</v>
      </c>
      <c r="F356" s="1687"/>
      <c r="G356" s="1684"/>
      <c r="H356" s="1684"/>
      <c r="I356" s="1684"/>
      <c r="J356" s="1684"/>
      <c r="K356" s="1685" t="str">
        <f t="shared" si="70"/>
        <v/>
      </c>
      <c r="L356" s="1685" t="str">
        <f t="shared" si="71"/>
        <v/>
      </c>
      <c r="M356" s="1686"/>
      <c r="N356" s="1668"/>
    </row>
    <row r="357" spans="1:14" ht="14.5">
      <c r="A357" s="1655">
        <f t="shared" si="72"/>
        <v>0</v>
      </c>
      <c r="B357" s="1409"/>
      <c r="C357" s="1621" t="s">
        <v>4968</v>
      </c>
      <c r="D357" s="1683"/>
      <c r="E357" s="1678">
        <f t="shared" si="73"/>
        <v>0</v>
      </c>
      <c r="F357" s="1687"/>
      <c r="G357" s="1684"/>
      <c r="H357" s="1684"/>
      <c r="I357" s="1684"/>
      <c r="J357" s="1684"/>
      <c r="K357" s="1685" t="str">
        <f t="shared" si="70"/>
        <v/>
      </c>
      <c r="L357" s="1685" t="str">
        <f t="shared" si="71"/>
        <v/>
      </c>
      <c r="M357" s="1686"/>
      <c r="N357" s="1668"/>
    </row>
    <row r="358" spans="1:14" ht="14.5">
      <c r="A358" s="1655">
        <f t="shared" si="72"/>
        <v>0</v>
      </c>
      <c r="B358" s="1409"/>
      <c r="C358" s="1621" t="s">
        <v>4969</v>
      </c>
      <c r="D358" s="1683"/>
      <c r="E358" s="1678">
        <f t="shared" si="73"/>
        <v>0</v>
      </c>
      <c r="F358" s="1687"/>
      <c r="G358" s="1684"/>
      <c r="H358" s="1684"/>
      <c r="I358" s="1684"/>
      <c r="J358" s="1684"/>
      <c r="K358" s="1685" t="str">
        <f t="shared" si="70"/>
        <v/>
      </c>
      <c r="L358" s="1685" t="str">
        <f t="shared" si="71"/>
        <v/>
      </c>
      <c r="M358" s="1686"/>
      <c r="N358" s="1668"/>
    </row>
    <row r="359" spans="1:14" ht="14.5">
      <c r="A359" s="1655">
        <f t="shared" si="72"/>
        <v>0</v>
      </c>
      <c r="B359" s="1409"/>
      <c r="C359" s="1621" t="s">
        <v>4970</v>
      </c>
      <c r="D359" s="1683"/>
      <c r="E359" s="1678">
        <f t="shared" si="73"/>
        <v>0</v>
      </c>
      <c r="F359" s="1687"/>
      <c r="G359" s="1684"/>
      <c r="H359" s="1684"/>
      <c r="I359" s="1684"/>
      <c r="J359" s="1684"/>
      <c r="K359" s="1685" t="str">
        <f t="shared" si="70"/>
        <v/>
      </c>
      <c r="L359" s="1685" t="str">
        <f t="shared" si="71"/>
        <v/>
      </c>
      <c r="M359" s="1686"/>
      <c r="N359" s="1668"/>
    </row>
    <row r="360" spans="1:14" ht="14.5">
      <c r="A360" s="1655">
        <f t="shared" si="72"/>
        <v>0</v>
      </c>
      <c r="B360" s="1409"/>
      <c r="C360" s="1621" t="s">
        <v>4971</v>
      </c>
      <c r="D360" s="1683"/>
      <c r="E360" s="1678">
        <f t="shared" si="73"/>
        <v>0</v>
      </c>
      <c r="F360" s="1687"/>
      <c r="G360" s="1684"/>
      <c r="H360" s="1684"/>
      <c r="I360" s="1684"/>
      <c r="J360" s="1684"/>
      <c r="K360" s="1685" t="str">
        <f t="shared" si="70"/>
        <v/>
      </c>
      <c r="L360" s="1685" t="str">
        <f t="shared" si="71"/>
        <v/>
      </c>
      <c r="M360" s="1686"/>
      <c r="N360" s="1668"/>
    </row>
    <row r="361" spans="1:14" ht="14.5">
      <c r="A361" s="1655">
        <f t="shared" si="72"/>
        <v>0</v>
      </c>
      <c r="B361" s="1409"/>
      <c r="C361" s="1621" t="s">
        <v>4972</v>
      </c>
      <c r="D361" s="1683"/>
      <c r="E361" s="1678">
        <f t="shared" si="73"/>
        <v>0</v>
      </c>
      <c r="F361" s="1687"/>
      <c r="G361" s="1684"/>
      <c r="H361" s="1684"/>
      <c r="I361" s="1684"/>
      <c r="J361" s="1684"/>
      <c r="K361" s="1685" t="str">
        <f t="shared" si="70"/>
        <v/>
      </c>
      <c r="L361" s="1685" t="str">
        <f t="shared" si="71"/>
        <v/>
      </c>
      <c r="M361" s="1686"/>
      <c r="N361" s="1668"/>
    </row>
    <row r="362" spans="1:14" ht="14.5">
      <c r="A362" s="1655">
        <f t="shared" si="72"/>
        <v>0</v>
      </c>
      <c r="B362" s="1412"/>
      <c r="C362" s="1621" t="s">
        <v>4973</v>
      </c>
      <c r="D362" s="1683"/>
      <c r="E362" s="1678">
        <f t="shared" si="73"/>
        <v>0</v>
      </c>
      <c r="F362" s="1687"/>
      <c r="G362" s="1684"/>
      <c r="H362" s="1684"/>
      <c r="I362" s="1684"/>
      <c r="J362" s="1684"/>
      <c r="K362" s="1685" t="str">
        <f t="shared" si="70"/>
        <v/>
      </c>
      <c r="L362" s="1685" t="str">
        <f t="shared" si="71"/>
        <v/>
      </c>
      <c r="M362" s="1686"/>
      <c r="N362" s="1668"/>
    </row>
    <row r="363" spans="1:14" ht="14.5">
      <c r="A363" s="1655">
        <f t="shared" si="72"/>
        <v>0</v>
      </c>
      <c r="B363" s="1412"/>
      <c r="C363" s="1621" t="s">
        <v>4974</v>
      </c>
      <c r="D363" s="1683"/>
      <c r="E363" s="1678">
        <f t="shared" si="73"/>
        <v>0</v>
      </c>
      <c r="F363" s="1687"/>
      <c r="G363" s="1684"/>
      <c r="H363" s="1684"/>
      <c r="I363" s="1684"/>
      <c r="J363" s="1684"/>
      <c r="K363" s="1685" t="str">
        <f t="shared" si="70"/>
        <v/>
      </c>
      <c r="L363" s="1685" t="str">
        <f t="shared" si="71"/>
        <v/>
      </c>
      <c r="M363" s="1686"/>
      <c r="N363" s="1668"/>
    </row>
    <row r="364" spans="1:14" ht="14.5">
      <c r="A364" s="1655">
        <f t="shared" si="72"/>
        <v>0</v>
      </c>
      <c r="B364" s="1409"/>
      <c r="C364" s="1621" t="s">
        <v>4975</v>
      </c>
      <c r="D364" s="1683"/>
      <c r="E364" s="1678">
        <f t="shared" si="73"/>
        <v>0</v>
      </c>
      <c r="F364" s="1687"/>
      <c r="G364" s="1684"/>
      <c r="H364" s="1684"/>
      <c r="I364" s="1684"/>
      <c r="J364" s="1684"/>
      <c r="K364" s="1685" t="str">
        <f t="shared" si="70"/>
        <v/>
      </c>
      <c r="L364" s="1685" t="str">
        <f t="shared" si="71"/>
        <v/>
      </c>
      <c r="M364" s="1686"/>
      <c r="N364" s="1668"/>
    </row>
    <row r="365" spans="1:14" ht="14.5">
      <c r="A365" s="1655">
        <f t="shared" si="72"/>
        <v>0</v>
      </c>
      <c r="B365" s="1409"/>
      <c r="C365" s="1621" t="s">
        <v>4976</v>
      </c>
      <c r="D365" s="1683"/>
      <c r="E365" s="1678">
        <f t="shared" si="73"/>
        <v>0</v>
      </c>
      <c r="F365" s="1687"/>
      <c r="G365" s="1684"/>
      <c r="H365" s="1684"/>
      <c r="I365" s="1684"/>
      <c r="J365" s="1684"/>
      <c r="K365" s="1685" t="str">
        <f t="shared" si="70"/>
        <v/>
      </c>
      <c r="L365" s="1685" t="str">
        <f t="shared" si="71"/>
        <v/>
      </c>
      <c r="M365" s="1686"/>
      <c r="N365" s="1668"/>
    </row>
    <row r="366" spans="1:14" ht="14.5">
      <c r="A366" s="1655">
        <f t="shared" si="72"/>
        <v>0</v>
      </c>
      <c r="B366" s="1409"/>
      <c r="C366" s="1621" t="s">
        <v>4977</v>
      </c>
      <c r="D366" s="1683"/>
      <c r="E366" s="1678">
        <f t="shared" si="73"/>
        <v>0</v>
      </c>
      <c r="F366" s="1687"/>
      <c r="G366" s="1684"/>
      <c r="H366" s="1684"/>
      <c r="I366" s="1684"/>
      <c r="J366" s="1684"/>
      <c r="K366" s="1685" t="str">
        <f t="shared" si="70"/>
        <v/>
      </c>
      <c r="L366" s="1685" t="str">
        <f t="shared" si="71"/>
        <v/>
      </c>
      <c r="M366" s="1686"/>
      <c r="N366" s="1668"/>
    </row>
    <row r="367" spans="1:14" ht="14.5">
      <c r="A367" s="1655">
        <f t="shared" si="72"/>
        <v>0</v>
      </c>
      <c r="B367" s="1409"/>
      <c r="C367" s="1621" t="s">
        <v>4978</v>
      </c>
      <c r="D367" s="1683"/>
      <c r="E367" s="1678">
        <f t="shared" si="73"/>
        <v>0</v>
      </c>
      <c r="F367" s="1687"/>
      <c r="G367" s="1684"/>
      <c r="H367" s="1684"/>
      <c r="I367" s="1684"/>
      <c r="J367" s="1684"/>
      <c r="K367" s="1685" t="str">
        <f t="shared" si="70"/>
        <v/>
      </c>
      <c r="L367" s="1685" t="str">
        <f t="shared" si="71"/>
        <v/>
      </c>
      <c r="M367" s="1686"/>
      <c r="N367" s="1668"/>
    </row>
    <row r="368" spans="1:14" ht="14.5">
      <c r="A368" s="1655">
        <f t="shared" si="72"/>
        <v>0</v>
      </c>
      <c r="B368" s="1409"/>
      <c r="C368" s="1621" t="s">
        <v>4979</v>
      </c>
      <c r="D368" s="1683"/>
      <c r="E368" s="1678">
        <f t="shared" si="73"/>
        <v>0</v>
      </c>
      <c r="F368" s="1687"/>
      <c r="G368" s="1684"/>
      <c r="H368" s="1684"/>
      <c r="I368" s="1684"/>
      <c r="J368" s="1684"/>
      <c r="K368" s="1685" t="str">
        <f t="shared" si="70"/>
        <v/>
      </c>
      <c r="L368" s="1685" t="str">
        <f t="shared" si="71"/>
        <v/>
      </c>
      <c r="M368" s="1686"/>
      <c r="N368" s="1668"/>
    </row>
    <row r="369" spans="1:14" ht="14.5">
      <c r="A369" s="1655">
        <f t="shared" si="72"/>
        <v>0</v>
      </c>
      <c r="B369" s="1409"/>
      <c r="C369" s="1621" t="s">
        <v>4980</v>
      </c>
      <c r="D369" s="1683"/>
      <c r="E369" s="1678">
        <f t="shared" si="73"/>
        <v>0</v>
      </c>
      <c r="F369" s="1687"/>
      <c r="G369" s="1684"/>
      <c r="H369" s="1684"/>
      <c r="I369" s="1684"/>
      <c r="J369" s="1684"/>
      <c r="K369" s="1685" t="str">
        <f t="shared" si="70"/>
        <v/>
      </c>
      <c r="L369" s="1685" t="str">
        <f t="shared" si="71"/>
        <v/>
      </c>
      <c r="M369" s="1686"/>
      <c r="N369" s="1668"/>
    </row>
    <row r="370" spans="1:14" ht="14.5">
      <c r="A370" s="1655">
        <f t="shared" si="72"/>
        <v>0</v>
      </c>
      <c r="B370" s="1409"/>
      <c r="C370" s="1621" t="s">
        <v>4981</v>
      </c>
      <c r="D370" s="1683"/>
      <c r="E370" s="1678">
        <f t="shared" si="73"/>
        <v>0</v>
      </c>
      <c r="F370" s="1687"/>
      <c r="G370" s="1684"/>
      <c r="H370" s="1684"/>
      <c r="I370" s="1684"/>
      <c r="J370" s="1684"/>
      <c r="K370" s="1685" t="str">
        <f t="shared" si="70"/>
        <v/>
      </c>
      <c r="L370" s="1685" t="str">
        <f t="shared" si="71"/>
        <v/>
      </c>
      <c r="M370" s="1686"/>
      <c r="N370" s="1668"/>
    </row>
    <row r="371" spans="1:14" ht="14.5">
      <c r="A371" s="1655">
        <f t="shared" si="72"/>
        <v>0</v>
      </c>
      <c r="B371" s="1409"/>
      <c r="C371" s="1621" t="s">
        <v>4982</v>
      </c>
      <c r="D371" s="1683"/>
      <c r="E371" s="1678">
        <f t="shared" si="73"/>
        <v>0</v>
      </c>
      <c r="F371" s="1687"/>
      <c r="G371" s="1684"/>
      <c r="H371" s="1684"/>
      <c r="I371" s="1684"/>
      <c r="J371" s="1684"/>
      <c r="K371" s="1685" t="str">
        <f t="shared" si="70"/>
        <v/>
      </c>
      <c r="L371" s="1685" t="str">
        <f t="shared" si="71"/>
        <v/>
      </c>
      <c r="M371" s="1686"/>
      <c r="N371" s="1668"/>
    </row>
    <row r="372" spans="1:14" ht="14.5">
      <c r="A372" s="1655">
        <f t="shared" si="72"/>
        <v>0</v>
      </c>
      <c r="B372" s="1409"/>
      <c r="C372" s="1621" t="s">
        <v>4983</v>
      </c>
      <c r="D372" s="1683"/>
      <c r="E372" s="1678">
        <f t="shared" si="73"/>
        <v>0</v>
      </c>
      <c r="F372" s="1687"/>
      <c r="G372" s="1684"/>
      <c r="H372" s="1684"/>
      <c r="I372" s="1684"/>
      <c r="J372" s="1684"/>
      <c r="K372" s="1685" t="str">
        <f t="shared" si="70"/>
        <v/>
      </c>
      <c r="L372" s="1685" t="str">
        <f t="shared" si="71"/>
        <v/>
      </c>
      <c r="M372" s="1686"/>
      <c r="N372" s="1668"/>
    </row>
    <row r="373" spans="1:14" ht="14.5">
      <c r="A373" s="1655">
        <f t="shared" si="72"/>
        <v>0</v>
      </c>
      <c r="B373" s="1409"/>
      <c r="C373" s="1621" t="s">
        <v>4984</v>
      </c>
      <c r="D373" s="1683"/>
      <c r="E373" s="1678">
        <f t="shared" si="73"/>
        <v>0</v>
      </c>
      <c r="F373" s="1687"/>
      <c r="G373" s="1684"/>
      <c r="H373" s="1684"/>
      <c r="I373" s="1684"/>
      <c r="J373" s="1684"/>
      <c r="K373" s="1685" t="str">
        <f t="shared" si="70"/>
        <v/>
      </c>
      <c r="L373" s="1685" t="str">
        <f t="shared" si="71"/>
        <v/>
      </c>
      <c r="M373" s="1686"/>
      <c r="N373" s="1668"/>
    </row>
    <row r="374" spans="1:14" ht="14.5">
      <c r="A374" s="1655">
        <f t="shared" si="72"/>
        <v>0</v>
      </c>
      <c r="B374" s="1409"/>
      <c r="C374" s="1621" t="s">
        <v>4985</v>
      </c>
      <c r="D374" s="1683"/>
      <c r="E374" s="1678">
        <f t="shared" si="73"/>
        <v>0</v>
      </c>
      <c r="F374" s="1687"/>
      <c r="G374" s="1684"/>
      <c r="H374" s="1684"/>
      <c r="I374" s="1684"/>
      <c r="J374" s="1684"/>
      <c r="K374" s="1685" t="str">
        <f t="shared" si="70"/>
        <v/>
      </c>
      <c r="L374" s="1685" t="str">
        <f t="shared" si="71"/>
        <v/>
      </c>
      <c r="M374" s="1686"/>
      <c r="N374" s="1668"/>
    </row>
    <row r="375" spans="1:14" ht="14.5">
      <c r="A375" s="1655">
        <f t="shared" si="72"/>
        <v>0</v>
      </c>
      <c r="B375" s="1688"/>
      <c r="C375" s="1689" t="s">
        <v>4986</v>
      </c>
      <c r="D375" s="1690"/>
      <c r="E375" s="1691">
        <f t="shared" si="73"/>
        <v>0</v>
      </c>
      <c r="F375" s="1692"/>
      <c r="G375" s="1693"/>
      <c r="H375" s="1693"/>
      <c r="I375" s="1693"/>
      <c r="J375" s="1693"/>
      <c r="K375" s="1694" t="str">
        <f t="shared" si="70"/>
        <v/>
      </c>
      <c r="L375" s="1694" t="str">
        <f t="shared" si="71"/>
        <v/>
      </c>
      <c r="M375" s="1695"/>
      <c r="N375" s="1668"/>
    </row>
    <row r="376" spans="1:14" ht="14.5">
      <c r="A376" s="1674">
        <f>A350+1</f>
        <v>15</v>
      </c>
      <c r="B376" s="1675" t="s">
        <v>5050</v>
      </c>
      <c r="C376" s="1676"/>
      <c r="D376" s="1677"/>
      <c r="E376" s="1679">
        <f t="shared" ref="E376:I376" si="74">SUM(E377:E401)</f>
        <v>0</v>
      </c>
      <c r="F376" s="1679">
        <f t="shared" si="74"/>
        <v>0</v>
      </c>
      <c r="G376" s="1679">
        <f t="shared" si="74"/>
        <v>0</v>
      </c>
      <c r="H376" s="1679">
        <f t="shared" si="74"/>
        <v>0</v>
      </c>
      <c r="I376" s="1679">
        <f t="shared" si="74"/>
        <v>0</v>
      </c>
      <c r="J376" s="1679">
        <f>SUM(J377:J401)</f>
        <v>0</v>
      </c>
      <c r="K376" s="1680" t="str">
        <f>IFERROR(E376/$C$6,"")</f>
        <v/>
      </c>
      <c r="L376" s="1680" t="str">
        <f>IFERROR(E376/$C$7,"")</f>
        <v/>
      </c>
      <c r="M376" s="1681">
        <f>SUM(M377:M401)</f>
        <v>0</v>
      </c>
      <c r="N376" s="1668"/>
    </row>
    <row r="377" spans="1:14" ht="14.5">
      <c r="A377" s="1655">
        <f>IF(E377&lt;&gt;0,1,0)</f>
        <v>0</v>
      </c>
      <c r="B377" s="1412"/>
      <c r="C377" s="1621" t="s">
        <v>4962</v>
      </c>
      <c r="D377" s="1683"/>
      <c r="E377" s="1678">
        <f>SUM(F377:J377)</f>
        <v>0</v>
      </c>
      <c r="F377" s="1684"/>
      <c r="G377" s="1684"/>
      <c r="H377" s="1684"/>
      <c r="I377" s="1684"/>
      <c r="J377" s="1684"/>
      <c r="K377" s="1685" t="str">
        <f t="shared" ref="K377:K401" si="75">IFERROR(E377/$C$6,"")</f>
        <v/>
      </c>
      <c r="L377" s="1685" t="str">
        <f t="shared" ref="L377:L401" si="76">IFERROR(E377/$C$7,"")</f>
        <v/>
      </c>
      <c r="M377" s="1686"/>
      <c r="N377" s="1668"/>
    </row>
    <row r="378" spans="1:14" ht="14.5">
      <c r="A378" s="1655">
        <f t="shared" ref="A378:A401" si="77">IF(E378&lt;&gt;0,1,0)</f>
        <v>0</v>
      </c>
      <c r="B378" s="1409"/>
      <c r="C378" s="1621" t="s">
        <v>4963</v>
      </c>
      <c r="D378" s="1683"/>
      <c r="E378" s="1678">
        <f t="shared" ref="E378:E401" si="78">SUM(F378:J378)</f>
        <v>0</v>
      </c>
      <c r="F378" s="1687"/>
      <c r="G378" s="1684"/>
      <c r="H378" s="1684"/>
      <c r="I378" s="1684"/>
      <c r="J378" s="1684"/>
      <c r="K378" s="1685" t="str">
        <f t="shared" si="75"/>
        <v/>
      </c>
      <c r="L378" s="1685" t="str">
        <f t="shared" si="76"/>
        <v/>
      </c>
      <c r="M378" s="1686"/>
      <c r="N378" s="1668"/>
    </row>
    <row r="379" spans="1:14" ht="14.5">
      <c r="A379" s="1655">
        <f t="shared" si="77"/>
        <v>0</v>
      </c>
      <c r="B379" s="1409"/>
      <c r="C379" s="1621" t="s">
        <v>4964</v>
      </c>
      <c r="D379" s="1683"/>
      <c r="E379" s="1678">
        <f t="shared" si="78"/>
        <v>0</v>
      </c>
      <c r="F379" s="1687"/>
      <c r="G379" s="1684"/>
      <c r="H379" s="1684"/>
      <c r="I379" s="1684"/>
      <c r="J379" s="1684"/>
      <c r="K379" s="1685" t="str">
        <f t="shared" si="75"/>
        <v/>
      </c>
      <c r="L379" s="1685" t="str">
        <f t="shared" si="76"/>
        <v/>
      </c>
      <c r="M379" s="1686"/>
      <c r="N379" s="1668"/>
    </row>
    <row r="380" spans="1:14" ht="14.5">
      <c r="A380" s="1655">
        <f t="shared" si="77"/>
        <v>0</v>
      </c>
      <c r="B380" s="1409"/>
      <c r="C380" s="1621" t="s">
        <v>4965</v>
      </c>
      <c r="D380" s="1683"/>
      <c r="E380" s="1678">
        <f t="shared" si="78"/>
        <v>0</v>
      </c>
      <c r="F380" s="1687"/>
      <c r="G380" s="1684"/>
      <c r="H380" s="1684"/>
      <c r="I380" s="1684"/>
      <c r="J380" s="1684"/>
      <c r="K380" s="1685" t="str">
        <f t="shared" si="75"/>
        <v/>
      </c>
      <c r="L380" s="1685" t="str">
        <f t="shared" si="76"/>
        <v/>
      </c>
      <c r="M380" s="1686"/>
      <c r="N380" s="1668"/>
    </row>
    <row r="381" spans="1:14" ht="14.5">
      <c r="A381" s="1655">
        <f t="shared" si="77"/>
        <v>0</v>
      </c>
      <c r="B381" s="1409"/>
      <c r="C381" s="1621" t="s">
        <v>4966</v>
      </c>
      <c r="D381" s="1683"/>
      <c r="E381" s="1678">
        <f t="shared" si="78"/>
        <v>0</v>
      </c>
      <c r="F381" s="1687"/>
      <c r="G381" s="1684"/>
      <c r="H381" s="1684"/>
      <c r="I381" s="1684"/>
      <c r="J381" s="1684"/>
      <c r="K381" s="1685" t="str">
        <f t="shared" si="75"/>
        <v/>
      </c>
      <c r="L381" s="1685" t="str">
        <f t="shared" si="76"/>
        <v/>
      </c>
      <c r="M381" s="1686"/>
      <c r="N381" s="1668"/>
    </row>
    <row r="382" spans="1:14" ht="14.5">
      <c r="A382" s="1655">
        <f t="shared" si="77"/>
        <v>0</v>
      </c>
      <c r="B382" s="1409"/>
      <c r="C382" s="1621" t="s">
        <v>4967</v>
      </c>
      <c r="D382" s="1683"/>
      <c r="E382" s="1678">
        <f t="shared" si="78"/>
        <v>0</v>
      </c>
      <c r="F382" s="1687"/>
      <c r="G382" s="1684"/>
      <c r="H382" s="1684"/>
      <c r="I382" s="1684"/>
      <c r="J382" s="1684"/>
      <c r="K382" s="1685" t="str">
        <f t="shared" si="75"/>
        <v/>
      </c>
      <c r="L382" s="1685" t="str">
        <f t="shared" si="76"/>
        <v/>
      </c>
      <c r="M382" s="1686"/>
      <c r="N382" s="1668"/>
    </row>
    <row r="383" spans="1:14" ht="14.5">
      <c r="A383" s="1655">
        <f t="shared" si="77"/>
        <v>0</v>
      </c>
      <c r="B383" s="1409"/>
      <c r="C383" s="1621" t="s">
        <v>4968</v>
      </c>
      <c r="D383" s="1683"/>
      <c r="E383" s="1678">
        <f t="shared" si="78"/>
        <v>0</v>
      </c>
      <c r="F383" s="1687"/>
      <c r="G383" s="1684"/>
      <c r="H383" s="1684"/>
      <c r="I383" s="1684"/>
      <c r="J383" s="1684"/>
      <c r="K383" s="1685" t="str">
        <f t="shared" si="75"/>
        <v/>
      </c>
      <c r="L383" s="1685" t="str">
        <f t="shared" si="76"/>
        <v/>
      </c>
      <c r="M383" s="1686"/>
      <c r="N383" s="1668"/>
    </row>
    <row r="384" spans="1:14" ht="14.5">
      <c r="A384" s="1655">
        <f t="shared" si="77"/>
        <v>0</v>
      </c>
      <c r="B384" s="1409"/>
      <c r="C384" s="1621" t="s">
        <v>4969</v>
      </c>
      <c r="D384" s="1683"/>
      <c r="E384" s="1678">
        <f t="shared" si="78"/>
        <v>0</v>
      </c>
      <c r="F384" s="1687"/>
      <c r="G384" s="1684"/>
      <c r="H384" s="1684"/>
      <c r="I384" s="1684"/>
      <c r="J384" s="1684"/>
      <c r="K384" s="1685" t="str">
        <f t="shared" si="75"/>
        <v/>
      </c>
      <c r="L384" s="1685" t="str">
        <f t="shared" si="76"/>
        <v/>
      </c>
      <c r="M384" s="1686"/>
      <c r="N384" s="1668"/>
    </row>
    <row r="385" spans="1:14" ht="14.5">
      <c r="A385" s="1655">
        <f t="shared" si="77"/>
        <v>0</v>
      </c>
      <c r="B385" s="1409"/>
      <c r="C385" s="1621" t="s">
        <v>4970</v>
      </c>
      <c r="D385" s="1683"/>
      <c r="E385" s="1678">
        <f t="shared" si="78"/>
        <v>0</v>
      </c>
      <c r="F385" s="1687"/>
      <c r="G385" s="1684"/>
      <c r="H385" s="1684"/>
      <c r="I385" s="1684"/>
      <c r="J385" s="1684"/>
      <c r="K385" s="1685" t="str">
        <f t="shared" si="75"/>
        <v/>
      </c>
      <c r="L385" s="1685" t="str">
        <f t="shared" si="76"/>
        <v/>
      </c>
      <c r="M385" s="1686"/>
      <c r="N385" s="1668"/>
    </row>
    <row r="386" spans="1:14" ht="14.5">
      <c r="A386" s="1655">
        <f t="shared" si="77"/>
        <v>0</v>
      </c>
      <c r="B386" s="1409"/>
      <c r="C386" s="1621" t="s">
        <v>4971</v>
      </c>
      <c r="D386" s="1683"/>
      <c r="E386" s="1678">
        <f t="shared" si="78"/>
        <v>0</v>
      </c>
      <c r="F386" s="1687"/>
      <c r="G386" s="1684"/>
      <c r="H386" s="1684"/>
      <c r="I386" s="1684"/>
      <c r="J386" s="1684"/>
      <c r="K386" s="1685" t="str">
        <f t="shared" si="75"/>
        <v/>
      </c>
      <c r="L386" s="1685" t="str">
        <f t="shared" si="76"/>
        <v/>
      </c>
      <c r="M386" s="1686"/>
      <c r="N386" s="1668"/>
    </row>
    <row r="387" spans="1:14" ht="14.5">
      <c r="A387" s="1655">
        <f t="shared" si="77"/>
        <v>0</v>
      </c>
      <c r="B387" s="1409"/>
      <c r="C387" s="1621" t="s">
        <v>4972</v>
      </c>
      <c r="D387" s="1683"/>
      <c r="E387" s="1678">
        <f t="shared" si="78"/>
        <v>0</v>
      </c>
      <c r="F387" s="1687"/>
      <c r="G387" s="1684"/>
      <c r="H387" s="1684"/>
      <c r="I387" s="1684"/>
      <c r="J387" s="1684"/>
      <c r="K387" s="1685" t="str">
        <f t="shared" si="75"/>
        <v/>
      </c>
      <c r="L387" s="1685" t="str">
        <f t="shared" si="76"/>
        <v/>
      </c>
      <c r="M387" s="1686"/>
      <c r="N387" s="1668"/>
    </row>
    <row r="388" spans="1:14" ht="14.5">
      <c r="A388" s="1655">
        <f t="shared" si="77"/>
        <v>0</v>
      </c>
      <c r="B388" s="1412"/>
      <c r="C388" s="1621" t="s">
        <v>4973</v>
      </c>
      <c r="D388" s="1683"/>
      <c r="E388" s="1678">
        <f t="shared" si="78"/>
        <v>0</v>
      </c>
      <c r="F388" s="1687"/>
      <c r="G388" s="1684"/>
      <c r="H388" s="1684"/>
      <c r="I388" s="1684"/>
      <c r="J388" s="1684"/>
      <c r="K388" s="1685" t="str">
        <f t="shared" si="75"/>
        <v/>
      </c>
      <c r="L388" s="1685" t="str">
        <f t="shared" si="76"/>
        <v/>
      </c>
      <c r="M388" s="1686"/>
      <c r="N388" s="1668"/>
    </row>
    <row r="389" spans="1:14" ht="14.5">
      <c r="A389" s="1655">
        <f t="shared" si="77"/>
        <v>0</v>
      </c>
      <c r="B389" s="1412"/>
      <c r="C389" s="1621" t="s">
        <v>4974</v>
      </c>
      <c r="D389" s="1683"/>
      <c r="E389" s="1678">
        <f t="shared" si="78"/>
        <v>0</v>
      </c>
      <c r="F389" s="1687"/>
      <c r="G389" s="1684"/>
      <c r="H389" s="1684"/>
      <c r="I389" s="1684"/>
      <c r="J389" s="1684"/>
      <c r="K389" s="1685" t="str">
        <f t="shared" si="75"/>
        <v/>
      </c>
      <c r="L389" s="1685" t="str">
        <f t="shared" si="76"/>
        <v/>
      </c>
      <c r="M389" s="1686"/>
      <c r="N389" s="1668"/>
    </row>
    <row r="390" spans="1:14" ht="14.5">
      <c r="A390" s="1655">
        <f t="shared" si="77"/>
        <v>0</v>
      </c>
      <c r="B390" s="1409"/>
      <c r="C390" s="1621" t="s">
        <v>4975</v>
      </c>
      <c r="D390" s="1683"/>
      <c r="E390" s="1678">
        <f t="shared" si="78"/>
        <v>0</v>
      </c>
      <c r="F390" s="1687"/>
      <c r="G390" s="1684"/>
      <c r="H390" s="1684"/>
      <c r="I390" s="1684"/>
      <c r="J390" s="1684"/>
      <c r="K390" s="1685" t="str">
        <f t="shared" si="75"/>
        <v/>
      </c>
      <c r="L390" s="1685" t="str">
        <f t="shared" si="76"/>
        <v/>
      </c>
      <c r="M390" s="1686"/>
      <c r="N390" s="1668"/>
    </row>
    <row r="391" spans="1:14" ht="14.5">
      <c r="A391" s="1655">
        <f t="shared" si="77"/>
        <v>0</v>
      </c>
      <c r="B391" s="1409"/>
      <c r="C391" s="1621" t="s">
        <v>4976</v>
      </c>
      <c r="D391" s="1683"/>
      <c r="E391" s="1678">
        <f t="shared" si="78"/>
        <v>0</v>
      </c>
      <c r="F391" s="1687"/>
      <c r="G391" s="1684"/>
      <c r="H391" s="1684"/>
      <c r="I391" s="1684"/>
      <c r="J391" s="1684"/>
      <c r="K391" s="1685" t="str">
        <f t="shared" si="75"/>
        <v/>
      </c>
      <c r="L391" s="1685" t="str">
        <f t="shared" si="76"/>
        <v/>
      </c>
      <c r="M391" s="1686"/>
      <c r="N391" s="1668"/>
    </row>
    <row r="392" spans="1:14" ht="14.5">
      <c r="A392" s="1655">
        <f t="shared" si="77"/>
        <v>0</v>
      </c>
      <c r="B392" s="1409"/>
      <c r="C392" s="1621" t="s">
        <v>4977</v>
      </c>
      <c r="D392" s="1683"/>
      <c r="E392" s="1678">
        <f t="shared" si="78"/>
        <v>0</v>
      </c>
      <c r="F392" s="1687"/>
      <c r="G392" s="1684"/>
      <c r="H392" s="1684"/>
      <c r="I392" s="1684"/>
      <c r="J392" s="1684"/>
      <c r="K392" s="1685" t="str">
        <f t="shared" si="75"/>
        <v/>
      </c>
      <c r="L392" s="1685" t="str">
        <f t="shared" si="76"/>
        <v/>
      </c>
      <c r="M392" s="1686"/>
      <c r="N392" s="1668"/>
    </row>
    <row r="393" spans="1:14" ht="14.5">
      <c r="A393" s="1655">
        <f t="shared" si="77"/>
        <v>0</v>
      </c>
      <c r="B393" s="1409"/>
      <c r="C393" s="1621" t="s">
        <v>4978</v>
      </c>
      <c r="D393" s="1683"/>
      <c r="E393" s="1678">
        <f t="shared" si="78"/>
        <v>0</v>
      </c>
      <c r="F393" s="1687"/>
      <c r="G393" s="1684"/>
      <c r="H393" s="1684"/>
      <c r="I393" s="1684"/>
      <c r="J393" s="1684"/>
      <c r="K393" s="1685" t="str">
        <f t="shared" si="75"/>
        <v/>
      </c>
      <c r="L393" s="1685" t="str">
        <f t="shared" si="76"/>
        <v/>
      </c>
      <c r="M393" s="1686"/>
      <c r="N393" s="1668"/>
    </row>
    <row r="394" spans="1:14" ht="14.5">
      <c r="A394" s="1655">
        <f t="shared" si="77"/>
        <v>0</v>
      </c>
      <c r="B394" s="1409"/>
      <c r="C394" s="1621" t="s">
        <v>4979</v>
      </c>
      <c r="D394" s="1683"/>
      <c r="E394" s="1678">
        <f t="shared" si="78"/>
        <v>0</v>
      </c>
      <c r="F394" s="1687"/>
      <c r="G394" s="1684"/>
      <c r="H394" s="1684"/>
      <c r="I394" s="1684"/>
      <c r="J394" s="1684"/>
      <c r="K394" s="1685" t="str">
        <f t="shared" si="75"/>
        <v/>
      </c>
      <c r="L394" s="1685" t="str">
        <f t="shared" si="76"/>
        <v/>
      </c>
      <c r="M394" s="1686"/>
      <c r="N394" s="1668"/>
    </row>
    <row r="395" spans="1:14" ht="14.5">
      <c r="A395" s="1655">
        <f t="shared" si="77"/>
        <v>0</v>
      </c>
      <c r="B395" s="1409"/>
      <c r="C395" s="1621" t="s">
        <v>4980</v>
      </c>
      <c r="D395" s="1683"/>
      <c r="E395" s="1678">
        <f t="shared" si="78"/>
        <v>0</v>
      </c>
      <c r="F395" s="1687"/>
      <c r="G395" s="1684"/>
      <c r="H395" s="1684"/>
      <c r="I395" s="1684"/>
      <c r="J395" s="1684"/>
      <c r="K395" s="1685" t="str">
        <f t="shared" si="75"/>
        <v/>
      </c>
      <c r="L395" s="1685" t="str">
        <f t="shared" si="76"/>
        <v/>
      </c>
      <c r="M395" s="1686"/>
      <c r="N395" s="1668"/>
    </row>
    <row r="396" spans="1:14" ht="14.5">
      <c r="A396" s="1655">
        <f t="shared" si="77"/>
        <v>0</v>
      </c>
      <c r="B396" s="1409"/>
      <c r="C396" s="1621" t="s">
        <v>4981</v>
      </c>
      <c r="D396" s="1683"/>
      <c r="E396" s="1678">
        <f t="shared" si="78"/>
        <v>0</v>
      </c>
      <c r="F396" s="1687"/>
      <c r="G396" s="1684"/>
      <c r="H396" s="1684"/>
      <c r="I396" s="1684"/>
      <c r="J396" s="1684"/>
      <c r="K396" s="1685" t="str">
        <f t="shared" si="75"/>
        <v/>
      </c>
      <c r="L396" s="1685" t="str">
        <f t="shared" si="76"/>
        <v/>
      </c>
      <c r="M396" s="1686"/>
      <c r="N396" s="1668"/>
    </row>
    <row r="397" spans="1:14" ht="14.5">
      <c r="A397" s="1655">
        <f t="shared" si="77"/>
        <v>0</v>
      </c>
      <c r="B397" s="1409"/>
      <c r="C397" s="1621" t="s">
        <v>4982</v>
      </c>
      <c r="D397" s="1683"/>
      <c r="E397" s="1678">
        <f t="shared" si="78"/>
        <v>0</v>
      </c>
      <c r="F397" s="1687"/>
      <c r="G397" s="1684"/>
      <c r="H397" s="1684"/>
      <c r="I397" s="1684"/>
      <c r="J397" s="1684"/>
      <c r="K397" s="1685" t="str">
        <f t="shared" si="75"/>
        <v/>
      </c>
      <c r="L397" s="1685" t="str">
        <f t="shared" si="76"/>
        <v/>
      </c>
      <c r="M397" s="1686"/>
      <c r="N397" s="1668"/>
    </row>
    <row r="398" spans="1:14" ht="14.5">
      <c r="A398" s="1655">
        <f t="shared" si="77"/>
        <v>0</v>
      </c>
      <c r="B398" s="1409"/>
      <c r="C398" s="1621" t="s">
        <v>4983</v>
      </c>
      <c r="D398" s="1683"/>
      <c r="E398" s="1678">
        <f t="shared" si="78"/>
        <v>0</v>
      </c>
      <c r="F398" s="1687"/>
      <c r="G398" s="1684"/>
      <c r="H398" s="1684"/>
      <c r="I398" s="1684"/>
      <c r="J398" s="1684"/>
      <c r="K398" s="1685" t="str">
        <f t="shared" si="75"/>
        <v/>
      </c>
      <c r="L398" s="1685" t="str">
        <f t="shared" si="76"/>
        <v/>
      </c>
      <c r="M398" s="1686"/>
      <c r="N398" s="1668"/>
    </row>
    <row r="399" spans="1:14" ht="14.5">
      <c r="A399" s="1655">
        <f t="shared" si="77"/>
        <v>0</v>
      </c>
      <c r="B399" s="1409"/>
      <c r="C399" s="1621" t="s">
        <v>4984</v>
      </c>
      <c r="D399" s="1683"/>
      <c r="E399" s="1678">
        <f t="shared" si="78"/>
        <v>0</v>
      </c>
      <c r="F399" s="1687"/>
      <c r="G399" s="1684"/>
      <c r="H399" s="1684"/>
      <c r="I399" s="1684"/>
      <c r="J399" s="1684"/>
      <c r="K399" s="1685" t="str">
        <f t="shared" si="75"/>
        <v/>
      </c>
      <c r="L399" s="1685" t="str">
        <f t="shared" si="76"/>
        <v/>
      </c>
      <c r="M399" s="1686"/>
      <c r="N399" s="1668"/>
    </row>
    <row r="400" spans="1:14" ht="14.5">
      <c r="A400" s="1655">
        <f t="shared" si="77"/>
        <v>0</v>
      </c>
      <c r="B400" s="1409"/>
      <c r="C400" s="1621" t="s">
        <v>4985</v>
      </c>
      <c r="D400" s="1683"/>
      <c r="E400" s="1678">
        <f t="shared" si="78"/>
        <v>0</v>
      </c>
      <c r="F400" s="1687"/>
      <c r="G400" s="1684"/>
      <c r="H400" s="1684"/>
      <c r="I400" s="1684"/>
      <c r="J400" s="1684"/>
      <c r="K400" s="1685" t="str">
        <f t="shared" si="75"/>
        <v/>
      </c>
      <c r="L400" s="1685" t="str">
        <f t="shared" si="76"/>
        <v/>
      </c>
      <c r="M400" s="1686"/>
      <c r="N400" s="1668"/>
    </row>
    <row r="401" spans="1:14" ht="14.5">
      <c r="A401" s="1655">
        <f t="shared" si="77"/>
        <v>0</v>
      </c>
      <c r="B401" s="1688"/>
      <c r="C401" s="1689" t="s">
        <v>4986</v>
      </c>
      <c r="D401" s="1690"/>
      <c r="E401" s="1691">
        <f t="shared" si="78"/>
        <v>0</v>
      </c>
      <c r="F401" s="1692"/>
      <c r="G401" s="1693"/>
      <c r="H401" s="1693"/>
      <c r="I401" s="1693"/>
      <c r="J401" s="1693"/>
      <c r="K401" s="1694" t="str">
        <f t="shared" si="75"/>
        <v/>
      </c>
      <c r="L401" s="1694" t="str">
        <f t="shared" si="76"/>
        <v/>
      </c>
      <c r="M401" s="1695"/>
      <c r="N401" s="1668"/>
    </row>
    <row r="402" spans="1:14" ht="14.5">
      <c r="A402" s="1674">
        <f>A376+1</f>
        <v>16</v>
      </c>
      <c r="B402" s="1675" t="s">
        <v>5050</v>
      </c>
      <c r="C402" s="1676"/>
      <c r="D402" s="1677"/>
      <c r="E402" s="1679">
        <f t="shared" ref="E402:I402" si="79">SUM(E403:E427)</f>
        <v>0</v>
      </c>
      <c r="F402" s="1679">
        <f t="shared" si="79"/>
        <v>0</v>
      </c>
      <c r="G402" s="1679">
        <f t="shared" si="79"/>
        <v>0</v>
      </c>
      <c r="H402" s="1679">
        <f t="shared" si="79"/>
        <v>0</v>
      </c>
      <c r="I402" s="1679">
        <f t="shared" si="79"/>
        <v>0</v>
      </c>
      <c r="J402" s="1679">
        <f>SUM(J403:J427)</f>
        <v>0</v>
      </c>
      <c r="K402" s="1680" t="str">
        <f>IFERROR(E402/$C$6,"")</f>
        <v/>
      </c>
      <c r="L402" s="1680" t="str">
        <f>IFERROR(E402/$C$7,"")</f>
        <v/>
      </c>
      <c r="M402" s="1681">
        <f>SUM(M403:M427)</f>
        <v>0</v>
      </c>
      <c r="N402" s="1668"/>
    </row>
    <row r="403" spans="1:14" ht="14.5">
      <c r="A403" s="1655">
        <f>IF(E403&lt;&gt;0,1,0)</f>
        <v>0</v>
      </c>
      <c r="B403" s="1412"/>
      <c r="C403" s="1621" t="s">
        <v>4962</v>
      </c>
      <c r="D403" s="1683"/>
      <c r="E403" s="1678">
        <f>SUM(F403:J403)</f>
        <v>0</v>
      </c>
      <c r="F403" s="1684"/>
      <c r="G403" s="1684"/>
      <c r="H403" s="1684"/>
      <c r="I403" s="1684"/>
      <c r="J403" s="1684"/>
      <c r="K403" s="1685" t="str">
        <f t="shared" ref="K403:K427" si="80">IFERROR(E403/$C$6,"")</f>
        <v/>
      </c>
      <c r="L403" s="1685" t="str">
        <f t="shared" ref="L403:L427" si="81">IFERROR(E403/$C$7,"")</f>
        <v/>
      </c>
      <c r="M403" s="1686"/>
      <c r="N403" s="1668"/>
    </row>
    <row r="404" spans="1:14" ht="14.5">
      <c r="A404" s="1655">
        <f t="shared" ref="A404:A427" si="82">IF(E404&lt;&gt;0,1,0)</f>
        <v>0</v>
      </c>
      <c r="B404" s="1409"/>
      <c r="C404" s="1621" t="s">
        <v>4963</v>
      </c>
      <c r="D404" s="1683"/>
      <c r="E404" s="1678">
        <f t="shared" ref="E404:E427" si="83">SUM(F404:J404)</f>
        <v>0</v>
      </c>
      <c r="F404" s="1687"/>
      <c r="G404" s="1684"/>
      <c r="H404" s="1684"/>
      <c r="I404" s="1684"/>
      <c r="J404" s="1684"/>
      <c r="K404" s="1685" t="str">
        <f t="shared" si="80"/>
        <v/>
      </c>
      <c r="L404" s="1685" t="str">
        <f t="shared" si="81"/>
        <v/>
      </c>
      <c r="M404" s="1686"/>
      <c r="N404" s="1668"/>
    </row>
    <row r="405" spans="1:14" ht="14.5">
      <c r="A405" s="1655">
        <f t="shared" si="82"/>
        <v>0</v>
      </c>
      <c r="B405" s="1409"/>
      <c r="C405" s="1621" t="s">
        <v>4964</v>
      </c>
      <c r="D405" s="1683"/>
      <c r="E405" s="1678">
        <f t="shared" si="83"/>
        <v>0</v>
      </c>
      <c r="F405" s="1687"/>
      <c r="G405" s="1684"/>
      <c r="H405" s="1684"/>
      <c r="I405" s="1684"/>
      <c r="J405" s="1684"/>
      <c r="K405" s="1685" t="str">
        <f t="shared" si="80"/>
        <v/>
      </c>
      <c r="L405" s="1685" t="str">
        <f t="shared" si="81"/>
        <v/>
      </c>
      <c r="M405" s="1686"/>
      <c r="N405" s="1668"/>
    </row>
    <row r="406" spans="1:14" ht="14.5">
      <c r="A406" s="1655">
        <f t="shared" si="82"/>
        <v>0</v>
      </c>
      <c r="B406" s="1409"/>
      <c r="C406" s="1621" t="s">
        <v>4965</v>
      </c>
      <c r="D406" s="1683"/>
      <c r="E406" s="1678">
        <f t="shared" si="83"/>
        <v>0</v>
      </c>
      <c r="F406" s="1687"/>
      <c r="G406" s="1684"/>
      <c r="H406" s="1684"/>
      <c r="I406" s="1684"/>
      <c r="J406" s="1684"/>
      <c r="K406" s="1685" t="str">
        <f t="shared" si="80"/>
        <v/>
      </c>
      <c r="L406" s="1685" t="str">
        <f t="shared" si="81"/>
        <v/>
      </c>
      <c r="M406" s="1686"/>
      <c r="N406" s="1668"/>
    </row>
    <row r="407" spans="1:14" ht="14.5">
      <c r="A407" s="1655">
        <f t="shared" si="82"/>
        <v>0</v>
      </c>
      <c r="B407" s="1409"/>
      <c r="C407" s="1621" t="s">
        <v>4966</v>
      </c>
      <c r="D407" s="1683"/>
      <c r="E407" s="1678">
        <f t="shared" si="83"/>
        <v>0</v>
      </c>
      <c r="F407" s="1687"/>
      <c r="G407" s="1684"/>
      <c r="H407" s="1684"/>
      <c r="I407" s="1684"/>
      <c r="J407" s="1684"/>
      <c r="K407" s="1685" t="str">
        <f t="shared" si="80"/>
        <v/>
      </c>
      <c r="L407" s="1685" t="str">
        <f t="shared" si="81"/>
        <v/>
      </c>
      <c r="M407" s="1686"/>
      <c r="N407" s="1668"/>
    </row>
    <row r="408" spans="1:14" ht="14.5">
      <c r="A408" s="1655">
        <f t="shared" si="82"/>
        <v>0</v>
      </c>
      <c r="B408" s="1409"/>
      <c r="C408" s="1621" t="s">
        <v>4967</v>
      </c>
      <c r="D408" s="1683"/>
      <c r="E408" s="1678">
        <f t="shared" si="83"/>
        <v>0</v>
      </c>
      <c r="F408" s="1687"/>
      <c r="G408" s="1684"/>
      <c r="H408" s="1684"/>
      <c r="I408" s="1684"/>
      <c r="J408" s="1684"/>
      <c r="K408" s="1685" t="str">
        <f t="shared" si="80"/>
        <v/>
      </c>
      <c r="L408" s="1685" t="str">
        <f t="shared" si="81"/>
        <v/>
      </c>
      <c r="M408" s="1686"/>
      <c r="N408" s="1668"/>
    </row>
    <row r="409" spans="1:14" ht="14.5">
      <c r="A409" s="1655">
        <f t="shared" si="82"/>
        <v>0</v>
      </c>
      <c r="B409" s="1409"/>
      <c r="C409" s="1621" t="s">
        <v>4968</v>
      </c>
      <c r="D409" s="1683"/>
      <c r="E409" s="1678">
        <f t="shared" si="83"/>
        <v>0</v>
      </c>
      <c r="F409" s="1687"/>
      <c r="G409" s="1684"/>
      <c r="H409" s="1684"/>
      <c r="I409" s="1684"/>
      <c r="J409" s="1684"/>
      <c r="K409" s="1685" t="str">
        <f t="shared" si="80"/>
        <v/>
      </c>
      <c r="L409" s="1685" t="str">
        <f t="shared" si="81"/>
        <v/>
      </c>
      <c r="M409" s="1686"/>
      <c r="N409" s="1668"/>
    </row>
    <row r="410" spans="1:14" ht="14.5">
      <c r="A410" s="1655">
        <f t="shared" si="82"/>
        <v>0</v>
      </c>
      <c r="B410" s="1409"/>
      <c r="C410" s="1621" t="s">
        <v>4969</v>
      </c>
      <c r="D410" s="1683"/>
      <c r="E410" s="1678">
        <f t="shared" si="83"/>
        <v>0</v>
      </c>
      <c r="F410" s="1687"/>
      <c r="G410" s="1684"/>
      <c r="H410" s="1684"/>
      <c r="I410" s="1684"/>
      <c r="J410" s="1684"/>
      <c r="K410" s="1685" t="str">
        <f t="shared" si="80"/>
        <v/>
      </c>
      <c r="L410" s="1685" t="str">
        <f t="shared" si="81"/>
        <v/>
      </c>
      <c r="M410" s="1686"/>
      <c r="N410" s="1668"/>
    </row>
    <row r="411" spans="1:14" ht="14.5">
      <c r="A411" s="1655">
        <f t="shared" si="82"/>
        <v>0</v>
      </c>
      <c r="B411" s="1409"/>
      <c r="C411" s="1621" t="s">
        <v>4970</v>
      </c>
      <c r="D411" s="1683"/>
      <c r="E411" s="1678">
        <f t="shared" si="83"/>
        <v>0</v>
      </c>
      <c r="F411" s="1687"/>
      <c r="G411" s="1684"/>
      <c r="H411" s="1684"/>
      <c r="I411" s="1684"/>
      <c r="J411" s="1684"/>
      <c r="K411" s="1685" t="str">
        <f t="shared" si="80"/>
        <v/>
      </c>
      <c r="L411" s="1685" t="str">
        <f t="shared" si="81"/>
        <v/>
      </c>
      <c r="M411" s="1686"/>
      <c r="N411" s="1668"/>
    </row>
    <row r="412" spans="1:14" ht="14.5">
      <c r="A412" s="1655">
        <f t="shared" si="82"/>
        <v>0</v>
      </c>
      <c r="B412" s="1409"/>
      <c r="C412" s="1621" t="s">
        <v>4971</v>
      </c>
      <c r="D412" s="1683"/>
      <c r="E412" s="1678">
        <f t="shared" si="83"/>
        <v>0</v>
      </c>
      <c r="F412" s="1687"/>
      <c r="G412" s="1684"/>
      <c r="H412" s="1684"/>
      <c r="I412" s="1684"/>
      <c r="J412" s="1684"/>
      <c r="K412" s="1685" t="str">
        <f t="shared" si="80"/>
        <v/>
      </c>
      <c r="L412" s="1685" t="str">
        <f t="shared" si="81"/>
        <v/>
      </c>
      <c r="M412" s="1686"/>
      <c r="N412" s="1668"/>
    </row>
    <row r="413" spans="1:14" ht="14.5">
      <c r="A413" s="1655">
        <f t="shared" si="82"/>
        <v>0</v>
      </c>
      <c r="B413" s="1409"/>
      <c r="C413" s="1621" t="s">
        <v>4972</v>
      </c>
      <c r="D413" s="1683"/>
      <c r="E413" s="1678">
        <f t="shared" si="83"/>
        <v>0</v>
      </c>
      <c r="F413" s="1687"/>
      <c r="G413" s="1684"/>
      <c r="H413" s="1684"/>
      <c r="I413" s="1684"/>
      <c r="J413" s="1684"/>
      <c r="K413" s="1685" t="str">
        <f t="shared" si="80"/>
        <v/>
      </c>
      <c r="L413" s="1685" t="str">
        <f t="shared" si="81"/>
        <v/>
      </c>
      <c r="M413" s="1686"/>
      <c r="N413" s="1668"/>
    </row>
    <row r="414" spans="1:14" ht="14.5">
      <c r="A414" s="1655">
        <f t="shared" si="82"/>
        <v>0</v>
      </c>
      <c r="B414" s="1412"/>
      <c r="C414" s="1621" t="s">
        <v>4973</v>
      </c>
      <c r="D414" s="1683"/>
      <c r="E414" s="1678">
        <f t="shared" si="83"/>
        <v>0</v>
      </c>
      <c r="F414" s="1687"/>
      <c r="G414" s="1684"/>
      <c r="H414" s="1684"/>
      <c r="I414" s="1684"/>
      <c r="J414" s="1684"/>
      <c r="K414" s="1685" t="str">
        <f t="shared" si="80"/>
        <v/>
      </c>
      <c r="L414" s="1685" t="str">
        <f t="shared" si="81"/>
        <v/>
      </c>
      <c r="M414" s="1686"/>
      <c r="N414" s="1668"/>
    </row>
    <row r="415" spans="1:14" ht="14.5">
      <c r="A415" s="1655">
        <f t="shared" si="82"/>
        <v>0</v>
      </c>
      <c r="B415" s="1412"/>
      <c r="C415" s="1621" t="s">
        <v>4974</v>
      </c>
      <c r="D415" s="1683"/>
      <c r="E415" s="1678">
        <f t="shared" si="83"/>
        <v>0</v>
      </c>
      <c r="F415" s="1687"/>
      <c r="G415" s="1684"/>
      <c r="H415" s="1684"/>
      <c r="I415" s="1684"/>
      <c r="J415" s="1684"/>
      <c r="K415" s="1685" t="str">
        <f t="shared" si="80"/>
        <v/>
      </c>
      <c r="L415" s="1685" t="str">
        <f t="shared" si="81"/>
        <v/>
      </c>
      <c r="M415" s="1686"/>
      <c r="N415" s="1668"/>
    </row>
    <row r="416" spans="1:14" ht="14.5">
      <c r="A416" s="1655">
        <f t="shared" si="82"/>
        <v>0</v>
      </c>
      <c r="B416" s="1409"/>
      <c r="C416" s="1621" t="s">
        <v>4975</v>
      </c>
      <c r="D416" s="1683"/>
      <c r="E416" s="1678">
        <f t="shared" si="83"/>
        <v>0</v>
      </c>
      <c r="F416" s="1687"/>
      <c r="G416" s="1684"/>
      <c r="H416" s="1684"/>
      <c r="I416" s="1684"/>
      <c r="J416" s="1684"/>
      <c r="K416" s="1685" t="str">
        <f t="shared" si="80"/>
        <v/>
      </c>
      <c r="L416" s="1685" t="str">
        <f t="shared" si="81"/>
        <v/>
      </c>
      <c r="M416" s="1686"/>
      <c r="N416" s="1668"/>
    </row>
    <row r="417" spans="1:14" ht="14.5">
      <c r="A417" s="1655">
        <f t="shared" si="82"/>
        <v>0</v>
      </c>
      <c r="B417" s="1409"/>
      <c r="C417" s="1621" t="s">
        <v>4976</v>
      </c>
      <c r="D417" s="1683"/>
      <c r="E417" s="1678">
        <f t="shared" si="83"/>
        <v>0</v>
      </c>
      <c r="F417" s="1687"/>
      <c r="G417" s="1684"/>
      <c r="H417" s="1684"/>
      <c r="I417" s="1684"/>
      <c r="J417" s="1684"/>
      <c r="K417" s="1685" t="str">
        <f t="shared" si="80"/>
        <v/>
      </c>
      <c r="L417" s="1685" t="str">
        <f t="shared" si="81"/>
        <v/>
      </c>
      <c r="M417" s="1686"/>
      <c r="N417" s="1668"/>
    </row>
    <row r="418" spans="1:14" ht="14.5">
      <c r="A418" s="1655">
        <f t="shared" si="82"/>
        <v>0</v>
      </c>
      <c r="B418" s="1409"/>
      <c r="C418" s="1621" t="s">
        <v>4977</v>
      </c>
      <c r="D418" s="1683"/>
      <c r="E418" s="1678">
        <f t="shared" si="83"/>
        <v>0</v>
      </c>
      <c r="F418" s="1687"/>
      <c r="G418" s="1684"/>
      <c r="H418" s="1684"/>
      <c r="I418" s="1684"/>
      <c r="J418" s="1684"/>
      <c r="K418" s="1685" t="str">
        <f t="shared" si="80"/>
        <v/>
      </c>
      <c r="L418" s="1685" t="str">
        <f t="shared" si="81"/>
        <v/>
      </c>
      <c r="M418" s="1686"/>
      <c r="N418" s="1668"/>
    </row>
    <row r="419" spans="1:14" ht="14.5">
      <c r="A419" s="1655">
        <f t="shared" si="82"/>
        <v>0</v>
      </c>
      <c r="B419" s="1409"/>
      <c r="C419" s="1621" t="s">
        <v>4978</v>
      </c>
      <c r="D419" s="1683"/>
      <c r="E419" s="1678">
        <f t="shared" si="83"/>
        <v>0</v>
      </c>
      <c r="F419" s="1687"/>
      <c r="G419" s="1684"/>
      <c r="H419" s="1684"/>
      <c r="I419" s="1684"/>
      <c r="J419" s="1684"/>
      <c r="K419" s="1685" t="str">
        <f t="shared" si="80"/>
        <v/>
      </c>
      <c r="L419" s="1685" t="str">
        <f t="shared" si="81"/>
        <v/>
      </c>
      <c r="M419" s="1686"/>
      <c r="N419" s="1668"/>
    </row>
    <row r="420" spans="1:14" ht="14.5">
      <c r="A420" s="1655">
        <f t="shared" si="82"/>
        <v>0</v>
      </c>
      <c r="B420" s="1409"/>
      <c r="C420" s="1621" t="s">
        <v>4979</v>
      </c>
      <c r="D420" s="1683"/>
      <c r="E420" s="1678">
        <f t="shared" si="83"/>
        <v>0</v>
      </c>
      <c r="F420" s="1687"/>
      <c r="G420" s="1684"/>
      <c r="H420" s="1684"/>
      <c r="I420" s="1684"/>
      <c r="J420" s="1684"/>
      <c r="K420" s="1685" t="str">
        <f t="shared" si="80"/>
        <v/>
      </c>
      <c r="L420" s="1685" t="str">
        <f t="shared" si="81"/>
        <v/>
      </c>
      <c r="M420" s="1686"/>
      <c r="N420" s="1668"/>
    </row>
    <row r="421" spans="1:14" ht="14.5">
      <c r="A421" s="1655">
        <f t="shared" si="82"/>
        <v>0</v>
      </c>
      <c r="B421" s="1409"/>
      <c r="C421" s="1621" t="s">
        <v>4980</v>
      </c>
      <c r="D421" s="1683"/>
      <c r="E421" s="1678">
        <f t="shared" si="83"/>
        <v>0</v>
      </c>
      <c r="F421" s="1687"/>
      <c r="G421" s="1684"/>
      <c r="H421" s="1684"/>
      <c r="I421" s="1684"/>
      <c r="J421" s="1684"/>
      <c r="K421" s="1685" t="str">
        <f t="shared" si="80"/>
        <v/>
      </c>
      <c r="L421" s="1685" t="str">
        <f t="shared" si="81"/>
        <v/>
      </c>
      <c r="M421" s="1686"/>
      <c r="N421" s="1668"/>
    </row>
    <row r="422" spans="1:14" ht="14.5">
      <c r="A422" s="1655">
        <f t="shared" si="82"/>
        <v>0</v>
      </c>
      <c r="B422" s="1409"/>
      <c r="C422" s="1621" t="s">
        <v>4981</v>
      </c>
      <c r="D422" s="1683"/>
      <c r="E422" s="1678">
        <f t="shared" si="83"/>
        <v>0</v>
      </c>
      <c r="F422" s="1687"/>
      <c r="G422" s="1684"/>
      <c r="H422" s="1684"/>
      <c r="I422" s="1684"/>
      <c r="J422" s="1684"/>
      <c r="K422" s="1685" t="str">
        <f t="shared" si="80"/>
        <v/>
      </c>
      <c r="L422" s="1685" t="str">
        <f t="shared" si="81"/>
        <v/>
      </c>
      <c r="M422" s="1686"/>
      <c r="N422" s="1668"/>
    </row>
    <row r="423" spans="1:14" ht="14.5">
      <c r="A423" s="1655">
        <f t="shared" si="82"/>
        <v>0</v>
      </c>
      <c r="B423" s="1409"/>
      <c r="C423" s="1621" t="s">
        <v>4982</v>
      </c>
      <c r="D423" s="1683"/>
      <c r="E423" s="1678">
        <f t="shared" si="83"/>
        <v>0</v>
      </c>
      <c r="F423" s="1687"/>
      <c r="G423" s="1684"/>
      <c r="H423" s="1684"/>
      <c r="I423" s="1684"/>
      <c r="J423" s="1684"/>
      <c r="K423" s="1685" t="str">
        <f t="shared" si="80"/>
        <v/>
      </c>
      <c r="L423" s="1685" t="str">
        <f t="shared" si="81"/>
        <v/>
      </c>
      <c r="M423" s="1686"/>
      <c r="N423" s="1668"/>
    </row>
    <row r="424" spans="1:14" ht="14.5">
      <c r="A424" s="1655">
        <f t="shared" si="82"/>
        <v>0</v>
      </c>
      <c r="B424" s="1409"/>
      <c r="C424" s="1621" t="s">
        <v>4983</v>
      </c>
      <c r="D424" s="1683"/>
      <c r="E424" s="1678">
        <f t="shared" si="83"/>
        <v>0</v>
      </c>
      <c r="F424" s="1687"/>
      <c r="G424" s="1684"/>
      <c r="H424" s="1684"/>
      <c r="I424" s="1684"/>
      <c r="J424" s="1684"/>
      <c r="K424" s="1685" t="str">
        <f t="shared" si="80"/>
        <v/>
      </c>
      <c r="L424" s="1685" t="str">
        <f t="shared" si="81"/>
        <v/>
      </c>
      <c r="M424" s="1686"/>
      <c r="N424" s="1668"/>
    </row>
    <row r="425" spans="1:14" ht="14.5">
      <c r="A425" s="1655">
        <f t="shared" si="82"/>
        <v>0</v>
      </c>
      <c r="B425" s="1409"/>
      <c r="C425" s="1621" t="s">
        <v>4984</v>
      </c>
      <c r="D425" s="1683"/>
      <c r="E425" s="1678">
        <f t="shared" si="83"/>
        <v>0</v>
      </c>
      <c r="F425" s="1687"/>
      <c r="G425" s="1684"/>
      <c r="H425" s="1684"/>
      <c r="I425" s="1684"/>
      <c r="J425" s="1684"/>
      <c r="K425" s="1685" t="str">
        <f t="shared" si="80"/>
        <v/>
      </c>
      <c r="L425" s="1685" t="str">
        <f t="shared" si="81"/>
        <v/>
      </c>
      <c r="M425" s="1686"/>
      <c r="N425" s="1668"/>
    </row>
    <row r="426" spans="1:14" ht="14.5">
      <c r="A426" s="1655">
        <f t="shared" si="82"/>
        <v>0</v>
      </c>
      <c r="B426" s="1409"/>
      <c r="C426" s="1621" t="s">
        <v>4985</v>
      </c>
      <c r="D426" s="1683"/>
      <c r="E426" s="1678">
        <f t="shared" si="83"/>
        <v>0</v>
      </c>
      <c r="F426" s="1687"/>
      <c r="G426" s="1684"/>
      <c r="H426" s="1684"/>
      <c r="I426" s="1684"/>
      <c r="J426" s="1684"/>
      <c r="K426" s="1685" t="str">
        <f t="shared" si="80"/>
        <v/>
      </c>
      <c r="L426" s="1685" t="str">
        <f t="shared" si="81"/>
        <v/>
      </c>
      <c r="M426" s="1686"/>
      <c r="N426" s="1668"/>
    </row>
    <row r="427" spans="1:14" ht="14.5">
      <c r="A427" s="1655">
        <f t="shared" si="82"/>
        <v>0</v>
      </c>
      <c r="B427" s="1688"/>
      <c r="C427" s="1689" t="s">
        <v>4986</v>
      </c>
      <c r="D427" s="1690"/>
      <c r="E427" s="1691">
        <f t="shared" si="83"/>
        <v>0</v>
      </c>
      <c r="F427" s="1692"/>
      <c r="G427" s="1693"/>
      <c r="H427" s="1693"/>
      <c r="I427" s="1693"/>
      <c r="J427" s="1693"/>
      <c r="K427" s="1694" t="str">
        <f t="shared" si="80"/>
        <v/>
      </c>
      <c r="L427" s="1694" t="str">
        <f t="shared" si="81"/>
        <v/>
      </c>
      <c r="M427" s="1695"/>
      <c r="N427" s="1668"/>
    </row>
    <row r="428" spans="1:14" ht="14.5">
      <c r="A428" s="1674">
        <f>A402+1</f>
        <v>17</v>
      </c>
      <c r="B428" s="1675" t="s">
        <v>5050</v>
      </c>
      <c r="C428" s="1676"/>
      <c r="D428" s="1677"/>
      <c r="E428" s="1679">
        <f t="shared" ref="E428:I428" si="84">SUM(E429:E453)</f>
        <v>0</v>
      </c>
      <c r="F428" s="1679">
        <f t="shared" si="84"/>
        <v>0</v>
      </c>
      <c r="G428" s="1679">
        <f t="shared" si="84"/>
        <v>0</v>
      </c>
      <c r="H428" s="1679">
        <f t="shared" si="84"/>
        <v>0</v>
      </c>
      <c r="I428" s="1679">
        <f t="shared" si="84"/>
        <v>0</v>
      </c>
      <c r="J428" s="1679">
        <f>SUM(J429:J453)</f>
        <v>0</v>
      </c>
      <c r="K428" s="1680" t="str">
        <f>IFERROR(E428/$C$6,"")</f>
        <v/>
      </c>
      <c r="L428" s="1680" t="str">
        <f>IFERROR(E428/$C$7,"")</f>
        <v/>
      </c>
      <c r="M428" s="1681">
        <f>SUM(M429:M453)</f>
        <v>0</v>
      </c>
      <c r="N428" s="1668"/>
    </row>
    <row r="429" spans="1:14" ht="14.5">
      <c r="A429" s="1655">
        <f>IF(E429&lt;&gt;0,1,0)</f>
        <v>0</v>
      </c>
      <c r="B429" s="1412"/>
      <c r="C429" s="1621" t="s">
        <v>4962</v>
      </c>
      <c r="D429" s="1683"/>
      <c r="E429" s="1678">
        <f>SUM(F429:J429)</f>
        <v>0</v>
      </c>
      <c r="F429" s="1684"/>
      <c r="G429" s="1684"/>
      <c r="H429" s="1684"/>
      <c r="I429" s="1684"/>
      <c r="J429" s="1684"/>
      <c r="K429" s="1685" t="str">
        <f t="shared" ref="K429:K453" si="85">IFERROR(E429/$C$6,"")</f>
        <v/>
      </c>
      <c r="L429" s="1685" t="str">
        <f t="shared" ref="L429:L453" si="86">IFERROR(E429/$C$7,"")</f>
        <v/>
      </c>
      <c r="M429" s="1686"/>
      <c r="N429" s="1668"/>
    </row>
    <row r="430" spans="1:14" ht="14.5">
      <c r="A430" s="1655">
        <f t="shared" ref="A430:A453" si="87">IF(E430&lt;&gt;0,1,0)</f>
        <v>0</v>
      </c>
      <c r="B430" s="1409"/>
      <c r="C430" s="1621" t="s">
        <v>4963</v>
      </c>
      <c r="D430" s="1683"/>
      <c r="E430" s="1678">
        <f t="shared" ref="E430:E453" si="88">SUM(F430:J430)</f>
        <v>0</v>
      </c>
      <c r="F430" s="1687"/>
      <c r="G430" s="1684"/>
      <c r="H430" s="1684"/>
      <c r="I430" s="1684"/>
      <c r="J430" s="1684"/>
      <c r="K430" s="1685" t="str">
        <f t="shared" si="85"/>
        <v/>
      </c>
      <c r="L430" s="1685" t="str">
        <f t="shared" si="86"/>
        <v/>
      </c>
      <c r="M430" s="1686"/>
      <c r="N430" s="1668"/>
    </row>
    <row r="431" spans="1:14" ht="14.5">
      <c r="A431" s="1655">
        <f t="shared" si="87"/>
        <v>0</v>
      </c>
      <c r="B431" s="1409"/>
      <c r="C431" s="1621" t="s">
        <v>4964</v>
      </c>
      <c r="D431" s="1683"/>
      <c r="E431" s="1678">
        <f t="shared" si="88"/>
        <v>0</v>
      </c>
      <c r="F431" s="1687"/>
      <c r="G431" s="1684"/>
      <c r="H431" s="1684"/>
      <c r="I431" s="1684"/>
      <c r="J431" s="1684"/>
      <c r="K431" s="1685" t="str">
        <f t="shared" si="85"/>
        <v/>
      </c>
      <c r="L431" s="1685" t="str">
        <f t="shared" si="86"/>
        <v/>
      </c>
      <c r="M431" s="1686"/>
      <c r="N431" s="1668"/>
    </row>
    <row r="432" spans="1:14" ht="14.5">
      <c r="A432" s="1655">
        <f t="shared" si="87"/>
        <v>0</v>
      </c>
      <c r="B432" s="1409"/>
      <c r="C432" s="1621" t="s">
        <v>4965</v>
      </c>
      <c r="D432" s="1683"/>
      <c r="E432" s="1678">
        <f t="shared" si="88"/>
        <v>0</v>
      </c>
      <c r="F432" s="1687"/>
      <c r="G432" s="1684"/>
      <c r="H432" s="1684"/>
      <c r="I432" s="1684"/>
      <c r="J432" s="1684"/>
      <c r="K432" s="1685" t="str">
        <f t="shared" si="85"/>
        <v/>
      </c>
      <c r="L432" s="1685" t="str">
        <f t="shared" si="86"/>
        <v/>
      </c>
      <c r="M432" s="1686"/>
      <c r="N432" s="1668"/>
    </row>
    <row r="433" spans="1:14" ht="14.5">
      <c r="A433" s="1655">
        <f t="shared" si="87"/>
        <v>0</v>
      </c>
      <c r="B433" s="1409"/>
      <c r="C433" s="1621" t="s">
        <v>4966</v>
      </c>
      <c r="D433" s="1683"/>
      <c r="E433" s="1678">
        <f t="shared" si="88"/>
        <v>0</v>
      </c>
      <c r="F433" s="1687"/>
      <c r="G433" s="1684"/>
      <c r="H433" s="1684"/>
      <c r="I433" s="1684"/>
      <c r="J433" s="1684"/>
      <c r="K433" s="1685" t="str">
        <f t="shared" si="85"/>
        <v/>
      </c>
      <c r="L433" s="1685" t="str">
        <f t="shared" si="86"/>
        <v/>
      </c>
      <c r="M433" s="1686"/>
      <c r="N433" s="1668"/>
    </row>
    <row r="434" spans="1:14" ht="14.5">
      <c r="A434" s="1655">
        <f t="shared" si="87"/>
        <v>0</v>
      </c>
      <c r="B434" s="1409"/>
      <c r="C434" s="1621" t="s">
        <v>4967</v>
      </c>
      <c r="D434" s="1683"/>
      <c r="E434" s="1678">
        <f t="shared" si="88"/>
        <v>0</v>
      </c>
      <c r="F434" s="1687"/>
      <c r="G434" s="1684"/>
      <c r="H434" s="1684"/>
      <c r="I434" s="1684"/>
      <c r="J434" s="1684"/>
      <c r="K434" s="1685" t="str">
        <f t="shared" si="85"/>
        <v/>
      </c>
      <c r="L434" s="1685" t="str">
        <f t="shared" si="86"/>
        <v/>
      </c>
      <c r="M434" s="1686"/>
      <c r="N434" s="1668"/>
    </row>
    <row r="435" spans="1:14" ht="14.5">
      <c r="A435" s="1655">
        <f t="shared" si="87"/>
        <v>0</v>
      </c>
      <c r="B435" s="1409"/>
      <c r="C435" s="1621" t="s">
        <v>4968</v>
      </c>
      <c r="D435" s="1683"/>
      <c r="E435" s="1678">
        <f t="shared" si="88"/>
        <v>0</v>
      </c>
      <c r="F435" s="1687"/>
      <c r="G435" s="1684"/>
      <c r="H435" s="1684"/>
      <c r="I435" s="1684"/>
      <c r="J435" s="1684"/>
      <c r="K435" s="1685" t="str">
        <f t="shared" si="85"/>
        <v/>
      </c>
      <c r="L435" s="1685" t="str">
        <f t="shared" si="86"/>
        <v/>
      </c>
      <c r="M435" s="1686"/>
      <c r="N435" s="1668"/>
    </row>
    <row r="436" spans="1:14" ht="14.5">
      <c r="A436" s="1655">
        <f t="shared" si="87"/>
        <v>0</v>
      </c>
      <c r="B436" s="1409"/>
      <c r="C436" s="1621" t="s">
        <v>4969</v>
      </c>
      <c r="D436" s="1683"/>
      <c r="E436" s="1678">
        <f t="shared" si="88"/>
        <v>0</v>
      </c>
      <c r="F436" s="1687"/>
      <c r="G436" s="1684"/>
      <c r="H436" s="1684"/>
      <c r="I436" s="1684"/>
      <c r="J436" s="1684"/>
      <c r="K436" s="1685" t="str">
        <f t="shared" si="85"/>
        <v/>
      </c>
      <c r="L436" s="1685" t="str">
        <f t="shared" si="86"/>
        <v/>
      </c>
      <c r="M436" s="1686"/>
      <c r="N436" s="1668"/>
    </row>
    <row r="437" spans="1:14" ht="14.5">
      <c r="A437" s="1655">
        <f t="shared" si="87"/>
        <v>0</v>
      </c>
      <c r="B437" s="1409"/>
      <c r="C437" s="1621" t="s">
        <v>4970</v>
      </c>
      <c r="D437" s="1683"/>
      <c r="E437" s="1678">
        <f t="shared" si="88"/>
        <v>0</v>
      </c>
      <c r="F437" s="1687"/>
      <c r="G437" s="1684"/>
      <c r="H437" s="1684"/>
      <c r="I437" s="1684"/>
      <c r="J437" s="1684"/>
      <c r="K437" s="1685" t="str">
        <f t="shared" si="85"/>
        <v/>
      </c>
      <c r="L437" s="1685" t="str">
        <f t="shared" si="86"/>
        <v/>
      </c>
      <c r="M437" s="1686"/>
      <c r="N437" s="1668"/>
    </row>
    <row r="438" spans="1:14" ht="14.5">
      <c r="A438" s="1655">
        <f t="shared" si="87"/>
        <v>0</v>
      </c>
      <c r="B438" s="1409"/>
      <c r="C438" s="1621" t="s">
        <v>4971</v>
      </c>
      <c r="D438" s="1683"/>
      <c r="E438" s="1678">
        <f t="shared" si="88"/>
        <v>0</v>
      </c>
      <c r="F438" s="1687"/>
      <c r="G438" s="1684"/>
      <c r="H438" s="1684"/>
      <c r="I438" s="1684"/>
      <c r="J438" s="1684"/>
      <c r="K438" s="1685" t="str">
        <f t="shared" si="85"/>
        <v/>
      </c>
      <c r="L438" s="1685" t="str">
        <f t="shared" si="86"/>
        <v/>
      </c>
      <c r="M438" s="1686"/>
      <c r="N438" s="1668"/>
    </row>
    <row r="439" spans="1:14" ht="14.5">
      <c r="A439" s="1655">
        <f t="shared" si="87"/>
        <v>0</v>
      </c>
      <c r="B439" s="1409"/>
      <c r="C439" s="1621" t="s">
        <v>4972</v>
      </c>
      <c r="D439" s="1683"/>
      <c r="E439" s="1678">
        <f t="shared" si="88"/>
        <v>0</v>
      </c>
      <c r="F439" s="1687"/>
      <c r="G439" s="1684"/>
      <c r="H439" s="1684"/>
      <c r="I439" s="1684"/>
      <c r="J439" s="1684"/>
      <c r="K439" s="1685" t="str">
        <f t="shared" si="85"/>
        <v/>
      </c>
      <c r="L439" s="1685" t="str">
        <f t="shared" si="86"/>
        <v/>
      </c>
      <c r="M439" s="1686"/>
      <c r="N439" s="1668"/>
    </row>
    <row r="440" spans="1:14" ht="14.5">
      <c r="A440" s="1655">
        <f t="shared" si="87"/>
        <v>0</v>
      </c>
      <c r="B440" s="1412"/>
      <c r="C440" s="1621" t="s">
        <v>4973</v>
      </c>
      <c r="D440" s="1683"/>
      <c r="E440" s="1678">
        <f t="shared" si="88"/>
        <v>0</v>
      </c>
      <c r="F440" s="1687"/>
      <c r="G440" s="1684"/>
      <c r="H440" s="1684"/>
      <c r="I440" s="1684"/>
      <c r="J440" s="1684"/>
      <c r="K440" s="1685" t="str">
        <f t="shared" si="85"/>
        <v/>
      </c>
      <c r="L440" s="1685" t="str">
        <f t="shared" si="86"/>
        <v/>
      </c>
      <c r="M440" s="1686"/>
      <c r="N440" s="1668"/>
    </row>
    <row r="441" spans="1:14" ht="14.5">
      <c r="A441" s="1655">
        <f t="shared" si="87"/>
        <v>0</v>
      </c>
      <c r="B441" s="1412"/>
      <c r="C441" s="1621" t="s">
        <v>4974</v>
      </c>
      <c r="D441" s="1683"/>
      <c r="E441" s="1678">
        <f t="shared" si="88"/>
        <v>0</v>
      </c>
      <c r="F441" s="1687"/>
      <c r="G441" s="1684"/>
      <c r="H441" s="1684"/>
      <c r="I441" s="1684"/>
      <c r="J441" s="1684"/>
      <c r="K441" s="1685" t="str">
        <f t="shared" si="85"/>
        <v/>
      </c>
      <c r="L441" s="1685" t="str">
        <f t="shared" si="86"/>
        <v/>
      </c>
      <c r="M441" s="1686"/>
      <c r="N441" s="1668"/>
    </row>
    <row r="442" spans="1:14" ht="14.5">
      <c r="A442" s="1655">
        <f t="shared" si="87"/>
        <v>0</v>
      </c>
      <c r="B442" s="1409"/>
      <c r="C442" s="1621" t="s">
        <v>4975</v>
      </c>
      <c r="D442" s="1683"/>
      <c r="E442" s="1678">
        <f t="shared" si="88"/>
        <v>0</v>
      </c>
      <c r="F442" s="1687"/>
      <c r="G442" s="1684"/>
      <c r="H442" s="1684"/>
      <c r="I442" s="1684"/>
      <c r="J442" s="1684"/>
      <c r="K442" s="1685" t="str">
        <f t="shared" si="85"/>
        <v/>
      </c>
      <c r="L442" s="1685" t="str">
        <f t="shared" si="86"/>
        <v/>
      </c>
      <c r="M442" s="1686"/>
      <c r="N442" s="1668"/>
    </row>
    <row r="443" spans="1:14" ht="14.5">
      <c r="A443" s="1655">
        <f t="shared" si="87"/>
        <v>0</v>
      </c>
      <c r="B443" s="1409"/>
      <c r="C443" s="1621" t="s">
        <v>4976</v>
      </c>
      <c r="D443" s="1683"/>
      <c r="E443" s="1678">
        <f t="shared" si="88"/>
        <v>0</v>
      </c>
      <c r="F443" s="1687"/>
      <c r="G443" s="1684"/>
      <c r="H443" s="1684"/>
      <c r="I443" s="1684"/>
      <c r="J443" s="1684"/>
      <c r="K443" s="1685" t="str">
        <f t="shared" si="85"/>
        <v/>
      </c>
      <c r="L443" s="1685" t="str">
        <f t="shared" si="86"/>
        <v/>
      </c>
      <c r="M443" s="1686"/>
      <c r="N443" s="1668"/>
    </row>
    <row r="444" spans="1:14" ht="14.5">
      <c r="A444" s="1655">
        <f t="shared" si="87"/>
        <v>0</v>
      </c>
      <c r="B444" s="1409"/>
      <c r="C444" s="1621" t="s">
        <v>4977</v>
      </c>
      <c r="D444" s="1683"/>
      <c r="E444" s="1678">
        <f t="shared" si="88"/>
        <v>0</v>
      </c>
      <c r="F444" s="1687"/>
      <c r="G444" s="1684"/>
      <c r="H444" s="1684"/>
      <c r="I444" s="1684"/>
      <c r="J444" s="1684"/>
      <c r="K444" s="1685" t="str">
        <f t="shared" si="85"/>
        <v/>
      </c>
      <c r="L444" s="1685" t="str">
        <f t="shared" si="86"/>
        <v/>
      </c>
      <c r="M444" s="1686"/>
      <c r="N444" s="1668"/>
    </row>
    <row r="445" spans="1:14" ht="14.5">
      <c r="A445" s="1655">
        <f t="shared" si="87"/>
        <v>0</v>
      </c>
      <c r="B445" s="1409"/>
      <c r="C445" s="1621" t="s">
        <v>4978</v>
      </c>
      <c r="D445" s="1683"/>
      <c r="E445" s="1678">
        <f t="shared" si="88"/>
        <v>0</v>
      </c>
      <c r="F445" s="1687"/>
      <c r="G445" s="1684"/>
      <c r="H445" s="1684"/>
      <c r="I445" s="1684"/>
      <c r="J445" s="1684"/>
      <c r="K445" s="1685" t="str">
        <f t="shared" si="85"/>
        <v/>
      </c>
      <c r="L445" s="1685" t="str">
        <f t="shared" si="86"/>
        <v/>
      </c>
      <c r="M445" s="1686"/>
      <c r="N445" s="1668"/>
    </row>
    <row r="446" spans="1:14" ht="14.5">
      <c r="A446" s="1655">
        <f t="shared" si="87"/>
        <v>0</v>
      </c>
      <c r="B446" s="1409"/>
      <c r="C446" s="1621" t="s">
        <v>4979</v>
      </c>
      <c r="D446" s="1683"/>
      <c r="E446" s="1678">
        <f t="shared" si="88"/>
        <v>0</v>
      </c>
      <c r="F446" s="1687"/>
      <c r="G446" s="1684"/>
      <c r="H446" s="1684"/>
      <c r="I446" s="1684"/>
      <c r="J446" s="1684"/>
      <c r="K446" s="1685" t="str">
        <f t="shared" si="85"/>
        <v/>
      </c>
      <c r="L446" s="1685" t="str">
        <f t="shared" si="86"/>
        <v/>
      </c>
      <c r="M446" s="1686"/>
      <c r="N446" s="1668"/>
    </row>
    <row r="447" spans="1:14" ht="14.5">
      <c r="A447" s="1655">
        <f t="shared" si="87"/>
        <v>0</v>
      </c>
      <c r="B447" s="1409"/>
      <c r="C447" s="1621" t="s">
        <v>4980</v>
      </c>
      <c r="D447" s="1683"/>
      <c r="E447" s="1678">
        <f t="shared" si="88"/>
        <v>0</v>
      </c>
      <c r="F447" s="1687"/>
      <c r="G447" s="1684"/>
      <c r="H447" s="1684"/>
      <c r="I447" s="1684"/>
      <c r="J447" s="1684"/>
      <c r="K447" s="1685" t="str">
        <f t="shared" si="85"/>
        <v/>
      </c>
      <c r="L447" s="1685" t="str">
        <f t="shared" si="86"/>
        <v/>
      </c>
      <c r="M447" s="1686"/>
      <c r="N447" s="1668"/>
    </row>
    <row r="448" spans="1:14" ht="14.5">
      <c r="A448" s="1655">
        <f t="shared" si="87"/>
        <v>0</v>
      </c>
      <c r="B448" s="1409"/>
      <c r="C448" s="1621" t="s">
        <v>4981</v>
      </c>
      <c r="D448" s="1683"/>
      <c r="E448" s="1678">
        <f t="shared" si="88"/>
        <v>0</v>
      </c>
      <c r="F448" s="1687"/>
      <c r="G448" s="1684"/>
      <c r="H448" s="1684"/>
      <c r="I448" s="1684"/>
      <c r="J448" s="1684"/>
      <c r="K448" s="1685" t="str">
        <f t="shared" si="85"/>
        <v/>
      </c>
      <c r="L448" s="1685" t="str">
        <f t="shared" si="86"/>
        <v/>
      </c>
      <c r="M448" s="1686"/>
      <c r="N448" s="1668"/>
    </row>
    <row r="449" spans="1:14" ht="14.5">
      <c r="A449" s="1655">
        <f t="shared" si="87"/>
        <v>0</v>
      </c>
      <c r="B449" s="1409"/>
      <c r="C449" s="1621" t="s">
        <v>4982</v>
      </c>
      <c r="D449" s="1683"/>
      <c r="E449" s="1678">
        <f t="shared" si="88"/>
        <v>0</v>
      </c>
      <c r="F449" s="1687"/>
      <c r="G449" s="1684"/>
      <c r="H449" s="1684"/>
      <c r="I449" s="1684"/>
      <c r="J449" s="1684"/>
      <c r="K449" s="1685" t="str">
        <f t="shared" si="85"/>
        <v/>
      </c>
      <c r="L449" s="1685" t="str">
        <f t="shared" si="86"/>
        <v/>
      </c>
      <c r="M449" s="1686"/>
      <c r="N449" s="1668"/>
    </row>
    <row r="450" spans="1:14" ht="14.5">
      <c r="A450" s="1655">
        <f t="shared" si="87"/>
        <v>0</v>
      </c>
      <c r="B450" s="1409"/>
      <c r="C450" s="1621" t="s">
        <v>4983</v>
      </c>
      <c r="D450" s="1683"/>
      <c r="E450" s="1678">
        <f t="shared" si="88"/>
        <v>0</v>
      </c>
      <c r="F450" s="1687"/>
      <c r="G450" s="1684"/>
      <c r="H450" s="1684"/>
      <c r="I450" s="1684"/>
      <c r="J450" s="1684"/>
      <c r="K450" s="1685" t="str">
        <f t="shared" si="85"/>
        <v/>
      </c>
      <c r="L450" s="1685" t="str">
        <f t="shared" si="86"/>
        <v/>
      </c>
      <c r="M450" s="1686"/>
      <c r="N450" s="1668"/>
    </row>
    <row r="451" spans="1:14" ht="14.5">
      <c r="A451" s="1655">
        <f t="shared" si="87"/>
        <v>0</v>
      </c>
      <c r="B451" s="1409"/>
      <c r="C451" s="1621" t="s">
        <v>4984</v>
      </c>
      <c r="D451" s="1683"/>
      <c r="E451" s="1678">
        <f t="shared" si="88"/>
        <v>0</v>
      </c>
      <c r="F451" s="1687"/>
      <c r="G451" s="1684"/>
      <c r="H451" s="1684"/>
      <c r="I451" s="1684"/>
      <c r="J451" s="1684"/>
      <c r="K451" s="1685" t="str">
        <f t="shared" si="85"/>
        <v/>
      </c>
      <c r="L451" s="1685" t="str">
        <f t="shared" si="86"/>
        <v/>
      </c>
      <c r="M451" s="1686"/>
      <c r="N451" s="1668"/>
    </row>
    <row r="452" spans="1:14" ht="14.5">
      <c r="A452" s="1655">
        <f t="shared" si="87"/>
        <v>0</v>
      </c>
      <c r="B452" s="1409"/>
      <c r="C452" s="1621" t="s">
        <v>4985</v>
      </c>
      <c r="D452" s="1683"/>
      <c r="E452" s="1678">
        <f t="shared" si="88"/>
        <v>0</v>
      </c>
      <c r="F452" s="1687"/>
      <c r="G452" s="1684"/>
      <c r="H452" s="1684"/>
      <c r="I452" s="1684"/>
      <c r="J452" s="1684"/>
      <c r="K452" s="1685" t="str">
        <f t="shared" si="85"/>
        <v/>
      </c>
      <c r="L452" s="1685" t="str">
        <f t="shared" si="86"/>
        <v/>
      </c>
      <c r="M452" s="1686"/>
      <c r="N452" s="1668"/>
    </row>
    <row r="453" spans="1:14" ht="14.5">
      <c r="A453" s="1655">
        <f t="shared" si="87"/>
        <v>0</v>
      </c>
      <c r="B453" s="1688"/>
      <c r="C453" s="1689" t="s">
        <v>4986</v>
      </c>
      <c r="D453" s="1690"/>
      <c r="E453" s="1691">
        <f t="shared" si="88"/>
        <v>0</v>
      </c>
      <c r="F453" s="1692"/>
      <c r="G453" s="1693"/>
      <c r="H453" s="1693"/>
      <c r="I453" s="1693"/>
      <c r="J453" s="1693"/>
      <c r="K453" s="1694" t="str">
        <f t="shared" si="85"/>
        <v/>
      </c>
      <c r="L453" s="1694" t="str">
        <f t="shared" si="86"/>
        <v/>
      </c>
      <c r="M453" s="1695"/>
      <c r="N453" s="1668"/>
    </row>
    <row r="454" spans="1:14" ht="14.5">
      <c r="A454" s="1674">
        <f>A428+1</f>
        <v>18</v>
      </c>
      <c r="B454" s="1675" t="s">
        <v>5050</v>
      </c>
      <c r="C454" s="1676"/>
      <c r="D454" s="1677"/>
      <c r="E454" s="1679">
        <f t="shared" ref="E454:I454" si="89">SUM(E455:E479)</f>
        <v>0</v>
      </c>
      <c r="F454" s="1679">
        <f t="shared" si="89"/>
        <v>0</v>
      </c>
      <c r="G454" s="1679">
        <f t="shared" si="89"/>
        <v>0</v>
      </c>
      <c r="H454" s="1679">
        <f t="shared" si="89"/>
        <v>0</v>
      </c>
      <c r="I454" s="1679">
        <f t="shared" si="89"/>
        <v>0</v>
      </c>
      <c r="J454" s="1679">
        <f>SUM(J455:J479)</f>
        <v>0</v>
      </c>
      <c r="K454" s="1680" t="str">
        <f>IFERROR(E454/$C$6,"")</f>
        <v/>
      </c>
      <c r="L454" s="1680" t="str">
        <f>IFERROR(E454/$C$7,"")</f>
        <v/>
      </c>
      <c r="M454" s="1681">
        <f>SUM(M455:M479)</f>
        <v>0</v>
      </c>
      <c r="N454" s="1668"/>
    </row>
    <row r="455" spans="1:14" ht="14.5">
      <c r="A455" s="1655">
        <f>IF(E455&lt;&gt;0,1,0)</f>
        <v>0</v>
      </c>
      <c r="B455" s="1412"/>
      <c r="C455" s="1621" t="s">
        <v>4962</v>
      </c>
      <c r="D455" s="1683"/>
      <c r="E455" s="1678">
        <f>SUM(F455:J455)</f>
        <v>0</v>
      </c>
      <c r="F455" s="1684"/>
      <c r="G455" s="1684"/>
      <c r="H455" s="1684"/>
      <c r="I455" s="1684"/>
      <c r="J455" s="1684"/>
      <c r="K455" s="1685" t="str">
        <f t="shared" ref="K455:K479" si="90">IFERROR(E455/$C$6,"")</f>
        <v/>
      </c>
      <c r="L455" s="1685" t="str">
        <f t="shared" ref="L455:L479" si="91">IFERROR(E455/$C$7,"")</f>
        <v/>
      </c>
      <c r="M455" s="1686"/>
      <c r="N455" s="1668"/>
    </row>
    <row r="456" spans="1:14" ht="14.5">
      <c r="A456" s="1655">
        <f t="shared" ref="A456:A479" si="92">IF(E456&lt;&gt;0,1,0)</f>
        <v>0</v>
      </c>
      <c r="B456" s="1409"/>
      <c r="C456" s="1621" t="s">
        <v>4963</v>
      </c>
      <c r="D456" s="1683"/>
      <c r="E456" s="1678">
        <f t="shared" ref="E456:E479" si="93">SUM(F456:J456)</f>
        <v>0</v>
      </c>
      <c r="F456" s="1687"/>
      <c r="G456" s="1684"/>
      <c r="H456" s="1684"/>
      <c r="I456" s="1684"/>
      <c r="J456" s="1684"/>
      <c r="K456" s="1685" t="str">
        <f t="shared" si="90"/>
        <v/>
      </c>
      <c r="L456" s="1685" t="str">
        <f t="shared" si="91"/>
        <v/>
      </c>
      <c r="M456" s="1686"/>
      <c r="N456" s="1668"/>
    </row>
    <row r="457" spans="1:14" ht="14.5">
      <c r="A457" s="1655">
        <f t="shared" si="92"/>
        <v>0</v>
      </c>
      <c r="B457" s="1409"/>
      <c r="C457" s="1621" t="s">
        <v>4964</v>
      </c>
      <c r="D457" s="1683"/>
      <c r="E457" s="1678">
        <f t="shared" si="93"/>
        <v>0</v>
      </c>
      <c r="F457" s="1687"/>
      <c r="G457" s="1684"/>
      <c r="H457" s="1684"/>
      <c r="I457" s="1684"/>
      <c r="J457" s="1684"/>
      <c r="K457" s="1685" t="str">
        <f t="shared" si="90"/>
        <v/>
      </c>
      <c r="L457" s="1685" t="str">
        <f t="shared" si="91"/>
        <v/>
      </c>
      <c r="M457" s="1686"/>
      <c r="N457" s="1668"/>
    </row>
    <row r="458" spans="1:14" ht="14.5">
      <c r="A458" s="1655">
        <f t="shared" si="92"/>
        <v>0</v>
      </c>
      <c r="B458" s="1409"/>
      <c r="C458" s="1621" t="s">
        <v>4965</v>
      </c>
      <c r="D458" s="1683"/>
      <c r="E458" s="1678">
        <f t="shared" si="93"/>
        <v>0</v>
      </c>
      <c r="F458" s="1687"/>
      <c r="G458" s="1684"/>
      <c r="H458" s="1684"/>
      <c r="I458" s="1684"/>
      <c r="J458" s="1684"/>
      <c r="K458" s="1685" t="str">
        <f t="shared" si="90"/>
        <v/>
      </c>
      <c r="L458" s="1685" t="str">
        <f t="shared" si="91"/>
        <v/>
      </c>
      <c r="M458" s="1686"/>
      <c r="N458" s="1668"/>
    </row>
    <row r="459" spans="1:14" ht="14.5">
      <c r="A459" s="1655">
        <f t="shared" si="92"/>
        <v>0</v>
      </c>
      <c r="B459" s="1409"/>
      <c r="C459" s="1621" t="s">
        <v>4966</v>
      </c>
      <c r="D459" s="1683"/>
      <c r="E459" s="1678">
        <f t="shared" si="93"/>
        <v>0</v>
      </c>
      <c r="F459" s="1687"/>
      <c r="G459" s="1684"/>
      <c r="H459" s="1684"/>
      <c r="I459" s="1684"/>
      <c r="J459" s="1684"/>
      <c r="K459" s="1685" t="str">
        <f t="shared" si="90"/>
        <v/>
      </c>
      <c r="L459" s="1685" t="str">
        <f t="shared" si="91"/>
        <v/>
      </c>
      <c r="M459" s="1686"/>
      <c r="N459" s="1668"/>
    </row>
    <row r="460" spans="1:14" ht="14.5">
      <c r="A460" s="1655">
        <f t="shared" si="92"/>
        <v>0</v>
      </c>
      <c r="B460" s="1409"/>
      <c r="C460" s="1621" t="s">
        <v>4967</v>
      </c>
      <c r="D460" s="1683"/>
      <c r="E460" s="1678">
        <f t="shared" si="93"/>
        <v>0</v>
      </c>
      <c r="F460" s="1687"/>
      <c r="G460" s="1684"/>
      <c r="H460" s="1684"/>
      <c r="I460" s="1684"/>
      <c r="J460" s="1684"/>
      <c r="K460" s="1685" t="str">
        <f t="shared" si="90"/>
        <v/>
      </c>
      <c r="L460" s="1685" t="str">
        <f t="shared" si="91"/>
        <v/>
      </c>
      <c r="M460" s="1686"/>
      <c r="N460" s="1668"/>
    </row>
    <row r="461" spans="1:14" ht="14.5">
      <c r="A461" s="1655">
        <f t="shared" si="92"/>
        <v>0</v>
      </c>
      <c r="B461" s="1409"/>
      <c r="C461" s="1621" t="s">
        <v>4968</v>
      </c>
      <c r="D461" s="1683"/>
      <c r="E461" s="1678">
        <f t="shared" si="93"/>
        <v>0</v>
      </c>
      <c r="F461" s="1687"/>
      <c r="G461" s="1684"/>
      <c r="H461" s="1684"/>
      <c r="I461" s="1684"/>
      <c r="J461" s="1684"/>
      <c r="K461" s="1685" t="str">
        <f t="shared" si="90"/>
        <v/>
      </c>
      <c r="L461" s="1685" t="str">
        <f t="shared" si="91"/>
        <v/>
      </c>
      <c r="M461" s="1686"/>
      <c r="N461" s="1668"/>
    </row>
    <row r="462" spans="1:14" ht="14.5">
      <c r="A462" s="1655">
        <f t="shared" si="92"/>
        <v>0</v>
      </c>
      <c r="B462" s="1409"/>
      <c r="C462" s="1621" t="s">
        <v>4969</v>
      </c>
      <c r="D462" s="1683"/>
      <c r="E462" s="1678">
        <f t="shared" si="93"/>
        <v>0</v>
      </c>
      <c r="F462" s="1687"/>
      <c r="G462" s="1684"/>
      <c r="H462" s="1684"/>
      <c r="I462" s="1684"/>
      <c r="J462" s="1684"/>
      <c r="K462" s="1685" t="str">
        <f t="shared" si="90"/>
        <v/>
      </c>
      <c r="L462" s="1685" t="str">
        <f t="shared" si="91"/>
        <v/>
      </c>
      <c r="M462" s="1686"/>
      <c r="N462" s="1668"/>
    </row>
    <row r="463" spans="1:14" ht="14.5">
      <c r="A463" s="1655">
        <f t="shared" si="92"/>
        <v>0</v>
      </c>
      <c r="B463" s="1409"/>
      <c r="C463" s="1621" t="s">
        <v>4970</v>
      </c>
      <c r="D463" s="1683"/>
      <c r="E463" s="1678">
        <f t="shared" si="93"/>
        <v>0</v>
      </c>
      <c r="F463" s="1687"/>
      <c r="G463" s="1684"/>
      <c r="H463" s="1684"/>
      <c r="I463" s="1684"/>
      <c r="J463" s="1684"/>
      <c r="K463" s="1685" t="str">
        <f t="shared" si="90"/>
        <v/>
      </c>
      <c r="L463" s="1685" t="str">
        <f t="shared" si="91"/>
        <v/>
      </c>
      <c r="M463" s="1686"/>
      <c r="N463" s="1668"/>
    </row>
    <row r="464" spans="1:14" ht="14.5">
      <c r="A464" s="1655">
        <f t="shared" si="92"/>
        <v>0</v>
      </c>
      <c r="B464" s="1409"/>
      <c r="C464" s="1621" t="s">
        <v>4971</v>
      </c>
      <c r="D464" s="1683"/>
      <c r="E464" s="1678">
        <f t="shared" si="93"/>
        <v>0</v>
      </c>
      <c r="F464" s="1687"/>
      <c r="G464" s="1684"/>
      <c r="H464" s="1684"/>
      <c r="I464" s="1684"/>
      <c r="J464" s="1684"/>
      <c r="K464" s="1685" t="str">
        <f t="shared" si="90"/>
        <v/>
      </c>
      <c r="L464" s="1685" t="str">
        <f t="shared" si="91"/>
        <v/>
      </c>
      <c r="M464" s="1686"/>
      <c r="N464" s="1668"/>
    </row>
    <row r="465" spans="1:14" ht="14.5">
      <c r="A465" s="1655">
        <f t="shared" si="92"/>
        <v>0</v>
      </c>
      <c r="B465" s="1409"/>
      <c r="C465" s="1621" t="s">
        <v>4972</v>
      </c>
      <c r="D465" s="1683"/>
      <c r="E465" s="1678">
        <f t="shared" si="93"/>
        <v>0</v>
      </c>
      <c r="F465" s="1687"/>
      <c r="G465" s="1684"/>
      <c r="H465" s="1684"/>
      <c r="I465" s="1684"/>
      <c r="J465" s="1684"/>
      <c r="K465" s="1685" t="str">
        <f t="shared" si="90"/>
        <v/>
      </c>
      <c r="L465" s="1685" t="str">
        <f t="shared" si="91"/>
        <v/>
      </c>
      <c r="M465" s="1686"/>
      <c r="N465" s="1668"/>
    </row>
    <row r="466" spans="1:14" ht="14.5">
      <c r="A466" s="1655">
        <f t="shared" si="92"/>
        <v>0</v>
      </c>
      <c r="B466" s="1412"/>
      <c r="C466" s="1621" t="s">
        <v>4973</v>
      </c>
      <c r="D466" s="1683"/>
      <c r="E466" s="1678">
        <f t="shared" si="93"/>
        <v>0</v>
      </c>
      <c r="F466" s="1687"/>
      <c r="G466" s="1684"/>
      <c r="H466" s="1684"/>
      <c r="I466" s="1684"/>
      <c r="J466" s="1684"/>
      <c r="K466" s="1685" t="str">
        <f t="shared" si="90"/>
        <v/>
      </c>
      <c r="L466" s="1685" t="str">
        <f t="shared" si="91"/>
        <v/>
      </c>
      <c r="M466" s="1686"/>
      <c r="N466" s="1668"/>
    </row>
    <row r="467" spans="1:14" ht="14.5">
      <c r="A467" s="1655">
        <f t="shared" si="92"/>
        <v>0</v>
      </c>
      <c r="B467" s="1412"/>
      <c r="C467" s="1621" t="s">
        <v>4974</v>
      </c>
      <c r="D467" s="1683"/>
      <c r="E467" s="1678">
        <f t="shared" si="93"/>
        <v>0</v>
      </c>
      <c r="F467" s="1687"/>
      <c r="G467" s="1684"/>
      <c r="H467" s="1684"/>
      <c r="I467" s="1684"/>
      <c r="J467" s="1684"/>
      <c r="K467" s="1685" t="str">
        <f t="shared" si="90"/>
        <v/>
      </c>
      <c r="L467" s="1685" t="str">
        <f t="shared" si="91"/>
        <v/>
      </c>
      <c r="M467" s="1686"/>
      <c r="N467" s="1668"/>
    </row>
    <row r="468" spans="1:14" ht="14.5">
      <c r="A468" s="1655">
        <f t="shared" si="92"/>
        <v>0</v>
      </c>
      <c r="B468" s="1409"/>
      <c r="C468" s="1621" t="s">
        <v>4975</v>
      </c>
      <c r="D468" s="1683"/>
      <c r="E468" s="1678">
        <f t="shared" si="93"/>
        <v>0</v>
      </c>
      <c r="F468" s="1687"/>
      <c r="G468" s="1684"/>
      <c r="H468" s="1684"/>
      <c r="I468" s="1684"/>
      <c r="J468" s="1684"/>
      <c r="K468" s="1685" t="str">
        <f t="shared" si="90"/>
        <v/>
      </c>
      <c r="L468" s="1685" t="str">
        <f t="shared" si="91"/>
        <v/>
      </c>
      <c r="M468" s="1686"/>
      <c r="N468" s="1668"/>
    </row>
    <row r="469" spans="1:14" ht="14.5">
      <c r="A469" s="1655">
        <f t="shared" si="92"/>
        <v>0</v>
      </c>
      <c r="B469" s="1409"/>
      <c r="C469" s="1621" t="s">
        <v>4976</v>
      </c>
      <c r="D469" s="1683"/>
      <c r="E469" s="1678">
        <f t="shared" si="93"/>
        <v>0</v>
      </c>
      <c r="F469" s="1687"/>
      <c r="G469" s="1684"/>
      <c r="H469" s="1684"/>
      <c r="I469" s="1684"/>
      <c r="J469" s="1684"/>
      <c r="K469" s="1685" t="str">
        <f t="shared" si="90"/>
        <v/>
      </c>
      <c r="L469" s="1685" t="str">
        <f t="shared" si="91"/>
        <v/>
      </c>
      <c r="M469" s="1686"/>
      <c r="N469" s="1668"/>
    </row>
    <row r="470" spans="1:14" ht="14.5">
      <c r="A470" s="1655">
        <f t="shared" si="92"/>
        <v>0</v>
      </c>
      <c r="B470" s="1409"/>
      <c r="C470" s="1621" t="s">
        <v>4977</v>
      </c>
      <c r="D470" s="1683"/>
      <c r="E470" s="1678">
        <f t="shared" si="93"/>
        <v>0</v>
      </c>
      <c r="F470" s="1687"/>
      <c r="G470" s="1684"/>
      <c r="H470" s="1684"/>
      <c r="I470" s="1684"/>
      <c r="J470" s="1684"/>
      <c r="K470" s="1685" t="str">
        <f t="shared" si="90"/>
        <v/>
      </c>
      <c r="L470" s="1685" t="str">
        <f t="shared" si="91"/>
        <v/>
      </c>
      <c r="M470" s="1686"/>
      <c r="N470" s="1668"/>
    </row>
    <row r="471" spans="1:14" ht="14.5">
      <c r="A471" s="1655">
        <f t="shared" si="92"/>
        <v>0</v>
      </c>
      <c r="B471" s="1409"/>
      <c r="C471" s="1621" t="s">
        <v>4978</v>
      </c>
      <c r="D471" s="1683"/>
      <c r="E471" s="1678">
        <f t="shared" si="93"/>
        <v>0</v>
      </c>
      <c r="F471" s="1687"/>
      <c r="G471" s="1684"/>
      <c r="H471" s="1684"/>
      <c r="I471" s="1684"/>
      <c r="J471" s="1684"/>
      <c r="K471" s="1685" t="str">
        <f t="shared" si="90"/>
        <v/>
      </c>
      <c r="L471" s="1685" t="str">
        <f t="shared" si="91"/>
        <v/>
      </c>
      <c r="M471" s="1686"/>
      <c r="N471" s="1668"/>
    </row>
    <row r="472" spans="1:14" ht="14.5">
      <c r="A472" s="1655">
        <f t="shared" si="92"/>
        <v>0</v>
      </c>
      <c r="B472" s="1409"/>
      <c r="C472" s="1621" t="s">
        <v>4979</v>
      </c>
      <c r="D472" s="1683"/>
      <c r="E472" s="1678">
        <f t="shared" si="93"/>
        <v>0</v>
      </c>
      <c r="F472" s="1687"/>
      <c r="G472" s="1684"/>
      <c r="H472" s="1684"/>
      <c r="I472" s="1684"/>
      <c r="J472" s="1684"/>
      <c r="K472" s="1685" t="str">
        <f t="shared" si="90"/>
        <v/>
      </c>
      <c r="L472" s="1685" t="str">
        <f t="shared" si="91"/>
        <v/>
      </c>
      <c r="M472" s="1686"/>
      <c r="N472" s="1668"/>
    </row>
    <row r="473" spans="1:14" ht="14.5">
      <c r="A473" s="1655">
        <f t="shared" si="92"/>
        <v>0</v>
      </c>
      <c r="B473" s="1409"/>
      <c r="C473" s="1621" t="s">
        <v>4980</v>
      </c>
      <c r="D473" s="1683"/>
      <c r="E473" s="1678">
        <f t="shared" si="93"/>
        <v>0</v>
      </c>
      <c r="F473" s="1687"/>
      <c r="G473" s="1684"/>
      <c r="H473" s="1684"/>
      <c r="I473" s="1684"/>
      <c r="J473" s="1684"/>
      <c r="K473" s="1685" t="str">
        <f t="shared" si="90"/>
        <v/>
      </c>
      <c r="L473" s="1685" t="str">
        <f t="shared" si="91"/>
        <v/>
      </c>
      <c r="M473" s="1686"/>
      <c r="N473" s="1668"/>
    </row>
    <row r="474" spans="1:14" ht="14.5">
      <c r="A474" s="1655">
        <f t="shared" si="92"/>
        <v>0</v>
      </c>
      <c r="B474" s="1409"/>
      <c r="C474" s="1621" t="s">
        <v>4981</v>
      </c>
      <c r="D474" s="1683"/>
      <c r="E474" s="1678">
        <f t="shared" si="93"/>
        <v>0</v>
      </c>
      <c r="F474" s="1687"/>
      <c r="G474" s="1684"/>
      <c r="H474" s="1684"/>
      <c r="I474" s="1684"/>
      <c r="J474" s="1684"/>
      <c r="K474" s="1685" t="str">
        <f t="shared" si="90"/>
        <v/>
      </c>
      <c r="L474" s="1685" t="str">
        <f t="shared" si="91"/>
        <v/>
      </c>
      <c r="M474" s="1686"/>
      <c r="N474" s="1668"/>
    </row>
    <row r="475" spans="1:14" ht="14.5">
      <c r="A475" s="1655">
        <f t="shared" si="92"/>
        <v>0</v>
      </c>
      <c r="B475" s="1409"/>
      <c r="C475" s="1621" t="s">
        <v>4982</v>
      </c>
      <c r="D475" s="1683"/>
      <c r="E475" s="1678">
        <f t="shared" si="93"/>
        <v>0</v>
      </c>
      <c r="F475" s="1687"/>
      <c r="G475" s="1684"/>
      <c r="H475" s="1684"/>
      <c r="I475" s="1684"/>
      <c r="J475" s="1684"/>
      <c r="K475" s="1685" t="str">
        <f t="shared" si="90"/>
        <v/>
      </c>
      <c r="L475" s="1685" t="str">
        <f t="shared" si="91"/>
        <v/>
      </c>
      <c r="M475" s="1686"/>
      <c r="N475" s="1668"/>
    </row>
    <row r="476" spans="1:14" ht="14.5">
      <c r="A476" s="1655">
        <f t="shared" si="92"/>
        <v>0</v>
      </c>
      <c r="B476" s="1409"/>
      <c r="C476" s="1621" t="s">
        <v>4983</v>
      </c>
      <c r="D476" s="1683"/>
      <c r="E476" s="1678">
        <f t="shared" si="93"/>
        <v>0</v>
      </c>
      <c r="F476" s="1687"/>
      <c r="G476" s="1684"/>
      <c r="H476" s="1684"/>
      <c r="I476" s="1684"/>
      <c r="J476" s="1684"/>
      <c r="K476" s="1685" t="str">
        <f t="shared" si="90"/>
        <v/>
      </c>
      <c r="L476" s="1685" t="str">
        <f t="shared" si="91"/>
        <v/>
      </c>
      <c r="M476" s="1686"/>
      <c r="N476" s="1668"/>
    </row>
    <row r="477" spans="1:14" ht="14.5">
      <c r="A477" s="1655">
        <f t="shared" si="92"/>
        <v>0</v>
      </c>
      <c r="B477" s="1409"/>
      <c r="C477" s="1621" t="s">
        <v>4984</v>
      </c>
      <c r="D477" s="1683"/>
      <c r="E477" s="1678">
        <f t="shared" si="93"/>
        <v>0</v>
      </c>
      <c r="F477" s="1687"/>
      <c r="G477" s="1684"/>
      <c r="H477" s="1684"/>
      <c r="I477" s="1684"/>
      <c r="J477" s="1684"/>
      <c r="K477" s="1685" t="str">
        <f t="shared" si="90"/>
        <v/>
      </c>
      <c r="L477" s="1685" t="str">
        <f t="shared" si="91"/>
        <v/>
      </c>
      <c r="M477" s="1686"/>
      <c r="N477" s="1668"/>
    </row>
    <row r="478" spans="1:14" ht="14.5">
      <c r="A478" s="1655">
        <f t="shared" si="92"/>
        <v>0</v>
      </c>
      <c r="B478" s="1409"/>
      <c r="C478" s="1621" t="s">
        <v>4985</v>
      </c>
      <c r="D478" s="1683"/>
      <c r="E478" s="1678">
        <f t="shared" si="93"/>
        <v>0</v>
      </c>
      <c r="F478" s="1687"/>
      <c r="G478" s="1684"/>
      <c r="H478" s="1684"/>
      <c r="I478" s="1684"/>
      <c r="J478" s="1684"/>
      <c r="K478" s="1685" t="str">
        <f t="shared" si="90"/>
        <v/>
      </c>
      <c r="L478" s="1685" t="str">
        <f t="shared" si="91"/>
        <v/>
      </c>
      <c r="M478" s="1686"/>
      <c r="N478" s="1668"/>
    </row>
    <row r="479" spans="1:14" ht="14.5">
      <c r="A479" s="1655">
        <f t="shared" si="92"/>
        <v>0</v>
      </c>
      <c r="B479" s="1688"/>
      <c r="C479" s="1689" t="s">
        <v>4986</v>
      </c>
      <c r="D479" s="1690"/>
      <c r="E479" s="1691">
        <f t="shared" si="93"/>
        <v>0</v>
      </c>
      <c r="F479" s="1692"/>
      <c r="G479" s="1693"/>
      <c r="H479" s="1693"/>
      <c r="I479" s="1693"/>
      <c r="J479" s="1693"/>
      <c r="K479" s="1694" t="str">
        <f t="shared" si="90"/>
        <v/>
      </c>
      <c r="L479" s="1694" t="str">
        <f t="shared" si="91"/>
        <v/>
      </c>
      <c r="M479" s="1695"/>
      <c r="N479" s="1668"/>
    </row>
    <row r="480" spans="1:14" ht="14.5">
      <c r="A480" s="1674">
        <f>A454+1</f>
        <v>19</v>
      </c>
      <c r="B480" s="1675" t="s">
        <v>5050</v>
      </c>
      <c r="C480" s="1676"/>
      <c r="D480" s="1677"/>
      <c r="E480" s="1679">
        <f t="shared" ref="E480:I480" si="94">SUM(E481:E505)</f>
        <v>0</v>
      </c>
      <c r="F480" s="1679">
        <f t="shared" si="94"/>
        <v>0</v>
      </c>
      <c r="G480" s="1679">
        <f t="shared" si="94"/>
        <v>0</v>
      </c>
      <c r="H480" s="1679">
        <f t="shared" si="94"/>
        <v>0</v>
      </c>
      <c r="I480" s="1679">
        <f t="shared" si="94"/>
        <v>0</v>
      </c>
      <c r="J480" s="1679">
        <f>SUM(J481:J505)</f>
        <v>0</v>
      </c>
      <c r="K480" s="1680" t="str">
        <f>IFERROR(E480/$C$6,"")</f>
        <v/>
      </c>
      <c r="L480" s="1680" t="str">
        <f>IFERROR(E480/$C$7,"")</f>
        <v/>
      </c>
      <c r="M480" s="1681">
        <f>SUM(M481:M505)</f>
        <v>0</v>
      </c>
      <c r="N480" s="1668"/>
    </row>
    <row r="481" spans="1:14" ht="14.5">
      <c r="A481" s="1655">
        <f>IF(E481&lt;&gt;0,1,0)</f>
        <v>0</v>
      </c>
      <c r="B481" s="1412"/>
      <c r="C481" s="1621" t="s">
        <v>4962</v>
      </c>
      <c r="D481" s="1683"/>
      <c r="E481" s="1678">
        <f>SUM(F481:J481)</f>
        <v>0</v>
      </c>
      <c r="F481" s="1684"/>
      <c r="G481" s="1684"/>
      <c r="H481" s="1684"/>
      <c r="I481" s="1684"/>
      <c r="J481" s="1684"/>
      <c r="K481" s="1685" t="str">
        <f t="shared" ref="K481:K505" si="95">IFERROR(E481/$C$6,"")</f>
        <v/>
      </c>
      <c r="L481" s="1685" t="str">
        <f t="shared" ref="L481:L505" si="96">IFERROR(E481/$C$7,"")</f>
        <v/>
      </c>
      <c r="M481" s="1686"/>
      <c r="N481" s="1668"/>
    </row>
    <row r="482" spans="1:14" ht="14.5">
      <c r="A482" s="1655">
        <f t="shared" ref="A482:A505" si="97">IF(E482&lt;&gt;0,1,0)</f>
        <v>0</v>
      </c>
      <c r="B482" s="1409"/>
      <c r="C482" s="1621" t="s">
        <v>4963</v>
      </c>
      <c r="D482" s="1683"/>
      <c r="E482" s="1678">
        <f t="shared" ref="E482:E505" si="98">SUM(F482:J482)</f>
        <v>0</v>
      </c>
      <c r="F482" s="1687"/>
      <c r="G482" s="1684"/>
      <c r="H482" s="1684"/>
      <c r="I482" s="1684"/>
      <c r="J482" s="1684"/>
      <c r="K482" s="1685" t="str">
        <f t="shared" si="95"/>
        <v/>
      </c>
      <c r="L482" s="1685" t="str">
        <f t="shared" si="96"/>
        <v/>
      </c>
      <c r="M482" s="1686"/>
      <c r="N482" s="1668"/>
    </row>
    <row r="483" spans="1:14" ht="14.5">
      <c r="A483" s="1655">
        <f t="shared" si="97"/>
        <v>0</v>
      </c>
      <c r="B483" s="1409"/>
      <c r="C483" s="1621" t="s">
        <v>4964</v>
      </c>
      <c r="D483" s="1683"/>
      <c r="E483" s="1678">
        <f t="shared" si="98"/>
        <v>0</v>
      </c>
      <c r="F483" s="1687"/>
      <c r="G483" s="1684"/>
      <c r="H483" s="1684"/>
      <c r="I483" s="1684"/>
      <c r="J483" s="1684"/>
      <c r="K483" s="1685" t="str">
        <f t="shared" si="95"/>
        <v/>
      </c>
      <c r="L483" s="1685" t="str">
        <f t="shared" si="96"/>
        <v/>
      </c>
      <c r="M483" s="1686"/>
      <c r="N483" s="1668"/>
    </row>
    <row r="484" spans="1:14" ht="14.5">
      <c r="A484" s="1655">
        <f t="shared" si="97"/>
        <v>0</v>
      </c>
      <c r="B484" s="1409"/>
      <c r="C484" s="1621" t="s">
        <v>4965</v>
      </c>
      <c r="D484" s="1683"/>
      <c r="E484" s="1678">
        <f t="shared" si="98"/>
        <v>0</v>
      </c>
      <c r="F484" s="1687"/>
      <c r="G484" s="1684"/>
      <c r="H484" s="1684"/>
      <c r="I484" s="1684"/>
      <c r="J484" s="1684"/>
      <c r="K484" s="1685" t="str">
        <f t="shared" si="95"/>
        <v/>
      </c>
      <c r="L484" s="1685" t="str">
        <f t="shared" si="96"/>
        <v/>
      </c>
      <c r="M484" s="1686"/>
      <c r="N484" s="1668"/>
    </row>
    <row r="485" spans="1:14" ht="14.5">
      <c r="A485" s="1655">
        <f t="shared" si="97"/>
        <v>0</v>
      </c>
      <c r="B485" s="1409"/>
      <c r="C485" s="1621" t="s">
        <v>4966</v>
      </c>
      <c r="D485" s="1683"/>
      <c r="E485" s="1678">
        <f t="shared" si="98"/>
        <v>0</v>
      </c>
      <c r="F485" s="1687"/>
      <c r="G485" s="1684"/>
      <c r="H485" s="1684"/>
      <c r="I485" s="1684"/>
      <c r="J485" s="1684"/>
      <c r="K485" s="1685" t="str">
        <f t="shared" si="95"/>
        <v/>
      </c>
      <c r="L485" s="1685" t="str">
        <f t="shared" si="96"/>
        <v/>
      </c>
      <c r="M485" s="1686"/>
      <c r="N485" s="1668"/>
    </row>
    <row r="486" spans="1:14" ht="14.5">
      <c r="A486" s="1655">
        <f t="shared" si="97"/>
        <v>0</v>
      </c>
      <c r="B486" s="1409"/>
      <c r="C486" s="1621" t="s">
        <v>4967</v>
      </c>
      <c r="D486" s="1683"/>
      <c r="E486" s="1678">
        <f t="shared" si="98"/>
        <v>0</v>
      </c>
      <c r="F486" s="1687"/>
      <c r="G486" s="1684"/>
      <c r="H486" s="1684"/>
      <c r="I486" s="1684"/>
      <c r="J486" s="1684"/>
      <c r="K486" s="1685" t="str">
        <f t="shared" si="95"/>
        <v/>
      </c>
      <c r="L486" s="1685" t="str">
        <f t="shared" si="96"/>
        <v/>
      </c>
      <c r="M486" s="1686"/>
      <c r="N486" s="1668"/>
    </row>
    <row r="487" spans="1:14" ht="14.5">
      <c r="A487" s="1655">
        <f t="shared" si="97"/>
        <v>0</v>
      </c>
      <c r="B487" s="1409"/>
      <c r="C487" s="1621" t="s">
        <v>4968</v>
      </c>
      <c r="D487" s="1683"/>
      <c r="E487" s="1678">
        <f t="shared" si="98"/>
        <v>0</v>
      </c>
      <c r="F487" s="1687"/>
      <c r="G487" s="1684"/>
      <c r="H487" s="1684"/>
      <c r="I487" s="1684"/>
      <c r="J487" s="1684"/>
      <c r="K487" s="1685" t="str">
        <f t="shared" si="95"/>
        <v/>
      </c>
      <c r="L487" s="1685" t="str">
        <f t="shared" si="96"/>
        <v/>
      </c>
      <c r="M487" s="1686"/>
      <c r="N487" s="1668"/>
    </row>
    <row r="488" spans="1:14" ht="14.5">
      <c r="A488" s="1655">
        <f t="shared" si="97"/>
        <v>0</v>
      </c>
      <c r="B488" s="1409"/>
      <c r="C488" s="1621" t="s">
        <v>4969</v>
      </c>
      <c r="D488" s="1683"/>
      <c r="E488" s="1678">
        <f t="shared" si="98"/>
        <v>0</v>
      </c>
      <c r="F488" s="1687"/>
      <c r="G488" s="1684"/>
      <c r="H488" s="1684"/>
      <c r="I488" s="1684"/>
      <c r="J488" s="1684"/>
      <c r="K488" s="1685" t="str">
        <f t="shared" si="95"/>
        <v/>
      </c>
      <c r="L488" s="1685" t="str">
        <f t="shared" si="96"/>
        <v/>
      </c>
      <c r="M488" s="1686"/>
      <c r="N488" s="1668"/>
    </row>
    <row r="489" spans="1:14" ht="14.5">
      <c r="A489" s="1655">
        <f t="shared" si="97"/>
        <v>0</v>
      </c>
      <c r="B489" s="1409"/>
      <c r="C489" s="1621" t="s">
        <v>4970</v>
      </c>
      <c r="D489" s="1683"/>
      <c r="E489" s="1678">
        <f t="shared" si="98"/>
        <v>0</v>
      </c>
      <c r="F489" s="1687"/>
      <c r="G489" s="1684"/>
      <c r="H489" s="1684"/>
      <c r="I489" s="1684"/>
      <c r="J489" s="1684"/>
      <c r="K489" s="1685" t="str">
        <f t="shared" si="95"/>
        <v/>
      </c>
      <c r="L489" s="1685" t="str">
        <f t="shared" si="96"/>
        <v/>
      </c>
      <c r="M489" s="1686"/>
      <c r="N489" s="1668"/>
    </row>
    <row r="490" spans="1:14" ht="14.5">
      <c r="A490" s="1655">
        <f t="shared" si="97"/>
        <v>0</v>
      </c>
      <c r="B490" s="1409"/>
      <c r="C490" s="1621" t="s">
        <v>4971</v>
      </c>
      <c r="D490" s="1683"/>
      <c r="E490" s="1678">
        <f t="shared" si="98"/>
        <v>0</v>
      </c>
      <c r="F490" s="1687"/>
      <c r="G490" s="1684"/>
      <c r="H490" s="1684"/>
      <c r="I490" s="1684"/>
      <c r="J490" s="1684"/>
      <c r="K490" s="1685" t="str">
        <f t="shared" si="95"/>
        <v/>
      </c>
      <c r="L490" s="1685" t="str">
        <f t="shared" si="96"/>
        <v/>
      </c>
      <c r="M490" s="1686"/>
      <c r="N490" s="1668"/>
    </row>
    <row r="491" spans="1:14" ht="14.5">
      <c r="A491" s="1655">
        <f t="shared" si="97"/>
        <v>0</v>
      </c>
      <c r="B491" s="1409"/>
      <c r="C491" s="1621" t="s">
        <v>4972</v>
      </c>
      <c r="D491" s="1683"/>
      <c r="E491" s="1678">
        <f t="shared" si="98"/>
        <v>0</v>
      </c>
      <c r="F491" s="1687"/>
      <c r="G491" s="1684"/>
      <c r="H491" s="1684"/>
      <c r="I491" s="1684"/>
      <c r="J491" s="1684"/>
      <c r="K491" s="1685" t="str">
        <f t="shared" si="95"/>
        <v/>
      </c>
      <c r="L491" s="1685" t="str">
        <f t="shared" si="96"/>
        <v/>
      </c>
      <c r="M491" s="1686"/>
      <c r="N491" s="1668"/>
    </row>
    <row r="492" spans="1:14" ht="14.5">
      <c r="A492" s="1655">
        <f t="shared" si="97"/>
        <v>0</v>
      </c>
      <c r="B492" s="1412"/>
      <c r="C492" s="1621" t="s">
        <v>4973</v>
      </c>
      <c r="D492" s="1683"/>
      <c r="E492" s="1678">
        <f t="shared" si="98"/>
        <v>0</v>
      </c>
      <c r="F492" s="1687"/>
      <c r="G492" s="1684"/>
      <c r="H492" s="1684"/>
      <c r="I492" s="1684"/>
      <c r="J492" s="1684"/>
      <c r="K492" s="1685" t="str">
        <f t="shared" si="95"/>
        <v/>
      </c>
      <c r="L492" s="1685" t="str">
        <f t="shared" si="96"/>
        <v/>
      </c>
      <c r="M492" s="1686"/>
      <c r="N492" s="1668"/>
    </row>
    <row r="493" spans="1:14" ht="14.5">
      <c r="A493" s="1655">
        <f t="shared" si="97"/>
        <v>0</v>
      </c>
      <c r="B493" s="1412"/>
      <c r="C493" s="1621" t="s">
        <v>4974</v>
      </c>
      <c r="D493" s="1683"/>
      <c r="E493" s="1678">
        <f t="shared" si="98"/>
        <v>0</v>
      </c>
      <c r="F493" s="1687"/>
      <c r="G493" s="1684"/>
      <c r="H493" s="1684"/>
      <c r="I493" s="1684"/>
      <c r="J493" s="1684"/>
      <c r="K493" s="1685" t="str">
        <f t="shared" si="95"/>
        <v/>
      </c>
      <c r="L493" s="1685" t="str">
        <f t="shared" si="96"/>
        <v/>
      </c>
      <c r="M493" s="1686"/>
      <c r="N493" s="1668"/>
    </row>
    <row r="494" spans="1:14" ht="14.5">
      <c r="A494" s="1655">
        <f t="shared" si="97"/>
        <v>0</v>
      </c>
      <c r="B494" s="1409"/>
      <c r="C494" s="1621" t="s">
        <v>4975</v>
      </c>
      <c r="D494" s="1683"/>
      <c r="E494" s="1678">
        <f t="shared" si="98"/>
        <v>0</v>
      </c>
      <c r="F494" s="1687"/>
      <c r="G494" s="1684"/>
      <c r="H494" s="1684"/>
      <c r="I494" s="1684"/>
      <c r="J494" s="1684"/>
      <c r="K494" s="1685" t="str">
        <f t="shared" si="95"/>
        <v/>
      </c>
      <c r="L494" s="1685" t="str">
        <f t="shared" si="96"/>
        <v/>
      </c>
      <c r="M494" s="1686"/>
      <c r="N494" s="1668"/>
    </row>
    <row r="495" spans="1:14" ht="14.5">
      <c r="A495" s="1655">
        <f t="shared" si="97"/>
        <v>0</v>
      </c>
      <c r="B495" s="1409"/>
      <c r="C495" s="1621" t="s">
        <v>4976</v>
      </c>
      <c r="D495" s="1683"/>
      <c r="E495" s="1678">
        <f t="shared" si="98"/>
        <v>0</v>
      </c>
      <c r="F495" s="1687"/>
      <c r="G495" s="1684"/>
      <c r="H495" s="1684"/>
      <c r="I495" s="1684"/>
      <c r="J495" s="1684"/>
      <c r="K495" s="1685" t="str">
        <f t="shared" si="95"/>
        <v/>
      </c>
      <c r="L495" s="1685" t="str">
        <f t="shared" si="96"/>
        <v/>
      </c>
      <c r="M495" s="1686"/>
      <c r="N495" s="1668"/>
    </row>
    <row r="496" spans="1:14" ht="14.5">
      <c r="A496" s="1655">
        <f t="shared" si="97"/>
        <v>0</v>
      </c>
      <c r="B496" s="1409"/>
      <c r="C496" s="1621" t="s">
        <v>4977</v>
      </c>
      <c r="D496" s="1683"/>
      <c r="E496" s="1678">
        <f t="shared" si="98"/>
        <v>0</v>
      </c>
      <c r="F496" s="1687"/>
      <c r="G496" s="1684"/>
      <c r="H496" s="1684"/>
      <c r="I496" s="1684"/>
      <c r="J496" s="1684"/>
      <c r="K496" s="1685" t="str">
        <f t="shared" si="95"/>
        <v/>
      </c>
      <c r="L496" s="1685" t="str">
        <f t="shared" si="96"/>
        <v/>
      </c>
      <c r="M496" s="1686"/>
      <c r="N496" s="1668"/>
    </row>
    <row r="497" spans="1:14" ht="14.5">
      <c r="A497" s="1655">
        <f t="shared" si="97"/>
        <v>0</v>
      </c>
      <c r="B497" s="1409"/>
      <c r="C497" s="1621" t="s">
        <v>4978</v>
      </c>
      <c r="D497" s="1683"/>
      <c r="E497" s="1678">
        <f t="shared" si="98"/>
        <v>0</v>
      </c>
      <c r="F497" s="1687"/>
      <c r="G497" s="1684"/>
      <c r="H497" s="1684"/>
      <c r="I497" s="1684"/>
      <c r="J497" s="1684"/>
      <c r="K497" s="1685" t="str">
        <f t="shared" si="95"/>
        <v/>
      </c>
      <c r="L497" s="1685" t="str">
        <f t="shared" si="96"/>
        <v/>
      </c>
      <c r="M497" s="1686"/>
      <c r="N497" s="1668"/>
    </row>
    <row r="498" spans="1:14" ht="14.5">
      <c r="A498" s="1655">
        <f t="shared" si="97"/>
        <v>0</v>
      </c>
      <c r="B498" s="1409"/>
      <c r="C498" s="1621" t="s">
        <v>4979</v>
      </c>
      <c r="D498" s="1683"/>
      <c r="E498" s="1678">
        <f t="shared" si="98"/>
        <v>0</v>
      </c>
      <c r="F498" s="1687"/>
      <c r="G498" s="1684"/>
      <c r="H498" s="1684"/>
      <c r="I498" s="1684"/>
      <c r="J498" s="1684"/>
      <c r="K498" s="1685" t="str">
        <f t="shared" si="95"/>
        <v/>
      </c>
      <c r="L498" s="1685" t="str">
        <f t="shared" si="96"/>
        <v/>
      </c>
      <c r="M498" s="1686"/>
      <c r="N498" s="1668"/>
    </row>
    <row r="499" spans="1:14" ht="14.5">
      <c r="A499" s="1655">
        <f t="shared" si="97"/>
        <v>0</v>
      </c>
      <c r="B499" s="1409"/>
      <c r="C499" s="1621" t="s">
        <v>4980</v>
      </c>
      <c r="D499" s="1683"/>
      <c r="E499" s="1678">
        <f t="shared" si="98"/>
        <v>0</v>
      </c>
      <c r="F499" s="1687"/>
      <c r="G499" s="1684"/>
      <c r="H499" s="1684"/>
      <c r="I499" s="1684"/>
      <c r="J499" s="1684"/>
      <c r="K499" s="1685" t="str">
        <f t="shared" si="95"/>
        <v/>
      </c>
      <c r="L499" s="1685" t="str">
        <f t="shared" si="96"/>
        <v/>
      </c>
      <c r="M499" s="1686"/>
      <c r="N499" s="1668"/>
    </row>
    <row r="500" spans="1:14" ht="14.5">
      <c r="A500" s="1655">
        <f t="shared" si="97"/>
        <v>0</v>
      </c>
      <c r="B500" s="1409"/>
      <c r="C500" s="1621" t="s">
        <v>4981</v>
      </c>
      <c r="D500" s="1683"/>
      <c r="E500" s="1678">
        <f t="shared" si="98"/>
        <v>0</v>
      </c>
      <c r="F500" s="1687"/>
      <c r="G500" s="1684"/>
      <c r="H500" s="1684"/>
      <c r="I500" s="1684"/>
      <c r="J500" s="1684"/>
      <c r="K500" s="1685" t="str">
        <f t="shared" si="95"/>
        <v/>
      </c>
      <c r="L500" s="1685" t="str">
        <f t="shared" si="96"/>
        <v/>
      </c>
      <c r="M500" s="1686"/>
      <c r="N500" s="1668"/>
    </row>
    <row r="501" spans="1:14" ht="14.5">
      <c r="A501" s="1655">
        <f t="shared" si="97"/>
        <v>0</v>
      </c>
      <c r="B501" s="1409"/>
      <c r="C501" s="1621" t="s">
        <v>4982</v>
      </c>
      <c r="D501" s="1683"/>
      <c r="E501" s="1678">
        <f t="shared" si="98"/>
        <v>0</v>
      </c>
      <c r="F501" s="1687"/>
      <c r="G501" s="1684"/>
      <c r="H501" s="1684"/>
      <c r="I501" s="1684"/>
      <c r="J501" s="1684"/>
      <c r="K501" s="1685" t="str">
        <f t="shared" si="95"/>
        <v/>
      </c>
      <c r="L501" s="1685" t="str">
        <f t="shared" si="96"/>
        <v/>
      </c>
      <c r="M501" s="1686"/>
      <c r="N501" s="1668"/>
    </row>
    <row r="502" spans="1:14" ht="14.5">
      <c r="A502" s="1655">
        <f t="shared" si="97"/>
        <v>0</v>
      </c>
      <c r="B502" s="1409"/>
      <c r="C502" s="1621" t="s">
        <v>4983</v>
      </c>
      <c r="D502" s="1683"/>
      <c r="E502" s="1678">
        <f t="shared" si="98"/>
        <v>0</v>
      </c>
      <c r="F502" s="1687"/>
      <c r="G502" s="1684"/>
      <c r="H502" s="1684"/>
      <c r="I502" s="1684"/>
      <c r="J502" s="1684"/>
      <c r="K502" s="1685" t="str">
        <f t="shared" si="95"/>
        <v/>
      </c>
      <c r="L502" s="1685" t="str">
        <f t="shared" si="96"/>
        <v/>
      </c>
      <c r="M502" s="1686"/>
      <c r="N502" s="1668"/>
    </row>
    <row r="503" spans="1:14" ht="14.5">
      <c r="A503" s="1655">
        <f t="shared" si="97"/>
        <v>0</v>
      </c>
      <c r="B503" s="1409"/>
      <c r="C503" s="1621" t="s">
        <v>4984</v>
      </c>
      <c r="D503" s="1683"/>
      <c r="E503" s="1678">
        <f t="shared" si="98"/>
        <v>0</v>
      </c>
      <c r="F503" s="1687"/>
      <c r="G503" s="1684"/>
      <c r="H503" s="1684"/>
      <c r="I503" s="1684"/>
      <c r="J503" s="1684"/>
      <c r="K503" s="1685" t="str">
        <f t="shared" si="95"/>
        <v/>
      </c>
      <c r="L503" s="1685" t="str">
        <f t="shared" si="96"/>
        <v/>
      </c>
      <c r="M503" s="1686"/>
      <c r="N503" s="1668"/>
    </row>
    <row r="504" spans="1:14" ht="14.5">
      <c r="A504" s="1655">
        <f t="shared" si="97"/>
        <v>0</v>
      </c>
      <c r="B504" s="1409"/>
      <c r="C504" s="1621" t="s">
        <v>4985</v>
      </c>
      <c r="D504" s="1683"/>
      <c r="E504" s="1678">
        <f t="shared" si="98"/>
        <v>0</v>
      </c>
      <c r="F504" s="1687"/>
      <c r="G504" s="1684"/>
      <c r="H504" s="1684"/>
      <c r="I504" s="1684"/>
      <c r="J504" s="1684"/>
      <c r="K504" s="1685" t="str">
        <f t="shared" si="95"/>
        <v/>
      </c>
      <c r="L504" s="1685" t="str">
        <f t="shared" si="96"/>
        <v/>
      </c>
      <c r="M504" s="1686"/>
      <c r="N504" s="1668"/>
    </row>
    <row r="505" spans="1:14" ht="14.5">
      <c r="A505" s="1655">
        <f t="shared" si="97"/>
        <v>0</v>
      </c>
      <c r="B505" s="1688"/>
      <c r="C505" s="1689" t="s">
        <v>4986</v>
      </c>
      <c r="D505" s="1690"/>
      <c r="E505" s="1691">
        <f t="shared" si="98"/>
        <v>0</v>
      </c>
      <c r="F505" s="1692"/>
      <c r="G505" s="1693"/>
      <c r="H505" s="1693"/>
      <c r="I505" s="1693"/>
      <c r="J505" s="1693"/>
      <c r="K505" s="1694" t="str">
        <f t="shared" si="95"/>
        <v/>
      </c>
      <c r="L505" s="1694" t="str">
        <f t="shared" si="96"/>
        <v/>
      </c>
      <c r="M505" s="1695"/>
      <c r="N505" s="1668"/>
    </row>
    <row r="506" spans="1:14" ht="14.5">
      <c r="A506" s="1674">
        <f>A480+1</f>
        <v>20</v>
      </c>
      <c r="B506" s="1675" t="s">
        <v>5050</v>
      </c>
      <c r="C506" s="1676"/>
      <c r="D506" s="1677"/>
      <c r="E506" s="1679">
        <f t="shared" ref="E506:I506" si="99">SUM(E507:E531)</f>
        <v>0</v>
      </c>
      <c r="F506" s="1679">
        <f t="shared" si="99"/>
        <v>0</v>
      </c>
      <c r="G506" s="1679">
        <f t="shared" si="99"/>
        <v>0</v>
      </c>
      <c r="H506" s="1679">
        <f t="shared" si="99"/>
        <v>0</v>
      </c>
      <c r="I506" s="1679">
        <f t="shared" si="99"/>
        <v>0</v>
      </c>
      <c r="J506" s="1679">
        <f>SUM(J507:J531)</f>
        <v>0</v>
      </c>
      <c r="K506" s="1680" t="str">
        <f>IFERROR(E506/$C$6,"")</f>
        <v/>
      </c>
      <c r="L506" s="1680" t="str">
        <f>IFERROR(E506/$C$7,"")</f>
        <v/>
      </c>
      <c r="M506" s="1681">
        <f>SUM(M507:M531)</f>
        <v>0</v>
      </c>
      <c r="N506" s="1668"/>
    </row>
    <row r="507" spans="1:14" ht="14.5">
      <c r="A507" s="1655">
        <f>IF(E507&lt;&gt;0,1,0)</f>
        <v>0</v>
      </c>
      <c r="B507" s="1412"/>
      <c r="C507" s="1621" t="s">
        <v>4962</v>
      </c>
      <c r="D507" s="1683"/>
      <c r="E507" s="1678">
        <f>SUM(F507:J507)</f>
        <v>0</v>
      </c>
      <c r="F507" s="1684"/>
      <c r="G507" s="1684"/>
      <c r="H507" s="1684"/>
      <c r="I507" s="1684"/>
      <c r="J507" s="1684"/>
      <c r="K507" s="1685" t="str">
        <f t="shared" ref="K507:K531" si="100">IFERROR(E507/$C$6,"")</f>
        <v/>
      </c>
      <c r="L507" s="1685" t="str">
        <f t="shared" ref="L507:L531" si="101">IFERROR(E507/$C$7,"")</f>
        <v/>
      </c>
      <c r="M507" s="1686"/>
      <c r="N507" s="1668"/>
    </row>
    <row r="508" spans="1:14" ht="14.5">
      <c r="A508" s="1655">
        <f t="shared" ref="A508:A531" si="102">IF(E508&lt;&gt;0,1,0)</f>
        <v>0</v>
      </c>
      <c r="B508" s="1409"/>
      <c r="C508" s="1621" t="s">
        <v>4963</v>
      </c>
      <c r="D508" s="1683"/>
      <c r="E508" s="1678">
        <f t="shared" ref="E508:E531" si="103">SUM(F508:J508)</f>
        <v>0</v>
      </c>
      <c r="F508" s="1687"/>
      <c r="G508" s="1684"/>
      <c r="H508" s="1684"/>
      <c r="I508" s="1684"/>
      <c r="J508" s="1684"/>
      <c r="K508" s="1685" t="str">
        <f t="shared" si="100"/>
        <v/>
      </c>
      <c r="L508" s="1685" t="str">
        <f t="shared" si="101"/>
        <v/>
      </c>
      <c r="M508" s="1686"/>
      <c r="N508" s="1668"/>
    </row>
    <row r="509" spans="1:14" ht="14.5">
      <c r="A509" s="1655">
        <f t="shared" si="102"/>
        <v>0</v>
      </c>
      <c r="B509" s="1409"/>
      <c r="C509" s="1621" t="s">
        <v>4964</v>
      </c>
      <c r="D509" s="1683"/>
      <c r="E509" s="1678">
        <f t="shared" si="103"/>
        <v>0</v>
      </c>
      <c r="F509" s="1687"/>
      <c r="G509" s="1684"/>
      <c r="H509" s="1684"/>
      <c r="I509" s="1684"/>
      <c r="J509" s="1684"/>
      <c r="K509" s="1685" t="str">
        <f t="shared" si="100"/>
        <v/>
      </c>
      <c r="L509" s="1685" t="str">
        <f t="shared" si="101"/>
        <v/>
      </c>
      <c r="M509" s="1686"/>
      <c r="N509" s="1668"/>
    </row>
    <row r="510" spans="1:14" ht="14.5">
      <c r="A510" s="1655">
        <f t="shared" si="102"/>
        <v>0</v>
      </c>
      <c r="B510" s="1409"/>
      <c r="C510" s="1621" t="s">
        <v>4965</v>
      </c>
      <c r="D510" s="1683"/>
      <c r="E510" s="1678">
        <f t="shared" si="103"/>
        <v>0</v>
      </c>
      <c r="F510" s="1687"/>
      <c r="G510" s="1684"/>
      <c r="H510" s="1684"/>
      <c r="I510" s="1684"/>
      <c r="J510" s="1684"/>
      <c r="K510" s="1685" t="str">
        <f t="shared" si="100"/>
        <v/>
      </c>
      <c r="L510" s="1685" t="str">
        <f t="shared" si="101"/>
        <v/>
      </c>
      <c r="M510" s="1686"/>
      <c r="N510" s="1668"/>
    </row>
    <row r="511" spans="1:14" ht="14.5">
      <c r="A511" s="1655">
        <f t="shared" si="102"/>
        <v>0</v>
      </c>
      <c r="B511" s="1409"/>
      <c r="C511" s="1621" t="s">
        <v>4966</v>
      </c>
      <c r="D511" s="1683"/>
      <c r="E511" s="1678">
        <f t="shared" si="103"/>
        <v>0</v>
      </c>
      <c r="F511" s="1687"/>
      <c r="G511" s="1684"/>
      <c r="H511" s="1684"/>
      <c r="I511" s="1684"/>
      <c r="J511" s="1684"/>
      <c r="K511" s="1685" t="str">
        <f t="shared" si="100"/>
        <v/>
      </c>
      <c r="L511" s="1685" t="str">
        <f t="shared" si="101"/>
        <v/>
      </c>
      <c r="M511" s="1686"/>
      <c r="N511" s="1668"/>
    </row>
    <row r="512" spans="1:14" ht="14.5">
      <c r="A512" s="1655">
        <f t="shared" si="102"/>
        <v>0</v>
      </c>
      <c r="B512" s="1409"/>
      <c r="C512" s="1621" t="s">
        <v>4967</v>
      </c>
      <c r="D512" s="1683"/>
      <c r="E512" s="1678">
        <f t="shared" si="103"/>
        <v>0</v>
      </c>
      <c r="F512" s="1687"/>
      <c r="G512" s="1684"/>
      <c r="H512" s="1684"/>
      <c r="I512" s="1684"/>
      <c r="J512" s="1684"/>
      <c r="K512" s="1685" t="str">
        <f t="shared" si="100"/>
        <v/>
      </c>
      <c r="L512" s="1685" t="str">
        <f t="shared" si="101"/>
        <v/>
      </c>
      <c r="M512" s="1686"/>
      <c r="N512" s="1668"/>
    </row>
    <row r="513" spans="1:14" ht="14.5">
      <c r="A513" s="1655">
        <f t="shared" si="102"/>
        <v>0</v>
      </c>
      <c r="B513" s="1409"/>
      <c r="C513" s="1621" t="s">
        <v>4968</v>
      </c>
      <c r="D513" s="1683"/>
      <c r="E513" s="1678">
        <f t="shared" si="103"/>
        <v>0</v>
      </c>
      <c r="F513" s="1687"/>
      <c r="G513" s="1684"/>
      <c r="H513" s="1684"/>
      <c r="I513" s="1684"/>
      <c r="J513" s="1684"/>
      <c r="K513" s="1685" t="str">
        <f t="shared" si="100"/>
        <v/>
      </c>
      <c r="L513" s="1685" t="str">
        <f t="shared" si="101"/>
        <v/>
      </c>
      <c r="M513" s="1686"/>
      <c r="N513" s="1668"/>
    </row>
    <row r="514" spans="1:14" ht="14.5">
      <c r="A514" s="1655">
        <f t="shared" si="102"/>
        <v>0</v>
      </c>
      <c r="B514" s="1409"/>
      <c r="C514" s="1621" t="s">
        <v>4969</v>
      </c>
      <c r="D514" s="1683"/>
      <c r="E514" s="1678">
        <f t="shared" si="103"/>
        <v>0</v>
      </c>
      <c r="F514" s="1687"/>
      <c r="G514" s="1684"/>
      <c r="H514" s="1684"/>
      <c r="I514" s="1684"/>
      <c r="J514" s="1684"/>
      <c r="K514" s="1685" t="str">
        <f t="shared" si="100"/>
        <v/>
      </c>
      <c r="L514" s="1685" t="str">
        <f t="shared" si="101"/>
        <v/>
      </c>
      <c r="M514" s="1686"/>
      <c r="N514" s="1668"/>
    </row>
    <row r="515" spans="1:14" ht="14.5">
      <c r="A515" s="1655">
        <f t="shared" si="102"/>
        <v>0</v>
      </c>
      <c r="B515" s="1409"/>
      <c r="C515" s="1621" t="s">
        <v>4970</v>
      </c>
      <c r="D515" s="1683"/>
      <c r="E515" s="1678">
        <f t="shared" si="103"/>
        <v>0</v>
      </c>
      <c r="F515" s="1687"/>
      <c r="G515" s="1684"/>
      <c r="H515" s="1684"/>
      <c r="I515" s="1684"/>
      <c r="J515" s="1684"/>
      <c r="K515" s="1685" t="str">
        <f t="shared" si="100"/>
        <v/>
      </c>
      <c r="L515" s="1685" t="str">
        <f t="shared" si="101"/>
        <v/>
      </c>
      <c r="M515" s="1686"/>
      <c r="N515" s="1668"/>
    </row>
    <row r="516" spans="1:14" ht="14.5">
      <c r="A516" s="1655">
        <f t="shared" si="102"/>
        <v>0</v>
      </c>
      <c r="B516" s="1409"/>
      <c r="C516" s="1621" t="s">
        <v>4971</v>
      </c>
      <c r="D516" s="1683"/>
      <c r="E516" s="1678">
        <f t="shared" si="103"/>
        <v>0</v>
      </c>
      <c r="F516" s="1687"/>
      <c r="G516" s="1684"/>
      <c r="H516" s="1684"/>
      <c r="I516" s="1684"/>
      <c r="J516" s="1684"/>
      <c r="K516" s="1685" t="str">
        <f t="shared" si="100"/>
        <v/>
      </c>
      <c r="L516" s="1685" t="str">
        <f t="shared" si="101"/>
        <v/>
      </c>
      <c r="M516" s="1686"/>
      <c r="N516" s="1668"/>
    </row>
    <row r="517" spans="1:14" ht="14.5">
      <c r="A517" s="1655">
        <f t="shared" si="102"/>
        <v>0</v>
      </c>
      <c r="B517" s="1409"/>
      <c r="C517" s="1621" t="s">
        <v>4972</v>
      </c>
      <c r="D517" s="1683"/>
      <c r="E517" s="1678">
        <f t="shared" si="103"/>
        <v>0</v>
      </c>
      <c r="F517" s="1687"/>
      <c r="G517" s="1684"/>
      <c r="H517" s="1684"/>
      <c r="I517" s="1684"/>
      <c r="J517" s="1684"/>
      <c r="K517" s="1685" t="str">
        <f t="shared" si="100"/>
        <v/>
      </c>
      <c r="L517" s="1685" t="str">
        <f t="shared" si="101"/>
        <v/>
      </c>
      <c r="M517" s="1686"/>
      <c r="N517" s="1668"/>
    </row>
    <row r="518" spans="1:14" ht="14.5">
      <c r="A518" s="1655">
        <f t="shared" si="102"/>
        <v>0</v>
      </c>
      <c r="B518" s="1412"/>
      <c r="C518" s="1621" t="s">
        <v>4973</v>
      </c>
      <c r="D518" s="1683"/>
      <c r="E518" s="1678">
        <f t="shared" si="103"/>
        <v>0</v>
      </c>
      <c r="F518" s="1687"/>
      <c r="G518" s="1684"/>
      <c r="H518" s="1684"/>
      <c r="I518" s="1684"/>
      <c r="J518" s="1684"/>
      <c r="K518" s="1685" t="str">
        <f t="shared" si="100"/>
        <v/>
      </c>
      <c r="L518" s="1685" t="str">
        <f t="shared" si="101"/>
        <v/>
      </c>
      <c r="M518" s="1686"/>
      <c r="N518" s="1668"/>
    </row>
    <row r="519" spans="1:14" ht="14.5">
      <c r="A519" s="1655">
        <f t="shared" si="102"/>
        <v>0</v>
      </c>
      <c r="B519" s="1412"/>
      <c r="C519" s="1621" t="s">
        <v>4974</v>
      </c>
      <c r="D519" s="1683"/>
      <c r="E519" s="1678">
        <f t="shared" si="103"/>
        <v>0</v>
      </c>
      <c r="F519" s="1687"/>
      <c r="G519" s="1684"/>
      <c r="H519" s="1684"/>
      <c r="I519" s="1684"/>
      <c r="J519" s="1684"/>
      <c r="K519" s="1685" t="str">
        <f t="shared" si="100"/>
        <v/>
      </c>
      <c r="L519" s="1685" t="str">
        <f t="shared" si="101"/>
        <v/>
      </c>
      <c r="M519" s="1686"/>
      <c r="N519" s="1668"/>
    </row>
    <row r="520" spans="1:14" ht="14.5">
      <c r="A520" s="1655">
        <f t="shared" si="102"/>
        <v>0</v>
      </c>
      <c r="B520" s="1409"/>
      <c r="C520" s="1621" t="s">
        <v>4975</v>
      </c>
      <c r="D520" s="1683"/>
      <c r="E520" s="1678">
        <f t="shared" si="103"/>
        <v>0</v>
      </c>
      <c r="F520" s="1687"/>
      <c r="G520" s="1684"/>
      <c r="H520" s="1684"/>
      <c r="I520" s="1684"/>
      <c r="J520" s="1684"/>
      <c r="K520" s="1685" t="str">
        <f t="shared" si="100"/>
        <v/>
      </c>
      <c r="L520" s="1685" t="str">
        <f t="shared" si="101"/>
        <v/>
      </c>
      <c r="M520" s="1686"/>
      <c r="N520" s="1668"/>
    </row>
    <row r="521" spans="1:14" ht="14.5">
      <c r="A521" s="1655">
        <f t="shared" si="102"/>
        <v>0</v>
      </c>
      <c r="B521" s="1409"/>
      <c r="C521" s="1621" t="s">
        <v>4976</v>
      </c>
      <c r="D521" s="1683"/>
      <c r="E521" s="1678">
        <f t="shared" si="103"/>
        <v>0</v>
      </c>
      <c r="F521" s="1687"/>
      <c r="G521" s="1684"/>
      <c r="H521" s="1684"/>
      <c r="I521" s="1684"/>
      <c r="J521" s="1684"/>
      <c r="K521" s="1685" t="str">
        <f t="shared" si="100"/>
        <v/>
      </c>
      <c r="L521" s="1685" t="str">
        <f t="shared" si="101"/>
        <v/>
      </c>
      <c r="M521" s="1686"/>
      <c r="N521" s="1668"/>
    </row>
    <row r="522" spans="1:14" ht="14.5">
      <c r="A522" s="1655">
        <f t="shared" si="102"/>
        <v>0</v>
      </c>
      <c r="B522" s="1409"/>
      <c r="C522" s="1621" t="s">
        <v>4977</v>
      </c>
      <c r="D522" s="1683"/>
      <c r="E522" s="1678">
        <f t="shared" si="103"/>
        <v>0</v>
      </c>
      <c r="F522" s="1687"/>
      <c r="G522" s="1684"/>
      <c r="H522" s="1684"/>
      <c r="I522" s="1684"/>
      <c r="J522" s="1684"/>
      <c r="K522" s="1685" t="str">
        <f t="shared" si="100"/>
        <v/>
      </c>
      <c r="L522" s="1685" t="str">
        <f t="shared" si="101"/>
        <v/>
      </c>
      <c r="M522" s="1686"/>
      <c r="N522" s="1668"/>
    </row>
    <row r="523" spans="1:14" ht="14.5">
      <c r="A523" s="1655">
        <f t="shared" si="102"/>
        <v>0</v>
      </c>
      <c r="B523" s="1409"/>
      <c r="C523" s="1621" t="s">
        <v>4978</v>
      </c>
      <c r="D523" s="1683"/>
      <c r="E523" s="1678">
        <f t="shared" si="103"/>
        <v>0</v>
      </c>
      <c r="F523" s="1687"/>
      <c r="G523" s="1684"/>
      <c r="H523" s="1684"/>
      <c r="I523" s="1684"/>
      <c r="J523" s="1684"/>
      <c r="K523" s="1685" t="str">
        <f t="shared" si="100"/>
        <v/>
      </c>
      <c r="L523" s="1685" t="str">
        <f t="shared" si="101"/>
        <v/>
      </c>
      <c r="M523" s="1686"/>
      <c r="N523" s="1668"/>
    </row>
    <row r="524" spans="1:14" ht="14.5">
      <c r="A524" s="1655">
        <f t="shared" si="102"/>
        <v>0</v>
      </c>
      <c r="B524" s="1409"/>
      <c r="C524" s="1621" t="s">
        <v>4979</v>
      </c>
      <c r="D524" s="1683"/>
      <c r="E524" s="1678">
        <f t="shared" si="103"/>
        <v>0</v>
      </c>
      <c r="F524" s="1687"/>
      <c r="G524" s="1684"/>
      <c r="H524" s="1684"/>
      <c r="I524" s="1684"/>
      <c r="J524" s="1684"/>
      <c r="K524" s="1685" t="str">
        <f t="shared" si="100"/>
        <v/>
      </c>
      <c r="L524" s="1685" t="str">
        <f t="shared" si="101"/>
        <v/>
      </c>
      <c r="M524" s="1686"/>
      <c r="N524" s="1668"/>
    </row>
    <row r="525" spans="1:14" ht="14.5">
      <c r="A525" s="1655">
        <f t="shared" si="102"/>
        <v>0</v>
      </c>
      <c r="B525" s="1409"/>
      <c r="C525" s="1621" t="s">
        <v>4980</v>
      </c>
      <c r="D525" s="1683"/>
      <c r="E525" s="1678">
        <f t="shared" si="103"/>
        <v>0</v>
      </c>
      <c r="F525" s="1687"/>
      <c r="G525" s="1684"/>
      <c r="H525" s="1684"/>
      <c r="I525" s="1684"/>
      <c r="J525" s="1684"/>
      <c r="K525" s="1685" t="str">
        <f t="shared" si="100"/>
        <v/>
      </c>
      <c r="L525" s="1685" t="str">
        <f t="shared" si="101"/>
        <v/>
      </c>
      <c r="M525" s="1686"/>
      <c r="N525" s="1668"/>
    </row>
    <row r="526" spans="1:14" ht="14.5">
      <c r="A526" s="1655">
        <f t="shared" si="102"/>
        <v>0</v>
      </c>
      <c r="B526" s="1409"/>
      <c r="C526" s="1621" t="s">
        <v>4981</v>
      </c>
      <c r="D526" s="1683"/>
      <c r="E526" s="1678">
        <f t="shared" si="103"/>
        <v>0</v>
      </c>
      <c r="F526" s="1687"/>
      <c r="G526" s="1684"/>
      <c r="H526" s="1684"/>
      <c r="I526" s="1684"/>
      <c r="J526" s="1684"/>
      <c r="K526" s="1685" t="str">
        <f t="shared" si="100"/>
        <v/>
      </c>
      <c r="L526" s="1685" t="str">
        <f t="shared" si="101"/>
        <v/>
      </c>
      <c r="M526" s="1686"/>
      <c r="N526" s="1668"/>
    </row>
    <row r="527" spans="1:14" ht="14.5">
      <c r="A527" s="1655">
        <f t="shared" si="102"/>
        <v>0</v>
      </c>
      <c r="B527" s="1409"/>
      <c r="C527" s="1621" t="s">
        <v>4982</v>
      </c>
      <c r="D527" s="1683"/>
      <c r="E527" s="1678">
        <f t="shared" si="103"/>
        <v>0</v>
      </c>
      <c r="F527" s="1687"/>
      <c r="G527" s="1684"/>
      <c r="H527" s="1684"/>
      <c r="I527" s="1684"/>
      <c r="J527" s="1684"/>
      <c r="K527" s="1685" t="str">
        <f t="shared" si="100"/>
        <v/>
      </c>
      <c r="L527" s="1685" t="str">
        <f t="shared" si="101"/>
        <v/>
      </c>
      <c r="M527" s="1686"/>
      <c r="N527" s="1668"/>
    </row>
    <row r="528" spans="1:14" ht="14.5">
      <c r="A528" s="1655">
        <f t="shared" si="102"/>
        <v>0</v>
      </c>
      <c r="B528" s="1409"/>
      <c r="C528" s="1621" t="s">
        <v>4983</v>
      </c>
      <c r="D528" s="1683"/>
      <c r="E528" s="1678">
        <f t="shared" si="103"/>
        <v>0</v>
      </c>
      <c r="F528" s="1687"/>
      <c r="G528" s="1684"/>
      <c r="H528" s="1684"/>
      <c r="I528" s="1684"/>
      <c r="J528" s="1684"/>
      <c r="K528" s="1685" t="str">
        <f t="shared" si="100"/>
        <v/>
      </c>
      <c r="L528" s="1685" t="str">
        <f t="shared" si="101"/>
        <v/>
      </c>
      <c r="M528" s="1686"/>
      <c r="N528" s="1668"/>
    </row>
    <row r="529" spans="1:14" ht="14.5">
      <c r="A529" s="1655">
        <f t="shared" si="102"/>
        <v>0</v>
      </c>
      <c r="B529" s="1409"/>
      <c r="C529" s="1621" t="s">
        <v>4984</v>
      </c>
      <c r="D529" s="1683"/>
      <c r="E529" s="1678">
        <f t="shared" si="103"/>
        <v>0</v>
      </c>
      <c r="F529" s="1687"/>
      <c r="G529" s="1684"/>
      <c r="H529" s="1684"/>
      <c r="I529" s="1684"/>
      <c r="J529" s="1684"/>
      <c r="K529" s="1685" t="str">
        <f t="shared" si="100"/>
        <v/>
      </c>
      <c r="L529" s="1685" t="str">
        <f t="shared" si="101"/>
        <v/>
      </c>
      <c r="M529" s="1686"/>
      <c r="N529" s="1668"/>
    </row>
    <row r="530" spans="1:14" ht="14.5">
      <c r="A530" s="1655">
        <f t="shared" si="102"/>
        <v>0</v>
      </c>
      <c r="B530" s="1409"/>
      <c r="C530" s="1621" t="s">
        <v>4985</v>
      </c>
      <c r="D530" s="1683"/>
      <c r="E530" s="1678">
        <f t="shared" si="103"/>
        <v>0</v>
      </c>
      <c r="F530" s="1687"/>
      <c r="G530" s="1684"/>
      <c r="H530" s="1684"/>
      <c r="I530" s="1684"/>
      <c r="J530" s="1684"/>
      <c r="K530" s="1685" t="str">
        <f t="shared" si="100"/>
        <v/>
      </c>
      <c r="L530" s="1685" t="str">
        <f t="shared" si="101"/>
        <v/>
      </c>
      <c r="M530" s="1686"/>
      <c r="N530" s="1668"/>
    </row>
    <row r="531" spans="1:14" ht="14.5">
      <c r="A531" s="1655">
        <f t="shared" si="102"/>
        <v>0</v>
      </c>
      <c r="B531" s="1688"/>
      <c r="C531" s="1689" t="s">
        <v>4986</v>
      </c>
      <c r="D531" s="1690"/>
      <c r="E531" s="1691">
        <f t="shared" si="103"/>
        <v>0</v>
      </c>
      <c r="F531" s="1692"/>
      <c r="G531" s="1693"/>
      <c r="H531" s="1693"/>
      <c r="I531" s="1693"/>
      <c r="J531" s="1693"/>
      <c r="K531" s="1694" t="str">
        <f t="shared" si="100"/>
        <v/>
      </c>
      <c r="L531" s="1694" t="str">
        <f t="shared" si="101"/>
        <v/>
      </c>
      <c r="M531" s="1695"/>
      <c r="N531" s="1668"/>
    </row>
    <row r="532" spans="1:14" ht="14.5">
      <c r="A532" s="1674">
        <f>A506+1</f>
        <v>21</v>
      </c>
      <c r="B532" s="1675" t="s">
        <v>5050</v>
      </c>
      <c r="C532" s="1676"/>
      <c r="D532" s="1677"/>
      <c r="E532" s="1679">
        <f t="shared" ref="E532:I532" si="104">SUM(E533:E557)</f>
        <v>0</v>
      </c>
      <c r="F532" s="1679">
        <f t="shared" si="104"/>
        <v>0</v>
      </c>
      <c r="G532" s="1679">
        <f t="shared" si="104"/>
        <v>0</v>
      </c>
      <c r="H532" s="1679">
        <f t="shared" si="104"/>
        <v>0</v>
      </c>
      <c r="I532" s="1679">
        <f t="shared" si="104"/>
        <v>0</v>
      </c>
      <c r="J532" s="1679">
        <f>SUM(J533:J557)</f>
        <v>0</v>
      </c>
      <c r="K532" s="1680" t="str">
        <f>IFERROR(E532/$C$6,"")</f>
        <v/>
      </c>
      <c r="L532" s="1680" t="str">
        <f>IFERROR(E532/$C$7,"")</f>
        <v/>
      </c>
      <c r="M532" s="1681">
        <f>SUM(M533:M557)</f>
        <v>0</v>
      </c>
      <c r="N532" s="1668"/>
    </row>
    <row r="533" spans="1:14" ht="14.5">
      <c r="A533" s="1655">
        <f>IF(E533&lt;&gt;0,1,0)</f>
        <v>0</v>
      </c>
      <c r="B533" s="1412"/>
      <c r="C533" s="1621" t="s">
        <v>4962</v>
      </c>
      <c r="D533" s="1683"/>
      <c r="E533" s="1678">
        <f>SUM(F533:J533)</f>
        <v>0</v>
      </c>
      <c r="F533" s="1684"/>
      <c r="G533" s="1684"/>
      <c r="H533" s="1684"/>
      <c r="I533" s="1684"/>
      <c r="J533" s="1684"/>
      <c r="K533" s="1685" t="str">
        <f t="shared" ref="K533:K557" si="105">IFERROR(E533/$C$6,"")</f>
        <v/>
      </c>
      <c r="L533" s="1685" t="str">
        <f t="shared" ref="L533:L557" si="106">IFERROR(E533/$C$7,"")</f>
        <v/>
      </c>
      <c r="M533" s="1686"/>
      <c r="N533" s="1668"/>
    </row>
    <row r="534" spans="1:14" ht="14.5">
      <c r="A534" s="1655">
        <f t="shared" ref="A534:A557" si="107">IF(E534&lt;&gt;0,1,0)</f>
        <v>0</v>
      </c>
      <c r="B534" s="1409"/>
      <c r="C534" s="1621" t="s">
        <v>4963</v>
      </c>
      <c r="D534" s="1683"/>
      <c r="E534" s="1678">
        <f t="shared" ref="E534:E557" si="108">SUM(F534:J534)</f>
        <v>0</v>
      </c>
      <c r="F534" s="1687"/>
      <c r="G534" s="1684"/>
      <c r="H534" s="1684"/>
      <c r="I534" s="1684"/>
      <c r="J534" s="1684"/>
      <c r="K534" s="1685" t="str">
        <f t="shared" si="105"/>
        <v/>
      </c>
      <c r="L534" s="1685" t="str">
        <f t="shared" si="106"/>
        <v/>
      </c>
      <c r="M534" s="1686"/>
      <c r="N534" s="1668"/>
    </row>
    <row r="535" spans="1:14" ht="14.5">
      <c r="A535" s="1655">
        <f t="shared" si="107"/>
        <v>0</v>
      </c>
      <c r="B535" s="1409"/>
      <c r="C535" s="1621" t="s">
        <v>4964</v>
      </c>
      <c r="D535" s="1683"/>
      <c r="E535" s="1678">
        <f t="shared" si="108"/>
        <v>0</v>
      </c>
      <c r="F535" s="1687"/>
      <c r="G535" s="1684"/>
      <c r="H535" s="1684"/>
      <c r="I535" s="1684"/>
      <c r="J535" s="1684"/>
      <c r="K535" s="1685" t="str">
        <f t="shared" si="105"/>
        <v/>
      </c>
      <c r="L535" s="1685" t="str">
        <f t="shared" si="106"/>
        <v/>
      </c>
      <c r="M535" s="1686"/>
      <c r="N535" s="1668"/>
    </row>
    <row r="536" spans="1:14" ht="14.5">
      <c r="A536" s="1655">
        <f t="shared" si="107"/>
        <v>0</v>
      </c>
      <c r="B536" s="1409"/>
      <c r="C536" s="1621" t="s">
        <v>4965</v>
      </c>
      <c r="D536" s="1683"/>
      <c r="E536" s="1678">
        <f t="shared" si="108"/>
        <v>0</v>
      </c>
      <c r="F536" s="1687"/>
      <c r="G536" s="1684"/>
      <c r="H536" s="1684"/>
      <c r="I536" s="1684"/>
      <c r="J536" s="1684"/>
      <c r="K536" s="1685" t="str">
        <f t="shared" si="105"/>
        <v/>
      </c>
      <c r="L536" s="1685" t="str">
        <f t="shared" si="106"/>
        <v/>
      </c>
      <c r="M536" s="1686"/>
      <c r="N536" s="1668"/>
    </row>
    <row r="537" spans="1:14" ht="14.5">
      <c r="A537" s="1655">
        <f t="shared" si="107"/>
        <v>0</v>
      </c>
      <c r="B537" s="1409"/>
      <c r="C537" s="1621" t="s">
        <v>4966</v>
      </c>
      <c r="D537" s="1683"/>
      <c r="E537" s="1678">
        <f t="shared" si="108"/>
        <v>0</v>
      </c>
      <c r="F537" s="1687"/>
      <c r="G537" s="1684"/>
      <c r="H537" s="1684"/>
      <c r="I537" s="1684"/>
      <c r="J537" s="1684"/>
      <c r="K537" s="1685" t="str">
        <f t="shared" si="105"/>
        <v/>
      </c>
      <c r="L537" s="1685" t="str">
        <f t="shared" si="106"/>
        <v/>
      </c>
      <c r="M537" s="1686"/>
      <c r="N537" s="1668"/>
    </row>
    <row r="538" spans="1:14" ht="14.5">
      <c r="A538" s="1655">
        <f t="shared" si="107"/>
        <v>0</v>
      </c>
      <c r="B538" s="1409"/>
      <c r="C538" s="1621" t="s">
        <v>4967</v>
      </c>
      <c r="D538" s="1683"/>
      <c r="E538" s="1678">
        <f t="shared" si="108"/>
        <v>0</v>
      </c>
      <c r="F538" s="1687"/>
      <c r="G538" s="1684"/>
      <c r="H538" s="1684"/>
      <c r="I538" s="1684"/>
      <c r="J538" s="1684"/>
      <c r="K538" s="1685" t="str">
        <f t="shared" si="105"/>
        <v/>
      </c>
      <c r="L538" s="1685" t="str">
        <f t="shared" si="106"/>
        <v/>
      </c>
      <c r="M538" s="1686"/>
      <c r="N538" s="1668"/>
    </row>
    <row r="539" spans="1:14" ht="14.5">
      <c r="A539" s="1655">
        <f t="shared" si="107"/>
        <v>0</v>
      </c>
      <c r="B539" s="1409"/>
      <c r="C539" s="1621" t="s">
        <v>4968</v>
      </c>
      <c r="D539" s="1683"/>
      <c r="E539" s="1678">
        <f t="shared" si="108"/>
        <v>0</v>
      </c>
      <c r="F539" s="1687"/>
      <c r="G539" s="1684"/>
      <c r="H539" s="1684"/>
      <c r="I539" s="1684"/>
      <c r="J539" s="1684"/>
      <c r="K539" s="1685" t="str">
        <f t="shared" si="105"/>
        <v/>
      </c>
      <c r="L539" s="1685" t="str">
        <f t="shared" si="106"/>
        <v/>
      </c>
      <c r="M539" s="1686"/>
      <c r="N539" s="1668"/>
    </row>
    <row r="540" spans="1:14" ht="14.5">
      <c r="A540" s="1655">
        <f t="shared" si="107"/>
        <v>0</v>
      </c>
      <c r="B540" s="1409"/>
      <c r="C540" s="1621" t="s">
        <v>4969</v>
      </c>
      <c r="D540" s="1683"/>
      <c r="E540" s="1678">
        <f t="shared" si="108"/>
        <v>0</v>
      </c>
      <c r="F540" s="1687"/>
      <c r="G540" s="1684"/>
      <c r="H540" s="1684"/>
      <c r="I540" s="1684"/>
      <c r="J540" s="1684"/>
      <c r="K540" s="1685" t="str">
        <f t="shared" si="105"/>
        <v/>
      </c>
      <c r="L540" s="1685" t="str">
        <f t="shared" si="106"/>
        <v/>
      </c>
      <c r="M540" s="1686"/>
      <c r="N540" s="1668"/>
    </row>
    <row r="541" spans="1:14" ht="14.5">
      <c r="A541" s="1655">
        <f t="shared" si="107"/>
        <v>0</v>
      </c>
      <c r="B541" s="1409"/>
      <c r="C541" s="1621" t="s">
        <v>4970</v>
      </c>
      <c r="D541" s="1683"/>
      <c r="E541" s="1678">
        <f t="shared" si="108"/>
        <v>0</v>
      </c>
      <c r="F541" s="1687"/>
      <c r="G541" s="1684"/>
      <c r="H541" s="1684"/>
      <c r="I541" s="1684"/>
      <c r="J541" s="1684"/>
      <c r="K541" s="1685" t="str">
        <f t="shared" si="105"/>
        <v/>
      </c>
      <c r="L541" s="1685" t="str">
        <f t="shared" si="106"/>
        <v/>
      </c>
      <c r="M541" s="1686"/>
      <c r="N541" s="1668"/>
    </row>
    <row r="542" spans="1:14" ht="14.5">
      <c r="A542" s="1655">
        <f t="shared" si="107"/>
        <v>0</v>
      </c>
      <c r="B542" s="1409"/>
      <c r="C542" s="1621" t="s">
        <v>4971</v>
      </c>
      <c r="D542" s="1683"/>
      <c r="E542" s="1678">
        <f t="shared" si="108"/>
        <v>0</v>
      </c>
      <c r="F542" s="1687"/>
      <c r="G542" s="1684"/>
      <c r="H542" s="1684"/>
      <c r="I542" s="1684"/>
      <c r="J542" s="1684"/>
      <c r="K542" s="1685" t="str">
        <f t="shared" si="105"/>
        <v/>
      </c>
      <c r="L542" s="1685" t="str">
        <f t="shared" si="106"/>
        <v/>
      </c>
      <c r="M542" s="1686"/>
      <c r="N542" s="1668"/>
    </row>
    <row r="543" spans="1:14" ht="14.5">
      <c r="A543" s="1655">
        <f t="shared" si="107"/>
        <v>0</v>
      </c>
      <c r="B543" s="1409"/>
      <c r="C543" s="1621" t="s">
        <v>4972</v>
      </c>
      <c r="D543" s="1683"/>
      <c r="E543" s="1678">
        <f t="shared" si="108"/>
        <v>0</v>
      </c>
      <c r="F543" s="1687"/>
      <c r="G543" s="1684"/>
      <c r="H543" s="1684"/>
      <c r="I543" s="1684"/>
      <c r="J543" s="1684"/>
      <c r="K543" s="1685" t="str">
        <f t="shared" si="105"/>
        <v/>
      </c>
      <c r="L543" s="1685" t="str">
        <f t="shared" si="106"/>
        <v/>
      </c>
      <c r="M543" s="1686"/>
      <c r="N543" s="1668"/>
    </row>
    <row r="544" spans="1:14" ht="14.5">
      <c r="A544" s="1655">
        <f t="shared" si="107"/>
        <v>0</v>
      </c>
      <c r="B544" s="1412"/>
      <c r="C544" s="1621" t="s">
        <v>4973</v>
      </c>
      <c r="D544" s="1683"/>
      <c r="E544" s="1678">
        <f t="shared" si="108"/>
        <v>0</v>
      </c>
      <c r="F544" s="1687"/>
      <c r="G544" s="1684"/>
      <c r="H544" s="1684"/>
      <c r="I544" s="1684"/>
      <c r="J544" s="1684"/>
      <c r="K544" s="1685" t="str">
        <f t="shared" si="105"/>
        <v/>
      </c>
      <c r="L544" s="1685" t="str">
        <f t="shared" si="106"/>
        <v/>
      </c>
      <c r="M544" s="1686"/>
      <c r="N544" s="1668"/>
    </row>
    <row r="545" spans="1:14" ht="14.5">
      <c r="A545" s="1655">
        <f t="shared" si="107"/>
        <v>0</v>
      </c>
      <c r="B545" s="1412"/>
      <c r="C545" s="1621" t="s">
        <v>4974</v>
      </c>
      <c r="D545" s="1683"/>
      <c r="E545" s="1678">
        <f t="shared" si="108"/>
        <v>0</v>
      </c>
      <c r="F545" s="1687"/>
      <c r="G545" s="1684"/>
      <c r="H545" s="1684"/>
      <c r="I545" s="1684"/>
      <c r="J545" s="1684"/>
      <c r="K545" s="1685" t="str">
        <f t="shared" si="105"/>
        <v/>
      </c>
      <c r="L545" s="1685" t="str">
        <f t="shared" si="106"/>
        <v/>
      </c>
      <c r="M545" s="1686"/>
      <c r="N545" s="1668"/>
    </row>
    <row r="546" spans="1:14" ht="14.5">
      <c r="A546" s="1655">
        <f t="shared" si="107"/>
        <v>0</v>
      </c>
      <c r="B546" s="1409"/>
      <c r="C546" s="1621" t="s">
        <v>4975</v>
      </c>
      <c r="D546" s="1683"/>
      <c r="E546" s="1678">
        <f t="shared" si="108"/>
        <v>0</v>
      </c>
      <c r="F546" s="1687"/>
      <c r="G546" s="1684"/>
      <c r="H546" s="1684"/>
      <c r="I546" s="1684"/>
      <c r="J546" s="1684"/>
      <c r="K546" s="1685" t="str">
        <f t="shared" si="105"/>
        <v/>
      </c>
      <c r="L546" s="1685" t="str">
        <f t="shared" si="106"/>
        <v/>
      </c>
      <c r="M546" s="1686"/>
      <c r="N546" s="1668"/>
    </row>
    <row r="547" spans="1:14" ht="14.5">
      <c r="A547" s="1655">
        <f t="shared" si="107"/>
        <v>0</v>
      </c>
      <c r="B547" s="1409"/>
      <c r="C547" s="1621" t="s">
        <v>4976</v>
      </c>
      <c r="D547" s="1683"/>
      <c r="E547" s="1678">
        <f t="shared" si="108"/>
        <v>0</v>
      </c>
      <c r="F547" s="1687"/>
      <c r="G547" s="1684"/>
      <c r="H547" s="1684"/>
      <c r="I547" s="1684"/>
      <c r="J547" s="1684"/>
      <c r="K547" s="1685" t="str">
        <f t="shared" si="105"/>
        <v/>
      </c>
      <c r="L547" s="1685" t="str">
        <f t="shared" si="106"/>
        <v/>
      </c>
      <c r="M547" s="1686"/>
      <c r="N547" s="1668"/>
    </row>
    <row r="548" spans="1:14" ht="14.5">
      <c r="A548" s="1655">
        <f t="shared" si="107"/>
        <v>0</v>
      </c>
      <c r="B548" s="1409"/>
      <c r="C548" s="1621" t="s">
        <v>4977</v>
      </c>
      <c r="D548" s="1683"/>
      <c r="E548" s="1678">
        <f t="shared" si="108"/>
        <v>0</v>
      </c>
      <c r="F548" s="1687"/>
      <c r="G548" s="1684"/>
      <c r="H548" s="1684"/>
      <c r="I548" s="1684"/>
      <c r="J548" s="1684"/>
      <c r="K548" s="1685" t="str">
        <f t="shared" si="105"/>
        <v/>
      </c>
      <c r="L548" s="1685" t="str">
        <f t="shared" si="106"/>
        <v/>
      </c>
      <c r="M548" s="1686"/>
      <c r="N548" s="1668"/>
    </row>
    <row r="549" spans="1:14" ht="14.5">
      <c r="A549" s="1655">
        <f t="shared" si="107"/>
        <v>0</v>
      </c>
      <c r="B549" s="1409"/>
      <c r="C549" s="1621" t="s">
        <v>4978</v>
      </c>
      <c r="D549" s="1683"/>
      <c r="E549" s="1678">
        <f t="shared" si="108"/>
        <v>0</v>
      </c>
      <c r="F549" s="1687"/>
      <c r="G549" s="1684"/>
      <c r="H549" s="1684"/>
      <c r="I549" s="1684"/>
      <c r="J549" s="1684"/>
      <c r="K549" s="1685" t="str">
        <f t="shared" si="105"/>
        <v/>
      </c>
      <c r="L549" s="1685" t="str">
        <f t="shared" si="106"/>
        <v/>
      </c>
      <c r="M549" s="1686"/>
      <c r="N549" s="1668"/>
    </row>
    <row r="550" spans="1:14" ht="14.5">
      <c r="A550" s="1655">
        <f t="shared" si="107"/>
        <v>0</v>
      </c>
      <c r="B550" s="1409"/>
      <c r="C550" s="1621" t="s">
        <v>4979</v>
      </c>
      <c r="D550" s="1683"/>
      <c r="E550" s="1678">
        <f t="shared" si="108"/>
        <v>0</v>
      </c>
      <c r="F550" s="1687"/>
      <c r="G550" s="1684"/>
      <c r="H550" s="1684"/>
      <c r="I550" s="1684"/>
      <c r="J550" s="1684"/>
      <c r="K550" s="1685" t="str">
        <f t="shared" si="105"/>
        <v/>
      </c>
      <c r="L550" s="1685" t="str">
        <f t="shared" si="106"/>
        <v/>
      </c>
      <c r="M550" s="1686"/>
      <c r="N550" s="1668"/>
    </row>
    <row r="551" spans="1:14" ht="14.5">
      <c r="A551" s="1655">
        <f t="shared" si="107"/>
        <v>0</v>
      </c>
      <c r="B551" s="1409"/>
      <c r="C551" s="1621" t="s">
        <v>4980</v>
      </c>
      <c r="D551" s="1683"/>
      <c r="E551" s="1678">
        <f t="shared" si="108"/>
        <v>0</v>
      </c>
      <c r="F551" s="1687"/>
      <c r="G551" s="1684"/>
      <c r="H551" s="1684"/>
      <c r="I551" s="1684"/>
      <c r="J551" s="1684"/>
      <c r="K551" s="1685" t="str">
        <f t="shared" si="105"/>
        <v/>
      </c>
      <c r="L551" s="1685" t="str">
        <f t="shared" si="106"/>
        <v/>
      </c>
      <c r="M551" s="1686"/>
      <c r="N551" s="1668"/>
    </row>
    <row r="552" spans="1:14" ht="14.5">
      <c r="A552" s="1655">
        <f t="shared" si="107"/>
        <v>0</v>
      </c>
      <c r="B552" s="1409"/>
      <c r="C552" s="1621" t="s">
        <v>4981</v>
      </c>
      <c r="D552" s="1683"/>
      <c r="E552" s="1678">
        <f t="shared" si="108"/>
        <v>0</v>
      </c>
      <c r="F552" s="1687"/>
      <c r="G552" s="1684"/>
      <c r="H552" s="1684"/>
      <c r="I552" s="1684"/>
      <c r="J552" s="1684"/>
      <c r="K552" s="1685" t="str">
        <f t="shared" si="105"/>
        <v/>
      </c>
      <c r="L552" s="1685" t="str">
        <f t="shared" si="106"/>
        <v/>
      </c>
      <c r="M552" s="1686"/>
      <c r="N552" s="1668"/>
    </row>
    <row r="553" spans="1:14" ht="14.5">
      <c r="A553" s="1655">
        <f t="shared" si="107"/>
        <v>0</v>
      </c>
      <c r="B553" s="1409"/>
      <c r="C553" s="1621" t="s">
        <v>4982</v>
      </c>
      <c r="D553" s="1683"/>
      <c r="E553" s="1678">
        <f t="shared" si="108"/>
        <v>0</v>
      </c>
      <c r="F553" s="1687"/>
      <c r="G553" s="1684"/>
      <c r="H553" s="1684"/>
      <c r="I553" s="1684"/>
      <c r="J553" s="1684"/>
      <c r="K553" s="1685" t="str">
        <f t="shared" si="105"/>
        <v/>
      </c>
      <c r="L553" s="1685" t="str">
        <f t="shared" si="106"/>
        <v/>
      </c>
      <c r="M553" s="1686"/>
      <c r="N553" s="1668"/>
    </row>
    <row r="554" spans="1:14" ht="14.5">
      <c r="A554" s="1655">
        <f t="shared" si="107"/>
        <v>0</v>
      </c>
      <c r="B554" s="1409"/>
      <c r="C554" s="1621" t="s">
        <v>4983</v>
      </c>
      <c r="D554" s="1683"/>
      <c r="E554" s="1678">
        <f t="shared" si="108"/>
        <v>0</v>
      </c>
      <c r="F554" s="1687"/>
      <c r="G554" s="1684"/>
      <c r="H554" s="1684"/>
      <c r="I554" s="1684"/>
      <c r="J554" s="1684"/>
      <c r="K554" s="1685" t="str">
        <f t="shared" si="105"/>
        <v/>
      </c>
      <c r="L554" s="1685" t="str">
        <f t="shared" si="106"/>
        <v/>
      </c>
      <c r="M554" s="1686"/>
      <c r="N554" s="1668"/>
    </row>
    <row r="555" spans="1:14" ht="14.5">
      <c r="A555" s="1655">
        <f t="shared" si="107"/>
        <v>0</v>
      </c>
      <c r="B555" s="1409"/>
      <c r="C555" s="1621" t="s">
        <v>4984</v>
      </c>
      <c r="D555" s="1683"/>
      <c r="E555" s="1678">
        <f t="shared" si="108"/>
        <v>0</v>
      </c>
      <c r="F555" s="1687"/>
      <c r="G555" s="1684"/>
      <c r="H555" s="1684"/>
      <c r="I555" s="1684"/>
      <c r="J555" s="1684"/>
      <c r="K555" s="1685" t="str">
        <f t="shared" si="105"/>
        <v/>
      </c>
      <c r="L555" s="1685" t="str">
        <f t="shared" si="106"/>
        <v/>
      </c>
      <c r="M555" s="1686"/>
      <c r="N555" s="1668"/>
    </row>
    <row r="556" spans="1:14" ht="14.5">
      <c r="A556" s="1655">
        <f t="shared" si="107"/>
        <v>0</v>
      </c>
      <c r="B556" s="1409"/>
      <c r="C556" s="1621" t="s">
        <v>4985</v>
      </c>
      <c r="D556" s="1683"/>
      <c r="E556" s="1678">
        <f t="shared" si="108"/>
        <v>0</v>
      </c>
      <c r="F556" s="1687"/>
      <c r="G556" s="1684"/>
      <c r="H556" s="1684"/>
      <c r="I556" s="1684"/>
      <c r="J556" s="1684"/>
      <c r="K556" s="1685" t="str">
        <f t="shared" si="105"/>
        <v/>
      </c>
      <c r="L556" s="1685" t="str">
        <f t="shared" si="106"/>
        <v/>
      </c>
      <c r="M556" s="1686"/>
      <c r="N556" s="1668"/>
    </row>
    <row r="557" spans="1:14" ht="14.5">
      <c r="A557" s="1655">
        <f t="shared" si="107"/>
        <v>0</v>
      </c>
      <c r="B557" s="1688"/>
      <c r="C557" s="1689" t="s">
        <v>4986</v>
      </c>
      <c r="D557" s="1690"/>
      <c r="E557" s="1691">
        <f t="shared" si="108"/>
        <v>0</v>
      </c>
      <c r="F557" s="1692"/>
      <c r="G557" s="1693"/>
      <c r="H557" s="1693"/>
      <c r="I557" s="1693"/>
      <c r="J557" s="1693"/>
      <c r="K557" s="1694" t="str">
        <f t="shared" si="105"/>
        <v/>
      </c>
      <c r="L557" s="1694" t="str">
        <f t="shared" si="106"/>
        <v/>
      </c>
      <c r="M557" s="1695"/>
      <c r="N557" s="1668"/>
    </row>
    <row r="558" spans="1:14" ht="14.5">
      <c r="A558" s="1674">
        <f>A532+1</f>
        <v>22</v>
      </c>
      <c r="B558" s="1675" t="s">
        <v>5050</v>
      </c>
      <c r="C558" s="1676"/>
      <c r="D558" s="1677"/>
      <c r="E558" s="1679">
        <f t="shared" ref="E558:I558" si="109">SUM(E559:E583)</f>
        <v>0</v>
      </c>
      <c r="F558" s="1679">
        <f t="shared" si="109"/>
        <v>0</v>
      </c>
      <c r="G558" s="1679">
        <f t="shared" si="109"/>
        <v>0</v>
      </c>
      <c r="H558" s="1679">
        <f t="shared" si="109"/>
        <v>0</v>
      </c>
      <c r="I558" s="1679">
        <f t="shared" si="109"/>
        <v>0</v>
      </c>
      <c r="J558" s="1679">
        <f>SUM(J559:J583)</f>
        <v>0</v>
      </c>
      <c r="K558" s="1680" t="str">
        <f>IFERROR(E558/$C$6,"")</f>
        <v/>
      </c>
      <c r="L558" s="1680" t="str">
        <f>IFERROR(E558/$C$7,"")</f>
        <v/>
      </c>
      <c r="M558" s="1681">
        <f>SUM(M559:M583)</f>
        <v>0</v>
      </c>
      <c r="N558" s="1668"/>
    </row>
    <row r="559" spans="1:14" ht="14.5">
      <c r="A559" s="1655">
        <f>IF(E559&lt;&gt;0,1,0)</f>
        <v>0</v>
      </c>
      <c r="B559" s="1412"/>
      <c r="C559" s="1621" t="s">
        <v>4962</v>
      </c>
      <c r="D559" s="1683"/>
      <c r="E559" s="1678">
        <f>SUM(F559:J559)</f>
        <v>0</v>
      </c>
      <c r="F559" s="1684"/>
      <c r="G559" s="1684"/>
      <c r="H559" s="1684"/>
      <c r="I559" s="1684"/>
      <c r="J559" s="1684"/>
      <c r="K559" s="1685" t="str">
        <f t="shared" ref="K559:K583" si="110">IFERROR(E559/$C$6,"")</f>
        <v/>
      </c>
      <c r="L559" s="1685" t="str">
        <f t="shared" ref="L559:L583" si="111">IFERROR(E559/$C$7,"")</f>
        <v/>
      </c>
      <c r="M559" s="1686"/>
      <c r="N559" s="1668"/>
    </row>
    <row r="560" spans="1:14" ht="14.5">
      <c r="A560" s="1655">
        <f t="shared" ref="A560:A583" si="112">IF(E560&lt;&gt;0,1,0)</f>
        <v>0</v>
      </c>
      <c r="B560" s="1409"/>
      <c r="C560" s="1621" t="s">
        <v>4963</v>
      </c>
      <c r="D560" s="1683"/>
      <c r="E560" s="1678">
        <f t="shared" ref="E560:E583" si="113">SUM(F560:J560)</f>
        <v>0</v>
      </c>
      <c r="F560" s="1687"/>
      <c r="G560" s="1684"/>
      <c r="H560" s="1684"/>
      <c r="I560" s="1684"/>
      <c r="J560" s="1684"/>
      <c r="K560" s="1685" t="str">
        <f t="shared" si="110"/>
        <v/>
      </c>
      <c r="L560" s="1685" t="str">
        <f t="shared" si="111"/>
        <v/>
      </c>
      <c r="M560" s="1686"/>
      <c r="N560" s="1668"/>
    </row>
    <row r="561" spans="1:14" ht="14.5">
      <c r="A561" s="1655">
        <f t="shared" si="112"/>
        <v>0</v>
      </c>
      <c r="B561" s="1409"/>
      <c r="C561" s="1621" t="s">
        <v>4964</v>
      </c>
      <c r="D561" s="1683"/>
      <c r="E561" s="1678">
        <f t="shared" si="113"/>
        <v>0</v>
      </c>
      <c r="F561" s="1687"/>
      <c r="G561" s="1684"/>
      <c r="H561" s="1684"/>
      <c r="I561" s="1684"/>
      <c r="J561" s="1684"/>
      <c r="K561" s="1685" t="str">
        <f t="shared" si="110"/>
        <v/>
      </c>
      <c r="L561" s="1685" t="str">
        <f t="shared" si="111"/>
        <v/>
      </c>
      <c r="M561" s="1686"/>
      <c r="N561" s="1668"/>
    </row>
    <row r="562" spans="1:14" ht="14.5">
      <c r="A562" s="1655">
        <f t="shared" si="112"/>
        <v>0</v>
      </c>
      <c r="B562" s="1409"/>
      <c r="C562" s="1621" t="s">
        <v>4965</v>
      </c>
      <c r="D562" s="1683"/>
      <c r="E562" s="1678">
        <f t="shared" si="113"/>
        <v>0</v>
      </c>
      <c r="F562" s="1687"/>
      <c r="G562" s="1684"/>
      <c r="H562" s="1684"/>
      <c r="I562" s="1684"/>
      <c r="J562" s="1684"/>
      <c r="K562" s="1685" t="str">
        <f t="shared" si="110"/>
        <v/>
      </c>
      <c r="L562" s="1685" t="str">
        <f t="shared" si="111"/>
        <v/>
      </c>
      <c r="M562" s="1686"/>
      <c r="N562" s="1668"/>
    </row>
    <row r="563" spans="1:14" ht="14.5">
      <c r="A563" s="1655">
        <f t="shared" si="112"/>
        <v>0</v>
      </c>
      <c r="B563" s="1409"/>
      <c r="C563" s="1621" t="s">
        <v>4966</v>
      </c>
      <c r="D563" s="1683"/>
      <c r="E563" s="1678">
        <f t="shared" si="113"/>
        <v>0</v>
      </c>
      <c r="F563" s="1687"/>
      <c r="G563" s="1684"/>
      <c r="H563" s="1684"/>
      <c r="I563" s="1684"/>
      <c r="J563" s="1684"/>
      <c r="K563" s="1685" t="str">
        <f t="shared" si="110"/>
        <v/>
      </c>
      <c r="L563" s="1685" t="str">
        <f t="shared" si="111"/>
        <v/>
      </c>
      <c r="M563" s="1686"/>
      <c r="N563" s="1668"/>
    </row>
    <row r="564" spans="1:14" ht="14.5">
      <c r="A564" s="1655">
        <f t="shared" si="112"/>
        <v>0</v>
      </c>
      <c r="B564" s="1409"/>
      <c r="C564" s="1621" t="s">
        <v>4967</v>
      </c>
      <c r="D564" s="1683"/>
      <c r="E564" s="1678">
        <f t="shared" si="113"/>
        <v>0</v>
      </c>
      <c r="F564" s="1687"/>
      <c r="G564" s="1684"/>
      <c r="H564" s="1684"/>
      <c r="I564" s="1684"/>
      <c r="J564" s="1684"/>
      <c r="K564" s="1685" t="str">
        <f t="shared" si="110"/>
        <v/>
      </c>
      <c r="L564" s="1685" t="str">
        <f t="shared" si="111"/>
        <v/>
      </c>
      <c r="M564" s="1686"/>
      <c r="N564" s="1668"/>
    </row>
    <row r="565" spans="1:14" ht="14.5">
      <c r="A565" s="1655">
        <f t="shared" si="112"/>
        <v>0</v>
      </c>
      <c r="B565" s="1409"/>
      <c r="C565" s="1621" t="s">
        <v>4968</v>
      </c>
      <c r="D565" s="1683"/>
      <c r="E565" s="1678">
        <f t="shared" si="113"/>
        <v>0</v>
      </c>
      <c r="F565" s="1687"/>
      <c r="G565" s="1684"/>
      <c r="H565" s="1684"/>
      <c r="I565" s="1684"/>
      <c r="J565" s="1684"/>
      <c r="K565" s="1685" t="str">
        <f t="shared" si="110"/>
        <v/>
      </c>
      <c r="L565" s="1685" t="str">
        <f t="shared" si="111"/>
        <v/>
      </c>
      <c r="M565" s="1686"/>
      <c r="N565" s="1668"/>
    </row>
    <row r="566" spans="1:14" ht="14.5">
      <c r="A566" s="1655">
        <f t="shared" si="112"/>
        <v>0</v>
      </c>
      <c r="B566" s="1409"/>
      <c r="C566" s="1621" t="s">
        <v>4969</v>
      </c>
      <c r="D566" s="1683"/>
      <c r="E566" s="1678">
        <f t="shared" si="113"/>
        <v>0</v>
      </c>
      <c r="F566" s="1687"/>
      <c r="G566" s="1684"/>
      <c r="H566" s="1684"/>
      <c r="I566" s="1684"/>
      <c r="J566" s="1684"/>
      <c r="K566" s="1685" t="str">
        <f t="shared" si="110"/>
        <v/>
      </c>
      <c r="L566" s="1685" t="str">
        <f t="shared" si="111"/>
        <v/>
      </c>
      <c r="M566" s="1686"/>
      <c r="N566" s="1668"/>
    </row>
    <row r="567" spans="1:14" ht="14.5">
      <c r="A567" s="1655">
        <f t="shared" si="112"/>
        <v>0</v>
      </c>
      <c r="B567" s="1409"/>
      <c r="C567" s="1621" t="s">
        <v>4970</v>
      </c>
      <c r="D567" s="1683"/>
      <c r="E567" s="1678">
        <f t="shared" si="113"/>
        <v>0</v>
      </c>
      <c r="F567" s="1687"/>
      <c r="G567" s="1684"/>
      <c r="H567" s="1684"/>
      <c r="I567" s="1684"/>
      <c r="J567" s="1684"/>
      <c r="K567" s="1685" t="str">
        <f t="shared" si="110"/>
        <v/>
      </c>
      <c r="L567" s="1685" t="str">
        <f t="shared" si="111"/>
        <v/>
      </c>
      <c r="M567" s="1686"/>
      <c r="N567" s="1668"/>
    </row>
    <row r="568" spans="1:14" ht="14.5">
      <c r="A568" s="1655">
        <f t="shared" si="112"/>
        <v>0</v>
      </c>
      <c r="B568" s="1409"/>
      <c r="C568" s="1621" t="s">
        <v>4971</v>
      </c>
      <c r="D568" s="1683"/>
      <c r="E568" s="1678">
        <f t="shared" si="113"/>
        <v>0</v>
      </c>
      <c r="F568" s="1687"/>
      <c r="G568" s="1684"/>
      <c r="H568" s="1684"/>
      <c r="I568" s="1684"/>
      <c r="J568" s="1684"/>
      <c r="K568" s="1685" t="str">
        <f t="shared" si="110"/>
        <v/>
      </c>
      <c r="L568" s="1685" t="str">
        <f t="shared" si="111"/>
        <v/>
      </c>
      <c r="M568" s="1686"/>
      <c r="N568" s="1668"/>
    </row>
    <row r="569" spans="1:14" ht="14.5">
      <c r="A569" s="1655">
        <f t="shared" si="112"/>
        <v>0</v>
      </c>
      <c r="B569" s="1409"/>
      <c r="C569" s="1621" t="s">
        <v>4972</v>
      </c>
      <c r="D569" s="1683"/>
      <c r="E569" s="1678">
        <f t="shared" si="113"/>
        <v>0</v>
      </c>
      <c r="F569" s="1687"/>
      <c r="G569" s="1684"/>
      <c r="H569" s="1684"/>
      <c r="I569" s="1684"/>
      <c r="J569" s="1684"/>
      <c r="K569" s="1685" t="str">
        <f t="shared" si="110"/>
        <v/>
      </c>
      <c r="L569" s="1685" t="str">
        <f t="shared" si="111"/>
        <v/>
      </c>
      <c r="M569" s="1686"/>
      <c r="N569" s="1668"/>
    </row>
    <row r="570" spans="1:14" ht="14.5">
      <c r="A570" s="1655">
        <f t="shared" si="112"/>
        <v>0</v>
      </c>
      <c r="B570" s="1412"/>
      <c r="C570" s="1621" t="s">
        <v>4973</v>
      </c>
      <c r="D570" s="1683"/>
      <c r="E570" s="1678">
        <f t="shared" si="113"/>
        <v>0</v>
      </c>
      <c r="F570" s="1687"/>
      <c r="G570" s="1684"/>
      <c r="H570" s="1684"/>
      <c r="I570" s="1684"/>
      <c r="J570" s="1684"/>
      <c r="K570" s="1685" t="str">
        <f t="shared" si="110"/>
        <v/>
      </c>
      <c r="L570" s="1685" t="str">
        <f t="shared" si="111"/>
        <v/>
      </c>
      <c r="M570" s="1686"/>
      <c r="N570" s="1668"/>
    </row>
    <row r="571" spans="1:14" ht="14.5">
      <c r="A571" s="1655">
        <f t="shared" si="112"/>
        <v>0</v>
      </c>
      <c r="B571" s="1412"/>
      <c r="C571" s="1621" t="s">
        <v>4974</v>
      </c>
      <c r="D571" s="1683"/>
      <c r="E571" s="1678">
        <f t="shared" si="113"/>
        <v>0</v>
      </c>
      <c r="F571" s="1687"/>
      <c r="G571" s="1684"/>
      <c r="H571" s="1684"/>
      <c r="I571" s="1684"/>
      <c r="J571" s="1684"/>
      <c r="K571" s="1685" t="str">
        <f t="shared" si="110"/>
        <v/>
      </c>
      <c r="L571" s="1685" t="str">
        <f t="shared" si="111"/>
        <v/>
      </c>
      <c r="M571" s="1686"/>
      <c r="N571" s="1668"/>
    </row>
    <row r="572" spans="1:14" ht="14.5">
      <c r="A572" s="1655">
        <f t="shared" si="112"/>
        <v>0</v>
      </c>
      <c r="B572" s="1409"/>
      <c r="C572" s="1621" t="s">
        <v>4975</v>
      </c>
      <c r="D572" s="1683"/>
      <c r="E572" s="1678">
        <f t="shared" si="113"/>
        <v>0</v>
      </c>
      <c r="F572" s="1687"/>
      <c r="G572" s="1684"/>
      <c r="H572" s="1684"/>
      <c r="I572" s="1684"/>
      <c r="J572" s="1684"/>
      <c r="K572" s="1685" t="str">
        <f t="shared" si="110"/>
        <v/>
      </c>
      <c r="L572" s="1685" t="str">
        <f t="shared" si="111"/>
        <v/>
      </c>
      <c r="M572" s="1686"/>
      <c r="N572" s="1668"/>
    </row>
    <row r="573" spans="1:14" ht="14.5">
      <c r="A573" s="1655">
        <f t="shared" si="112"/>
        <v>0</v>
      </c>
      <c r="B573" s="1409"/>
      <c r="C573" s="1621" t="s">
        <v>4976</v>
      </c>
      <c r="D573" s="1683"/>
      <c r="E573" s="1678">
        <f t="shared" si="113"/>
        <v>0</v>
      </c>
      <c r="F573" s="1687"/>
      <c r="G573" s="1684"/>
      <c r="H573" s="1684"/>
      <c r="I573" s="1684"/>
      <c r="J573" s="1684"/>
      <c r="K573" s="1685" t="str">
        <f t="shared" si="110"/>
        <v/>
      </c>
      <c r="L573" s="1685" t="str">
        <f t="shared" si="111"/>
        <v/>
      </c>
      <c r="M573" s="1686"/>
      <c r="N573" s="1668"/>
    </row>
    <row r="574" spans="1:14" ht="14.5">
      <c r="A574" s="1655">
        <f t="shared" si="112"/>
        <v>0</v>
      </c>
      <c r="B574" s="1409"/>
      <c r="C574" s="1621" t="s">
        <v>4977</v>
      </c>
      <c r="D574" s="1683"/>
      <c r="E574" s="1678">
        <f t="shared" si="113"/>
        <v>0</v>
      </c>
      <c r="F574" s="1687"/>
      <c r="G574" s="1684"/>
      <c r="H574" s="1684"/>
      <c r="I574" s="1684"/>
      <c r="J574" s="1684"/>
      <c r="K574" s="1685" t="str">
        <f t="shared" si="110"/>
        <v/>
      </c>
      <c r="L574" s="1685" t="str">
        <f t="shared" si="111"/>
        <v/>
      </c>
      <c r="M574" s="1686"/>
      <c r="N574" s="1668"/>
    </row>
    <row r="575" spans="1:14" ht="14.5">
      <c r="A575" s="1655">
        <f t="shared" si="112"/>
        <v>0</v>
      </c>
      <c r="B575" s="1409"/>
      <c r="C575" s="1621" t="s">
        <v>4978</v>
      </c>
      <c r="D575" s="1683"/>
      <c r="E575" s="1678">
        <f t="shared" si="113"/>
        <v>0</v>
      </c>
      <c r="F575" s="1687"/>
      <c r="G575" s="1684"/>
      <c r="H575" s="1684"/>
      <c r="I575" s="1684"/>
      <c r="J575" s="1684"/>
      <c r="K575" s="1685" t="str">
        <f t="shared" si="110"/>
        <v/>
      </c>
      <c r="L575" s="1685" t="str">
        <f t="shared" si="111"/>
        <v/>
      </c>
      <c r="M575" s="1686"/>
      <c r="N575" s="1668"/>
    </row>
    <row r="576" spans="1:14" ht="14.5">
      <c r="A576" s="1655">
        <f t="shared" si="112"/>
        <v>0</v>
      </c>
      <c r="B576" s="1409"/>
      <c r="C576" s="1621" t="s">
        <v>4979</v>
      </c>
      <c r="D576" s="1683"/>
      <c r="E576" s="1678">
        <f t="shared" si="113"/>
        <v>0</v>
      </c>
      <c r="F576" s="1687"/>
      <c r="G576" s="1684"/>
      <c r="H576" s="1684"/>
      <c r="I576" s="1684"/>
      <c r="J576" s="1684"/>
      <c r="K576" s="1685" t="str">
        <f t="shared" si="110"/>
        <v/>
      </c>
      <c r="L576" s="1685" t="str">
        <f t="shared" si="111"/>
        <v/>
      </c>
      <c r="M576" s="1686"/>
      <c r="N576" s="1668"/>
    </row>
    <row r="577" spans="1:14" ht="14.5">
      <c r="A577" s="1655">
        <f t="shared" si="112"/>
        <v>0</v>
      </c>
      <c r="B577" s="1409"/>
      <c r="C577" s="1621" t="s">
        <v>4980</v>
      </c>
      <c r="D577" s="1683"/>
      <c r="E577" s="1678">
        <f t="shared" si="113"/>
        <v>0</v>
      </c>
      <c r="F577" s="1687"/>
      <c r="G577" s="1684"/>
      <c r="H577" s="1684"/>
      <c r="I577" s="1684"/>
      <c r="J577" s="1684"/>
      <c r="K577" s="1685" t="str">
        <f t="shared" si="110"/>
        <v/>
      </c>
      <c r="L577" s="1685" t="str">
        <f t="shared" si="111"/>
        <v/>
      </c>
      <c r="M577" s="1686"/>
      <c r="N577" s="1668"/>
    </row>
    <row r="578" spans="1:14" ht="14.5">
      <c r="A578" s="1655">
        <f t="shared" si="112"/>
        <v>0</v>
      </c>
      <c r="B578" s="1409"/>
      <c r="C578" s="1621" t="s">
        <v>4981</v>
      </c>
      <c r="D578" s="1683"/>
      <c r="E578" s="1678">
        <f t="shared" si="113"/>
        <v>0</v>
      </c>
      <c r="F578" s="1687"/>
      <c r="G578" s="1684"/>
      <c r="H578" s="1684"/>
      <c r="I578" s="1684"/>
      <c r="J578" s="1684"/>
      <c r="K578" s="1685" t="str">
        <f t="shared" si="110"/>
        <v/>
      </c>
      <c r="L578" s="1685" t="str">
        <f t="shared" si="111"/>
        <v/>
      </c>
      <c r="M578" s="1686"/>
      <c r="N578" s="1668"/>
    </row>
    <row r="579" spans="1:14" ht="14.5">
      <c r="A579" s="1655">
        <f t="shared" si="112"/>
        <v>0</v>
      </c>
      <c r="B579" s="1409"/>
      <c r="C579" s="1621" t="s">
        <v>4982</v>
      </c>
      <c r="D579" s="1683"/>
      <c r="E579" s="1678">
        <f t="shared" si="113"/>
        <v>0</v>
      </c>
      <c r="F579" s="1687"/>
      <c r="G579" s="1684"/>
      <c r="H579" s="1684"/>
      <c r="I579" s="1684"/>
      <c r="J579" s="1684"/>
      <c r="K579" s="1685" t="str">
        <f t="shared" si="110"/>
        <v/>
      </c>
      <c r="L579" s="1685" t="str">
        <f t="shared" si="111"/>
        <v/>
      </c>
      <c r="M579" s="1686"/>
      <c r="N579" s="1668"/>
    </row>
    <row r="580" spans="1:14" ht="14.5">
      <c r="A580" s="1655">
        <f t="shared" si="112"/>
        <v>0</v>
      </c>
      <c r="B580" s="1409"/>
      <c r="C580" s="1621" t="s">
        <v>4983</v>
      </c>
      <c r="D580" s="1683"/>
      <c r="E580" s="1678">
        <f t="shared" si="113"/>
        <v>0</v>
      </c>
      <c r="F580" s="1687"/>
      <c r="G580" s="1684"/>
      <c r="H580" s="1684"/>
      <c r="I580" s="1684"/>
      <c r="J580" s="1684"/>
      <c r="K580" s="1685" t="str">
        <f t="shared" si="110"/>
        <v/>
      </c>
      <c r="L580" s="1685" t="str">
        <f t="shared" si="111"/>
        <v/>
      </c>
      <c r="M580" s="1686"/>
      <c r="N580" s="1668"/>
    </row>
    <row r="581" spans="1:14" ht="14.5">
      <c r="A581" s="1655">
        <f t="shared" si="112"/>
        <v>0</v>
      </c>
      <c r="B581" s="1409"/>
      <c r="C581" s="1621" t="s">
        <v>4984</v>
      </c>
      <c r="D581" s="1683"/>
      <c r="E581" s="1678">
        <f t="shared" si="113"/>
        <v>0</v>
      </c>
      <c r="F581" s="1687"/>
      <c r="G581" s="1684"/>
      <c r="H581" s="1684"/>
      <c r="I581" s="1684"/>
      <c r="J581" s="1684"/>
      <c r="K581" s="1685" t="str">
        <f t="shared" si="110"/>
        <v/>
      </c>
      <c r="L581" s="1685" t="str">
        <f t="shared" si="111"/>
        <v/>
      </c>
      <c r="M581" s="1686"/>
      <c r="N581" s="1668"/>
    </row>
    <row r="582" spans="1:14" ht="14.5">
      <c r="A582" s="1655">
        <f t="shared" si="112"/>
        <v>0</v>
      </c>
      <c r="B582" s="1409"/>
      <c r="C582" s="1621" t="s">
        <v>4985</v>
      </c>
      <c r="D582" s="1683"/>
      <c r="E582" s="1678">
        <f t="shared" si="113"/>
        <v>0</v>
      </c>
      <c r="F582" s="1687"/>
      <c r="G582" s="1684"/>
      <c r="H582" s="1684"/>
      <c r="I582" s="1684"/>
      <c r="J582" s="1684"/>
      <c r="K582" s="1685" t="str">
        <f t="shared" si="110"/>
        <v/>
      </c>
      <c r="L582" s="1685" t="str">
        <f t="shared" si="111"/>
        <v/>
      </c>
      <c r="M582" s="1686"/>
      <c r="N582" s="1668"/>
    </row>
    <row r="583" spans="1:14" ht="14.5">
      <c r="A583" s="1655">
        <f t="shared" si="112"/>
        <v>0</v>
      </c>
      <c r="B583" s="1688"/>
      <c r="C583" s="1689" t="s">
        <v>4986</v>
      </c>
      <c r="D583" s="1690"/>
      <c r="E583" s="1691">
        <f t="shared" si="113"/>
        <v>0</v>
      </c>
      <c r="F583" s="1692"/>
      <c r="G583" s="1693"/>
      <c r="H583" s="1693"/>
      <c r="I583" s="1693"/>
      <c r="J583" s="1693"/>
      <c r="K583" s="1694" t="str">
        <f t="shared" si="110"/>
        <v/>
      </c>
      <c r="L583" s="1694" t="str">
        <f t="shared" si="111"/>
        <v/>
      </c>
      <c r="M583" s="1695"/>
      <c r="N583" s="1668"/>
    </row>
    <row r="584" spans="1:14" ht="14.5">
      <c r="A584" s="1674">
        <f>A558+1</f>
        <v>23</v>
      </c>
      <c r="B584" s="1675" t="s">
        <v>5050</v>
      </c>
      <c r="C584" s="1676"/>
      <c r="D584" s="1677"/>
      <c r="E584" s="1679">
        <f t="shared" ref="E584:I584" si="114">SUM(E585:E609)</f>
        <v>0</v>
      </c>
      <c r="F584" s="1679">
        <f t="shared" si="114"/>
        <v>0</v>
      </c>
      <c r="G584" s="1679">
        <f t="shared" si="114"/>
        <v>0</v>
      </c>
      <c r="H584" s="1679">
        <f t="shared" si="114"/>
        <v>0</v>
      </c>
      <c r="I584" s="1679">
        <f t="shared" si="114"/>
        <v>0</v>
      </c>
      <c r="J584" s="1679">
        <f>SUM(J585:J609)</f>
        <v>0</v>
      </c>
      <c r="K584" s="1680" t="str">
        <f>IFERROR(E584/$C$6,"")</f>
        <v/>
      </c>
      <c r="L584" s="1680" t="str">
        <f>IFERROR(E584/$C$7,"")</f>
        <v/>
      </c>
      <c r="M584" s="1681">
        <f>SUM(M585:M609)</f>
        <v>0</v>
      </c>
      <c r="N584" s="1668"/>
    </row>
    <row r="585" spans="1:14" ht="14.5">
      <c r="A585" s="1655">
        <f>IF(E585&lt;&gt;0,1,0)</f>
        <v>0</v>
      </c>
      <c r="B585" s="1412"/>
      <c r="C585" s="1621" t="s">
        <v>4962</v>
      </c>
      <c r="D585" s="1683"/>
      <c r="E585" s="1678">
        <f>SUM(F585:J585)</f>
        <v>0</v>
      </c>
      <c r="F585" s="1684"/>
      <c r="G585" s="1684"/>
      <c r="H585" s="1684"/>
      <c r="I585" s="1684"/>
      <c r="J585" s="1684"/>
      <c r="K585" s="1685" t="str">
        <f t="shared" ref="K585:K609" si="115">IFERROR(E585/$C$6,"")</f>
        <v/>
      </c>
      <c r="L585" s="1685" t="str">
        <f t="shared" ref="L585:L609" si="116">IFERROR(E585/$C$7,"")</f>
        <v/>
      </c>
      <c r="M585" s="1686"/>
      <c r="N585" s="1668"/>
    </row>
    <row r="586" spans="1:14" ht="14.5">
      <c r="A586" s="1655">
        <f t="shared" ref="A586:A609" si="117">IF(E586&lt;&gt;0,1,0)</f>
        <v>0</v>
      </c>
      <c r="B586" s="1409"/>
      <c r="C586" s="1621" t="s">
        <v>4963</v>
      </c>
      <c r="D586" s="1683"/>
      <c r="E586" s="1678">
        <f t="shared" ref="E586:E609" si="118">SUM(F586:J586)</f>
        <v>0</v>
      </c>
      <c r="F586" s="1687"/>
      <c r="G586" s="1684"/>
      <c r="H586" s="1684"/>
      <c r="I586" s="1684"/>
      <c r="J586" s="1684"/>
      <c r="K586" s="1685" t="str">
        <f t="shared" si="115"/>
        <v/>
      </c>
      <c r="L586" s="1685" t="str">
        <f t="shared" si="116"/>
        <v/>
      </c>
      <c r="M586" s="1686"/>
      <c r="N586" s="1668"/>
    </row>
    <row r="587" spans="1:14" ht="14.5">
      <c r="A587" s="1655">
        <f t="shared" si="117"/>
        <v>0</v>
      </c>
      <c r="B587" s="1409"/>
      <c r="C587" s="1621" t="s">
        <v>4964</v>
      </c>
      <c r="D587" s="1683"/>
      <c r="E587" s="1678">
        <f t="shared" si="118"/>
        <v>0</v>
      </c>
      <c r="F587" s="1687"/>
      <c r="G587" s="1684"/>
      <c r="H587" s="1684"/>
      <c r="I587" s="1684"/>
      <c r="J587" s="1684"/>
      <c r="K587" s="1685" t="str">
        <f t="shared" si="115"/>
        <v/>
      </c>
      <c r="L587" s="1685" t="str">
        <f t="shared" si="116"/>
        <v/>
      </c>
      <c r="M587" s="1686"/>
      <c r="N587" s="1668"/>
    </row>
    <row r="588" spans="1:14" ht="14.5">
      <c r="A588" s="1655">
        <f t="shared" si="117"/>
        <v>0</v>
      </c>
      <c r="B588" s="1409"/>
      <c r="C588" s="1621" t="s">
        <v>4965</v>
      </c>
      <c r="D588" s="1683"/>
      <c r="E588" s="1678">
        <f t="shared" si="118"/>
        <v>0</v>
      </c>
      <c r="F588" s="1687"/>
      <c r="G588" s="1684"/>
      <c r="H588" s="1684"/>
      <c r="I588" s="1684"/>
      <c r="J588" s="1684"/>
      <c r="K588" s="1685" t="str">
        <f t="shared" si="115"/>
        <v/>
      </c>
      <c r="L588" s="1685" t="str">
        <f t="shared" si="116"/>
        <v/>
      </c>
      <c r="M588" s="1686"/>
      <c r="N588" s="1668"/>
    </row>
    <row r="589" spans="1:14" ht="14.5">
      <c r="A589" s="1655">
        <f t="shared" si="117"/>
        <v>0</v>
      </c>
      <c r="B589" s="1409"/>
      <c r="C589" s="1621" t="s">
        <v>4966</v>
      </c>
      <c r="D589" s="1683"/>
      <c r="E589" s="1678">
        <f t="shared" si="118"/>
        <v>0</v>
      </c>
      <c r="F589" s="1687"/>
      <c r="G589" s="1684"/>
      <c r="H589" s="1684"/>
      <c r="I589" s="1684"/>
      <c r="J589" s="1684"/>
      <c r="K589" s="1685" t="str">
        <f t="shared" si="115"/>
        <v/>
      </c>
      <c r="L589" s="1685" t="str">
        <f t="shared" si="116"/>
        <v/>
      </c>
      <c r="M589" s="1686"/>
      <c r="N589" s="1668"/>
    </row>
    <row r="590" spans="1:14" ht="14.5">
      <c r="A590" s="1655">
        <f t="shared" si="117"/>
        <v>0</v>
      </c>
      <c r="B590" s="1409"/>
      <c r="C590" s="1621" t="s">
        <v>4967</v>
      </c>
      <c r="D590" s="1683"/>
      <c r="E590" s="1678">
        <f t="shared" si="118"/>
        <v>0</v>
      </c>
      <c r="F590" s="1687"/>
      <c r="G590" s="1684"/>
      <c r="H590" s="1684"/>
      <c r="I590" s="1684"/>
      <c r="J590" s="1684"/>
      <c r="K590" s="1685" t="str">
        <f t="shared" si="115"/>
        <v/>
      </c>
      <c r="L590" s="1685" t="str">
        <f t="shared" si="116"/>
        <v/>
      </c>
      <c r="M590" s="1686"/>
      <c r="N590" s="1668"/>
    </row>
    <row r="591" spans="1:14" ht="14.5">
      <c r="A591" s="1655">
        <f t="shared" si="117"/>
        <v>0</v>
      </c>
      <c r="B591" s="1409"/>
      <c r="C591" s="1621" t="s">
        <v>4968</v>
      </c>
      <c r="D591" s="1683"/>
      <c r="E591" s="1678">
        <f t="shared" si="118"/>
        <v>0</v>
      </c>
      <c r="F591" s="1687"/>
      <c r="G591" s="1684"/>
      <c r="H591" s="1684"/>
      <c r="I591" s="1684"/>
      <c r="J591" s="1684"/>
      <c r="K591" s="1685" t="str">
        <f t="shared" si="115"/>
        <v/>
      </c>
      <c r="L591" s="1685" t="str">
        <f t="shared" si="116"/>
        <v/>
      </c>
      <c r="M591" s="1686"/>
      <c r="N591" s="1668"/>
    </row>
    <row r="592" spans="1:14" ht="14.5">
      <c r="A592" s="1655">
        <f t="shared" si="117"/>
        <v>0</v>
      </c>
      <c r="B592" s="1409"/>
      <c r="C592" s="1621" t="s">
        <v>4969</v>
      </c>
      <c r="D592" s="1683"/>
      <c r="E592" s="1678">
        <f t="shared" si="118"/>
        <v>0</v>
      </c>
      <c r="F592" s="1687"/>
      <c r="G592" s="1684"/>
      <c r="H592" s="1684"/>
      <c r="I592" s="1684"/>
      <c r="J592" s="1684"/>
      <c r="K592" s="1685" t="str">
        <f t="shared" si="115"/>
        <v/>
      </c>
      <c r="L592" s="1685" t="str">
        <f t="shared" si="116"/>
        <v/>
      </c>
      <c r="M592" s="1686"/>
      <c r="N592" s="1668"/>
    </row>
    <row r="593" spans="1:14" ht="14.5">
      <c r="A593" s="1655">
        <f t="shared" si="117"/>
        <v>0</v>
      </c>
      <c r="B593" s="1409"/>
      <c r="C593" s="1621" t="s">
        <v>4970</v>
      </c>
      <c r="D593" s="1683"/>
      <c r="E593" s="1678">
        <f t="shared" si="118"/>
        <v>0</v>
      </c>
      <c r="F593" s="1687"/>
      <c r="G593" s="1684"/>
      <c r="H593" s="1684"/>
      <c r="I593" s="1684"/>
      <c r="J593" s="1684"/>
      <c r="K593" s="1685" t="str">
        <f t="shared" si="115"/>
        <v/>
      </c>
      <c r="L593" s="1685" t="str">
        <f t="shared" si="116"/>
        <v/>
      </c>
      <c r="M593" s="1686"/>
      <c r="N593" s="1668"/>
    </row>
    <row r="594" spans="1:14" ht="14.5">
      <c r="A594" s="1655">
        <f t="shared" si="117"/>
        <v>0</v>
      </c>
      <c r="B594" s="1409"/>
      <c r="C594" s="1621" t="s">
        <v>4971</v>
      </c>
      <c r="D594" s="1683"/>
      <c r="E594" s="1678">
        <f t="shared" si="118"/>
        <v>0</v>
      </c>
      <c r="F594" s="1687"/>
      <c r="G594" s="1684"/>
      <c r="H594" s="1684"/>
      <c r="I594" s="1684"/>
      <c r="J594" s="1684"/>
      <c r="K594" s="1685" t="str">
        <f t="shared" si="115"/>
        <v/>
      </c>
      <c r="L594" s="1685" t="str">
        <f t="shared" si="116"/>
        <v/>
      </c>
      <c r="M594" s="1686"/>
      <c r="N594" s="1668"/>
    </row>
    <row r="595" spans="1:14" ht="14.5">
      <c r="A595" s="1655">
        <f t="shared" si="117"/>
        <v>0</v>
      </c>
      <c r="B595" s="1409"/>
      <c r="C595" s="1621" t="s">
        <v>4972</v>
      </c>
      <c r="D595" s="1683"/>
      <c r="E595" s="1678">
        <f t="shared" si="118"/>
        <v>0</v>
      </c>
      <c r="F595" s="1687"/>
      <c r="G595" s="1684"/>
      <c r="H595" s="1684"/>
      <c r="I595" s="1684"/>
      <c r="J595" s="1684"/>
      <c r="K595" s="1685" t="str">
        <f t="shared" si="115"/>
        <v/>
      </c>
      <c r="L595" s="1685" t="str">
        <f t="shared" si="116"/>
        <v/>
      </c>
      <c r="M595" s="1686"/>
      <c r="N595" s="1668"/>
    </row>
    <row r="596" spans="1:14" ht="14.5">
      <c r="A596" s="1655">
        <f t="shared" si="117"/>
        <v>0</v>
      </c>
      <c r="B596" s="1412"/>
      <c r="C596" s="1621" t="s">
        <v>4973</v>
      </c>
      <c r="D596" s="1683"/>
      <c r="E596" s="1678">
        <f t="shared" si="118"/>
        <v>0</v>
      </c>
      <c r="F596" s="1687"/>
      <c r="G596" s="1684"/>
      <c r="H596" s="1684"/>
      <c r="I596" s="1684"/>
      <c r="J596" s="1684"/>
      <c r="K596" s="1685" t="str">
        <f t="shared" si="115"/>
        <v/>
      </c>
      <c r="L596" s="1685" t="str">
        <f t="shared" si="116"/>
        <v/>
      </c>
      <c r="M596" s="1686"/>
      <c r="N596" s="1668"/>
    </row>
    <row r="597" spans="1:14" ht="14.5">
      <c r="A597" s="1655">
        <f t="shared" si="117"/>
        <v>0</v>
      </c>
      <c r="B597" s="1412"/>
      <c r="C597" s="1621" t="s">
        <v>4974</v>
      </c>
      <c r="D597" s="1683"/>
      <c r="E597" s="1678">
        <f t="shared" si="118"/>
        <v>0</v>
      </c>
      <c r="F597" s="1687"/>
      <c r="G597" s="1684"/>
      <c r="H597" s="1684"/>
      <c r="I597" s="1684"/>
      <c r="J597" s="1684"/>
      <c r="K597" s="1685" t="str">
        <f t="shared" si="115"/>
        <v/>
      </c>
      <c r="L597" s="1685" t="str">
        <f t="shared" si="116"/>
        <v/>
      </c>
      <c r="M597" s="1686"/>
      <c r="N597" s="1668"/>
    </row>
    <row r="598" spans="1:14" ht="14.5">
      <c r="A598" s="1655">
        <f t="shared" si="117"/>
        <v>0</v>
      </c>
      <c r="B598" s="1409"/>
      <c r="C598" s="1621" t="s">
        <v>4975</v>
      </c>
      <c r="D598" s="1683"/>
      <c r="E598" s="1678">
        <f t="shared" si="118"/>
        <v>0</v>
      </c>
      <c r="F598" s="1687"/>
      <c r="G598" s="1684"/>
      <c r="H598" s="1684"/>
      <c r="I598" s="1684"/>
      <c r="J598" s="1684"/>
      <c r="K598" s="1685" t="str">
        <f t="shared" si="115"/>
        <v/>
      </c>
      <c r="L598" s="1685" t="str">
        <f t="shared" si="116"/>
        <v/>
      </c>
      <c r="M598" s="1686"/>
      <c r="N598" s="1668"/>
    </row>
    <row r="599" spans="1:14" ht="14.5">
      <c r="A599" s="1655">
        <f t="shared" si="117"/>
        <v>0</v>
      </c>
      <c r="B599" s="1409"/>
      <c r="C599" s="1621" t="s">
        <v>4976</v>
      </c>
      <c r="D599" s="1683"/>
      <c r="E599" s="1678">
        <f t="shared" si="118"/>
        <v>0</v>
      </c>
      <c r="F599" s="1687"/>
      <c r="G599" s="1684"/>
      <c r="H599" s="1684"/>
      <c r="I599" s="1684"/>
      <c r="J599" s="1684"/>
      <c r="K599" s="1685" t="str">
        <f t="shared" si="115"/>
        <v/>
      </c>
      <c r="L599" s="1685" t="str">
        <f t="shared" si="116"/>
        <v/>
      </c>
      <c r="M599" s="1686"/>
      <c r="N599" s="1668"/>
    </row>
    <row r="600" spans="1:14" ht="14.5">
      <c r="A600" s="1655">
        <f t="shared" si="117"/>
        <v>0</v>
      </c>
      <c r="B600" s="1409"/>
      <c r="C600" s="1621" t="s">
        <v>4977</v>
      </c>
      <c r="D600" s="1683"/>
      <c r="E600" s="1678">
        <f t="shared" si="118"/>
        <v>0</v>
      </c>
      <c r="F600" s="1687"/>
      <c r="G600" s="1684"/>
      <c r="H600" s="1684"/>
      <c r="I600" s="1684"/>
      <c r="J600" s="1684"/>
      <c r="K600" s="1685" t="str">
        <f t="shared" si="115"/>
        <v/>
      </c>
      <c r="L600" s="1685" t="str">
        <f t="shared" si="116"/>
        <v/>
      </c>
      <c r="M600" s="1686"/>
      <c r="N600" s="1668"/>
    </row>
    <row r="601" spans="1:14" ht="14.5">
      <c r="A601" s="1655">
        <f t="shared" si="117"/>
        <v>0</v>
      </c>
      <c r="B601" s="1409"/>
      <c r="C601" s="1621" t="s">
        <v>4978</v>
      </c>
      <c r="D601" s="1683"/>
      <c r="E601" s="1678">
        <f t="shared" si="118"/>
        <v>0</v>
      </c>
      <c r="F601" s="1687"/>
      <c r="G601" s="1684"/>
      <c r="H601" s="1684"/>
      <c r="I601" s="1684"/>
      <c r="J601" s="1684"/>
      <c r="K601" s="1685" t="str">
        <f t="shared" si="115"/>
        <v/>
      </c>
      <c r="L601" s="1685" t="str">
        <f t="shared" si="116"/>
        <v/>
      </c>
      <c r="M601" s="1686"/>
      <c r="N601" s="1668"/>
    </row>
    <row r="602" spans="1:14" ht="14.5">
      <c r="A602" s="1655">
        <f t="shared" si="117"/>
        <v>0</v>
      </c>
      <c r="B602" s="1409"/>
      <c r="C602" s="1621" t="s">
        <v>4979</v>
      </c>
      <c r="D602" s="1683"/>
      <c r="E602" s="1678">
        <f t="shared" si="118"/>
        <v>0</v>
      </c>
      <c r="F602" s="1687"/>
      <c r="G602" s="1684"/>
      <c r="H602" s="1684"/>
      <c r="I602" s="1684"/>
      <c r="J602" s="1684"/>
      <c r="K602" s="1685" t="str">
        <f t="shared" si="115"/>
        <v/>
      </c>
      <c r="L602" s="1685" t="str">
        <f t="shared" si="116"/>
        <v/>
      </c>
      <c r="M602" s="1686"/>
      <c r="N602" s="1668"/>
    </row>
    <row r="603" spans="1:14" ht="14.5">
      <c r="A603" s="1655">
        <f t="shared" si="117"/>
        <v>0</v>
      </c>
      <c r="B603" s="1409"/>
      <c r="C603" s="1621" t="s">
        <v>4980</v>
      </c>
      <c r="D603" s="1683"/>
      <c r="E603" s="1678">
        <f t="shared" si="118"/>
        <v>0</v>
      </c>
      <c r="F603" s="1687"/>
      <c r="G603" s="1684"/>
      <c r="H603" s="1684"/>
      <c r="I603" s="1684"/>
      <c r="J603" s="1684"/>
      <c r="K603" s="1685" t="str">
        <f t="shared" si="115"/>
        <v/>
      </c>
      <c r="L603" s="1685" t="str">
        <f t="shared" si="116"/>
        <v/>
      </c>
      <c r="M603" s="1686"/>
      <c r="N603" s="1668"/>
    </row>
    <row r="604" spans="1:14" ht="14.5">
      <c r="A604" s="1655">
        <f t="shared" si="117"/>
        <v>0</v>
      </c>
      <c r="B604" s="1409"/>
      <c r="C604" s="1621" t="s">
        <v>4981</v>
      </c>
      <c r="D604" s="1683"/>
      <c r="E604" s="1678">
        <f t="shared" si="118"/>
        <v>0</v>
      </c>
      <c r="F604" s="1687"/>
      <c r="G604" s="1684"/>
      <c r="H604" s="1684"/>
      <c r="I604" s="1684"/>
      <c r="J604" s="1684"/>
      <c r="K604" s="1685" t="str">
        <f t="shared" si="115"/>
        <v/>
      </c>
      <c r="L604" s="1685" t="str">
        <f t="shared" si="116"/>
        <v/>
      </c>
      <c r="M604" s="1686"/>
      <c r="N604" s="1668"/>
    </row>
    <row r="605" spans="1:14" ht="14.5">
      <c r="A605" s="1655">
        <f t="shared" si="117"/>
        <v>0</v>
      </c>
      <c r="B605" s="1409"/>
      <c r="C605" s="1621" t="s">
        <v>4982</v>
      </c>
      <c r="D605" s="1683"/>
      <c r="E605" s="1678">
        <f t="shared" si="118"/>
        <v>0</v>
      </c>
      <c r="F605" s="1687"/>
      <c r="G605" s="1684"/>
      <c r="H605" s="1684"/>
      <c r="I605" s="1684"/>
      <c r="J605" s="1684"/>
      <c r="K605" s="1685" t="str">
        <f t="shared" si="115"/>
        <v/>
      </c>
      <c r="L605" s="1685" t="str">
        <f t="shared" si="116"/>
        <v/>
      </c>
      <c r="M605" s="1686"/>
      <c r="N605" s="1668"/>
    </row>
    <row r="606" spans="1:14" ht="14.5">
      <c r="A606" s="1655">
        <f t="shared" si="117"/>
        <v>0</v>
      </c>
      <c r="B606" s="1409"/>
      <c r="C606" s="1621" t="s">
        <v>4983</v>
      </c>
      <c r="D606" s="1683"/>
      <c r="E606" s="1678">
        <f t="shared" si="118"/>
        <v>0</v>
      </c>
      <c r="F606" s="1687"/>
      <c r="G606" s="1684"/>
      <c r="H606" s="1684"/>
      <c r="I606" s="1684"/>
      <c r="J606" s="1684"/>
      <c r="K606" s="1685" t="str">
        <f t="shared" si="115"/>
        <v/>
      </c>
      <c r="L606" s="1685" t="str">
        <f t="shared" si="116"/>
        <v/>
      </c>
      <c r="M606" s="1686"/>
      <c r="N606" s="1668"/>
    </row>
    <row r="607" spans="1:14" ht="14.5">
      <c r="A607" s="1655">
        <f t="shared" si="117"/>
        <v>0</v>
      </c>
      <c r="B607" s="1409"/>
      <c r="C607" s="1621" t="s">
        <v>4984</v>
      </c>
      <c r="D607" s="1683"/>
      <c r="E607" s="1678">
        <f t="shared" si="118"/>
        <v>0</v>
      </c>
      <c r="F607" s="1687"/>
      <c r="G607" s="1684"/>
      <c r="H607" s="1684"/>
      <c r="I607" s="1684"/>
      <c r="J607" s="1684"/>
      <c r="K607" s="1685" t="str">
        <f t="shared" si="115"/>
        <v/>
      </c>
      <c r="L607" s="1685" t="str">
        <f t="shared" si="116"/>
        <v/>
      </c>
      <c r="M607" s="1686"/>
      <c r="N607" s="1668"/>
    </row>
    <row r="608" spans="1:14" ht="14.5">
      <c r="A608" s="1655">
        <f t="shared" si="117"/>
        <v>0</v>
      </c>
      <c r="B608" s="1409"/>
      <c r="C608" s="1621" t="s">
        <v>4985</v>
      </c>
      <c r="D608" s="1683"/>
      <c r="E608" s="1678">
        <f t="shared" si="118"/>
        <v>0</v>
      </c>
      <c r="F608" s="1687"/>
      <c r="G608" s="1684"/>
      <c r="H608" s="1684"/>
      <c r="I608" s="1684"/>
      <c r="J608" s="1684"/>
      <c r="K608" s="1685" t="str">
        <f t="shared" si="115"/>
        <v/>
      </c>
      <c r="L608" s="1685" t="str">
        <f t="shared" si="116"/>
        <v/>
      </c>
      <c r="M608" s="1686"/>
      <c r="N608" s="1668"/>
    </row>
    <row r="609" spans="1:14" ht="14.5">
      <c r="A609" s="1655">
        <f t="shared" si="117"/>
        <v>0</v>
      </c>
      <c r="B609" s="1688"/>
      <c r="C609" s="1689" t="s">
        <v>4986</v>
      </c>
      <c r="D609" s="1690"/>
      <c r="E609" s="1691">
        <f t="shared" si="118"/>
        <v>0</v>
      </c>
      <c r="F609" s="1692"/>
      <c r="G609" s="1693"/>
      <c r="H609" s="1693"/>
      <c r="I609" s="1693"/>
      <c r="J609" s="1693"/>
      <c r="K609" s="1694" t="str">
        <f t="shared" si="115"/>
        <v/>
      </c>
      <c r="L609" s="1694" t="str">
        <f t="shared" si="116"/>
        <v/>
      </c>
      <c r="M609" s="1695"/>
      <c r="N609" s="1668"/>
    </row>
    <row r="610" spans="1:14" ht="14.5">
      <c r="A610" s="1674">
        <f>A584+1</f>
        <v>24</v>
      </c>
      <c r="B610" s="1675" t="s">
        <v>5050</v>
      </c>
      <c r="C610" s="1676"/>
      <c r="D610" s="1677"/>
      <c r="E610" s="1679">
        <f t="shared" ref="E610:I610" si="119">SUM(E611:E635)</f>
        <v>0</v>
      </c>
      <c r="F610" s="1679">
        <f t="shared" si="119"/>
        <v>0</v>
      </c>
      <c r="G610" s="1679">
        <f t="shared" si="119"/>
        <v>0</v>
      </c>
      <c r="H610" s="1679">
        <f t="shared" si="119"/>
        <v>0</v>
      </c>
      <c r="I610" s="1679">
        <f t="shared" si="119"/>
        <v>0</v>
      </c>
      <c r="J610" s="1679">
        <f>SUM(J611:J635)</f>
        <v>0</v>
      </c>
      <c r="K610" s="1680" t="str">
        <f>IFERROR(E610/$C$6,"")</f>
        <v/>
      </c>
      <c r="L610" s="1680" t="str">
        <f>IFERROR(E610/$C$7,"")</f>
        <v/>
      </c>
      <c r="M610" s="1681">
        <f>SUM(M611:M635)</f>
        <v>0</v>
      </c>
      <c r="N610" s="1668"/>
    </row>
    <row r="611" spans="1:14" ht="14.5">
      <c r="A611" s="1655">
        <f>IF(E611&lt;&gt;0,1,0)</f>
        <v>0</v>
      </c>
      <c r="B611" s="1412"/>
      <c r="C611" s="1621" t="s">
        <v>4962</v>
      </c>
      <c r="D611" s="1683"/>
      <c r="E611" s="1678">
        <f>SUM(F611:J611)</f>
        <v>0</v>
      </c>
      <c r="F611" s="1684"/>
      <c r="G611" s="1684"/>
      <c r="H611" s="1684"/>
      <c r="I611" s="1684"/>
      <c r="J611" s="1684"/>
      <c r="K611" s="1685" t="str">
        <f t="shared" ref="K611:K635" si="120">IFERROR(E611/$C$6,"")</f>
        <v/>
      </c>
      <c r="L611" s="1685" t="str">
        <f t="shared" ref="L611:L635" si="121">IFERROR(E611/$C$7,"")</f>
        <v/>
      </c>
      <c r="M611" s="1686"/>
      <c r="N611" s="1668"/>
    </row>
    <row r="612" spans="1:14" ht="14.5">
      <c r="A612" s="1655">
        <f t="shared" ref="A612:A635" si="122">IF(E612&lt;&gt;0,1,0)</f>
        <v>0</v>
      </c>
      <c r="B612" s="1409"/>
      <c r="C612" s="1621" t="s">
        <v>4963</v>
      </c>
      <c r="D612" s="1683"/>
      <c r="E612" s="1678">
        <f t="shared" ref="E612:E635" si="123">SUM(F612:J612)</f>
        <v>0</v>
      </c>
      <c r="F612" s="1687"/>
      <c r="G612" s="1684"/>
      <c r="H612" s="1684"/>
      <c r="I612" s="1684"/>
      <c r="J612" s="1684"/>
      <c r="K612" s="1685" t="str">
        <f t="shared" si="120"/>
        <v/>
      </c>
      <c r="L612" s="1685" t="str">
        <f t="shared" si="121"/>
        <v/>
      </c>
      <c r="M612" s="1686"/>
      <c r="N612" s="1668"/>
    </row>
    <row r="613" spans="1:14" ht="14.5">
      <c r="A613" s="1655">
        <f t="shared" si="122"/>
        <v>0</v>
      </c>
      <c r="B613" s="1409"/>
      <c r="C613" s="1621" t="s">
        <v>4964</v>
      </c>
      <c r="D613" s="1683"/>
      <c r="E613" s="1678">
        <f t="shared" si="123"/>
        <v>0</v>
      </c>
      <c r="F613" s="1687"/>
      <c r="G613" s="1684"/>
      <c r="H613" s="1684"/>
      <c r="I613" s="1684"/>
      <c r="J613" s="1684"/>
      <c r="K613" s="1685" t="str">
        <f t="shared" si="120"/>
        <v/>
      </c>
      <c r="L613" s="1685" t="str">
        <f t="shared" si="121"/>
        <v/>
      </c>
      <c r="M613" s="1686"/>
      <c r="N613" s="1668"/>
    </row>
    <row r="614" spans="1:14" ht="14.5">
      <c r="A614" s="1655">
        <f t="shared" si="122"/>
        <v>0</v>
      </c>
      <c r="B614" s="1409"/>
      <c r="C614" s="1621" t="s">
        <v>4965</v>
      </c>
      <c r="D614" s="1683"/>
      <c r="E614" s="1678">
        <f t="shared" si="123"/>
        <v>0</v>
      </c>
      <c r="F614" s="1687"/>
      <c r="G614" s="1684"/>
      <c r="H614" s="1684"/>
      <c r="I614" s="1684"/>
      <c r="J614" s="1684"/>
      <c r="K614" s="1685" t="str">
        <f t="shared" si="120"/>
        <v/>
      </c>
      <c r="L614" s="1685" t="str">
        <f t="shared" si="121"/>
        <v/>
      </c>
      <c r="M614" s="1686"/>
      <c r="N614" s="1668"/>
    </row>
    <row r="615" spans="1:14" ht="14.5">
      <c r="A615" s="1655">
        <f t="shared" si="122"/>
        <v>0</v>
      </c>
      <c r="B615" s="1409"/>
      <c r="C615" s="1621" t="s">
        <v>4966</v>
      </c>
      <c r="D615" s="1683"/>
      <c r="E615" s="1678">
        <f t="shared" si="123"/>
        <v>0</v>
      </c>
      <c r="F615" s="1687"/>
      <c r="G615" s="1684"/>
      <c r="H615" s="1684"/>
      <c r="I615" s="1684"/>
      <c r="J615" s="1684"/>
      <c r="K615" s="1685" t="str">
        <f t="shared" si="120"/>
        <v/>
      </c>
      <c r="L615" s="1685" t="str">
        <f t="shared" si="121"/>
        <v/>
      </c>
      <c r="M615" s="1686"/>
      <c r="N615" s="1668"/>
    </row>
    <row r="616" spans="1:14" ht="14.5">
      <c r="A616" s="1655">
        <f t="shared" si="122"/>
        <v>0</v>
      </c>
      <c r="B616" s="1409"/>
      <c r="C616" s="1621" t="s">
        <v>4967</v>
      </c>
      <c r="D616" s="1683"/>
      <c r="E616" s="1678">
        <f t="shared" si="123"/>
        <v>0</v>
      </c>
      <c r="F616" s="1687"/>
      <c r="G616" s="1684"/>
      <c r="H616" s="1684"/>
      <c r="I616" s="1684"/>
      <c r="J616" s="1684"/>
      <c r="K616" s="1685" t="str">
        <f t="shared" si="120"/>
        <v/>
      </c>
      <c r="L616" s="1685" t="str">
        <f t="shared" si="121"/>
        <v/>
      </c>
      <c r="M616" s="1686"/>
      <c r="N616" s="1668"/>
    </row>
    <row r="617" spans="1:14" ht="14.5">
      <c r="A617" s="1655">
        <f t="shared" si="122"/>
        <v>0</v>
      </c>
      <c r="B617" s="1409"/>
      <c r="C617" s="1621" t="s">
        <v>4968</v>
      </c>
      <c r="D617" s="1683"/>
      <c r="E617" s="1678">
        <f t="shared" si="123"/>
        <v>0</v>
      </c>
      <c r="F617" s="1687"/>
      <c r="G617" s="1684"/>
      <c r="H617" s="1684"/>
      <c r="I617" s="1684"/>
      <c r="J617" s="1684"/>
      <c r="K617" s="1685" t="str">
        <f t="shared" si="120"/>
        <v/>
      </c>
      <c r="L617" s="1685" t="str">
        <f t="shared" si="121"/>
        <v/>
      </c>
      <c r="M617" s="1686"/>
      <c r="N617" s="1668"/>
    </row>
    <row r="618" spans="1:14" ht="14.5">
      <c r="A618" s="1655">
        <f t="shared" si="122"/>
        <v>0</v>
      </c>
      <c r="B618" s="1409"/>
      <c r="C618" s="1621" t="s">
        <v>4969</v>
      </c>
      <c r="D618" s="1683"/>
      <c r="E618" s="1678">
        <f t="shared" si="123"/>
        <v>0</v>
      </c>
      <c r="F618" s="1687"/>
      <c r="G618" s="1684"/>
      <c r="H618" s="1684"/>
      <c r="I618" s="1684"/>
      <c r="J618" s="1684"/>
      <c r="K618" s="1685" t="str">
        <f t="shared" si="120"/>
        <v/>
      </c>
      <c r="L618" s="1685" t="str">
        <f t="shared" si="121"/>
        <v/>
      </c>
      <c r="M618" s="1686"/>
      <c r="N618" s="1668"/>
    </row>
    <row r="619" spans="1:14" ht="14.5">
      <c r="A619" s="1655">
        <f t="shared" si="122"/>
        <v>0</v>
      </c>
      <c r="B619" s="1409"/>
      <c r="C619" s="1621" t="s">
        <v>4970</v>
      </c>
      <c r="D619" s="1683"/>
      <c r="E619" s="1678">
        <f t="shared" si="123"/>
        <v>0</v>
      </c>
      <c r="F619" s="1687"/>
      <c r="G619" s="1684"/>
      <c r="H619" s="1684"/>
      <c r="I619" s="1684"/>
      <c r="J619" s="1684"/>
      <c r="K619" s="1685" t="str">
        <f t="shared" si="120"/>
        <v/>
      </c>
      <c r="L619" s="1685" t="str">
        <f t="shared" si="121"/>
        <v/>
      </c>
      <c r="M619" s="1686"/>
      <c r="N619" s="1668"/>
    </row>
    <row r="620" spans="1:14" ht="14.5">
      <c r="A620" s="1655">
        <f t="shared" si="122"/>
        <v>0</v>
      </c>
      <c r="B620" s="1409"/>
      <c r="C620" s="1621" t="s">
        <v>4971</v>
      </c>
      <c r="D620" s="1683"/>
      <c r="E620" s="1678">
        <f t="shared" si="123"/>
        <v>0</v>
      </c>
      <c r="F620" s="1687"/>
      <c r="G620" s="1684"/>
      <c r="H620" s="1684"/>
      <c r="I620" s="1684"/>
      <c r="J620" s="1684"/>
      <c r="K620" s="1685" t="str">
        <f t="shared" si="120"/>
        <v/>
      </c>
      <c r="L620" s="1685" t="str">
        <f t="shared" si="121"/>
        <v/>
      </c>
      <c r="M620" s="1686"/>
      <c r="N620" s="1668"/>
    </row>
    <row r="621" spans="1:14" ht="14.5">
      <c r="A621" s="1655">
        <f t="shared" si="122"/>
        <v>0</v>
      </c>
      <c r="B621" s="1409"/>
      <c r="C621" s="1621" t="s">
        <v>4972</v>
      </c>
      <c r="D621" s="1683"/>
      <c r="E621" s="1678">
        <f t="shared" si="123"/>
        <v>0</v>
      </c>
      <c r="F621" s="1687"/>
      <c r="G621" s="1684"/>
      <c r="H621" s="1684"/>
      <c r="I621" s="1684"/>
      <c r="J621" s="1684"/>
      <c r="K621" s="1685" t="str">
        <f t="shared" si="120"/>
        <v/>
      </c>
      <c r="L621" s="1685" t="str">
        <f t="shared" si="121"/>
        <v/>
      </c>
      <c r="M621" s="1686"/>
      <c r="N621" s="1668"/>
    </row>
    <row r="622" spans="1:14" ht="14.5">
      <c r="A622" s="1655">
        <f t="shared" si="122"/>
        <v>0</v>
      </c>
      <c r="B622" s="1412"/>
      <c r="C622" s="1621" t="s">
        <v>4973</v>
      </c>
      <c r="D622" s="1683"/>
      <c r="E622" s="1678">
        <f t="shared" si="123"/>
        <v>0</v>
      </c>
      <c r="F622" s="1687"/>
      <c r="G622" s="1684"/>
      <c r="H622" s="1684"/>
      <c r="I622" s="1684"/>
      <c r="J622" s="1684"/>
      <c r="K622" s="1685" t="str">
        <f t="shared" si="120"/>
        <v/>
      </c>
      <c r="L622" s="1685" t="str">
        <f t="shared" si="121"/>
        <v/>
      </c>
      <c r="M622" s="1686"/>
      <c r="N622" s="1668"/>
    </row>
    <row r="623" spans="1:14" ht="14.5">
      <c r="A623" s="1655">
        <f t="shared" si="122"/>
        <v>0</v>
      </c>
      <c r="B623" s="1412"/>
      <c r="C623" s="1621" t="s">
        <v>4974</v>
      </c>
      <c r="D623" s="1683"/>
      <c r="E623" s="1678">
        <f t="shared" si="123"/>
        <v>0</v>
      </c>
      <c r="F623" s="1687"/>
      <c r="G623" s="1684"/>
      <c r="H623" s="1684"/>
      <c r="I623" s="1684"/>
      <c r="J623" s="1684"/>
      <c r="K623" s="1685" t="str">
        <f t="shared" si="120"/>
        <v/>
      </c>
      <c r="L623" s="1685" t="str">
        <f t="shared" si="121"/>
        <v/>
      </c>
      <c r="M623" s="1686"/>
      <c r="N623" s="1668"/>
    </row>
    <row r="624" spans="1:14" ht="14.5">
      <c r="A624" s="1655">
        <f t="shared" si="122"/>
        <v>0</v>
      </c>
      <c r="B624" s="1409"/>
      <c r="C624" s="1621" t="s">
        <v>4975</v>
      </c>
      <c r="D624" s="1683"/>
      <c r="E624" s="1678">
        <f t="shared" si="123"/>
        <v>0</v>
      </c>
      <c r="F624" s="1687"/>
      <c r="G624" s="1684"/>
      <c r="H624" s="1684"/>
      <c r="I624" s="1684"/>
      <c r="J624" s="1684"/>
      <c r="K624" s="1685" t="str">
        <f t="shared" si="120"/>
        <v/>
      </c>
      <c r="L624" s="1685" t="str">
        <f t="shared" si="121"/>
        <v/>
      </c>
      <c r="M624" s="1686"/>
      <c r="N624" s="1668"/>
    </row>
    <row r="625" spans="1:14" ht="14.5">
      <c r="A625" s="1655">
        <f t="shared" si="122"/>
        <v>0</v>
      </c>
      <c r="B625" s="1409"/>
      <c r="C625" s="1621" t="s">
        <v>4976</v>
      </c>
      <c r="D625" s="1683"/>
      <c r="E625" s="1678">
        <f t="shared" si="123"/>
        <v>0</v>
      </c>
      <c r="F625" s="1687"/>
      <c r="G625" s="1684"/>
      <c r="H625" s="1684"/>
      <c r="I625" s="1684"/>
      <c r="J625" s="1684"/>
      <c r="K625" s="1685" t="str">
        <f t="shared" si="120"/>
        <v/>
      </c>
      <c r="L625" s="1685" t="str">
        <f t="shared" si="121"/>
        <v/>
      </c>
      <c r="M625" s="1686"/>
      <c r="N625" s="1668"/>
    </row>
    <row r="626" spans="1:14" ht="14.5">
      <c r="A626" s="1655">
        <f t="shared" si="122"/>
        <v>0</v>
      </c>
      <c r="B626" s="1409"/>
      <c r="C626" s="1621" t="s">
        <v>4977</v>
      </c>
      <c r="D626" s="1683"/>
      <c r="E626" s="1678">
        <f t="shared" si="123"/>
        <v>0</v>
      </c>
      <c r="F626" s="1687"/>
      <c r="G626" s="1684"/>
      <c r="H626" s="1684"/>
      <c r="I626" s="1684"/>
      <c r="J626" s="1684"/>
      <c r="K626" s="1685" t="str">
        <f t="shared" si="120"/>
        <v/>
      </c>
      <c r="L626" s="1685" t="str">
        <f t="shared" si="121"/>
        <v/>
      </c>
      <c r="M626" s="1686"/>
      <c r="N626" s="1668"/>
    </row>
    <row r="627" spans="1:14" ht="14.5">
      <c r="A627" s="1655">
        <f t="shared" si="122"/>
        <v>0</v>
      </c>
      <c r="B627" s="1409"/>
      <c r="C627" s="1621" t="s">
        <v>4978</v>
      </c>
      <c r="D627" s="1683"/>
      <c r="E627" s="1678">
        <f t="shared" si="123"/>
        <v>0</v>
      </c>
      <c r="F627" s="1687"/>
      <c r="G627" s="1684"/>
      <c r="H627" s="1684"/>
      <c r="I627" s="1684"/>
      <c r="J627" s="1684"/>
      <c r="K627" s="1685" t="str">
        <f t="shared" si="120"/>
        <v/>
      </c>
      <c r="L627" s="1685" t="str">
        <f t="shared" si="121"/>
        <v/>
      </c>
      <c r="M627" s="1686"/>
      <c r="N627" s="1668"/>
    </row>
    <row r="628" spans="1:14" ht="14.5">
      <c r="A628" s="1655">
        <f t="shared" si="122"/>
        <v>0</v>
      </c>
      <c r="B628" s="1409"/>
      <c r="C628" s="1621" t="s">
        <v>4979</v>
      </c>
      <c r="D628" s="1683"/>
      <c r="E628" s="1678">
        <f t="shared" si="123"/>
        <v>0</v>
      </c>
      <c r="F628" s="1687"/>
      <c r="G628" s="1684"/>
      <c r="H628" s="1684"/>
      <c r="I628" s="1684"/>
      <c r="J628" s="1684"/>
      <c r="K628" s="1685" t="str">
        <f t="shared" si="120"/>
        <v/>
      </c>
      <c r="L628" s="1685" t="str">
        <f t="shared" si="121"/>
        <v/>
      </c>
      <c r="M628" s="1686"/>
      <c r="N628" s="1668"/>
    </row>
    <row r="629" spans="1:14" ht="14.5">
      <c r="A629" s="1655">
        <f t="shared" si="122"/>
        <v>0</v>
      </c>
      <c r="B629" s="1409"/>
      <c r="C629" s="1621" t="s">
        <v>4980</v>
      </c>
      <c r="D629" s="1683"/>
      <c r="E629" s="1678">
        <f t="shared" si="123"/>
        <v>0</v>
      </c>
      <c r="F629" s="1687"/>
      <c r="G629" s="1684"/>
      <c r="H629" s="1684"/>
      <c r="I629" s="1684"/>
      <c r="J629" s="1684"/>
      <c r="K629" s="1685" t="str">
        <f t="shared" si="120"/>
        <v/>
      </c>
      <c r="L629" s="1685" t="str">
        <f t="shared" si="121"/>
        <v/>
      </c>
      <c r="M629" s="1686"/>
      <c r="N629" s="1668"/>
    </row>
    <row r="630" spans="1:14" ht="14.5">
      <c r="A630" s="1655">
        <f t="shared" si="122"/>
        <v>0</v>
      </c>
      <c r="B630" s="1409"/>
      <c r="C630" s="1621" t="s">
        <v>4981</v>
      </c>
      <c r="D630" s="1683"/>
      <c r="E630" s="1678">
        <f t="shared" si="123"/>
        <v>0</v>
      </c>
      <c r="F630" s="1687"/>
      <c r="G630" s="1684"/>
      <c r="H630" s="1684"/>
      <c r="I630" s="1684"/>
      <c r="J630" s="1684"/>
      <c r="K630" s="1685" t="str">
        <f t="shared" si="120"/>
        <v/>
      </c>
      <c r="L630" s="1685" t="str">
        <f t="shared" si="121"/>
        <v/>
      </c>
      <c r="M630" s="1686"/>
      <c r="N630" s="1668"/>
    </row>
    <row r="631" spans="1:14" ht="14.5">
      <c r="A631" s="1655">
        <f t="shared" si="122"/>
        <v>0</v>
      </c>
      <c r="B631" s="1409"/>
      <c r="C631" s="1621" t="s">
        <v>4982</v>
      </c>
      <c r="D631" s="1683"/>
      <c r="E631" s="1678">
        <f t="shared" si="123"/>
        <v>0</v>
      </c>
      <c r="F631" s="1687"/>
      <c r="G631" s="1684"/>
      <c r="H631" s="1684"/>
      <c r="I631" s="1684"/>
      <c r="J631" s="1684"/>
      <c r="K631" s="1685" t="str">
        <f t="shared" si="120"/>
        <v/>
      </c>
      <c r="L631" s="1685" t="str">
        <f t="shared" si="121"/>
        <v/>
      </c>
      <c r="M631" s="1686"/>
      <c r="N631" s="1668"/>
    </row>
    <row r="632" spans="1:14" ht="14.5">
      <c r="A632" s="1655">
        <f t="shared" si="122"/>
        <v>0</v>
      </c>
      <c r="B632" s="1409"/>
      <c r="C632" s="1621" t="s">
        <v>4983</v>
      </c>
      <c r="D632" s="1683"/>
      <c r="E632" s="1678">
        <f t="shared" si="123"/>
        <v>0</v>
      </c>
      <c r="F632" s="1687"/>
      <c r="G632" s="1684"/>
      <c r="H632" s="1684"/>
      <c r="I632" s="1684"/>
      <c r="J632" s="1684"/>
      <c r="K632" s="1685" t="str">
        <f t="shared" si="120"/>
        <v/>
      </c>
      <c r="L632" s="1685" t="str">
        <f t="shared" si="121"/>
        <v/>
      </c>
      <c r="M632" s="1686"/>
      <c r="N632" s="1668"/>
    </row>
    <row r="633" spans="1:14" ht="14.5">
      <c r="A633" s="1655">
        <f t="shared" si="122"/>
        <v>0</v>
      </c>
      <c r="B633" s="1409"/>
      <c r="C633" s="1621" t="s">
        <v>4984</v>
      </c>
      <c r="D633" s="1683"/>
      <c r="E633" s="1678">
        <f t="shared" si="123"/>
        <v>0</v>
      </c>
      <c r="F633" s="1687"/>
      <c r="G633" s="1684"/>
      <c r="H633" s="1684"/>
      <c r="I633" s="1684"/>
      <c r="J633" s="1684"/>
      <c r="K633" s="1685" t="str">
        <f t="shared" si="120"/>
        <v/>
      </c>
      <c r="L633" s="1685" t="str">
        <f t="shared" si="121"/>
        <v/>
      </c>
      <c r="M633" s="1686"/>
      <c r="N633" s="1668"/>
    </row>
    <row r="634" spans="1:14" ht="14.5">
      <c r="A634" s="1655">
        <f t="shared" si="122"/>
        <v>0</v>
      </c>
      <c r="B634" s="1409"/>
      <c r="C634" s="1621" t="s">
        <v>4985</v>
      </c>
      <c r="D634" s="1683"/>
      <c r="E634" s="1678">
        <f t="shared" si="123"/>
        <v>0</v>
      </c>
      <c r="F634" s="1687"/>
      <c r="G634" s="1684"/>
      <c r="H634" s="1684"/>
      <c r="I634" s="1684"/>
      <c r="J634" s="1684"/>
      <c r="K634" s="1685" t="str">
        <f t="shared" si="120"/>
        <v/>
      </c>
      <c r="L634" s="1685" t="str">
        <f t="shared" si="121"/>
        <v/>
      </c>
      <c r="M634" s="1686"/>
      <c r="N634" s="1668"/>
    </row>
    <row r="635" spans="1:14" ht="14.5">
      <c r="A635" s="1655">
        <f t="shared" si="122"/>
        <v>0</v>
      </c>
      <c r="B635" s="1688"/>
      <c r="C635" s="1689" t="s">
        <v>4986</v>
      </c>
      <c r="D635" s="1690"/>
      <c r="E635" s="1691">
        <f t="shared" si="123"/>
        <v>0</v>
      </c>
      <c r="F635" s="1692"/>
      <c r="G635" s="1693"/>
      <c r="H635" s="1693"/>
      <c r="I635" s="1693"/>
      <c r="J635" s="1693"/>
      <c r="K635" s="1694" t="str">
        <f t="shared" si="120"/>
        <v/>
      </c>
      <c r="L635" s="1694" t="str">
        <f t="shared" si="121"/>
        <v/>
      </c>
      <c r="M635" s="1695"/>
      <c r="N635" s="1668"/>
    </row>
    <row r="636" spans="1:14" ht="14.5">
      <c r="A636" s="1674">
        <f>A610+1</f>
        <v>25</v>
      </c>
      <c r="B636" s="1675" t="s">
        <v>5050</v>
      </c>
      <c r="C636" s="1676"/>
      <c r="D636" s="1677"/>
      <c r="E636" s="1679">
        <f t="shared" ref="E636:I636" si="124">SUM(E637:E661)</f>
        <v>0</v>
      </c>
      <c r="F636" s="1679">
        <f t="shared" si="124"/>
        <v>0</v>
      </c>
      <c r="G636" s="1679">
        <f t="shared" si="124"/>
        <v>0</v>
      </c>
      <c r="H636" s="1679">
        <f t="shared" si="124"/>
        <v>0</v>
      </c>
      <c r="I636" s="1679">
        <f t="shared" si="124"/>
        <v>0</v>
      </c>
      <c r="J636" s="1679">
        <f>SUM(J637:J661)</f>
        <v>0</v>
      </c>
      <c r="K636" s="1680" t="str">
        <f>IFERROR(E636/$C$6,"")</f>
        <v/>
      </c>
      <c r="L636" s="1680" t="str">
        <f>IFERROR(E636/$C$7,"")</f>
        <v/>
      </c>
      <c r="M636" s="1681">
        <f>SUM(M637:M661)</f>
        <v>0</v>
      </c>
      <c r="N636" s="1668"/>
    </row>
    <row r="637" spans="1:14" ht="14.5">
      <c r="A637" s="1655">
        <f>IF(E637&lt;&gt;0,1,0)</f>
        <v>0</v>
      </c>
      <c r="B637" s="1412"/>
      <c r="C637" s="1621" t="s">
        <v>4962</v>
      </c>
      <c r="D637" s="1683"/>
      <c r="E637" s="1678">
        <f>SUM(F637:J637)</f>
        <v>0</v>
      </c>
      <c r="F637" s="1684"/>
      <c r="G637" s="1684"/>
      <c r="H637" s="1684"/>
      <c r="I637" s="1684"/>
      <c r="J637" s="1684"/>
      <c r="K637" s="1685" t="str">
        <f t="shared" ref="K637:K661" si="125">IFERROR(E637/$C$6,"")</f>
        <v/>
      </c>
      <c r="L637" s="1685" t="str">
        <f t="shared" ref="L637:L661" si="126">IFERROR(E637/$C$7,"")</f>
        <v/>
      </c>
      <c r="M637" s="1686"/>
      <c r="N637" s="1668"/>
    </row>
    <row r="638" spans="1:14" ht="14.5">
      <c r="A638" s="1655">
        <f t="shared" ref="A638:A661" si="127">IF(E638&lt;&gt;0,1,0)</f>
        <v>0</v>
      </c>
      <c r="B638" s="1409"/>
      <c r="C638" s="1621" t="s">
        <v>4963</v>
      </c>
      <c r="D638" s="1683"/>
      <c r="E638" s="1678">
        <f t="shared" ref="E638:E661" si="128">SUM(F638:J638)</f>
        <v>0</v>
      </c>
      <c r="F638" s="1687"/>
      <c r="G638" s="1684"/>
      <c r="H638" s="1684"/>
      <c r="I638" s="1684"/>
      <c r="J638" s="1684"/>
      <c r="K638" s="1685" t="str">
        <f t="shared" si="125"/>
        <v/>
      </c>
      <c r="L638" s="1685" t="str">
        <f t="shared" si="126"/>
        <v/>
      </c>
      <c r="M638" s="1686"/>
      <c r="N638" s="1668"/>
    </row>
    <row r="639" spans="1:14" ht="14.5">
      <c r="A639" s="1655">
        <f t="shared" si="127"/>
        <v>0</v>
      </c>
      <c r="B639" s="1409"/>
      <c r="C639" s="1621" t="s">
        <v>4964</v>
      </c>
      <c r="D639" s="1683"/>
      <c r="E639" s="1678">
        <f t="shared" si="128"/>
        <v>0</v>
      </c>
      <c r="F639" s="1687"/>
      <c r="G639" s="1684"/>
      <c r="H639" s="1684"/>
      <c r="I639" s="1684"/>
      <c r="J639" s="1684"/>
      <c r="K639" s="1685" t="str">
        <f t="shared" si="125"/>
        <v/>
      </c>
      <c r="L639" s="1685" t="str">
        <f t="shared" si="126"/>
        <v/>
      </c>
      <c r="M639" s="1686"/>
      <c r="N639" s="1668"/>
    </row>
    <row r="640" spans="1:14" ht="14.5">
      <c r="A640" s="1655">
        <f t="shared" si="127"/>
        <v>0</v>
      </c>
      <c r="B640" s="1409"/>
      <c r="C640" s="1621" t="s">
        <v>4965</v>
      </c>
      <c r="D640" s="1683"/>
      <c r="E640" s="1678">
        <f t="shared" si="128"/>
        <v>0</v>
      </c>
      <c r="F640" s="1687"/>
      <c r="G640" s="1684"/>
      <c r="H640" s="1684"/>
      <c r="I640" s="1684"/>
      <c r="J640" s="1684"/>
      <c r="K640" s="1685" t="str">
        <f t="shared" si="125"/>
        <v/>
      </c>
      <c r="L640" s="1685" t="str">
        <f t="shared" si="126"/>
        <v/>
      </c>
      <c r="M640" s="1686"/>
      <c r="N640" s="1668"/>
    </row>
    <row r="641" spans="1:14" ht="14.5">
      <c r="A641" s="1655">
        <f t="shared" si="127"/>
        <v>0</v>
      </c>
      <c r="B641" s="1409"/>
      <c r="C641" s="1621" t="s">
        <v>4966</v>
      </c>
      <c r="D641" s="1683"/>
      <c r="E641" s="1678">
        <f t="shared" si="128"/>
        <v>0</v>
      </c>
      <c r="F641" s="1687"/>
      <c r="G641" s="1684"/>
      <c r="H641" s="1684"/>
      <c r="I641" s="1684"/>
      <c r="J641" s="1684"/>
      <c r="K641" s="1685" t="str">
        <f t="shared" si="125"/>
        <v/>
      </c>
      <c r="L641" s="1685" t="str">
        <f t="shared" si="126"/>
        <v/>
      </c>
      <c r="M641" s="1686"/>
      <c r="N641" s="1668"/>
    </row>
    <row r="642" spans="1:14" ht="14.5">
      <c r="A642" s="1655">
        <f t="shared" si="127"/>
        <v>0</v>
      </c>
      <c r="B642" s="1409"/>
      <c r="C642" s="1621" t="s">
        <v>4967</v>
      </c>
      <c r="D642" s="1683"/>
      <c r="E642" s="1678">
        <f t="shared" si="128"/>
        <v>0</v>
      </c>
      <c r="F642" s="1687"/>
      <c r="G642" s="1684"/>
      <c r="H642" s="1684"/>
      <c r="I642" s="1684"/>
      <c r="J642" s="1684"/>
      <c r="K642" s="1685" t="str">
        <f t="shared" si="125"/>
        <v/>
      </c>
      <c r="L642" s="1685" t="str">
        <f t="shared" si="126"/>
        <v/>
      </c>
      <c r="M642" s="1686"/>
      <c r="N642" s="1668"/>
    </row>
    <row r="643" spans="1:14" ht="14.5">
      <c r="A643" s="1655">
        <f t="shared" si="127"/>
        <v>0</v>
      </c>
      <c r="B643" s="1409"/>
      <c r="C643" s="1621" t="s">
        <v>4968</v>
      </c>
      <c r="D643" s="1683"/>
      <c r="E643" s="1678">
        <f t="shared" si="128"/>
        <v>0</v>
      </c>
      <c r="F643" s="1687"/>
      <c r="G643" s="1684"/>
      <c r="H643" s="1684"/>
      <c r="I643" s="1684"/>
      <c r="J643" s="1684"/>
      <c r="K643" s="1685" t="str">
        <f t="shared" si="125"/>
        <v/>
      </c>
      <c r="L643" s="1685" t="str">
        <f t="shared" si="126"/>
        <v/>
      </c>
      <c r="M643" s="1686"/>
      <c r="N643" s="1668"/>
    </row>
    <row r="644" spans="1:14" ht="14.5">
      <c r="A644" s="1655">
        <f t="shared" si="127"/>
        <v>0</v>
      </c>
      <c r="B644" s="1409"/>
      <c r="C644" s="1621" t="s">
        <v>4969</v>
      </c>
      <c r="D644" s="1683"/>
      <c r="E644" s="1678">
        <f t="shared" si="128"/>
        <v>0</v>
      </c>
      <c r="F644" s="1687"/>
      <c r="G644" s="1684"/>
      <c r="H644" s="1684"/>
      <c r="I644" s="1684"/>
      <c r="J644" s="1684"/>
      <c r="K644" s="1685" t="str">
        <f t="shared" si="125"/>
        <v/>
      </c>
      <c r="L644" s="1685" t="str">
        <f t="shared" si="126"/>
        <v/>
      </c>
      <c r="M644" s="1686"/>
      <c r="N644" s="1668"/>
    </row>
    <row r="645" spans="1:14" ht="14.5">
      <c r="A645" s="1655">
        <f t="shared" si="127"/>
        <v>0</v>
      </c>
      <c r="B645" s="1409"/>
      <c r="C645" s="1621" t="s">
        <v>4970</v>
      </c>
      <c r="D645" s="1683"/>
      <c r="E645" s="1678">
        <f t="shared" si="128"/>
        <v>0</v>
      </c>
      <c r="F645" s="1687"/>
      <c r="G645" s="1684"/>
      <c r="H645" s="1684"/>
      <c r="I645" s="1684"/>
      <c r="J645" s="1684"/>
      <c r="K645" s="1685" t="str">
        <f t="shared" si="125"/>
        <v/>
      </c>
      <c r="L645" s="1685" t="str">
        <f t="shared" si="126"/>
        <v/>
      </c>
      <c r="M645" s="1686"/>
      <c r="N645" s="1668"/>
    </row>
    <row r="646" spans="1:14" ht="14.5">
      <c r="A646" s="1655">
        <f t="shared" si="127"/>
        <v>0</v>
      </c>
      <c r="B646" s="1409"/>
      <c r="C646" s="1621" t="s">
        <v>4971</v>
      </c>
      <c r="D646" s="1683"/>
      <c r="E646" s="1678">
        <f t="shared" si="128"/>
        <v>0</v>
      </c>
      <c r="F646" s="1687"/>
      <c r="G646" s="1684"/>
      <c r="H646" s="1684"/>
      <c r="I646" s="1684"/>
      <c r="J646" s="1684"/>
      <c r="K646" s="1685" t="str">
        <f t="shared" si="125"/>
        <v/>
      </c>
      <c r="L646" s="1685" t="str">
        <f t="shared" si="126"/>
        <v/>
      </c>
      <c r="M646" s="1686"/>
      <c r="N646" s="1668"/>
    </row>
    <row r="647" spans="1:14" ht="14.5">
      <c r="A647" s="1655">
        <f t="shared" si="127"/>
        <v>0</v>
      </c>
      <c r="B647" s="1409"/>
      <c r="C647" s="1621" t="s">
        <v>4972</v>
      </c>
      <c r="D647" s="1683"/>
      <c r="E647" s="1678">
        <f t="shared" si="128"/>
        <v>0</v>
      </c>
      <c r="F647" s="1687"/>
      <c r="G647" s="1684"/>
      <c r="H647" s="1684"/>
      <c r="I647" s="1684"/>
      <c r="J647" s="1684"/>
      <c r="K647" s="1685" t="str">
        <f t="shared" si="125"/>
        <v/>
      </c>
      <c r="L647" s="1685" t="str">
        <f t="shared" si="126"/>
        <v/>
      </c>
      <c r="M647" s="1686"/>
      <c r="N647" s="1668"/>
    </row>
    <row r="648" spans="1:14" ht="14.5">
      <c r="A648" s="1655">
        <f t="shared" si="127"/>
        <v>0</v>
      </c>
      <c r="B648" s="1412"/>
      <c r="C648" s="1621" t="s">
        <v>4973</v>
      </c>
      <c r="D648" s="1683"/>
      <c r="E648" s="1678">
        <f t="shared" si="128"/>
        <v>0</v>
      </c>
      <c r="F648" s="1687"/>
      <c r="G648" s="1684"/>
      <c r="H648" s="1684"/>
      <c r="I648" s="1684"/>
      <c r="J648" s="1684"/>
      <c r="K648" s="1685" t="str">
        <f t="shared" si="125"/>
        <v/>
      </c>
      <c r="L648" s="1685" t="str">
        <f t="shared" si="126"/>
        <v/>
      </c>
      <c r="M648" s="1686"/>
      <c r="N648" s="1668"/>
    </row>
    <row r="649" spans="1:14" ht="14.5">
      <c r="A649" s="1655">
        <f t="shared" si="127"/>
        <v>0</v>
      </c>
      <c r="B649" s="1412"/>
      <c r="C649" s="1621" t="s">
        <v>4974</v>
      </c>
      <c r="D649" s="1683"/>
      <c r="E649" s="1678">
        <f t="shared" si="128"/>
        <v>0</v>
      </c>
      <c r="F649" s="1687"/>
      <c r="G649" s="1684"/>
      <c r="H649" s="1684"/>
      <c r="I649" s="1684"/>
      <c r="J649" s="1684"/>
      <c r="K649" s="1685" t="str">
        <f t="shared" si="125"/>
        <v/>
      </c>
      <c r="L649" s="1685" t="str">
        <f t="shared" si="126"/>
        <v/>
      </c>
      <c r="M649" s="1686"/>
      <c r="N649" s="1668"/>
    </row>
    <row r="650" spans="1:14" ht="14.5">
      <c r="A650" s="1655">
        <f t="shared" si="127"/>
        <v>0</v>
      </c>
      <c r="B650" s="1409"/>
      <c r="C650" s="1621" t="s">
        <v>4975</v>
      </c>
      <c r="D650" s="1683"/>
      <c r="E650" s="1678">
        <f t="shared" si="128"/>
        <v>0</v>
      </c>
      <c r="F650" s="1687"/>
      <c r="G650" s="1684"/>
      <c r="H650" s="1684"/>
      <c r="I650" s="1684"/>
      <c r="J650" s="1684"/>
      <c r="K650" s="1685" t="str">
        <f t="shared" si="125"/>
        <v/>
      </c>
      <c r="L650" s="1685" t="str">
        <f t="shared" si="126"/>
        <v/>
      </c>
      <c r="M650" s="1686"/>
      <c r="N650" s="1668"/>
    </row>
    <row r="651" spans="1:14" ht="14.5">
      <c r="A651" s="1655">
        <f t="shared" si="127"/>
        <v>0</v>
      </c>
      <c r="B651" s="1409"/>
      <c r="C651" s="1621" t="s">
        <v>4976</v>
      </c>
      <c r="D651" s="1683"/>
      <c r="E651" s="1678">
        <f t="shared" si="128"/>
        <v>0</v>
      </c>
      <c r="F651" s="1687"/>
      <c r="G651" s="1684"/>
      <c r="H651" s="1684"/>
      <c r="I651" s="1684"/>
      <c r="J651" s="1684"/>
      <c r="K651" s="1685" t="str">
        <f t="shared" si="125"/>
        <v/>
      </c>
      <c r="L651" s="1685" t="str">
        <f t="shared" si="126"/>
        <v/>
      </c>
      <c r="M651" s="1686"/>
      <c r="N651" s="1668"/>
    </row>
    <row r="652" spans="1:14" ht="14.5">
      <c r="A652" s="1655">
        <f t="shared" si="127"/>
        <v>0</v>
      </c>
      <c r="B652" s="1409"/>
      <c r="C652" s="1621" t="s">
        <v>4977</v>
      </c>
      <c r="D652" s="1683"/>
      <c r="E652" s="1678">
        <f t="shared" si="128"/>
        <v>0</v>
      </c>
      <c r="F652" s="1687"/>
      <c r="G652" s="1684"/>
      <c r="H652" s="1684"/>
      <c r="I652" s="1684"/>
      <c r="J652" s="1684"/>
      <c r="K652" s="1685" t="str">
        <f t="shared" si="125"/>
        <v/>
      </c>
      <c r="L652" s="1685" t="str">
        <f t="shared" si="126"/>
        <v/>
      </c>
      <c r="M652" s="1686"/>
      <c r="N652" s="1668"/>
    </row>
    <row r="653" spans="1:14" ht="14.5">
      <c r="A653" s="1655">
        <f t="shared" si="127"/>
        <v>0</v>
      </c>
      <c r="B653" s="1409"/>
      <c r="C653" s="1621" t="s">
        <v>4978</v>
      </c>
      <c r="D653" s="1683"/>
      <c r="E653" s="1678">
        <f t="shared" si="128"/>
        <v>0</v>
      </c>
      <c r="F653" s="1687"/>
      <c r="G653" s="1684"/>
      <c r="H653" s="1684"/>
      <c r="I653" s="1684"/>
      <c r="J653" s="1684"/>
      <c r="K653" s="1685" t="str">
        <f t="shared" si="125"/>
        <v/>
      </c>
      <c r="L653" s="1685" t="str">
        <f t="shared" si="126"/>
        <v/>
      </c>
      <c r="M653" s="1686"/>
      <c r="N653" s="1668"/>
    </row>
    <row r="654" spans="1:14" ht="14.5">
      <c r="A654" s="1655">
        <f t="shared" si="127"/>
        <v>0</v>
      </c>
      <c r="B654" s="1409"/>
      <c r="C654" s="1621" t="s">
        <v>4979</v>
      </c>
      <c r="D654" s="1683"/>
      <c r="E654" s="1678">
        <f t="shared" si="128"/>
        <v>0</v>
      </c>
      <c r="F654" s="1687"/>
      <c r="G654" s="1684"/>
      <c r="H654" s="1684"/>
      <c r="I654" s="1684"/>
      <c r="J654" s="1684"/>
      <c r="K654" s="1685" t="str">
        <f t="shared" si="125"/>
        <v/>
      </c>
      <c r="L654" s="1685" t="str">
        <f t="shared" si="126"/>
        <v/>
      </c>
      <c r="M654" s="1686"/>
      <c r="N654" s="1668"/>
    </row>
    <row r="655" spans="1:14" ht="14.5">
      <c r="A655" s="1655">
        <f t="shared" si="127"/>
        <v>0</v>
      </c>
      <c r="B655" s="1409"/>
      <c r="C655" s="1621" t="s">
        <v>4980</v>
      </c>
      <c r="D655" s="1683"/>
      <c r="E655" s="1678">
        <f t="shared" si="128"/>
        <v>0</v>
      </c>
      <c r="F655" s="1687"/>
      <c r="G655" s="1684"/>
      <c r="H655" s="1684"/>
      <c r="I655" s="1684"/>
      <c r="J655" s="1684"/>
      <c r="K655" s="1685" t="str">
        <f t="shared" si="125"/>
        <v/>
      </c>
      <c r="L655" s="1685" t="str">
        <f t="shared" si="126"/>
        <v/>
      </c>
      <c r="M655" s="1686"/>
      <c r="N655" s="1668"/>
    </row>
    <row r="656" spans="1:14" ht="14.5">
      <c r="A656" s="1655">
        <f t="shared" si="127"/>
        <v>0</v>
      </c>
      <c r="B656" s="1409"/>
      <c r="C656" s="1621" t="s">
        <v>4981</v>
      </c>
      <c r="D656" s="1683"/>
      <c r="E656" s="1678">
        <f t="shared" si="128"/>
        <v>0</v>
      </c>
      <c r="F656" s="1687"/>
      <c r="G656" s="1684"/>
      <c r="H656" s="1684"/>
      <c r="I656" s="1684"/>
      <c r="J656" s="1684"/>
      <c r="K656" s="1685" t="str">
        <f t="shared" si="125"/>
        <v/>
      </c>
      <c r="L656" s="1685" t="str">
        <f t="shared" si="126"/>
        <v/>
      </c>
      <c r="M656" s="1686"/>
      <c r="N656" s="1668"/>
    </row>
    <row r="657" spans="1:14" ht="14.5">
      <c r="A657" s="1655">
        <f t="shared" si="127"/>
        <v>0</v>
      </c>
      <c r="B657" s="1409"/>
      <c r="C657" s="1621" t="s">
        <v>4982</v>
      </c>
      <c r="D657" s="1683"/>
      <c r="E657" s="1678">
        <f t="shared" si="128"/>
        <v>0</v>
      </c>
      <c r="F657" s="1687"/>
      <c r="G657" s="1684"/>
      <c r="H657" s="1684"/>
      <c r="I657" s="1684"/>
      <c r="J657" s="1684"/>
      <c r="K657" s="1685" t="str">
        <f t="shared" si="125"/>
        <v/>
      </c>
      <c r="L657" s="1685" t="str">
        <f t="shared" si="126"/>
        <v/>
      </c>
      <c r="M657" s="1686"/>
      <c r="N657" s="1668"/>
    </row>
    <row r="658" spans="1:14" ht="14.5">
      <c r="A658" s="1655">
        <f t="shared" si="127"/>
        <v>0</v>
      </c>
      <c r="B658" s="1409"/>
      <c r="C658" s="1621" t="s">
        <v>4983</v>
      </c>
      <c r="D658" s="1683"/>
      <c r="E658" s="1678">
        <f t="shared" si="128"/>
        <v>0</v>
      </c>
      <c r="F658" s="1687"/>
      <c r="G658" s="1684"/>
      <c r="H658" s="1684"/>
      <c r="I658" s="1684"/>
      <c r="J658" s="1684"/>
      <c r="K658" s="1685" t="str">
        <f t="shared" si="125"/>
        <v/>
      </c>
      <c r="L658" s="1685" t="str">
        <f t="shared" si="126"/>
        <v/>
      </c>
      <c r="M658" s="1686"/>
      <c r="N658" s="1668"/>
    </row>
    <row r="659" spans="1:14" ht="14.5">
      <c r="A659" s="1655">
        <f t="shared" si="127"/>
        <v>0</v>
      </c>
      <c r="B659" s="1409"/>
      <c r="C659" s="1621" t="s">
        <v>4984</v>
      </c>
      <c r="D659" s="1683"/>
      <c r="E659" s="1678">
        <f t="shared" si="128"/>
        <v>0</v>
      </c>
      <c r="F659" s="1687"/>
      <c r="G659" s="1684"/>
      <c r="H659" s="1684"/>
      <c r="I659" s="1684"/>
      <c r="J659" s="1684"/>
      <c r="K659" s="1685" t="str">
        <f t="shared" si="125"/>
        <v/>
      </c>
      <c r="L659" s="1685" t="str">
        <f t="shared" si="126"/>
        <v/>
      </c>
      <c r="M659" s="1686"/>
      <c r="N659" s="1668"/>
    </row>
    <row r="660" spans="1:14" ht="14.5">
      <c r="A660" s="1655">
        <f t="shared" si="127"/>
        <v>0</v>
      </c>
      <c r="B660" s="1409"/>
      <c r="C660" s="1621" t="s">
        <v>4985</v>
      </c>
      <c r="D660" s="1683"/>
      <c r="E660" s="1678">
        <f t="shared" si="128"/>
        <v>0</v>
      </c>
      <c r="F660" s="1687"/>
      <c r="G660" s="1684"/>
      <c r="H660" s="1684"/>
      <c r="I660" s="1684"/>
      <c r="J660" s="1684"/>
      <c r="K660" s="1685" t="str">
        <f t="shared" si="125"/>
        <v/>
      </c>
      <c r="L660" s="1685" t="str">
        <f t="shared" si="126"/>
        <v/>
      </c>
      <c r="M660" s="1686"/>
      <c r="N660" s="1668"/>
    </row>
    <row r="661" spans="1:14" ht="14.5">
      <c r="A661" s="1655">
        <f t="shared" si="127"/>
        <v>0</v>
      </c>
      <c r="B661" s="1688"/>
      <c r="C661" s="1689" t="s">
        <v>4986</v>
      </c>
      <c r="D661" s="1690"/>
      <c r="E661" s="1691">
        <f t="shared" si="128"/>
        <v>0</v>
      </c>
      <c r="F661" s="1692"/>
      <c r="G661" s="1693"/>
      <c r="H661" s="1693"/>
      <c r="I661" s="1693"/>
      <c r="J661" s="1693"/>
      <c r="K661" s="1694" t="str">
        <f t="shared" si="125"/>
        <v/>
      </c>
      <c r="L661" s="1694" t="str">
        <f t="shared" si="126"/>
        <v/>
      </c>
      <c r="M661" s="1695"/>
      <c r="N661" s="1668"/>
    </row>
    <row r="662" spans="1:14">
      <c r="A662" s="1674">
        <f>A636+1</f>
        <v>26</v>
      </c>
      <c r="B662" s="1675" t="s">
        <v>5050</v>
      </c>
      <c r="C662" s="1676"/>
      <c r="D662" s="1677"/>
      <c r="E662" s="1679">
        <f t="shared" ref="E662:I662" si="129">SUM(E663:E687)</f>
        <v>0</v>
      </c>
      <c r="F662" s="1679">
        <f t="shared" si="129"/>
        <v>0</v>
      </c>
      <c r="G662" s="1679">
        <f t="shared" si="129"/>
        <v>0</v>
      </c>
      <c r="H662" s="1679">
        <f t="shared" si="129"/>
        <v>0</v>
      </c>
      <c r="I662" s="1679">
        <f t="shared" si="129"/>
        <v>0</v>
      </c>
      <c r="J662" s="1679">
        <f>SUM(J663:J687)</f>
        <v>0</v>
      </c>
      <c r="K662" s="1680" t="str">
        <f>IFERROR(E662/$C$6,"")</f>
        <v/>
      </c>
      <c r="L662" s="1680" t="str">
        <f>IFERROR(E662/$C$7,"")</f>
        <v/>
      </c>
      <c r="M662" s="1681">
        <f>SUM(M663:M687)</f>
        <v>0</v>
      </c>
    </row>
    <row r="663" spans="1:14">
      <c r="A663" s="1655">
        <f>IF(E663&lt;&gt;0,1,0)</f>
        <v>0</v>
      </c>
      <c r="B663" s="1412"/>
      <c r="C663" s="1621" t="s">
        <v>4962</v>
      </c>
      <c r="D663" s="1683"/>
      <c r="E663" s="1678">
        <f>SUM(F663:J663)</f>
        <v>0</v>
      </c>
      <c r="F663" s="1684"/>
      <c r="G663" s="1684"/>
      <c r="H663" s="1684"/>
      <c r="I663" s="1684"/>
      <c r="J663" s="1684"/>
      <c r="K663" s="1685" t="str">
        <f t="shared" ref="K663:K687" si="130">IFERROR(E663/$C$6,"")</f>
        <v/>
      </c>
      <c r="L663" s="1685" t="str">
        <f t="shared" ref="L663:L687" si="131">IFERROR(E663/$C$7,"")</f>
        <v/>
      </c>
      <c r="M663" s="1686"/>
    </row>
    <row r="664" spans="1:14">
      <c r="A664" s="1655">
        <f t="shared" ref="A664:A687" si="132">IF(E664&lt;&gt;0,1,0)</f>
        <v>0</v>
      </c>
      <c r="B664" s="1409"/>
      <c r="C664" s="1621" t="s">
        <v>4963</v>
      </c>
      <c r="D664" s="1683"/>
      <c r="E664" s="1678">
        <f t="shared" ref="E664:E687" si="133">SUM(F664:J664)</f>
        <v>0</v>
      </c>
      <c r="F664" s="1687"/>
      <c r="G664" s="1684"/>
      <c r="H664" s="1684"/>
      <c r="I664" s="1684"/>
      <c r="J664" s="1684"/>
      <c r="K664" s="1685" t="str">
        <f t="shared" si="130"/>
        <v/>
      </c>
      <c r="L664" s="1685" t="str">
        <f t="shared" si="131"/>
        <v/>
      </c>
      <c r="M664" s="1686"/>
    </row>
    <row r="665" spans="1:14">
      <c r="A665" s="1655">
        <f t="shared" si="132"/>
        <v>0</v>
      </c>
      <c r="B665" s="1409"/>
      <c r="C665" s="1621" t="s">
        <v>4964</v>
      </c>
      <c r="D665" s="1683"/>
      <c r="E665" s="1678">
        <f t="shared" si="133"/>
        <v>0</v>
      </c>
      <c r="F665" s="1687"/>
      <c r="G665" s="1684"/>
      <c r="H665" s="1684"/>
      <c r="I665" s="1684"/>
      <c r="J665" s="1684"/>
      <c r="K665" s="1685" t="str">
        <f t="shared" si="130"/>
        <v/>
      </c>
      <c r="L665" s="1685" t="str">
        <f t="shared" si="131"/>
        <v/>
      </c>
      <c r="M665" s="1686"/>
    </row>
    <row r="666" spans="1:14">
      <c r="A666" s="1655">
        <f t="shared" si="132"/>
        <v>0</v>
      </c>
      <c r="B666" s="1409"/>
      <c r="C666" s="1621" t="s">
        <v>4965</v>
      </c>
      <c r="D666" s="1683"/>
      <c r="E666" s="1678">
        <f t="shared" si="133"/>
        <v>0</v>
      </c>
      <c r="F666" s="1687"/>
      <c r="G666" s="1684"/>
      <c r="H666" s="1684"/>
      <c r="I666" s="1684"/>
      <c r="J666" s="1684"/>
      <c r="K666" s="1685" t="str">
        <f t="shared" si="130"/>
        <v/>
      </c>
      <c r="L666" s="1685" t="str">
        <f t="shared" si="131"/>
        <v/>
      </c>
      <c r="M666" s="1686"/>
    </row>
    <row r="667" spans="1:14">
      <c r="A667" s="1655">
        <f t="shared" si="132"/>
        <v>0</v>
      </c>
      <c r="B667" s="1409"/>
      <c r="C667" s="1621" t="s">
        <v>4966</v>
      </c>
      <c r="D667" s="1683"/>
      <c r="E667" s="1678">
        <f t="shared" si="133"/>
        <v>0</v>
      </c>
      <c r="F667" s="1687"/>
      <c r="G667" s="1684"/>
      <c r="H667" s="1684"/>
      <c r="I667" s="1684"/>
      <c r="J667" s="1684"/>
      <c r="K667" s="1685" t="str">
        <f t="shared" si="130"/>
        <v/>
      </c>
      <c r="L667" s="1685" t="str">
        <f t="shared" si="131"/>
        <v/>
      </c>
      <c r="M667" s="1686"/>
    </row>
    <row r="668" spans="1:14">
      <c r="A668" s="1655">
        <f t="shared" si="132"/>
        <v>0</v>
      </c>
      <c r="B668" s="1409"/>
      <c r="C668" s="1621" t="s">
        <v>4967</v>
      </c>
      <c r="D668" s="1683"/>
      <c r="E668" s="1678">
        <f t="shared" si="133"/>
        <v>0</v>
      </c>
      <c r="F668" s="1687"/>
      <c r="G668" s="1684"/>
      <c r="H668" s="1684"/>
      <c r="I668" s="1684"/>
      <c r="J668" s="1684"/>
      <c r="K668" s="1685" t="str">
        <f t="shared" si="130"/>
        <v/>
      </c>
      <c r="L668" s="1685" t="str">
        <f t="shared" si="131"/>
        <v/>
      </c>
      <c r="M668" s="1686"/>
    </row>
    <row r="669" spans="1:14">
      <c r="A669" s="1655">
        <f t="shared" si="132"/>
        <v>0</v>
      </c>
      <c r="B669" s="1409"/>
      <c r="C669" s="1621" t="s">
        <v>4968</v>
      </c>
      <c r="D669" s="1683"/>
      <c r="E669" s="1678">
        <f t="shared" si="133"/>
        <v>0</v>
      </c>
      <c r="F669" s="1687"/>
      <c r="G669" s="1684"/>
      <c r="H669" s="1684"/>
      <c r="I669" s="1684"/>
      <c r="J669" s="1684"/>
      <c r="K669" s="1685" t="str">
        <f t="shared" si="130"/>
        <v/>
      </c>
      <c r="L669" s="1685" t="str">
        <f t="shared" si="131"/>
        <v/>
      </c>
      <c r="M669" s="1686"/>
    </row>
    <row r="670" spans="1:14">
      <c r="A670" s="1655">
        <f t="shared" si="132"/>
        <v>0</v>
      </c>
      <c r="B670" s="1409"/>
      <c r="C670" s="1621" t="s">
        <v>4969</v>
      </c>
      <c r="D670" s="1683"/>
      <c r="E670" s="1678">
        <f t="shared" si="133"/>
        <v>0</v>
      </c>
      <c r="F670" s="1687"/>
      <c r="G670" s="1684"/>
      <c r="H670" s="1684"/>
      <c r="I670" s="1684"/>
      <c r="J670" s="1684"/>
      <c r="K670" s="1685" t="str">
        <f t="shared" si="130"/>
        <v/>
      </c>
      <c r="L670" s="1685" t="str">
        <f t="shared" si="131"/>
        <v/>
      </c>
      <c r="M670" s="1686"/>
    </row>
    <row r="671" spans="1:14">
      <c r="A671" s="1655">
        <f t="shared" si="132"/>
        <v>0</v>
      </c>
      <c r="B671" s="1409"/>
      <c r="C671" s="1621" t="s">
        <v>4970</v>
      </c>
      <c r="D671" s="1683"/>
      <c r="E671" s="1678">
        <f t="shared" si="133"/>
        <v>0</v>
      </c>
      <c r="F671" s="1687"/>
      <c r="G671" s="1684"/>
      <c r="H671" s="1684"/>
      <c r="I671" s="1684"/>
      <c r="J671" s="1684"/>
      <c r="K671" s="1685" t="str">
        <f t="shared" si="130"/>
        <v/>
      </c>
      <c r="L671" s="1685" t="str">
        <f t="shared" si="131"/>
        <v/>
      </c>
      <c r="M671" s="1686"/>
    </row>
    <row r="672" spans="1:14">
      <c r="A672" s="1655">
        <f t="shared" si="132"/>
        <v>0</v>
      </c>
      <c r="B672" s="1409"/>
      <c r="C672" s="1621" t="s">
        <v>4971</v>
      </c>
      <c r="D672" s="1683"/>
      <c r="E672" s="1678">
        <f t="shared" si="133"/>
        <v>0</v>
      </c>
      <c r="F672" s="1687"/>
      <c r="G672" s="1684"/>
      <c r="H672" s="1684"/>
      <c r="I672" s="1684"/>
      <c r="J672" s="1684"/>
      <c r="K672" s="1685" t="str">
        <f t="shared" si="130"/>
        <v/>
      </c>
      <c r="L672" s="1685" t="str">
        <f t="shared" si="131"/>
        <v/>
      </c>
      <c r="M672" s="1686"/>
    </row>
    <row r="673" spans="1:13">
      <c r="A673" s="1655">
        <f t="shared" si="132"/>
        <v>0</v>
      </c>
      <c r="B673" s="1409"/>
      <c r="C673" s="1621" t="s">
        <v>4972</v>
      </c>
      <c r="D673" s="1683"/>
      <c r="E673" s="1678">
        <f t="shared" si="133"/>
        <v>0</v>
      </c>
      <c r="F673" s="1687"/>
      <c r="G673" s="1684"/>
      <c r="H673" s="1684"/>
      <c r="I673" s="1684"/>
      <c r="J673" s="1684"/>
      <c r="K673" s="1685" t="str">
        <f t="shared" si="130"/>
        <v/>
      </c>
      <c r="L673" s="1685" t="str">
        <f t="shared" si="131"/>
        <v/>
      </c>
      <c r="M673" s="1686"/>
    </row>
    <row r="674" spans="1:13">
      <c r="A674" s="1655">
        <f t="shared" si="132"/>
        <v>0</v>
      </c>
      <c r="B674" s="1412"/>
      <c r="C674" s="1621" t="s">
        <v>4973</v>
      </c>
      <c r="D674" s="1683"/>
      <c r="E674" s="1678">
        <f t="shared" si="133"/>
        <v>0</v>
      </c>
      <c r="F674" s="1687"/>
      <c r="G674" s="1684"/>
      <c r="H674" s="1684"/>
      <c r="I674" s="1684"/>
      <c r="J674" s="1684"/>
      <c r="K674" s="1685" t="str">
        <f t="shared" si="130"/>
        <v/>
      </c>
      <c r="L674" s="1685" t="str">
        <f t="shared" si="131"/>
        <v/>
      </c>
      <c r="M674" s="1686"/>
    </row>
    <row r="675" spans="1:13">
      <c r="A675" s="1655">
        <f t="shared" si="132"/>
        <v>0</v>
      </c>
      <c r="B675" s="1412"/>
      <c r="C675" s="1621" t="s">
        <v>4974</v>
      </c>
      <c r="D675" s="1683"/>
      <c r="E675" s="1678">
        <f t="shared" si="133"/>
        <v>0</v>
      </c>
      <c r="F675" s="1687"/>
      <c r="G675" s="1684"/>
      <c r="H675" s="1684"/>
      <c r="I675" s="1684"/>
      <c r="J675" s="1684"/>
      <c r="K675" s="1685" t="str">
        <f t="shared" si="130"/>
        <v/>
      </c>
      <c r="L675" s="1685" t="str">
        <f t="shared" si="131"/>
        <v/>
      </c>
      <c r="M675" s="1686"/>
    </row>
    <row r="676" spans="1:13">
      <c r="A676" s="1655">
        <f t="shared" si="132"/>
        <v>0</v>
      </c>
      <c r="B676" s="1409"/>
      <c r="C676" s="1621" t="s">
        <v>4975</v>
      </c>
      <c r="D676" s="1683"/>
      <c r="E676" s="1678">
        <f t="shared" si="133"/>
        <v>0</v>
      </c>
      <c r="F676" s="1687"/>
      <c r="G676" s="1684"/>
      <c r="H676" s="1684"/>
      <c r="I676" s="1684"/>
      <c r="J676" s="1684"/>
      <c r="K676" s="1685" t="str">
        <f t="shared" si="130"/>
        <v/>
      </c>
      <c r="L676" s="1685" t="str">
        <f t="shared" si="131"/>
        <v/>
      </c>
      <c r="M676" s="1686"/>
    </row>
    <row r="677" spans="1:13">
      <c r="A677" s="1655">
        <f t="shared" si="132"/>
        <v>0</v>
      </c>
      <c r="B677" s="1409"/>
      <c r="C677" s="1621" t="s">
        <v>4976</v>
      </c>
      <c r="D677" s="1683"/>
      <c r="E677" s="1678">
        <f t="shared" si="133"/>
        <v>0</v>
      </c>
      <c r="F677" s="1687"/>
      <c r="G677" s="1684"/>
      <c r="H677" s="1684"/>
      <c r="I677" s="1684"/>
      <c r="J677" s="1684"/>
      <c r="K677" s="1685" t="str">
        <f t="shared" si="130"/>
        <v/>
      </c>
      <c r="L677" s="1685" t="str">
        <f t="shared" si="131"/>
        <v/>
      </c>
      <c r="M677" s="1686"/>
    </row>
    <row r="678" spans="1:13">
      <c r="A678" s="1655">
        <f t="shared" si="132"/>
        <v>0</v>
      </c>
      <c r="B678" s="1409"/>
      <c r="C678" s="1621" t="s">
        <v>4977</v>
      </c>
      <c r="D678" s="1683"/>
      <c r="E678" s="1678">
        <f t="shared" si="133"/>
        <v>0</v>
      </c>
      <c r="F678" s="1687"/>
      <c r="G678" s="1684"/>
      <c r="H678" s="1684"/>
      <c r="I678" s="1684"/>
      <c r="J678" s="1684"/>
      <c r="K678" s="1685" t="str">
        <f t="shared" si="130"/>
        <v/>
      </c>
      <c r="L678" s="1685" t="str">
        <f t="shared" si="131"/>
        <v/>
      </c>
      <c r="M678" s="1686"/>
    </row>
    <row r="679" spans="1:13">
      <c r="A679" s="1655">
        <f t="shared" si="132"/>
        <v>0</v>
      </c>
      <c r="B679" s="1409"/>
      <c r="C679" s="1621" t="s">
        <v>4978</v>
      </c>
      <c r="D679" s="1683"/>
      <c r="E679" s="1678">
        <f t="shared" si="133"/>
        <v>0</v>
      </c>
      <c r="F679" s="1687"/>
      <c r="G679" s="1684"/>
      <c r="H679" s="1684"/>
      <c r="I679" s="1684"/>
      <c r="J679" s="1684"/>
      <c r="K679" s="1685" t="str">
        <f t="shared" si="130"/>
        <v/>
      </c>
      <c r="L679" s="1685" t="str">
        <f t="shared" si="131"/>
        <v/>
      </c>
      <c r="M679" s="1686"/>
    </row>
    <row r="680" spans="1:13">
      <c r="A680" s="1655">
        <f t="shared" si="132"/>
        <v>0</v>
      </c>
      <c r="B680" s="1409"/>
      <c r="C680" s="1621" t="s">
        <v>4979</v>
      </c>
      <c r="D680" s="1683"/>
      <c r="E680" s="1678">
        <f t="shared" si="133"/>
        <v>0</v>
      </c>
      <c r="F680" s="1687"/>
      <c r="G680" s="1684"/>
      <c r="H680" s="1684"/>
      <c r="I680" s="1684"/>
      <c r="J680" s="1684"/>
      <c r="K680" s="1685" t="str">
        <f t="shared" si="130"/>
        <v/>
      </c>
      <c r="L680" s="1685" t="str">
        <f t="shared" si="131"/>
        <v/>
      </c>
      <c r="M680" s="1686"/>
    </row>
    <row r="681" spans="1:13">
      <c r="A681" s="1655">
        <f t="shared" si="132"/>
        <v>0</v>
      </c>
      <c r="B681" s="1409"/>
      <c r="C681" s="1621" t="s">
        <v>4980</v>
      </c>
      <c r="D681" s="1683"/>
      <c r="E681" s="1678">
        <f t="shared" si="133"/>
        <v>0</v>
      </c>
      <c r="F681" s="1687"/>
      <c r="G681" s="1684"/>
      <c r="H681" s="1684"/>
      <c r="I681" s="1684"/>
      <c r="J681" s="1684"/>
      <c r="K681" s="1685" t="str">
        <f t="shared" si="130"/>
        <v/>
      </c>
      <c r="L681" s="1685" t="str">
        <f t="shared" si="131"/>
        <v/>
      </c>
      <c r="M681" s="1686"/>
    </row>
    <row r="682" spans="1:13">
      <c r="A682" s="1655">
        <f t="shared" si="132"/>
        <v>0</v>
      </c>
      <c r="B682" s="1409"/>
      <c r="C682" s="1621" t="s">
        <v>4981</v>
      </c>
      <c r="D682" s="1683"/>
      <c r="E682" s="1678">
        <f t="shared" si="133"/>
        <v>0</v>
      </c>
      <c r="F682" s="1687"/>
      <c r="G682" s="1684"/>
      <c r="H682" s="1684"/>
      <c r="I682" s="1684"/>
      <c r="J682" s="1684"/>
      <c r="K682" s="1685" t="str">
        <f t="shared" si="130"/>
        <v/>
      </c>
      <c r="L682" s="1685" t="str">
        <f t="shared" si="131"/>
        <v/>
      </c>
      <c r="M682" s="1686"/>
    </row>
    <row r="683" spans="1:13">
      <c r="A683" s="1655">
        <f t="shared" si="132"/>
        <v>0</v>
      </c>
      <c r="B683" s="1409"/>
      <c r="C683" s="1621" t="s">
        <v>4982</v>
      </c>
      <c r="D683" s="1683"/>
      <c r="E683" s="1678">
        <f t="shared" si="133"/>
        <v>0</v>
      </c>
      <c r="F683" s="1687"/>
      <c r="G683" s="1684"/>
      <c r="H683" s="1684"/>
      <c r="I683" s="1684"/>
      <c r="J683" s="1684"/>
      <c r="K683" s="1685" t="str">
        <f t="shared" si="130"/>
        <v/>
      </c>
      <c r="L683" s="1685" t="str">
        <f t="shared" si="131"/>
        <v/>
      </c>
      <c r="M683" s="1686"/>
    </row>
    <row r="684" spans="1:13">
      <c r="A684" s="1655">
        <f t="shared" si="132"/>
        <v>0</v>
      </c>
      <c r="B684" s="1409"/>
      <c r="C684" s="1621" t="s">
        <v>4983</v>
      </c>
      <c r="D684" s="1683"/>
      <c r="E684" s="1678">
        <f t="shared" si="133"/>
        <v>0</v>
      </c>
      <c r="F684" s="1687"/>
      <c r="G684" s="1684"/>
      <c r="H684" s="1684"/>
      <c r="I684" s="1684"/>
      <c r="J684" s="1684"/>
      <c r="K684" s="1685" t="str">
        <f t="shared" si="130"/>
        <v/>
      </c>
      <c r="L684" s="1685" t="str">
        <f t="shared" si="131"/>
        <v/>
      </c>
      <c r="M684" s="1686"/>
    </row>
    <row r="685" spans="1:13">
      <c r="A685" s="1655">
        <f t="shared" si="132"/>
        <v>0</v>
      </c>
      <c r="B685" s="1409"/>
      <c r="C685" s="1621" t="s">
        <v>4984</v>
      </c>
      <c r="D685" s="1683"/>
      <c r="E685" s="1678">
        <f t="shared" si="133"/>
        <v>0</v>
      </c>
      <c r="F685" s="1687"/>
      <c r="G685" s="1684"/>
      <c r="H685" s="1684"/>
      <c r="I685" s="1684"/>
      <c r="J685" s="1684"/>
      <c r="K685" s="1685" t="str">
        <f t="shared" si="130"/>
        <v/>
      </c>
      <c r="L685" s="1685" t="str">
        <f t="shared" si="131"/>
        <v/>
      </c>
      <c r="M685" s="1686"/>
    </row>
    <row r="686" spans="1:13">
      <c r="A686" s="1655">
        <f t="shared" si="132"/>
        <v>0</v>
      </c>
      <c r="B686" s="1409"/>
      <c r="C686" s="1621" t="s">
        <v>4985</v>
      </c>
      <c r="D686" s="1683"/>
      <c r="E686" s="1678">
        <f t="shared" si="133"/>
        <v>0</v>
      </c>
      <c r="F686" s="1687"/>
      <c r="G686" s="1684"/>
      <c r="H686" s="1684"/>
      <c r="I686" s="1684"/>
      <c r="J686" s="1684"/>
      <c r="K686" s="1685" t="str">
        <f t="shared" si="130"/>
        <v/>
      </c>
      <c r="L686" s="1685" t="str">
        <f t="shared" si="131"/>
        <v/>
      </c>
      <c r="M686" s="1686"/>
    </row>
    <row r="687" spans="1:13">
      <c r="A687" s="1655">
        <f t="shared" si="132"/>
        <v>0</v>
      </c>
      <c r="B687" s="1688"/>
      <c r="C687" s="1689" t="s">
        <v>4986</v>
      </c>
      <c r="D687" s="1690"/>
      <c r="E687" s="1691">
        <f t="shared" si="133"/>
        <v>0</v>
      </c>
      <c r="F687" s="1692"/>
      <c r="G687" s="1693"/>
      <c r="H687" s="1693"/>
      <c r="I687" s="1693"/>
      <c r="J687" s="1693"/>
      <c r="K687" s="1694" t="str">
        <f t="shared" si="130"/>
        <v/>
      </c>
      <c r="L687" s="1694" t="str">
        <f t="shared" si="131"/>
        <v/>
      </c>
      <c r="M687" s="1695"/>
    </row>
    <row r="688" spans="1:13">
      <c r="A688" s="1674">
        <f>A662+1</f>
        <v>27</v>
      </c>
      <c r="B688" s="1675" t="s">
        <v>5050</v>
      </c>
      <c r="C688" s="1676"/>
      <c r="D688" s="1677"/>
      <c r="E688" s="1679">
        <f t="shared" ref="E688:I688" si="134">SUM(E689:E713)</f>
        <v>0</v>
      </c>
      <c r="F688" s="1679">
        <f t="shared" si="134"/>
        <v>0</v>
      </c>
      <c r="G688" s="1679">
        <f t="shared" si="134"/>
        <v>0</v>
      </c>
      <c r="H688" s="1679">
        <f t="shared" si="134"/>
        <v>0</v>
      </c>
      <c r="I688" s="1679">
        <f t="shared" si="134"/>
        <v>0</v>
      </c>
      <c r="J688" s="1679">
        <f>SUM(J689:J713)</f>
        <v>0</v>
      </c>
      <c r="K688" s="1680" t="str">
        <f>IFERROR(E688/$C$6,"")</f>
        <v/>
      </c>
      <c r="L688" s="1680" t="str">
        <f>IFERROR(E688/$C$7,"")</f>
        <v/>
      </c>
      <c r="M688" s="1681">
        <f>SUM(M689:M713)</f>
        <v>0</v>
      </c>
    </row>
    <row r="689" spans="1:13">
      <c r="A689" s="1655">
        <f>IF(E689&lt;&gt;0,1,0)</f>
        <v>0</v>
      </c>
      <c r="B689" s="1412"/>
      <c r="C689" s="1621" t="s">
        <v>4962</v>
      </c>
      <c r="D689" s="1683"/>
      <c r="E689" s="1678">
        <f>SUM(F689:J689)</f>
        <v>0</v>
      </c>
      <c r="F689" s="1684"/>
      <c r="G689" s="1684"/>
      <c r="H689" s="1684"/>
      <c r="I689" s="1684"/>
      <c r="J689" s="1684"/>
      <c r="K689" s="1685" t="str">
        <f t="shared" ref="K689:K713" si="135">IFERROR(E689/$C$6,"")</f>
        <v/>
      </c>
      <c r="L689" s="1685" t="str">
        <f t="shared" ref="L689:L713" si="136">IFERROR(E689/$C$7,"")</f>
        <v/>
      </c>
      <c r="M689" s="1686"/>
    </row>
    <row r="690" spans="1:13">
      <c r="A690" s="1655">
        <f t="shared" ref="A690:A713" si="137">IF(E690&lt;&gt;0,1,0)</f>
        <v>0</v>
      </c>
      <c r="B690" s="1409"/>
      <c r="C690" s="1621" t="s">
        <v>4963</v>
      </c>
      <c r="D690" s="1683"/>
      <c r="E690" s="1678">
        <f t="shared" ref="E690:E713" si="138">SUM(F690:J690)</f>
        <v>0</v>
      </c>
      <c r="F690" s="1687"/>
      <c r="G690" s="1684"/>
      <c r="H690" s="1684"/>
      <c r="I690" s="1684"/>
      <c r="J690" s="1684"/>
      <c r="K690" s="1685" t="str">
        <f t="shared" si="135"/>
        <v/>
      </c>
      <c r="L690" s="1685" t="str">
        <f t="shared" si="136"/>
        <v/>
      </c>
      <c r="M690" s="1686"/>
    </row>
    <row r="691" spans="1:13">
      <c r="A691" s="1655">
        <f t="shared" si="137"/>
        <v>0</v>
      </c>
      <c r="B691" s="1409"/>
      <c r="C691" s="1621" t="s">
        <v>4964</v>
      </c>
      <c r="D691" s="1683"/>
      <c r="E691" s="1678">
        <f t="shared" si="138"/>
        <v>0</v>
      </c>
      <c r="F691" s="1687"/>
      <c r="G691" s="1684"/>
      <c r="H691" s="1684"/>
      <c r="I691" s="1684"/>
      <c r="J691" s="1684"/>
      <c r="K691" s="1685" t="str">
        <f t="shared" si="135"/>
        <v/>
      </c>
      <c r="L691" s="1685" t="str">
        <f t="shared" si="136"/>
        <v/>
      </c>
      <c r="M691" s="1686"/>
    </row>
    <row r="692" spans="1:13">
      <c r="A692" s="1655">
        <f t="shared" si="137"/>
        <v>0</v>
      </c>
      <c r="B692" s="1409"/>
      <c r="C692" s="1621" t="s">
        <v>4965</v>
      </c>
      <c r="D692" s="1683"/>
      <c r="E692" s="1678">
        <f t="shared" si="138"/>
        <v>0</v>
      </c>
      <c r="F692" s="1687"/>
      <c r="G692" s="1684"/>
      <c r="H692" s="1684"/>
      <c r="I692" s="1684"/>
      <c r="J692" s="1684"/>
      <c r="K692" s="1685" t="str">
        <f t="shared" si="135"/>
        <v/>
      </c>
      <c r="L692" s="1685" t="str">
        <f t="shared" si="136"/>
        <v/>
      </c>
      <c r="M692" s="1686"/>
    </row>
    <row r="693" spans="1:13">
      <c r="A693" s="1655">
        <f t="shared" si="137"/>
        <v>0</v>
      </c>
      <c r="B693" s="1409"/>
      <c r="C693" s="1621" t="s">
        <v>4966</v>
      </c>
      <c r="D693" s="1683"/>
      <c r="E693" s="1678">
        <f t="shared" si="138"/>
        <v>0</v>
      </c>
      <c r="F693" s="1687"/>
      <c r="G693" s="1684"/>
      <c r="H693" s="1684"/>
      <c r="I693" s="1684"/>
      <c r="J693" s="1684"/>
      <c r="K693" s="1685" t="str">
        <f t="shared" si="135"/>
        <v/>
      </c>
      <c r="L693" s="1685" t="str">
        <f t="shared" si="136"/>
        <v/>
      </c>
      <c r="M693" s="1686"/>
    </row>
    <row r="694" spans="1:13">
      <c r="A694" s="1655">
        <f t="shared" si="137"/>
        <v>0</v>
      </c>
      <c r="B694" s="1409"/>
      <c r="C694" s="1621" t="s">
        <v>4967</v>
      </c>
      <c r="D694" s="1683"/>
      <c r="E694" s="1678">
        <f t="shared" si="138"/>
        <v>0</v>
      </c>
      <c r="F694" s="1687"/>
      <c r="G694" s="1684"/>
      <c r="H694" s="1684"/>
      <c r="I694" s="1684"/>
      <c r="J694" s="1684"/>
      <c r="K694" s="1685" t="str">
        <f t="shared" si="135"/>
        <v/>
      </c>
      <c r="L694" s="1685" t="str">
        <f t="shared" si="136"/>
        <v/>
      </c>
      <c r="M694" s="1686"/>
    </row>
    <row r="695" spans="1:13">
      <c r="A695" s="1655">
        <f t="shared" si="137"/>
        <v>0</v>
      </c>
      <c r="B695" s="1409"/>
      <c r="C695" s="1621" t="s">
        <v>4968</v>
      </c>
      <c r="D695" s="1683"/>
      <c r="E695" s="1678">
        <f t="shared" si="138"/>
        <v>0</v>
      </c>
      <c r="F695" s="1687"/>
      <c r="G695" s="1684"/>
      <c r="H695" s="1684"/>
      <c r="I695" s="1684"/>
      <c r="J695" s="1684"/>
      <c r="K695" s="1685" t="str">
        <f t="shared" si="135"/>
        <v/>
      </c>
      <c r="L695" s="1685" t="str">
        <f t="shared" si="136"/>
        <v/>
      </c>
      <c r="M695" s="1686"/>
    </row>
    <row r="696" spans="1:13">
      <c r="A696" s="1655">
        <f t="shared" si="137"/>
        <v>0</v>
      </c>
      <c r="B696" s="1409"/>
      <c r="C696" s="1621" t="s">
        <v>4969</v>
      </c>
      <c r="D696" s="1683"/>
      <c r="E696" s="1678">
        <f t="shared" si="138"/>
        <v>0</v>
      </c>
      <c r="F696" s="1687"/>
      <c r="G696" s="1684"/>
      <c r="H696" s="1684"/>
      <c r="I696" s="1684"/>
      <c r="J696" s="1684"/>
      <c r="K696" s="1685" t="str">
        <f t="shared" si="135"/>
        <v/>
      </c>
      <c r="L696" s="1685" t="str">
        <f t="shared" si="136"/>
        <v/>
      </c>
      <c r="M696" s="1686"/>
    </row>
    <row r="697" spans="1:13">
      <c r="A697" s="1655">
        <f t="shared" si="137"/>
        <v>0</v>
      </c>
      <c r="B697" s="1409"/>
      <c r="C697" s="1621" t="s">
        <v>4970</v>
      </c>
      <c r="D697" s="1683"/>
      <c r="E697" s="1678">
        <f t="shared" si="138"/>
        <v>0</v>
      </c>
      <c r="F697" s="1687"/>
      <c r="G697" s="1684"/>
      <c r="H697" s="1684"/>
      <c r="I697" s="1684"/>
      <c r="J697" s="1684"/>
      <c r="K697" s="1685" t="str">
        <f t="shared" si="135"/>
        <v/>
      </c>
      <c r="L697" s="1685" t="str">
        <f t="shared" si="136"/>
        <v/>
      </c>
      <c r="M697" s="1686"/>
    </row>
    <row r="698" spans="1:13">
      <c r="A698" s="1655">
        <f t="shared" si="137"/>
        <v>0</v>
      </c>
      <c r="B698" s="1409"/>
      <c r="C698" s="1621" t="s">
        <v>4971</v>
      </c>
      <c r="D698" s="1683"/>
      <c r="E698" s="1678">
        <f t="shared" si="138"/>
        <v>0</v>
      </c>
      <c r="F698" s="1687"/>
      <c r="G698" s="1684"/>
      <c r="H698" s="1684"/>
      <c r="I698" s="1684"/>
      <c r="J698" s="1684"/>
      <c r="K698" s="1685" t="str">
        <f t="shared" si="135"/>
        <v/>
      </c>
      <c r="L698" s="1685" t="str">
        <f t="shared" si="136"/>
        <v/>
      </c>
      <c r="M698" s="1686"/>
    </row>
    <row r="699" spans="1:13">
      <c r="A699" s="1655">
        <f t="shared" si="137"/>
        <v>0</v>
      </c>
      <c r="B699" s="1409"/>
      <c r="C699" s="1621" t="s">
        <v>4972</v>
      </c>
      <c r="D699" s="1683"/>
      <c r="E699" s="1678">
        <f t="shared" si="138"/>
        <v>0</v>
      </c>
      <c r="F699" s="1687"/>
      <c r="G699" s="1684"/>
      <c r="H699" s="1684"/>
      <c r="I699" s="1684"/>
      <c r="J699" s="1684"/>
      <c r="K699" s="1685" t="str">
        <f t="shared" si="135"/>
        <v/>
      </c>
      <c r="L699" s="1685" t="str">
        <f t="shared" si="136"/>
        <v/>
      </c>
      <c r="M699" s="1686"/>
    </row>
    <row r="700" spans="1:13">
      <c r="A700" s="1655">
        <f t="shared" si="137"/>
        <v>0</v>
      </c>
      <c r="B700" s="1412"/>
      <c r="C700" s="1621" t="s">
        <v>4973</v>
      </c>
      <c r="D700" s="1683"/>
      <c r="E700" s="1678">
        <f t="shared" si="138"/>
        <v>0</v>
      </c>
      <c r="F700" s="1687"/>
      <c r="G700" s="1684"/>
      <c r="H700" s="1684"/>
      <c r="I700" s="1684"/>
      <c r="J700" s="1684"/>
      <c r="K700" s="1685" t="str">
        <f t="shared" si="135"/>
        <v/>
      </c>
      <c r="L700" s="1685" t="str">
        <f t="shared" si="136"/>
        <v/>
      </c>
      <c r="M700" s="1686"/>
    </row>
    <row r="701" spans="1:13">
      <c r="A701" s="1655">
        <f t="shared" si="137"/>
        <v>0</v>
      </c>
      <c r="B701" s="1412"/>
      <c r="C701" s="1621" t="s">
        <v>4974</v>
      </c>
      <c r="D701" s="1683"/>
      <c r="E701" s="1678">
        <f t="shared" si="138"/>
        <v>0</v>
      </c>
      <c r="F701" s="1687"/>
      <c r="G701" s="1684"/>
      <c r="H701" s="1684"/>
      <c r="I701" s="1684"/>
      <c r="J701" s="1684"/>
      <c r="K701" s="1685" t="str">
        <f t="shared" si="135"/>
        <v/>
      </c>
      <c r="L701" s="1685" t="str">
        <f t="shared" si="136"/>
        <v/>
      </c>
      <c r="M701" s="1686"/>
    </row>
    <row r="702" spans="1:13">
      <c r="A702" s="1655">
        <f t="shared" si="137"/>
        <v>0</v>
      </c>
      <c r="B702" s="1409"/>
      <c r="C702" s="1621" t="s">
        <v>4975</v>
      </c>
      <c r="D702" s="1683"/>
      <c r="E702" s="1678">
        <f t="shared" si="138"/>
        <v>0</v>
      </c>
      <c r="F702" s="1687"/>
      <c r="G702" s="1684"/>
      <c r="H702" s="1684"/>
      <c r="I702" s="1684"/>
      <c r="J702" s="1684"/>
      <c r="K702" s="1685" t="str">
        <f t="shared" si="135"/>
        <v/>
      </c>
      <c r="L702" s="1685" t="str">
        <f t="shared" si="136"/>
        <v/>
      </c>
      <c r="M702" s="1686"/>
    </row>
    <row r="703" spans="1:13">
      <c r="A703" s="1655">
        <f t="shared" si="137"/>
        <v>0</v>
      </c>
      <c r="B703" s="1409"/>
      <c r="C703" s="1621" t="s">
        <v>4976</v>
      </c>
      <c r="D703" s="1683"/>
      <c r="E703" s="1678">
        <f t="shared" si="138"/>
        <v>0</v>
      </c>
      <c r="F703" s="1687"/>
      <c r="G703" s="1684"/>
      <c r="H703" s="1684"/>
      <c r="I703" s="1684"/>
      <c r="J703" s="1684"/>
      <c r="K703" s="1685" t="str">
        <f t="shared" si="135"/>
        <v/>
      </c>
      <c r="L703" s="1685" t="str">
        <f t="shared" si="136"/>
        <v/>
      </c>
      <c r="M703" s="1686"/>
    </row>
    <row r="704" spans="1:13">
      <c r="A704" s="1655">
        <f t="shared" si="137"/>
        <v>0</v>
      </c>
      <c r="B704" s="1409"/>
      <c r="C704" s="1621" t="s">
        <v>4977</v>
      </c>
      <c r="D704" s="1683"/>
      <c r="E704" s="1678">
        <f t="shared" si="138"/>
        <v>0</v>
      </c>
      <c r="F704" s="1687"/>
      <c r="G704" s="1684"/>
      <c r="H704" s="1684"/>
      <c r="I704" s="1684"/>
      <c r="J704" s="1684"/>
      <c r="K704" s="1685" t="str">
        <f t="shared" si="135"/>
        <v/>
      </c>
      <c r="L704" s="1685" t="str">
        <f t="shared" si="136"/>
        <v/>
      </c>
      <c r="M704" s="1686"/>
    </row>
    <row r="705" spans="1:13">
      <c r="A705" s="1655">
        <f t="shared" si="137"/>
        <v>0</v>
      </c>
      <c r="B705" s="1409"/>
      <c r="C705" s="1621" t="s">
        <v>4978</v>
      </c>
      <c r="D705" s="1683"/>
      <c r="E705" s="1678">
        <f t="shared" si="138"/>
        <v>0</v>
      </c>
      <c r="F705" s="1687"/>
      <c r="G705" s="1684"/>
      <c r="H705" s="1684"/>
      <c r="I705" s="1684"/>
      <c r="J705" s="1684"/>
      <c r="K705" s="1685" t="str">
        <f t="shared" si="135"/>
        <v/>
      </c>
      <c r="L705" s="1685" t="str">
        <f t="shared" si="136"/>
        <v/>
      </c>
      <c r="M705" s="1686"/>
    </row>
    <row r="706" spans="1:13">
      <c r="A706" s="1655">
        <f t="shared" si="137"/>
        <v>0</v>
      </c>
      <c r="B706" s="1409"/>
      <c r="C706" s="1621" t="s">
        <v>4979</v>
      </c>
      <c r="D706" s="1683"/>
      <c r="E706" s="1678">
        <f t="shared" si="138"/>
        <v>0</v>
      </c>
      <c r="F706" s="1687"/>
      <c r="G706" s="1684"/>
      <c r="H706" s="1684"/>
      <c r="I706" s="1684"/>
      <c r="J706" s="1684"/>
      <c r="K706" s="1685" t="str">
        <f t="shared" si="135"/>
        <v/>
      </c>
      <c r="L706" s="1685" t="str">
        <f t="shared" si="136"/>
        <v/>
      </c>
      <c r="M706" s="1686"/>
    </row>
    <row r="707" spans="1:13">
      <c r="A707" s="1655">
        <f t="shared" si="137"/>
        <v>0</v>
      </c>
      <c r="B707" s="1409"/>
      <c r="C707" s="1621" t="s">
        <v>4980</v>
      </c>
      <c r="D707" s="1683"/>
      <c r="E707" s="1678">
        <f t="shared" si="138"/>
        <v>0</v>
      </c>
      <c r="F707" s="1687"/>
      <c r="G707" s="1684"/>
      <c r="H707" s="1684"/>
      <c r="I707" s="1684"/>
      <c r="J707" s="1684"/>
      <c r="K707" s="1685" t="str">
        <f t="shared" si="135"/>
        <v/>
      </c>
      <c r="L707" s="1685" t="str">
        <f t="shared" si="136"/>
        <v/>
      </c>
      <c r="M707" s="1686"/>
    </row>
    <row r="708" spans="1:13">
      <c r="A708" s="1655">
        <f t="shared" si="137"/>
        <v>0</v>
      </c>
      <c r="B708" s="1409"/>
      <c r="C708" s="1621" t="s">
        <v>4981</v>
      </c>
      <c r="D708" s="1683"/>
      <c r="E708" s="1678">
        <f t="shared" si="138"/>
        <v>0</v>
      </c>
      <c r="F708" s="1687"/>
      <c r="G708" s="1684"/>
      <c r="H708" s="1684"/>
      <c r="I708" s="1684"/>
      <c r="J708" s="1684"/>
      <c r="K708" s="1685" t="str">
        <f t="shared" si="135"/>
        <v/>
      </c>
      <c r="L708" s="1685" t="str">
        <f t="shared" si="136"/>
        <v/>
      </c>
      <c r="M708" s="1686"/>
    </row>
    <row r="709" spans="1:13">
      <c r="A709" s="1655">
        <f t="shared" si="137"/>
        <v>0</v>
      </c>
      <c r="B709" s="1409"/>
      <c r="C709" s="1621" t="s">
        <v>4982</v>
      </c>
      <c r="D709" s="1683"/>
      <c r="E709" s="1678">
        <f t="shared" si="138"/>
        <v>0</v>
      </c>
      <c r="F709" s="1687"/>
      <c r="G709" s="1684"/>
      <c r="H709" s="1684"/>
      <c r="I709" s="1684"/>
      <c r="J709" s="1684"/>
      <c r="K709" s="1685" t="str">
        <f t="shared" si="135"/>
        <v/>
      </c>
      <c r="L709" s="1685" t="str">
        <f t="shared" si="136"/>
        <v/>
      </c>
      <c r="M709" s="1686"/>
    </row>
    <row r="710" spans="1:13">
      <c r="A710" s="1655">
        <f t="shared" si="137"/>
        <v>0</v>
      </c>
      <c r="B710" s="1409"/>
      <c r="C710" s="1621" t="s">
        <v>4983</v>
      </c>
      <c r="D710" s="1683"/>
      <c r="E710" s="1678">
        <f t="shared" si="138"/>
        <v>0</v>
      </c>
      <c r="F710" s="1687"/>
      <c r="G710" s="1684"/>
      <c r="H710" s="1684"/>
      <c r="I710" s="1684"/>
      <c r="J710" s="1684"/>
      <c r="K710" s="1685" t="str">
        <f t="shared" si="135"/>
        <v/>
      </c>
      <c r="L710" s="1685" t="str">
        <f t="shared" si="136"/>
        <v/>
      </c>
      <c r="M710" s="1686"/>
    </row>
    <row r="711" spans="1:13">
      <c r="A711" s="1655">
        <f t="shared" si="137"/>
        <v>0</v>
      </c>
      <c r="B711" s="1409"/>
      <c r="C711" s="1621" t="s">
        <v>4984</v>
      </c>
      <c r="D711" s="1683"/>
      <c r="E711" s="1678">
        <f t="shared" si="138"/>
        <v>0</v>
      </c>
      <c r="F711" s="1687"/>
      <c r="G711" s="1684"/>
      <c r="H711" s="1684"/>
      <c r="I711" s="1684"/>
      <c r="J711" s="1684"/>
      <c r="K711" s="1685" t="str">
        <f t="shared" si="135"/>
        <v/>
      </c>
      <c r="L711" s="1685" t="str">
        <f t="shared" si="136"/>
        <v/>
      </c>
      <c r="M711" s="1686"/>
    </row>
    <row r="712" spans="1:13">
      <c r="A712" s="1655">
        <f t="shared" si="137"/>
        <v>0</v>
      </c>
      <c r="B712" s="1409"/>
      <c r="C712" s="1621" t="s">
        <v>4985</v>
      </c>
      <c r="D712" s="1683"/>
      <c r="E712" s="1678">
        <f t="shared" si="138"/>
        <v>0</v>
      </c>
      <c r="F712" s="1687"/>
      <c r="G712" s="1684"/>
      <c r="H712" s="1684"/>
      <c r="I712" s="1684"/>
      <c r="J712" s="1684"/>
      <c r="K712" s="1685" t="str">
        <f t="shared" si="135"/>
        <v/>
      </c>
      <c r="L712" s="1685" t="str">
        <f t="shared" si="136"/>
        <v/>
      </c>
      <c r="M712" s="1686"/>
    </row>
    <row r="713" spans="1:13">
      <c r="A713" s="1655">
        <f t="shared" si="137"/>
        <v>0</v>
      </c>
      <c r="B713" s="1688"/>
      <c r="C713" s="1689" t="s">
        <v>4986</v>
      </c>
      <c r="D713" s="1690"/>
      <c r="E713" s="1691">
        <f t="shared" si="138"/>
        <v>0</v>
      </c>
      <c r="F713" s="1692"/>
      <c r="G713" s="1693"/>
      <c r="H713" s="1693"/>
      <c r="I713" s="1693"/>
      <c r="J713" s="1693"/>
      <c r="K713" s="1694" t="str">
        <f t="shared" si="135"/>
        <v/>
      </c>
      <c r="L713" s="1694" t="str">
        <f t="shared" si="136"/>
        <v/>
      </c>
      <c r="M713" s="1695"/>
    </row>
    <row r="714" spans="1:13">
      <c r="A714" s="1674">
        <f>A688+1</f>
        <v>28</v>
      </c>
      <c r="B714" s="1675" t="s">
        <v>5050</v>
      </c>
      <c r="C714" s="1676"/>
      <c r="D714" s="1677"/>
      <c r="E714" s="1679">
        <f t="shared" ref="E714:I714" si="139">SUM(E715:E739)</f>
        <v>0</v>
      </c>
      <c r="F714" s="1679">
        <f t="shared" si="139"/>
        <v>0</v>
      </c>
      <c r="G714" s="1679">
        <f t="shared" si="139"/>
        <v>0</v>
      </c>
      <c r="H714" s="1679">
        <f t="shared" si="139"/>
        <v>0</v>
      </c>
      <c r="I714" s="1679">
        <f t="shared" si="139"/>
        <v>0</v>
      </c>
      <c r="J714" s="1679">
        <f>SUM(J715:J739)</f>
        <v>0</v>
      </c>
      <c r="K714" s="1680" t="str">
        <f>IFERROR(E714/$C$6,"")</f>
        <v/>
      </c>
      <c r="L714" s="1680" t="str">
        <f>IFERROR(E714/$C$7,"")</f>
        <v/>
      </c>
      <c r="M714" s="1681">
        <f>SUM(M715:M739)</f>
        <v>0</v>
      </c>
    </row>
    <row r="715" spans="1:13">
      <c r="A715" s="1655">
        <f>IF(E715&lt;&gt;0,1,0)</f>
        <v>0</v>
      </c>
      <c r="B715" s="1412"/>
      <c r="C715" s="1621" t="s">
        <v>4962</v>
      </c>
      <c r="D715" s="1683"/>
      <c r="E715" s="1678">
        <f>SUM(F715:J715)</f>
        <v>0</v>
      </c>
      <c r="F715" s="1684"/>
      <c r="G715" s="1684"/>
      <c r="H715" s="1684"/>
      <c r="I715" s="1684"/>
      <c r="J715" s="1684"/>
      <c r="K715" s="1685" t="str">
        <f t="shared" ref="K715:K739" si="140">IFERROR(E715/$C$6,"")</f>
        <v/>
      </c>
      <c r="L715" s="1685" t="str">
        <f t="shared" ref="L715:L739" si="141">IFERROR(E715/$C$7,"")</f>
        <v/>
      </c>
      <c r="M715" s="1686"/>
    </row>
    <row r="716" spans="1:13">
      <c r="A716" s="1655">
        <f t="shared" ref="A716:A739" si="142">IF(E716&lt;&gt;0,1,0)</f>
        <v>0</v>
      </c>
      <c r="B716" s="1409"/>
      <c r="C716" s="1621" t="s">
        <v>4963</v>
      </c>
      <c r="D716" s="1683"/>
      <c r="E716" s="1678">
        <f t="shared" ref="E716:E739" si="143">SUM(F716:J716)</f>
        <v>0</v>
      </c>
      <c r="F716" s="1687"/>
      <c r="G716" s="1684"/>
      <c r="H716" s="1684"/>
      <c r="I716" s="1684"/>
      <c r="J716" s="1684"/>
      <c r="K716" s="1685" t="str">
        <f t="shared" si="140"/>
        <v/>
      </c>
      <c r="L716" s="1685" t="str">
        <f t="shared" si="141"/>
        <v/>
      </c>
      <c r="M716" s="1686"/>
    </row>
    <row r="717" spans="1:13">
      <c r="A717" s="1655">
        <f t="shared" si="142"/>
        <v>0</v>
      </c>
      <c r="B717" s="1409"/>
      <c r="C717" s="1621" t="s">
        <v>4964</v>
      </c>
      <c r="D717" s="1683"/>
      <c r="E717" s="1678">
        <f t="shared" si="143"/>
        <v>0</v>
      </c>
      <c r="F717" s="1687"/>
      <c r="G717" s="1684"/>
      <c r="H717" s="1684"/>
      <c r="I717" s="1684"/>
      <c r="J717" s="1684"/>
      <c r="K717" s="1685" t="str">
        <f t="shared" si="140"/>
        <v/>
      </c>
      <c r="L717" s="1685" t="str">
        <f t="shared" si="141"/>
        <v/>
      </c>
      <c r="M717" s="1686"/>
    </row>
    <row r="718" spans="1:13">
      <c r="A718" s="1655">
        <f t="shared" si="142"/>
        <v>0</v>
      </c>
      <c r="B718" s="1409"/>
      <c r="C718" s="1621" t="s">
        <v>4965</v>
      </c>
      <c r="D718" s="1683"/>
      <c r="E718" s="1678">
        <f t="shared" si="143"/>
        <v>0</v>
      </c>
      <c r="F718" s="1687"/>
      <c r="G718" s="1684"/>
      <c r="H718" s="1684"/>
      <c r="I718" s="1684"/>
      <c r="J718" s="1684"/>
      <c r="K718" s="1685" t="str">
        <f t="shared" si="140"/>
        <v/>
      </c>
      <c r="L718" s="1685" t="str">
        <f t="shared" si="141"/>
        <v/>
      </c>
      <c r="M718" s="1686"/>
    </row>
    <row r="719" spans="1:13">
      <c r="A719" s="1655">
        <f t="shared" si="142"/>
        <v>0</v>
      </c>
      <c r="B719" s="1409"/>
      <c r="C719" s="1621" t="s">
        <v>4966</v>
      </c>
      <c r="D719" s="1683"/>
      <c r="E719" s="1678">
        <f t="shared" si="143"/>
        <v>0</v>
      </c>
      <c r="F719" s="1687"/>
      <c r="G719" s="1684"/>
      <c r="H719" s="1684"/>
      <c r="I719" s="1684"/>
      <c r="J719" s="1684"/>
      <c r="K719" s="1685" t="str">
        <f t="shared" si="140"/>
        <v/>
      </c>
      <c r="L719" s="1685" t="str">
        <f t="shared" si="141"/>
        <v/>
      </c>
      <c r="M719" s="1686"/>
    </row>
    <row r="720" spans="1:13">
      <c r="A720" s="1655">
        <f t="shared" si="142"/>
        <v>0</v>
      </c>
      <c r="B720" s="1409"/>
      <c r="C720" s="1621" t="s">
        <v>4967</v>
      </c>
      <c r="D720" s="1683"/>
      <c r="E720" s="1678">
        <f t="shared" si="143"/>
        <v>0</v>
      </c>
      <c r="F720" s="1687"/>
      <c r="G720" s="1684"/>
      <c r="H720" s="1684"/>
      <c r="I720" s="1684"/>
      <c r="J720" s="1684"/>
      <c r="K720" s="1685" t="str">
        <f t="shared" si="140"/>
        <v/>
      </c>
      <c r="L720" s="1685" t="str">
        <f t="shared" si="141"/>
        <v/>
      </c>
      <c r="M720" s="1686"/>
    </row>
    <row r="721" spans="1:13">
      <c r="A721" s="1655">
        <f t="shared" si="142"/>
        <v>0</v>
      </c>
      <c r="B721" s="1409"/>
      <c r="C721" s="1621" t="s">
        <v>4968</v>
      </c>
      <c r="D721" s="1683"/>
      <c r="E721" s="1678">
        <f t="shared" si="143"/>
        <v>0</v>
      </c>
      <c r="F721" s="1687"/>
      <c r="G721" s="1684"/>
      <c r="H721" s="1684"/>
      <c r="I721" s="1684"/>
      <c r="J721" s="1684"/>
      <c r="K721" s="1685" t="str">
        <f t="shared" si="140"/>
        <v/>
      </c>
      <c r="L721" s="1685" t="str">
        <f t="shared" si="141"/>
        <v/>
      </c>
      <c r="M721" s="1686"/>
    </row>
    <row r="722" spans="1:13">
      <c r="A722" s="1655">
        <f t="shared" si="142"/>
        <v>0</v>
      </c>
      <c r="B722" s="1409"/>
      <c r="C722" s="1621" t="s">
        <v>4969</v>
      </c>
      <c r="D722" s="1683"/>
      <c r="E722" s="1678">
        <f t="shared" si="143"/>
        <v>0</v>
      </c>
      <c r="F722" s="1687"/>
      <c r="G722" s="1684"/>
      <c r="H722" s="1684"/>
      <c r="I722" s="1684"/>
      <c r="J722" s="1684"/>
      <c r="K722" s="1685" t="str">
        <f t="shared" si="140"/>
        <v/>
      </c>
      <c r="L722" s="1685" t="str">
        <f t="shared" si="141"/>
        <v/>
      </c>
      <c r="M722" s="1686"/>
    </row>
    <row r="723" spans="1:13">
      <c r="A723" s="1655">
        <f t="shared" si="142"/>
        <v>0</v>
      </c>
      <c r="B723" s="1409"/>
      <c r="C723" s="1621" t="s">
        <v>4970</v>
      </c>
      <c r="D723" s="1683"/>
      <c r="E723" s="1678">
        <f t="shared" si="143"/>
        <v>0</v>
      </c>
      <c r="F723" s="1687"/>
      <c r="G723" s="1684"/>
      <c r="H723" s="1684"/>
      <c r="I723" s="1684"/>
      <c r="J723" s="1684"/>
      <c r="K723" s="1685" t="str">
        <f t="shared" si="140"/>
        <v/>
      </c>
      <c r="L723" s="1685" t="str">
        <f t="shared" si="141"/>
        <v/>
      </c>
      <c r="M723" s="1686"/>
    </row>
    <row r="724" spans="1:13">
      <c r="A724" s="1655">
        <f t="shared" si="142"/>
        <v>0</v>
      </c>
      <c r="B724" s="1409"/>
      <c r="C724" s="1621" t="s">
        <v>4971</v>
      </c>
      <c r="D724" s="1683"/>
      <c r="E724" s="1678">
        <f t="shared" si="143"/>
        <v>0</v>
      </c>
      <c r="F724" s="1687"/>
      <c r="G724" s="1684"/>
      <c r="H724" s="1684"/>
      <c r="I724" s="1684"/>
      <c r="J724" s="1684"/>
      <c r="K724" s="1685" t="str">
        <f t="shared" si="140"/>
        <v/>
      </c>
      <c r="L724" s="1685" t="str">
        <f t="shared" si="141"/>
        <v/>
      </c>
      <c r="M724" s="1686"/>
    </row>
    <row r="725" spans="1:13">
      <c r="A725" s="1655">
        <f t="shared" si="142"/>
        <v>0</v>
      </c>
      <c r="B725" s="1409"/>
      <c r="C725" s="1621" t="s">
        <v>4972</v>
      </c>
      <c r="D725" s="1683"/>
      <c r="E725" s="1678">
        <f t="shared" si="143"/>
        <v>0</v>
      </c>
      <c r="F725" s="1687"/>
      <c r="G725" s="1684"/>
      <c r="H725" s="1684"/>
      <c r="I725" s="1684"/>
      <c r="J725" s="1684"/>
      <c r="K725" s="1685" t="str">
        <f t="shared" si="140"/>
        <v/>
      </c>
      <c r="L725" s="1685" t="str">
        <f t="shared" si="141"/>
        <v/>
      </c>
      <c r="M725" s="1686"/>
    </row>
    <row r="726" spans="1:13">
      <c r="A726" s="1655">
        <f t="shared" si="142"/>
        <v>0</v>
      </c>
      <c r="B726" s="1412"/>
      <c r="C726" s="1621" t="s">
        <v>4973</v>
      </c>
      <c r="D726" s="1683"/>
      <c r="E726" s="1678">
        <f t="shared" si="143"/>
        <v>0</v>
      </c>
      <c r="F726" s="1687"/>
      <c r="G726" s="1684"/>
      <c r="H726" s="1684"/>
      <c r="I726" s="1684"/>
      <c r="J726" s="1684"/>
      <c r="K726" s="1685" t="str">
        <f t="shared" si="140"/>
        <v/>
      </c>
      <c r="L726" s="1685" t="str">
        <f t="shared" si="141"/>
        <v/>
      </c>
      <c r="M726" s="1686"/>
    </row>
    <row r="727" spans="1:13">
      <c r="A727" s="1655">
        <f t="shared" si="142"/>
        <v>0</v>
      </c>
      <c r="B727" s="1412"/>
      <c r="C727" s="1621" t="s">
        <v>4974</v>
      </c>
      <c r="D727" s="1683"/>
      <c r="E727" s="1678">
        <f t="shared" si="143"/>
        <v>0</v>
      </c>
      <c r="F727" s="1687"/>
      <c r="G727" s="1684"/>
      <c r="H727" s="1684"/>
      <c r="I727" s="1684"/>
      <c r="J727" s="1684"/>
      <c r="K727" s="1685" t="str">
        <f t="shared" si="140"/>
        <v/>
      </c>
      <c r="L727" s="1685" t="str">
        <f t="shared" si="141"/>
        <v/>
      </c>
      <c r="M727" s="1686"/>
    </row>
    <row r="728" spans="1:13">
      <c r="A728" s="1655">
        <f t="shared" si="142"/>
        <v>0</v>
      </c>
      <c r="B728" s="1409"/>
      <c r="C728" s="1621" t="s">
        <v>4975</v>
      </c>
      <c r="D728" s="1683"/>
      <c r="E728" s="1678">
        <f t="shared" si="143"/>
        <v>0</v>
      </c>
      <c r="F728" s="1687"/>
      <c r="G728" s="1684"/>
      <c r="H728" s="1684"/>
      <c r="I728" s="1684"/>
      <c r="J728" s="1684"/>
      <c r="K728" s="1685" t="str">
        <f t="shared" si="140"/>
        <v/>
      </c>
      <c r="L728" s="1685" t="str">
        <f t="shared" si="141"/>
        <v/>
      </c>
      <c r="M728" s="1686"/>
    </row>
    <row r="729" spans="1:13">
      <c r="A729" s="1655">
        <f t="shared" si="142"/>
        <v>0</v>
      </c>
      <c r="B729" s="1409"/>
      <c r="C729" s="1621" t="s">
        <v>4976</v>
      </c>
      <c r="D729" s="1683"/>
      <c r="E729" s="1678">
        <f t="shared" si="143"/>
        <v>0</v>
      </c>
      <c r="F729" s="1687"/>
      <c r="G729" s="1684"/>
      <c r="H729" s="1684"/>
      <c r="I729" s="1684"/>
      <c r="J729" s="1684"/>
      <c r="K729" s="1685" t="str">
        <f t="shared" si="140"/>
        <v/>
      </c>
      <c r="L729" s="1685" t="str">
        <f t="shared" si="141"/>
        <v/>
      </c>
      <c r="M729" s="1686"/>
    </row>
    <row r="730" spans="1:13">
      <c r="A730" s="1655">
        <f t="shared" si="142"/>
        <v>0</v>
      </c>
      <c r="B730" s="1409"/>
      <c r="C730" s="1621" t="s">
        <v>4977</v>
      </c>
      <c r="D730" s="1683"/>
      <c r="E730" s="1678">
        <f t="shared" si="143"/>
        <v>0</v>
      </c>
      <c r="F730" s="1687"/>
      <c r="G730" s="1684"/>
      <c r="H730" s="1684"/>
      <c r="I730" s="1684"/>
      <c r="J730" s="1684"/>
      <c r="K730" s="1685" t="str">
        <f t="shared" si="140"/>
        <v/>
      </c>
      <c r="L730" s="1685" t="str">
        <f t="shared" si="141"/>
        <v/>
      </c>
      <c r="M730" s="1686"/>
    </row>
    <row r="731" spans="1:13">
      <c r="A731" s="1655">
        <f t="shared" si="142"/>
        <v>0</v>
      </c>
      <c r="B731" s="1409"/>
      <c r="C731" s="1621" t="s">
        <v>4978</v>
      </c>
      <c r="D731" s="1683"/>
      <c r="E731" s="1678">
        <f t="shared" si="143"/>
        <v>0</v>
      </c>
      <c r="F731" s="1687"/>
      <c r="G731" s="1684"/>
      <c r="H731" s="1684"/>
      <c r="I731" s="1684"/>
      <c r="J731" s="1684"/>
      <c r="K731" s="1685" t="str">
        <f t="shared" si="140"/>
        <v/>
      </c>
      <c r="L731" s="1685" t="str">
        <f t="shared" si="141"/>
        <v/>
      </c>
      <c r="M731" s="1686"/>
    </row>
    <row r="732" spans="1:13">
      <c r="A732" s="1655">
        <f t="shared" si="142"/>
        <v>0</v>
      </c>
      <c r="B732" s="1409"/>
      <c r="C732" s="1621" t="s">
        <v>4979</v>
      </c>
      <c r="D732" s="1683"/>
      <c r="E732" s="1678">
        <f t="shared" si="143"/>
        <v>0</v>
      </c>
      <c r="F732" s="1687"/>
      <c r="G732" s="1684"/>
      <c r="H732" s="1684"/>
      <c r="I732" s="1684"/>
      <c r="J732" s="1684"/>
      <c r="K732" s="1685" t="str">
        <f t="shared" si="140"/>
        <v/>
      </c>
      <c r="L732" s="1685" t="str">
        <f t="shared" si="141"/>
        <v/>
      </c>
      <c r="M732" s="1686"/>
    </row>
    <row r="733" spans="1:13">
      <c r="A733" s="1655">
        <f t="shared" si="142"/>
        <v>0</v>
      </c>
      <c r="B733" s="1409"/>
      <c r="C733" s="1621" t="s">
        <v>4980</v>
      </c>
      <c r="D733" s="1683"/>
      <c r="E733" s="1678">
        <f t="shared" si="143"/>
        <v>0</v>
      </c>
      <c r="F733" s="1687"/>
      <c r="G733" s="1684"/>
      <c r="H733" s="1684"/>
      <c r="I733" s="1684"/>
      <c r="J733" s="1684"/>
      <c r="K733" s="1685" t="str">
        <f t="shared" si="140"/>
        <v/>
      </c>
      <c r="L733" s="1685" t="str">
        <f t="shared" si="141"/>
        <v/>
      </c>
      <c r="M733" s="1686"/>
    </row>
    <row r="734" spans="1:13">
      <c r="A734" s="1655">
        <f t="shared" si="142"/>
        <v>0</v>
      </c>
      <c r="B734" s="1409"/>
      <c r="C734" s="1621" t="s">
        <v>4981</v>
      </c>
      <c r="D734" s="1683"/>
      <c r="E734" s="1678">
        <f t="shared" si="143"/>
        <v>0</v>
      </c>
      <c r="F734" s="1687"/>
      <c r="G734" s="1684"/>
      <c r="H734" s="1684"/>
      <c r="I734" s="1684"/>
      <c r="J734" s="1684"/>
      <c r="K734" s="1685" t="str">
        <f t="shared" si="140"/>
        <v/>
      </c>
      <c r="L734" s="1685" t="str">
        <f t="shared" si="141"/>
        <v/>
      </c>
      <c r="M734" s="1686"/>
    </row>
    <row r="735" spans="1:13">
      <c r="A735" s="1655">
        <f t="shared" si="142"/>
        <v>0</v>
      </c>
      <c r="B735" s="1409"/>
      <c r="C735" s="1621" t="s">
        <v>4982</v>
      </c>
      <c r="D735" s="1683"/>
      <c r="E735" s="1678">
        <f t="shared" si="143"/>
        <v>0</v>
      </c>
      <c r="F735" s="1687"/>
      <c r="G735" s="1684"/>
      <c r="H735" s="1684"/>
      <c r="I735" s="1684"/>
      <c r="J735" s="1684"/>
      <c r="K735" s="1685" t="str">
        <f t="shared" si="140"/>
        <v/>
      </c>
      <c r="L735" s="1685" t="str">
        <f t="shared" si="141"/>
        <v/>
      </c>
      <c r="M735" s="1686"/>
    </row>
    <row r="736" spans="1:13">
      <c r="A736" s="1655">
        <f t="shared" si="142"/>
        <v>0</v>
      </c>
      <c r="B736" s="1409"/>
      <c r="C736" s="1621" t="s">
        <v>4983</v>
      </c>
      <c r="D736" s="1683"/>
      <c r="E736" s="1678">
        <f t="shared" si="143"/>
        <v>0</v>
      </c>
      <c r="F736" s="1687"/>
      <c r="G736" s="1684"/>
      <c r="H736" s="1684"/>
      <c r="I736" s="1684"/>
      <c r="J736" s="1684"/>
      <c r="K736" s="1685" t="str">
        <f t="shared" si="140"/>
        <v/>
      </c>
      <c r="L736" s="1685" t="str">
        <f t="shared" si="141"/>
        <v/>
      </c>
      <c r="M736" s="1686"/>
    </row>
    <row r="737" spans="1:13">
      <c r="A737" s="1655">
        <f t="shared" si="142"/>
        <v>0</v>
      </c>
      <c r="B737" s="1409"/>
      <c r="C737" s="1621" t="s">
        <v>4984</v>
      </c>
      <c r="D737" s="1683"/>
      <c r="E737" s="1678">
        <f t="shared" si="143"/>
        <v>0</v>
      </c>
      <c r="F737" s="1687"/>
      <c r="G737" s="1684"/>
      <c r="H737" s="1684"/>
      <c r="I737" s="1684"/>
      <c r="J737" s="1684"/>
      <c r="K737" s="1685" t="str">
        <f t="shared" si="140"/>
        <v/>
      </c>
      <c r="L737" s="1685" t="str">
        <f t="shared" si="141"/>
        <v/>
      </c>
      <c r="M737" s="1686"/>
    </row>
    <row r="738" spans="1:13">
      <c r="A738" s="1655">
        <f t="shared" si="142"/>
        <v>0</v>
      </c>
      <c r="B738" s="1409"/>
      <c r="C738" s="1621" t="s">
        <v>4985</v>
      </c>
      <c r="D738" s="1683"/>
      <c r="E738" s="1678">
        <f t="shared" si="143"/>
        <v>0</v>
      </c>
      <c r="F738" s="1687"/>
      <c r="G738" s="1684"/>
      <c r="H738" s="1684"/>
      <c r="I738" s="1684"/>
      <c r="J738" s="1684"/>
      <c r="K738" s="1685" t="str">
        <f t="shared" si="140"/>
        <v/>
      </c>
      <c r="L738" s="1685" t="str">
        <f t="shared" si="141"/>
        <v/>
      </c>
      <c r="M738" s="1686"/>
    </row>
    <row r="739" spans="1:13">
      <c r="A739" s="1655">
        <f t="shared" si="142"/>
        <v>0</v>
      </c>
      <c r="B739" s="1688"/>
      <c r="C739" s="1689" t="s">
        <v>4986</v>
      </c>
      <c r="D739" s="1690"/>
      <c r="E739" s="1691">
        <f t="shared" si="143"/>
        <v>0</v>
      </c>
      <c r="F739" s="1692"/>
      <c r="G739" s="1693"/>
      <c r="H739" s="1693"/>
      <c r="I739" s="1693"/>
      <c r="J739" s="1693"/>
      <c r="K739" s="1694" t="str">
        <f t="shared" si="140"/>
        <v/>
      </c>
      <c r="L739" s="1694" t="str">
        <f t="shared" si="141"/>
        <v/>
      </c>
      <c r="M739" s="1695"/>
    </row>
    <row r="740" spans="1:13">
      <c r="A740" s="1674">
        <f>A714+1</f>
        <v>29</v>
      </c>
      <c r="B740" s="1675" t="s">
        <v>5050</v>
      </c>
      <c r="C740" s="1676"/>
      <c r="D740" s="1677"/>
      <c r="E740" s="1679">
        <f t="shared" ref="E740:I740" si="144">SUM(E741:E765)</f>
        <v>0</v>
      </c>
      <c r="F740" s="1679">
        <f t="shared" si="144"/>
        <v>0</v>
      </c>
      <c r="G740" s="1679">
        <f t="shared" si="144"/>
        <v>0</v>
      </c>
      <c r="H740" s="1679">
        <f t="shared" si="144"/>
        <v>0</v>
      </c>
      <c r="I740" s="1679">
        <f t="shared" si="144"/>
        <v>0</v>
      </c>
      <c r="J740" s="1679">
        <f>SUM(J741:J765)</f>
        <v>0</v>
      </c>
      <c r="K740" s="1680" t="str">
        <f>IFERROR(E740/$C$6,"")</f>
        <v/>
      </c>
      <c r="L740" s="1680" t="str">
        <f>IFERROR(E740/$C$7,"")</f>
        <v/>
      </c>
      <c r="M740" s="1681">
        <f>SUM(M741:M765)</f>
        <v>0</v>
      </c>
    </row>
    <row r="741" spans="1:13">
      <c r="A741" s="1655">
        <f>IF(E741&lt;&gt;0,1,0)</f>
        <v>0</v>
      </c>
      <c r="B741" s="1412"/>
      <c r="C741" s="1621" t="s">
        <v>4962</v>
      </c>
      <c r="D741" s="1683"/>
      <c r="E741" s="1678">
        <f>SUM(F741:J741)</f>
        <v>0</v>
      </c>
      <c r="F741" s="1684"/>
      <c r="G741" s="1684"/>
      <c r="H741" s="1684"/>
      <c r="I741" s="1684"/>
      <c r="J741" s="1684"/>
      <c r="K741" s="1685" t="str">
        <f t="shared" ref="K741:K765" si="145">IFERROR(E741/$C$6,"")</f>
        <v/>
      </c>
      <c r="L741" s="1685" t="str">
        <f t="shared" ref="L741:L765" si="146">IFERROR(E741/$C$7,"")</f>
        <v/>
      </c>
      <c r="M741" s="1686"/>
    </row>
    <row r="742" spans="1:13">
      <c r="A742" s="1655">
        <f t="shared" ref="A742:A765" si="147">IF(E742&lt;&gt;0,1,0)</f>
        <v>0</v>
      </c>
      <c r="B742" s="1409"/>
      <c r="C742" s="1621" t="s">
        <v>4963</v>
      </c>
      <c r="D742" s="1683"/>
      <c r="E742" s="1678">
        <f t="shared" ref="E742:E765" si="148">SUM(F742:J742)</f>
        <v>0</v>
      </c>
      <c r="F742" s="1687"/>
      <c r="G742" s="1684"/>
      <c r="H742" s="1684"/>
      <c r="I742" s="1684"/>
      <c r="J742" s="1684"/>
      <c r="K742" s="1685" t="str">
        <f t="shared" si="145"/>
        <v/>
      </c>
      <c r="L742" s="1685" t="str">
        <f t="shared" si="146"/>
        <v/>
      </c>
      <c r="M742" s="1686"/>
    </row>
    <row r="743" spans="1:13">
      <c r="A743" s="1655">
        <f t="shared" si="147"/>
        <v>0</v>
      </c>
      <c r="B743" s="1409"/>
      <c r="C743" s="1621" t="s">
        <v>4964</v>
      </c>
      <c r="D743" s="1683"/>
      <c r="E743" s="1678">
        <f t="shared" si="148"/>
        <v>0</v>
      </c>
      <c r="F743" s="1687"/>
      <c r="G743" s="1684"/>
      <c r="H743" s="1684"/>
      <c r="I743" s="1684"/>
      <c r="J743" s="1684"/>
      <c r="K743" s="1685" t="str">
        <f t="shared" si="145"/>
        <v/>
      </c>
      <c r="L743" s="1685" t="str">
        <f t="shared" si="146"/>
        <v/>
      </c>
      <c r="M743" s="1686"/>
    </row>
    <row r="744" spans="1:13">
      <c r="A744" s="1655">
        <f t="shared" si="147"/>
        <v>0</v>
      </c>
      <c r="B744" s="1409"/>
      <c r="C744" s="1621" t="s">
        <v>4965</v>
      </c>
      <c r="D744" s="1683"/>
      <c r="E744" s="1678">
        <f t="shared" si="148"/>
        <v>0</v>
      </c>
      <c r="F744" s="1687"/>
      <c r="G744" s="1684"/>
      <c r="H744" s="1684"/>
      <c r="I744" s="1684"/>
      <c r="J744" s="1684"/>
      <c r="K744" s="1685" t="str">
        <f t="shared" si="145"/>
        <v/>
      </c>
      <c r="L744" s="1685" t="str">
        <f t="shared" si="146"/>
        <v/>
      </c>
      <c r="M744" s="1686"/>
    </row>
    <row r="745" spans="1:13">
      <c r="A745" s="1655">
        <f t="shared" si="147"/>
        <v>0</v>
      </c>
      <c r="B745" s="1409"/>
      <c r="C745" s="1621" t="s">
        <v>4966</v>
      </c>
      <c r="D745" s="1683"/>
      <c r="E745" s="1678">
        <f t="shared" si="148"/>
        <v>0</v>
      </c>
      <c r="F745" s="1687"/>
      <c r="G745" s="1684"/>
      <c r="H745" s="1684"/>
      <c r="I745" s="1684"/>
      <c r="J745" s="1684"/>
      <c r="K745" s="1685" t="str">
        <f t="shared" si="145"/>
        <v/>
      </c>
      <c r="L745" s="1685" t="str">
        <f t="shared" si="146"/>
        <v/>
      </c>
      <c r="M745" s="1686"/>
    </row>
    <row r="746" spans="1:13">
      <c r="A746" s="1655">
        <f t="shared" si="147"/>
        <v>0</v>
      </c>
      <c r="B746" s="1409"/>
      <c r="C746" s="1621" t="s">
        <v>4967</v>
      </c>
      <c r="D746" s="1683"/>
      <c r="E746" s="1678">
        <f t="shared" si="148"/>
        <v>0</v>
      </c>
      <c r="F746" s="1687"/>
      <c r="G746" s="1684"/>
      <c r="H746" s="1684"/>
      <c r="I746" s="1684"/>
      <c r="J746" s="1684"/>
      <c r="K746" s="1685" t="str">
        <f t="shared" si="145"/>
        <v/>
      </c>
      <c r="L746" s="1685" t="str">
        <f t="shared" si="146"/>
        <v/>
      </c>
      <c r="M746" s="1686"/>
    </row>
    <row r="747" spans="1:13">
      <c r="A747" s="1655">
        <f t="shared" si="147"/>
        <v>0</v>
      </c>
      <c r="B747" s="1409"/>
      <c r="C747" s="1621" t="s">
        <v>4968</v>
      </c>
      <c r="D747" s="1683"/>
      <c r="E747" s="1678">
        <f t="shared" si="148"/>
        <v>0</v>
      </c>
      <c r="F747" s="1687"/>
      <c r="G747" s="1684"/>
      <c r="H747" s="1684"/>
      <c r="I747" s="1684"/>
      <c r="J747" s="1684"/>
      <c r="K747" s="1685" t="str">
        <f t="shared" si="145"/>
        <v/>
      </c>
      <c r="L747" s="1685" t="str">
        <f t="shared" si="146"/>
        <v/>
      </c>
      <c r="M747" s="1686"/>
    </row>
    <row r="748" spans="1:13">
      <c r="A748" s="1655">
        <f t="shared" si="147"/>
        <v>0</v>
      </c>
      <c r="B748" s="1409"/>
      <c r="C748" s="1621" t="s">
        <v>4969</v>
      </c>
      <c r="D748" s="1683"/>
      <c r="E748" s="1678">
        <f t="shared" si="148"/>
        <v>0</v>
      </c>
      <c r="F748" s="1687"/>
      <c r="G748" s="1684"/>
      <c r="H748" s="1684"/>
      <c r="I748" s="1684"/>
      <c r="J748" s="1684"/>
      <c r="K748" s="1685" t="str">
        <f t="shared" si="145"/>
        <v/>
      </c>
      <c r="L748" s="1685" t="str">
        <f t="shared" si="146"/>
        <v/>
      </c>
      <c r="M748" s="1686"/>
    </row>
    <row r="749" spans="1:13">
      <c r="A749" s="1655">
        <f t="shared" si="147"/>
        <v>0</v>
      </c>
      <c r="B749" s="1409"/>
      <c r="C749" s="1621" t="s">
        <v>4970</v>
      </c>
      <c r="D749" s="1683"/>
      <c r="E749" s="1678">
        <f t="shared" si="148"/>
        <v>0</v>
      </c>
      <c r="F749" s="1687"/>
      <c r="G749" s="1684"/>
      <c r="H749" s="1684"/>
      <c r="I749" s="1684"/>
      <c r="J749" s="1684"/>
      <c r="K749" s="1685" t="str">
        <f t="shared" si="145"/>
        <v/>
      </c>
      <c r="L749" s="1685" t="str">
        <f t="shared" si="146"/>
        <v/>
      </c>
      <c r="M749" s="1686"/>
    </row>
    <row r="750" spans="1:13">
      <c r="A750" s="1655">
        <f t="shared" si="147"/>
        <v>0</v>
      </c>
      <c r="B750" s="1409"/>
      <c r="C750" s="1621" t="s">
        <v>4971</v>
      </c>
      <c r="D750" s="1683"/>
      <c r="E750" s="1678">
        <f t="shared" si="148"/>
        <v>0</v>
      </c>
      <c r="F750" s="1687"/>
      <c r="G750" s="1684"/>
      <c r="H750" s="1684"/>
      <c r="I750" s="1684"/>
      <c r="J750" s="1684"/>
      <c r="K750" s="1685" t="str">
        <f t="shared" si="145"/>
        <v/>
      </c>
      <c r="L750" s="1685" t="str">
        <f t="shared" si="146"/>
        <v/>
      </c>
      <c r="M750" s="1686"/>
    </row>
    <row r="751" spans="1:13">
      <c r="A751" s="1655">
        <f t="shared" si="147"/>
        <v>0</v>
      </c>
      <c r="B751" s="1409"/>
      <c r="C751" s="1621" t="s">
        <v>4972</v>
      </c>
      <c r="D751" s="1683"/>
      <c r="E751" s="1678">
        <f t="shared" si="148"/>
        <v>0</v>
      </c>
      <c r="F751" s="1687"/>
      <c r="G751" s="1684"/>
      <c r="H751" s="1684"/>
      <c r="I751" s="1684"/>
      <c r="J751" s="1684"/>
      <c r="K751" s="1685" t="str">
        <f t="shared" si="145"/>
        <v/>
      </c>
      <c r="L751" s="1685" t="str">
        <f t="shared" si="146"/>
        <v/>
      </c>
      <c r="M751" s="1686"/>
    </row>
    <row r="752" spans="1:13">
      <c r="A752" s="1655">
        <f t="shared" si="147"/>
        <v>0</v>
      </c>
      <c r="B752" s="1412"/>
      <c r="C752" s="1621" t="s">
        <v>4973</v>
      </c>
      <c r="D752" s="1683"/>
      <c r="E752" s="1678">
        <f t="shared" si="148"/>
        <v>0</v>
      </c>
      <c r="F752" s="1687"/>
      <c r="G752" s="1684"/>
      <c r="H752" s="1684"/>
      <c r="I752" s="1684"/>
      <c r="J752" s="1684"/>
      <c r="K752" s="1685" t="str">
        <f t="shared" si="145"/>
        <v/>
      </c>
      <c r="L752" s="1685" t="str">
        <f t="shared" si="146"/>
        <v/>
      </c>
      <c r="M752" s="1686"/>
    </row>
    <row r="753" spans="1:13">
      <c r="A753" s="1655">
        <f t="shared" si="147"/>
        <v>0</v>
      </c>
      <c r="B753" s="1412"/>
      <c r="C753" s="1621" t="s">
        <v>4974</v>
      </c>
      <c r="D753" s="1683"/>
      <c r="E753" s="1678">
        <f t="shared" si="148"/>
        <v>0</v>
      </c>
      <c r="F753" s="1687"/>
      <c r="G753" s="1684"/>
      <c r="H753" s="1684"/>
      <c r="I753" s="1684"/>
      <c r="J753" s="1684"/>
      <c r="K753" s="1685" t="str">
        <f t="shared" si="145"/>
        <v/>
      </c>
      <c r="L753" s="1685" t="str">
        <f t="shared" si="146"/>
        <v/>
      </c>
      <c r="M753" s="1686"/>
    </row>
    <row r="754" spans="1:13">
      <c r="A754" s="1655">
        <f t="shared" si="147"/>
        <v>0</v>
      </c>
      <c r="B754" s="1409"/>
      <c r="C754" s="1621" t="s">
        <v>4975</v>
      </c>
      <c r="D754" s="1683"/>
      <c r="E754" s="1678">
        <f t="shared" si="148"/>
        <v>0</v>
      </c>
      <c r="F754" s="1687"/>
      <c r="G754" s="1684"/>
      <c r="H754" s="1684"/>
      <c r="I754" s="1684"/>
      <c r="J754" s="1684"/>
      <c r="K754" s="1685" t="str">
        <f t="shared" si="145"/>
        <v/>
      </c>
      <c r="L754" s="1685" t="str">
        <f t="shared" si="146"/>
        <v/>
      </c>
      <c r="M754" s="1686"/>
    </row>
    <row r="755" spans="1:13">
      <c r="A755" s="1655">
        <f t="shared" si="147"/>
        <v>0</v>
      </c>
      <c r="B755" s="1409"/>
      <c r="C755" s="1621" t="s">
        <v>4976</v>
      </c>
      <c r="D755" s="1683"/>
      <c r="E755" s="1678">
        <f t="shared" si="148"/>
        <v>0</v>
      </c>
      <c r="F755" s="1687"/>
      <c r="G755" s="1684"/>
      <c r="H755" s="1684"/>
      <c r="I755" s="1684"/>
      <c r="J755" s="1684"/>
      <c r="K755" s="1685" t="str">
        <f t="shared" si="145"/>
        <v/>
      </c>
      <c r="L755" s="1685" t="str">
        <f t="shared" si="146"/>
        <v/>
      </c>
      <c r="M755" s="1686"/>
    </row>
    <row r="756" spans="1:13">
      <c r="A756" s="1655">
        <f t="shared" si="147"/>
        <v>0</v>
      </c>
      <c r="B756" s="1409"/>
      <c r="C756" s="1621" t="s">
        <v>4977</v>
      </c>
      <c r="D756" s="1683"/>
      <c r="E756" s="1678">
        <f t="shared" si="148"/>
        <v>0</v>
      </c>
      <c r="F756" s="1687"/>
      <c r="G756" s="1684"/>
      <c r="H756" s="1684"/>
      <c r="I756" s="1684"/>
      <c r="J756" s="1684"/>
      <c r="K756" s="1685" t="str">
        <f t="shared" si="145"/>
        <v/>
      </c>
      <c r="L756" s="1685" t="str">
        <f t="shared" si="146"/>
        <v/>
      </c>
      <c r="M756" s="1686"/>
    </row>
    <row r="757" spans="1:13">
      <c r="A757" s="1655">
        <f t="shared" si="147"/>
        <v>0</v>
      </c>
      <c r="B757" s="1409"/>
      <c r="C757" s="1621" t="s">
        <v>4978</v>
      </c>
      <c r="D757" s="1683"/>
      <c r="E757" s="1678">
        <f t="shared" si="148"/>
        <v>0</v>
      </c>
      <c r="F757" s="1687"/>
      <c r="G757" s="1684"/>
      <c r="H757" s="1684"/>
      <c r="I757" s="1684"/>
      <c r="J757" s="1684"/>
      <c r="K757" s="1685" t="str">
        <f t="shared" si="145"/>
        <v/>
      </c>
      <c r="L757" s="1685" t="str">
        <f t="shared" si="146"/>
        <v/>
      </c>
      <c r="M757" s="1686"/>
    </row>
    <row r="758" spans="1:13">
      <c r="A758" s="1655">
        <f t="shared" si="147"/>
        <v>0</v>
      </c>
      <c r="B758" s="1409"/>
      <c r="C758" s="1621" t="s">
        <v>4979</v>
      </c>
      <c r="D758" s="1683"/>
      <c r="E758" s="1678">
        <f t="shared" si="148"/>
        <v>0</v>
      </c>
      <c r="F758" s="1687"/>
      <c r="G758" s="1684"/>
      <c r="H758" s="1684"/>
      <c r="I758" s="1684"/>
      <c r="J758" s="1684"/>
      <c r="K758" s="1685" t="str">
        <f t="shared" si="145"/>
        <v/>
      </c>
      <c r="L758" s="1685" t="str">
        <f t="shared" si="146"/>
        <v/>
      </c>
      <c r="M758" s="1686"/>
    </row>
    <row r="759" spans="1:13">
      <c r="A759" s="1655">
        <f t="shared" si="147"/>
        <v>0</v>
      </c>
      <c r="B759" s="1409"/>
      <c r="C759" s="1621" t="s">
        <v>4980</v>
      </c>
      <c r="D759" s="1683"/>
      <c r="E759" s="1678">
        <f t="shared" si="148"/>
        <v>0</v>
      </c>
      <c r="F759" s="1687"/>
      <c r="G759" s="1684"/>
      <c r="H759" s="1684"/>
      <c r="I759" s="1684"/>
      <c r="J759" s="1684"/>
      <c r="K759" s="1685" t="str">
        <f t="shared" si="145"/>
        <v/>
      </c>
      <c r="L759" s="1685" t="str">
        <f t="shared" si="146"/>
        <v/>
      </c>
      <c r="M759" s="1686"/>
    </row>
    <row r="760" spans="1:13">
      <c r="A760" s="1655">
        <f t="shared" si="147"/>
        <v>0</v>
      </c>
      <c r="B760" s="1409"/>
      <c r="C760" s="1621" t="s">
        <v>4981</v>
      </c>
      <c r="D760" s="1683"/>
      <c r="E760" s="1678">
        <f t="shared" si="148"/>
        <v>0</v>
      </c>
      <c r="F760" s="1687"/>
      <c r="G760" s="1684"/>
      <c r="H760" s="1684"/>
      <c r="I760" s="1684"/>
      <c r="J760" s="1684"/>
      <c r="K760" s="1685" t="str">
        <f t="shared" si="145"/>
        <v/>
      </c>
      <c r="L760" s="1685" t="str">
        <f t="shared" si="146"/>
        <v/>
      </c>
      <c r="M760" s="1686"/>
    </row>
    <row r="761" spans="1:13">
      <c r="A761" s="1655">
        <f t="shared" si="147"/>
        <v>0</v>
      </c>
      <c r="B761" s="1409"/>
      <c r="C761" s="1621" t="s">
        <v>4982</v>
      </c>
      <c r="D761" s="1683"/>
      <c r="E761" s="1678">
        <f t="shared" si="148"/>
        <v>0</v>
      </c>
      <c r="F761" s="1687"/>
      <c r="G761" s="1684"/>
      <c r="H761" s="1684"/>
      <c r="I761" s="1684"/>
      <c r="J761" s="1684"/>
      <c r="K761" s="1685" t="str">
        <f t="shared" si="145"/>
        <v/>
      </c>
      <c r="L761" s="1685" t="str">
        <f t="shared" si="146"/>
        <v/>
      </c>
      <c r="M761" s="1686"/>
    </row>
    <row r="762" spans="1:13">
      <c r="A762" s="1655">
        <f t="shared" si="147"/>
        <v>0</v>
      </c>
      <c r="B762" s="1409"/>
      <c r="C762" s="1621" t="s">
        <v>4983</v>
      </c>
      <c r="D762" s="1683"/>
      <c r="E762" s="1678">
        <f t="shared" si="148"/>
        <v>0</v>
      </c>
      <c r="F762" s="1687"/>
      <c r="G762" s="1684"/>
      <c r="H762" s="1684"/>
      <c r="I762" s="1684"/>
      <c r="J762" s="1684"/>
      <c r="K762" s="1685" t="str">
        <f t="shared" si="145"/>
        <v/>
      </c>
      <c r="L762" s="1685" t="str">
        <f t="shared" si="146"/>
        <v/>
      </c>
      <c r="M762" s="1686"/>
    </row>
    <row r="763" spans="1:13">
      <c r="A763" s="1655">
        <f t="shared" si="147"/>
        <v>0</v>
      </c>
      <c r="B763" s="1409"/>
      <c r="C763" s="1621" t="s">
        <v>4984</v>
      </c>
      <c r="D763" s="1683"/>
      <c r="E763" s="1678">
        <f t="shared" si="148"/>
        <v>0</v>
      </c>
      <c r="F763" s="1687"/>
      <c r="G763" s="1684"/>
      <c r="H763" s="1684"/>
      <c r="I763" s="1684"/>
      <c r="J763" s="1684"/>
      <c r="K763" s="1685" t="str">
        <f t="shared" si="145"/>
        <v/>
      </c>
      <c r="L763" s="1685" t="str">
        <f t="shared" si="146"/>
        <v/>
      </c>
      <c r="M763" s="1686"/>
    </row>
    <row r="764" spans="1:13">
      <c r="A764" s="1655">
        <f t="shared" si="147"/>
        <v>0</v>
      </c>
      <c r="B764" s="1409"/>
      <c r="C764" s="1621" t="s">
        <v>4985</v>
      </c>
      <c r="D764" s="1683"/>
      <c r="E764" s="1678">
        <f t="shared" si="148"/>
        <v>0</v>
      </c>
      <c r="F764" s="1687"/>
      <c r="G764" s="1684"/>
      <c r="H764" s="1684"/>
      <c r="I764" s="1684"/>
      <c r="J764" s="1684"/>
      <c r="K764" s="1685" t="str">
        <f t="shared" si="145"/>
        <v/>
      </c>
      <c r="L764" s="1685" t="str">
        <f t="shared" si="146"/>
        <v/>
      </c>
      <c r="M764" s="1686"/>
    </row>
    <row r="765" spans="1:13">
      <c r="A765" s="1655">
        <f t="shared" si="147"/>
        <v>0</v>
      </c>
      <c r="B765" s="1688"/>
      <c r="C765" s="1689" t="s">
        <v>4986</v>
      </c>
      <c r="D765" s="1690"/>
      <c r="E765" s="1691">
        <f t="shared" si="148"/>
        <v>0</v>
      </c>
      <c r="F765" s="1692"/>
      <c r="G765" s="1693"/>
      <c r="H765" s="1693"/>
      <c r="I765" s="1693"/>
      <c r="J765" s="1693"/>
      <c r="K765" s="1694" t="str">
        <f t="shared" si="145"/>
        <v/>
      </c>
      <c r="L765" s="1694" t="str">
        <f t="shared" si="146"/>
        <v/>
      </c>
      <c r="M765" s="1695"/>
    </row>
    <row r="766" spans="1:13">
      <c r="A766" s="1674">
        <f>A740+1</f>
        <v>30</v>
      </c>
      <c r="B766" s="1675" t="s">
        <v>5050</v>
      </c>
      <c r="C766" s="1676"/>
      <c r="D766" s="1677"/>
      <c r="E766" s="1679">
        <f t="shared" ref="E766:I766" si="149">SUM(E767:E791)</f>
        <v>0</v>
      </c>
      <c r="F766" s="1679">
        <f t="shared" si="149"/>
        <v>0</v>
      </c>
      <c r="G766" s="1679">
        <f t="shared" si="149"/>
        <v>0</v>
      </c>
      <c r="H766" s="1679">
        <f t="shared" si="149"/>
        <v>0</v>
      </c>
      <c r="I766" s="1679">
        <f t="shared" si="149"/>
        <v>0</v>
      </c>
      <c r="J766" s="1679">
        <f>SUM(J767:J791)</f>
        <v>0</v>
      </c>
      <c r="K766" s="1680" t="str">
        <f>IFERROR(E766/$C$6,"")</f>
        <v/>
      </c>
      <c r="L766" s="1680" t="str">
        <f>IFERROR(E766/$C$7,"")</f>
        <v/>
      </c>
      <c r="M766" s="1681">
        <f>SUM(M767:M791)</f>
        <v>0</v>
      </c>
    </row>
    <row r="767" spans="1:13">
      <c r="A767" s="1655">
        <f>IF(E767&lt;&gt;0,1,0)</f>
        <v>0</v>
      </c>
      <c r="B767" s="1412"/>
      <c r="C767" s="1621" t="s">
        <v>4962</v>
      </c>
      <c r="D767" s="1683"/>
      <c r="E767" s="1678">
        <f>SUM(F767:J767)</f>
        <v>0</v>
      </c>
      <c r="F767" s="1684"/>
      <c r="G767" s="1684"/>
      <c r="H767" s="1684"/>
      <c r="I767" s="1684"/>
      <c r="J767" s="1684"/>
      <c r="K767" s="1685" t="str">
        <f t="shared" ref="K767:K791" si="150">IFERROR(E767/$C$6,"")</f>
        <v/>
      </c>
      <c r="L767" s="1685" t="str">
        <f t="shared" ref="L767:L791" si="151">IFERROR(E767/$C$7,"")</f>
        <v/>
      </c>
      <c r="M767" s="1686"/>
    </row>
    <row r="768" spans="1:13">
      <c r="A768" s="1655">
        <f t="shared" ref="A768:A791" si="152">IF(E768&lt;&gt;0,1,0)</f>
        <v>0</v>
      </c>
      <c r="B768" s="1409"/>
      <c r="C768" s="1621" t="s">
        <v>4963</v>
      </c>
      <c r="D768" s="1683"/>
      <c r="E768" s="1678">
        <f t="shared" ref="E768:E791" si="153">SUM(F768:J768)</f>
        <v>0</v>
      </c>
      <c r="F768" s="1687"/>
      <c r="G768" s="1684"/>
      <c r="H768" s="1684"/>
      <c r="I768" s="1684"/>
      <c r="J768" s="1684"/>
      <c r="K768" s="1685" t="str">
        <f t="shared" si="150"/>
        <v/>
      </c>
      <c r="L768" s="1685" t="str">
        <f t="shared" si="151"/>
        <v/>
      </c>
      <c r="M768" s="1686"/>
    </row>
    <row r="769" spans="1:13">
      <c r="A769" s="1655">
        <f t="shared" si="152"/>
        <v>0</v>
      </c>
      <c r="B769" s="1409"/>
      <c r="C769" s="1621" t="s">
        <v>4964</v>
      </c>
      <c r="D769" s="1683"/>
      <c r="E769" s="1678">
        <f t="shared" si="153"/>
        <v>0</v>
      </c>
      <c r="F769" s="1687"/>
      <c r="G769" s="1684"/>
      <c r="H769" s="1684"/>
      <c r="I769" s="1684"/>
      <c r="J769" s="1684"/>
      <c r="K769" s="1685" t="str">
        <f t="shared" si="150"/>
        <v/>
      </c>
      <c r="L769" s="1685" t="str">
        <f t="shared" si="151"/>
        <v/>
      </c>
      <c r="M769" s="1686"/>
    </row>
    <row r="770" spans="1:13">
      <c r="A770" s="1655">
        <f t="shared" si="152"/>
        <v>0</v>
      </c>
      <c r="B770" s="1409"/>
      <c r="C770" s="1621" t="s">
        <v>4965</v>
      </c>
      <c r="D770" s="1683"/>
      <c r="E770" s="1678">
        <f t="shared" si="153"/>
        <v>0</v>
      </c>
      <c r="F770" s="1687"/>
      <c r="G770" s="1684"/>
      <c r="H770" s="1684"/>
      <c r="I770" s="1684"/>
      <c r="J770" s="1684"/>
      <c r="K770" s="1685" t="str">
        <f t="shared" si="150"/>
        <v/>
      </c>
      <c r="L770" s="1685" t="str">
        <f t="shared" si="151"/>
        <v/>
      </c>
      <c r="M770" s="1686"/>
    </row>
    <row r="771" spans="1:13">
      <c r="A771" s="1655">
        <f t="shared" si="152"/>
        <v>0</v>
      </c>
      <c r="B771" s="1409"/>
      <c r="C771" s="1621" t="s">
        <v>4966</v>
      </c>
      <c r="D771" s="1683"/>
      <c r="E771" s="1678">
        <f t="shared" si="153"/>
        <v>0</v>
      </c>
      <c r="F771" s="1687"/>
      <c r="G771" s="1684"/>
      <c r="H771" s="1684"/>
      <c r="I771" s="1684"/>
      <c r="J771" s="1684"/>
      <c r="K771" s="1685" t="str">
        <f t="shared" si="150"/>
        <v/>
      </c>
      <c r="L771" s="1685" t="str">
        <f t="shared" si="151"/>
        <v/>
      </c>
      <c r="M771" s="1686"/>
    </row>
    <row r="772" spans="1:13">
      <c r="A772" s="1655">
        <f t="shared" si="152"/>
        <v>0</v>
      </c>
      <c r="B772" s="1409"/>
      <c r="C772" s="1621" t="s">
        <v>4967</v>
      </c>
      <c r="D772" s="1683"/>
      <c r="E772" s="1678">
        <f t="shared" si="153"/>
        <v>0</v>
      </c>
      <c r="F772" s="1687"/>
      <c r="G772" s="1684"/>
      <c r="H772" s="1684"/>
      <c r="I772" s="1684"/>
      <c r="J772" s="1684"/>
      <c r="K772" s="1685" t="str">
        <f t="shared" si="150"/>
        <v/>
      </c>
      <c r="L772" s="1685" t="str">
        <f t="shared" si="151"/>
        <v/>
      </c>
      <c r="M772" s="1686"/>
    </row>
    <row r="773" spans="1:13">
      <c r="A773" s="1655">
        <f t="shared" si="152"/>
        <v>0</v>
      </c>
      <c r="B773" s="1409"/>
      <c r="C773" s="1621" t="s">
        <v>4968</v>
      </c>
      <c r="D773" s="1683"/>
      <c r="E773" s="1678">
        <f t="shared" si="153"/>
        <v>0</v>
      </c>
      <c r="F773" s="1687"/>
      <c r="G773" s="1684"/>
      <c r="H773" s="1684"/>
      <c r="I773" s="1684"/>
      <c r="J773" s="1684"/>
      <c r="K773" s="1685" t="str">
        <f t="shared" si="150"/>
        <v/>
      </c>
      <c r="L773" s="1685" t="str">
        <f t="shared" si="151"/>
        <v/>
      </c>
      <c r="M773" s="1686"/>
    </row>
    <row r="774" spans="1:13">
      <c r="A774" s="1655">
        <f t="shared" si="152"/>
        <v>0</v>
      </c>
      <c r="B774" s="1409"/>
      <c r="C774" s="1621" t="s">
        <v>4969</v>
      </c>
      <c r="D774" s="1683"/>
      <c r="E774" s="1678">
        <f t="shared" si="153"/>
        <v>0</v>
      </c>
      <c r="F774" s="1687"/>
      <c r="G774" s="1684"/>
      <c r="H774" s="1684"/>
      <c r="I774" s="1684"/>
      <c r="J774" s="1684"/>
      <c r="K774" s="1685" t="str">
        <f t="shared" si="150"/>
        <v/>
      </c>
      <c r="L774" s="1685" t="str">
        <f t="shared" si="151"/>
        <v/>
      </c>
      <c r="M774" s="1686"/>
    </row>
    <row r="775" spans="1:13">
      <c r="A775" s="1655">
        <f t="shared" si="152"/>
        <v>0</v>
      </c>
      <c r="B775" s="1409"/>
      <c r="C775" s="1621" t="s">
        <v>4970</v>
      </c>
      <c r="D775" s="1683"/>
      <c r="E775" s="1678">
        <f t="shared" si="153"/>
        <v>0</v>
      </c>
      <c r="F775" s="1687"/>
      <c r="G775" s="1684"/>
      <c r="H775" s="1684"/>
      <c r="I775" s="1684"/>
      <c r="J775" s="1684"/>
      <c r="K775" s="1685" t="str">
        <f t="shared" si="150"/>
        <v/>
      </c>
      <c r="L775" s="1685" t="str">
        <f t="shared" si="151"/>
        <v/>
      </c>
      <c r="M775" s="1686"/>
    </row>
    <row r="776" spans="1:13">
      <c r="A776" s="1655">
        <f t="shared" si="152"/>
        <v>0</v>
      </c>
      <c r="B776" s="1409"/>
      <c r="C776" s="1621" t="s">
        <v>4971</v>
      </c>
      <c r="D776" s="1683"/>
      <c r="E776" s="1678">
        <f t="shared" si="153"/>
        <v>0</v>
      </c>
      <c r="F776" s="1687"/>
      <c r="G776" s="1684"/>
      <c r="H776" s="1684"/>
      <c r="I776" s="1684"/>
      <c r="J776" s="1684"/>
      <c r="K776" s="1685" t="str">
        <f t="shared" si="150"/>
        <v/>
      </c>
      <c r="L776" s="1685" t="str">
        <f t="shared" si="151"/>
        <v/>
      </c>
      <c r="M776" s="1686"/>
    </row>
    <row r="777" spans="1:13">
      <c r="A777" s="1655">
        <f t="shared" si="152"/>
        <v>0</v>
      </c>
      <c r="B777" s="1409"/>
      <c r="C777" s="1621" t="s">
        <v>4972</v>
      </c>
      <c r="D777" s="1683"/>
      <c r="E777" s="1678">
        <f t="shared" si="153"/>
        <v>0</v>
      </c>
      <c r="F777" s="1687"/>
      <c r="G777" s="1684"/>
      <c r="H777" s="1684"/>
      <c r="I777" s="1684"/>
      <c r="J777" s="1684"/>
      <c r="K777" s="1685" t="str">
        <f t="shared" si="150"/>
        <v/>
      </c>
      <c r="L777" s="1685" t="str">
        <f t="shared" si="151"/>
        <v/>
      </c>
      <c r="M777" s="1686"/>
    </row>
    <row r="778" spans="1:13">
      <c r="A778" s="1655">
        <f t="shared" si="152"/>
        <v>0</v>
      </c>
      <c r="B778" s="1412"/>
      <c r="C778" s="1621" t="s">
        <v>4973</v>
      </c>
      <c r="D778" s="1683"/>
      <c r="E778" s="1678">
        <f t="shared" si="153"/>
        <v>0</v>
      </c>
      <c r="F778" s="1687"/>
      <c r="G778" s="1684"/>
      <c r="H778" s="1684"/>
      <c r="I778" s="1684"/>
      <c r="J778" s="1684"/>
      <c r="K778" s="1685" t="str">
        <f t="shared" si="150"/>
        <v/>
      </c>
      <c r="L778" s="1685" t="str">
        <f t="shared" si="151"/>
        <v/>
      </c>
      <c r="M778" s="1686"/>
    </row>
    <row r="779" spans="1:13">
      <c r="A779" s="1655">
        <f t="shared" si="152"/>
        <v>0</v>
      </c>
      <c r="B779" s="1412"/>
      <c r="C779" s="1621" t="s">
        <v>4974</v>
      </c>
      <c r="D779" s="1683"/>
      <c r="E779" s="1678">
        <f t="shared" si="153"/>
        <v>0</v>
      </c>
      <c r="F779" s="1687"/>
      <c r="G779" s="1684"/>
      <c r="H779" s="1684"/>
      <c r="I779" s="1684"/>
      <c r="J779" s="1684"/>
      <c r="K779" s="1685" t="str">
        <f t="shared" si="150"/>
        <v/>
      </c>
      <c r="L779" s="1685" t="str">
        <f t="shared" si="151"/>
        <v/>
      </c>
      <c r="M779" s="1686"/>
    </row>
    <row r="780" spans="1:13">
      <c r="A780" s="1655">
        <f t="shared" si="152"/>
        <v>0</v>
      </c>
      <c r="B780" s="1409"/>
      <c r="C780" s="1621" t="s">
        <v>4975</v>
      </c>
      <c r="D780" s="1683"/>
      <c r="E780" s="1678">
        <f t="shared" si="153"/>
        <v>0</v>
      </c>
      <c r="F780" s="1687"/>
      <c r="G780" s="1684"/>
      <c r="H780" s="1684"/>
      <c r="I780" s="1684"/>
      <c r="J780" s="1684"/>
      <c r="K780" s="1685" t="str">
        <f t="shared" si="150"/>
        <v/>
      </c>
      <c r="L780" s="1685" t="str">
        <f t="shared" si="151"/>
        <v/>
      </c>
      <c r="M780" s="1686"/>
    </row>
    <row r="781" spans="1:13">
      <c r="A781" s="1655">
        <f t="shared" si="152"/>
        <v>0</v>
      </c>
      <c r="B781" s="1409"/>
      <c r="C781" s="1621" t="s">
        <v>4976</v>
      </c>
      <c r="D781" s="1683"/>
      <c r="E781" s="1678">
        <f t="shared" si="153"/>
        <v>0</v>
      </c>
      <c r="F781" s="1687"/>
      <c r="G781" s="1684"/>
      <c r="H781" s="1684"/>
      <c r="I781" s="1684"/>
      <c r="J781" s="1684"/>
      <c r="K781" s="1685" t="str">
        <f t="shared" si="150"/>
        <v/>
      </c>
      <c r="L781" s="1685" t="str">
        <f t="shared" si="151"/>
        <v/>
      </c>
      <c r="M781" s="1686"/>
    </row>
    <row r="782" spans="1:13">
      <c r="A782" s="1655">
        <f t="shared" si="152"/>
        <v>0</v>
      </c>
      <c r="B782" s="1409"/>
      <c r="C782" s="1621" t="s">
        <v>4977</v>
      </c>
      <c r="D782" s="1683"/>
      <c r="E782" s="1678">
        <f t="shared" si="153"/>
        <v>0</v>
      </c>
      <c r="F782" s="1687"/>
      <c r="G782" s="1684"/>
      <c r="H782" s="1684"/>
      <c r="I782" s="1684"/>
      <c r="J782" s="1684"/>
      <c r="K782" s="1685" t="str">
        <f t="shared" si="150"/>
        <v/>
      </c>
      <c r="L782" s="1685" t="str">
        <f t="shared" si="151"/>
        <v/>
      </c>
      <c r="M782" s="1686"/>
    </row>
    <row r="783" spans="1:13">
      <c r="A783" s="1655">
        <f t="shared" si="152"/>
        <v>0</v>
      </c>
      <c r="B783" s="1409"/>
      <c r="C783" s="1621" t="s">
        <v>4978</v>
      </c>
      <c r="D783" s="1683"/>
      <c r="E783" s="1678">
        <f t="shared" si="153"/>
        <v>0</v>
      </c>
      <c r="F783" s="1687"/>
      <c r="G783" s="1684"/>
      <c r="H783" s="1684"/>
      <c r="I783" s="1684"/>
      <c r="J783" s="1684"/>
      <c r="K783" s="1685" t="str">
        <f t="shared" si="150"/>
        <v/>
      </c>
      <c r="L783" s="1685" t="str">
        <f t="shared" si="151"/>
        <v/>
      </c>
      <c r="M783" s="1686"/>
    </row>
    <row r="784" spans="1:13">
      <c r="A784" s="1655">
        <f t="shared" si="152"/>
        <v>0</v>
      </c>
      <c r="B784" s="1409"/>
      <c r="C784" s="1621" t="s">
        <v>4979</v>
      </c>
      <c r="D784" s="1683"/>
      <c r="E784" s="1678">
        <f t="shared" si="153"/>
        <v>0</v>
      </c>
      <c r="F784" s="1687"/>
      <c r="G784" s="1684"/>
      <c r="H784" s="1684"/>
      <c r="I784" s="1684"/>
      <c r="J784" s="1684"/>
      <c r="K784" s="1685" t="str">
        <f t="shared" si="150"/>
        <v/>
      </c>
      <c r="L784" s="1685" t="str">
        <f t="shared" si="151"/>
        <v/>
      </c>
      <c r="M784" s="1686"/>
    </row>
    <row r="785" spans="1:13">
      <c r="A785" s="1655">
        <f t="shared" si="152"/>
        <v>0</v>
      </c>
      <c r="B785" s="1409"/>
      <c r="C785" s="1621" t="s">
        <v>4980</v>
      </c>
      <c r="D785" s="1683"/>
      <c r="E785" s="1678">
        <f t="shared" si="153"/>
        <v>0</v>
      </c>
      <c r="F785" s="1687"/>
      <c r="G785" s="1684"/>
      <c r="H785" s="1684"/>
      <c r="I785" s="1684"/>
      <c r="J785" s="1684"/>
      <c r="K785" s="1685" t="str">
        <f t="shared" si="150"/>
        <v/>
      </c>
      <c r="L785" s="1685" t="str">
        <f t="shared" si="151"/>
        <v/>
      </c>
      <c r="M785" s="1686"/>
    </row>
    <row r="786" spans="1:13">
      <c r="A786" s="1655">
        <f t="shared" si="152"/>
        <v>0</v>
      </c>
      <c r="B786" s="1409"/>
      <c r="C786" s="1621" t="s">
        <v>4981</v>
      </c>
      <c r="D786" s="1683"/>
      <c r="E786" s="1678">
        <f t="shared" si="153"/>
        <v>0</v>
      </c>
      <c r="F786" s="1687"/>
      <c r="G786" s="1684"/>
      <c r="H786" s="1684"/>
      <c r="I786" s="1684"/>
      <c r="J786" s="1684"/>
      <c r="K786" s="1685" t="str">
        <f t="shared" si="150"/>
        <v/>
      </c>
      <c r="L786" s="1685" t="str">
        <f t="shared" si="151"/>
        <v/>
      </c>
      <c r="M786" s="1686"/>
    </row>
    <row r="787" spans="1:13">
      <c r="A787" s="1655">
        <f t="shared" si="152"/>
        <v>0</v>
      </c>
      <c r="B787" s="1409"/>
      <c r="C787" s="1621" t="s">
        <v>4982</v>
      </c>
      <c r="D787" s="1683"/>
      <c r="E787" s="1678">
        <f t="shared" si="153"/>
        <v>0</v>
      </c>
      <c r="F787" s="1687"/>
      <c r="G787" s="1684"/>
      <c r="H787" s="1684"/>
      <c r="I787" s="1684"/>
      <c r="J787" s="1684"/>
      <c r="K787" s="1685" t="str">
        <f t="shared" si="150"/>
        <v/>
      </c>
      <c r="L787" s="1685" t="str">
        <f t="shared" si="151"/>
        <v/>
      </c>
      <c r="M787" s="1686"/>
    </row>
    <row r="788" spans="1:13">
      <c r="A788" s="1655">
        <f t="shared" si="152"/>
        <v>0</v>
      </c>
      <c r="B788" s="1409"/>
      <c r="C788" s="1621" t="s">
        <v>4983</v>
      </c>
      <c r="D788" s="1683"/>
      <c r="E788" s="1678">
        <f t="shared" si="153"/>
        <v>0</v>
      </c>
      <c r="F788" s="1687"/>
      <c r="G788" s="1684"/>
      <c r="H788" s="1684"/>
      <c r="I788" s="1684"/>
      <c r="J788" s="1684"/>
      <c r="K788" s="1685" t="str">
        <f t="shared" si="150"/>
        <v/>
      </c>
      <c r="L788" s="1685" t="str">
        <f t="shared" si="151"/>
        <v/>
      </c>
      <c r="M788" s="1686"/>
    </row>
    <row r="789" spans="1:13">
      <c r="A789" s="1655">
        <f t="shared" si="152"/>
        <v>0</v>
      </c>
      <c r="B789" s="1409"/>
      <c r="C789" s="1621" t="s">
        <v>4984</v>
      </c>
      <c r="D789" s="1683"/>
      <c r="E789" s="1678">
        <f t="shared" si="153"/>
        <v>0</v>
      </c>
      <c r="F789" s="1687"/>
      <c r="G789" s="1684"/>
      <c r="H789" s="1684"/>
      <c r="I789" s="1684"/>
      <c r="J789" s="1684"/>
      <c r="K789" s="1685" t="str">
        <f t="shared" si="150"/>
        <v/>
      </c>
      <c r="L789" s="1685" t="str">
        <f t="shared" si="151"/>
        <v/>
      </c>
      <c r="M789" s="1686"/>
    </row>
    <row r="790" spans="1:13">
      <c r="A790" s="1655">
        <f t="shared" si="152"/>
        <v>0</v>
      </c>
      <c r="B790" s="1409"/>
      <c r="C790" s="1621" t="s">
        <v>4985</v>
      </c>
      <c r="D790" s="1683"/>
      <c r="E790" s="1678">
        <f t="shared" si="153"/>
        <v>0</v>
      </c>
      <c r="F790" s="1687"/>
      <c r="G790" s="1684"/>
      <c r="H790" s="1684"/>
      <c r="I790" s="1684"/>
      <c r="J790" s="1684"/>
      <c r="K790" s="1685" t="str">
        <f t="shared" si="150"/>
        <v/>
      </c>
      <c r="L790" s="1685" t="str">
        <f t="shared" si="151"/>
        <v/>
      </c>
      <c r="M790" s="1686"/>
    </row>
    <row r="791" spans="1:13">
      <c r="A791" s="1655">
        <f t="shared" si="152"/>
        <v>0</v>
      </c>
      <c r="B791" s="1688"/>
      <c r="C791" s="1689" t="s">
        <v>4986</v>
      </c>
      <c r="D791" s="1690"/>
      <c r="E791" s="1691">
        <f t="shared" si="153"/>
        <v>0</v>
      </c>
      <c r="F791" s="1692"/>
      <c r="G791" s="1693"/>
      <c r="H791" s="1693"/>
      <c r="I791" s="1693"/>
      <c r="J791" s="1693"/>
      <c r="K791" s="1694" t="str">
        <f t="shared" si="150"/>
        <v/>
      </c>
      <c r="L791" s="1694" t="str">
        <f t="shared" si="151"/>
        <v/>
      </c>
      <c r="M791" s="1695"/>
    </row>
    <row r="792" spans="1:13">
      <c r="A792" s="1674">
        <f>A766+1</f>
        <v>31</v>
      </c>
      <c r="B792" s="1675" t="s">
        <v>5050</v>
      </c>
      <c r="C792" s="1676"/>
      <c r="D792" s="1677"/>
      <c r="E792" s="1679">
        <f t="shared" ref="E792:I792" si="154">SUM(E793:E817)</f>
        <v>0</v>
      </c>
      <c r="F792" s="1679">
        <f t="shared" si="154"/>
        <v>0</v>
      </c>
      <c r="G792" s="1679">
        <f t="shared" si="154"/>
        <v>0</v>
      </c>
      <c r="H792" s="1679">
        <f t="shared" si="154"/>
        <v>0</v>
      </c>
      <c r="I792" s="1679">
        <f t="shared" si="154"/>
        <v>0</v>
      </c>
      <c r="J792" s="1679">
        <f>SUM(J793:J817)</f>
        <v>0</v>
      </c>
      <c r="K792" s="1680" t="str">
        <f>IFERROR(E792/$C$6,"")</f>
        <v/>
      </c>
      <c r="L792" s="1680" t="str">
        <f>IFERROR(E792/$C$7,"")</f>
        <v/>
      </c>
      <c r="M792" s="1681">
        <f>SUM(M793:M817)</f>
        <v>0</v>
      </c>
    </row>
    <row r="793" spans="1:13">
      <c r="A793" s="1655">
        <f>IF(E793&lt;&gt;0,1,0)</f>
        <v>0</v>
      </c>
      <c r="B793" s="1412"/>
      <c r="C793" s="1621" t="s">
        <v>4962</v>
      </c>
      <c r="D793" s="1683"/>
      <c r="E793" s="1678">
        <f>SUM(F793:J793)</f>
        <v>0</v>
      </c>
      <c r="F793" s="1684"/>
      <c r="G793" s="1684"/>
      <c r="H793" s="1684"/>
      <c r="I793" s="1684"/>
      <c r="J793" s="1684"/>
      <c r="K793" s="1685" t="str">
        <f t="shared" ref="K793:K817" si="155">IFERROR(E793/$C$6,"")</f>
        <v/>
      </c>
      <c r="L793" s="1685" t="str">
        <f t="shared" ref="L793:L817" si="156">IFERROR(E793/$C$7,"")</f>
        <v/>
      </c>
      <c r="M793" s="1686"/>
    </row>
    <row r="794" spans="1:13">
      <c r="A794" s="1655">
        <f t="shared" ref="A794:A817" si="157">IF(E794&lt;&gt;0,1,0)</f>
        <v>0</v>
      </c>
      <c r="B794" s="1409"/>
      <c r="C794" s="1621" t="s">
        <v>4963</v>
      </c>
      <c r="D794" s="1683"/>
      <c r="E794" s="1678">
        <f t="shared" ref="E794:E817" si="158">SUM(F794:J794)</f>
        <v>0</v>
      </c>
      <c r="F794" s="1687"/>
      <c r="G794" s="1684"/>
      <c r="H794" s="1684"/>
      <c r="I794" s="1684"/>
      <c r="J794" s="1684"/>
      <c r="K794" s="1685" t="str">
        <f t="shared" si="155"/>
        <v/>
      </c>
      <c r="L794" s="1685" t="str">
        <f t="shared" si="156"/>
        <v/>
      </c>
      <c r="M794" s="1686"/>
    </row>
    <row r="795" spans="1:13">
      <c r="A795" s="1655">
        <f t="shared" si="157"/>
        <v>0</v>
      </c>
      <c r="B795" s="1409"/>
      <c r="C795" s="1621" t="s">
        <v>4964</v>
      </c>
      <c r="D795" s="1683"/>
      <c r="E795" s="1678">
        <f t="shared" si="158"/>
        <v>0</v>
      </c>
      <c r="F795" s="1687"/>
      <c r="G795" s="1684"/>
      <c r="H795" s="1684"/>
      <c r="I795" s="1684"/>
      <c r="J795" s="1684"/>
      <c r="K795" s="1685" t="str">
        <f t="shared" si="155"/>
        <v/>
      </c>
      <c r="L795" s="1685" t="str">
        <f t="shared" si="156"/>
        <v/>
      </c>
      <c r="M795" s="1686"/>
    </row>
    <row r="796" spans="1:13">
      <c r="A796" s="1655">
        <f t="shared" si="157"/>
        <v>0</v>
      </c>
      <c r="B796" s="1409"/>
      <c r="C796" s="1621" t="s">
        <v>4965</v>
      </c>
      <c r="D796" s="1683"/>
      <c r="E796" s="1678">
        <f t="shared" si="158"/>
        <v>0</v>
      </c>
      <c r="F796" s="1687"/>
      <c r="G796" s="1684"/>
      <c r="H796" s="1684"/>
      <c r="I796" s="1684"/>
      <c r="J796" s="1684"/>
      <c r="K796" s="1685" t="str">
        <f t="shared" si="155"/>
        <v/>
      </c>
      <c r="L796" s="1685" t="str">
        <f t="shared" si="156"/>
        <v/>
      </c>
      <c r="M796" s="1686"/>
    </row>
    <row r="797" spans="1:13">
      <c r="A797" s="1655">
        <f t="shared" si="157"/>
        <v>0</v>
      </c>
      <c r="B797" s="1409"/>
      <c r="C797" s="1621" t="s">
        <v>4966</v>
      </c>
      <c r="D797" s="1683"/>
      <c r="E797" s="1678">
        <f t="shared" si="158"/>
        <v>0</v>
      </c>
      <c r="F797" s="1687"/>
      <c r="G797" s="1684"/>
      <c r="H797" s="1684"/>
      <c r="I797" s="1684"/>
      <c r="J797" s="1684"/>
      <c r="K797" s="1685" t="str">
        <f t="shared" si="155"/>
        <v/>
      </c>
      <c r="L797" s="1685" t="str">
        <f t="shared" si="156"/>
        <v/>
      </c>
      <c r="M797" s="1686"/>
    </row>
    <row r="798" spans="1:13">
      <c r="A798" s="1655">
        <f t="shared" si="157"/>
        <v>0</v>
      </c>
      <c r="B798" s="1409"/>
      <c r="C798" s="1621" t="s">
        <v>4967</v>
      </c>
      <c r="D798" s="1683"/>
      <c r="E798" s="1678">
        <f t="shared" si="158"/>
        <v>0</v>
      </c>
      <c r="F798" s="1687"/>
      <c r="G798" s="1684"/>
      <c r="H798" s="1684"/>
      <c r="I798" s="1684"/>
      <c r="J798" s="1684"/>
      <c r="K798" s="1685" t="str">
        <f t="shared" si="155"/>
        <v/>
      </c>
      <c r="L798" s="1685" t="str">
        <f t="shared" si="156"/>
        <v/>
      </c>
      <c r="M798" s="1686"/>
    </row>
    <row r="799" spans="1:13">
      <c r="A799" s="1655">
        <f t="shared" si="157"/>
        <v>0</v>
      </c>
      <c r="B799" s="1409"/>
      <c r="C799" s="1621" t="s">
        <v>4968</v>
      </c>
      <c r="D799" s="1683"/>
      <c r="E799" s="1678">
        <f t="shared" si="158"/>
        <v>0</v>
      </c>
      <c r="F799" s="1687"/>
      <c r="G799" s="1684"/>
      <c r="H799" s="1684"/>
      <c r="I799" s="1684"/>
      <c r="J799" s="1684"/>
      <c r="K799" s="1685" t="str">
        <f t="shared" si="155"/>
        <v/>
      </c>
      <c r="L799" s="1685" t="str">
        <f t="shared" si="156"/>
        <v/>
      </c>
      <c r="M799" s="1686"/>
    </row>
    <row r="800" spans="1:13">
      <c r="A800" s="1655">
        <f t="shared" si="157"/>
        <v>0</v>
      </c>
      <c r="B800" s="1409"/>
      <c r="C800" s="1621" t="s">
        <v>4969</v>
      </c>
      <c r="D800" s="1683"/>
      <c r="E800" s="1678">
        <f t="shared" si="158"/>
        <v>0</v>
      </c>
      <c r="F800" s="1687"/>
      <c r="G800" s="1684"/>
      <c r="H800" s="1684"/>
      <c r="I800" s="1684"/>
      <c r="J800" s="1684"/>
      <c r="K800" s="1685" t="str">
        <f t="shared" si="155"/>
        <v/>
      </c>
      <c r="L800" s="1685" t="str">
        <f t="shared" si="156"/>
        <v/>
      </c>
      <c r="M800" s="1686"/>
    </row>
    <row r="801" spans="1:13">
      <c r="A801" s="1655">
        <f t="shared" si="157"/>
        <v>0</v>
      </c>
      <c r="B801" s="1409"/>
      <c r="C801" s="1621" t="s">
        <v>4970</v>
      </c>
      <c r="D801" s="1683"/>
      <c r="E801" s="1678">
        <f t="shared" si="158"/>
        <v>0</v>
      </c>
      <c r="F801" s="1687"/>
      <c r="G801" s="1684"/>
      <c r="H801" s="1684"/>
      <c r="I801" s="1684"/>
      <c r="J801" s="1684"/>
      <c r="K801" s="1685" t="str">
        <f t="shared" si="155"/>
        <v/>
      </c>
      <c r="L801" s="1685" t="str">
        <f t="shared" si="156"/>
        <v/>
      </c>
      <c r="M801" s="1686"/>
    </row>
    <row r="802" spans="1:13">
      <c r="A802" s="1655">
        <f t="shared" si="157"/>
        <v>0</v>
      </c>
      <c r="B802" s="1409"/>
      <c r="C802" s="1621" t="s">
        <v>4971</v>
      </c>
      <c r="D802" s="1683"/>
      <c r="E802" s="1678">
        <f t="shared" si="158"/>
        <v>0</v>
      </c>
      <c r="F802" s="1687"/>
      <c r="G802" s="1684"/>
      <c r="H802" s="1684"/>
      <c r="I802" s="1684"/>
      <c r="J802" s="1684"/>
      <c r="K802" s="1685" t="str">
        <f t="shared" si="155"/>
        <v/>
      </c>
      <c r="L802" s="1685" t="str">
        <f t="shared" si="156"/>
        <v/>
      </c>
      <c r="M802" s="1686"/>
    </row>
    <row r="803" spans="1:13">
      <c r="A803" s="1655">
        <f t="shared" si="157"/>
        <v>0</v>
      </c>
      <c r="B803" s="1409"/>
      <c r="C803" s="1621" t="s">
        <v>4972</v>
      </c>
      <c r="D803" s="1683"/>
      <c r="E803" s="1678">
        <f t="shared" si="158"/>
        <v>0</v>
      </c>
      <c r="F803" s="1687"/>
      <c r="G803" s="1684"/>
      <c r="H803" s="1684"/>
      <c r="I803" s="1684"/>
      <c r="J803" s="1684"/>
      <c r="K803" s="1685" t="str">
        <f t="shared" si="155"/>
        <v/>
      </c>
      <c r="L803" s="1685" t="str">
        <f t="shared" si="156"/>
        <v/>
      </c>
      <c r="M803" s="1686"/>
    </row>
    <row r="804" spans="1:13">
      <c r="A804" s="1655">
        <f t="shared" si="157"/>
        <v>0</v>
      </c>
      <c r="B804" s="1412"/>
      <c r="C804" s="1621" t="s">
        <v>4973</v>
      </c>
      <c r="D804" s="1683"/>
      <c r="E804" s="1678">
        <f t="shared" si="158"/>
        <v>0</v>
      </c>
      <c r="F804" s="1687"/>
      <c r="G804" s="1684"/>
      <c r="H804" s="1684"/>
      <c r="I804" s="1684"/>
      <c r="J804" s="1684"/>
      <c r="K804" s="1685" t="str">
        <f t="shared" si="155"/>
        <v/>
      </c>
      <c r="L804" s="1685" t="str">
        <f t="shared" si="156"/>
        <v/>
      </c>
      <c r="M804" s="1686"/>
    </row>
    <row r="805" spans="1:13">
      <c r="A805" s="1655">
        <f t="shared" si="157"/>
        <v>0</v>
      </c>
      <c r="B805" s="1412"/>
      <c r="C805" s="1621" t="s">
        <v>4974</v>
      </c>
      <c r="D805" s="1683"/>
      <c r="E805" s="1678">
        <f t="shared" si="158"/>
        <v>0</v>
      </c>
      <c r="F805" s="1687"/>
      <c r="G805" s="1684"/>
      <c r="H805" s="1684"/>
      <c r="I805" s="1684"/>
      <c r="J805" s="1684"/>
      <c r="K805" s="1685" t="str">
        <f t="shared" si="155"/>
        <v/>
      </c>
      <c r="L805" s="1685" t="str">
        <f t="shared" si="156"/>
        <v/>
      </c>
      <c r="M805" s="1686"/>
    </row>
    <row r="806" spans="1:13">
      <c r="A806" s="1655">
        <f t="shared" si="157"/>
        <v>0</v>
      </c>
      <c r="B806" s="1409"/>
      <c r="C806" s="1621" t="s">
        <v>4975</v>
      </c>
      <c r="D806" s="1683"/>
      <c r="E806" s="1678">
        <f t="shared" si="158"/>
        <v>0</v>
      </c>
      <c r="F806" s="1687"/>
      <c r="G806" s="1684"/>
      <c r="H806" s="1684"/>
      <c r="I806" s="1684"/>
      <c r="J806" s="1684"/>
      <c r="K806" s="1685" t="str">
        <f t="shared" si="155"/>
        <v/>
      </c>
      <c r="L806" s="1685" t="str">
        <f t="shared" si="156"/>
        <v/>
      </c>
      <c r="M806" s="1686"/>
    </row>
    <row r="807" spans="1:13">
      <c r="A807" s="1655">
        <f t="shared" si="157"/>
        <v>0</v>
      </c>
      <c r="B807" s="1409"/>
      <c r="C807" s="1621" t="s">
        <v>4976</v>
      </c>
      <c r="D807" s="1683"/>
      <c r="E807" s="1678">
        <f t="shared" si="158"/>
        <v>0</v>
      </c>
      <c r="F807" s="1687"/>
      <c r="G807" s="1684"/>
      <c r="H807" s="1684"/>
      <c r="I807" s="1684"/>
      <c r="J807" s="1684"/>
      <c r="K807" s="1685" t="str">
        <f t="shared" si="155"/>
        <v/>
      </c>
      <c r="L807" s="1685" t="str">
        <f t="shared" si="156"/>
        <v/>
      </c>
      <c r="M807" s="1686"/>
    </row>
    <row r="808" spans="1:13">
      <c r="A808" s="1655">
        <f t="shared" si="157"/>
        <v>0</v>
      </c>
      <c r="B808" s="1409"/>
      <c r="C808" s="1621" t="s">
        <v>4977</v>
      </c>
      <c r="D808" s="1683"/>
      <c r="E808" s="1678">
        <f t="shared" si="158"/>
        <v>0</v>
      </c>
      <c r="F808" s="1687"/>
      <c r="G808" s="1684"/>
      <c r="H808" s="1684"/>
      <c r="I808" s="1684"/>
      <c r="J808" s="1684"/>
      <c r="K808" s="1685" t="str">
        <f t="shared" si="155"/>
        <v/>
      </c>
      <c r="L808" s="1685" t="str">
        <f t="shared" si="156"/>
        <v/>
      </c>
      <c r="M808" s="1686"/>
    </row>
    <row r="809" spans="1:13">
      <c r="A809" s="1655">
        <f t="shared" si="157"/>
        <v>0</v>
      </c>
      <c r="B809" s="1409"/>
      <c r="C809" s="1621" t="s">
        <v>4978</v>
      </c>
      <c r="D809" s="1683"/>
      <c r="E809" s="1678">
        <f t="shared" si="158"/>
        <v>0</v>
      </c>
      <c r="F809" s="1687"/>
      <c r="G809" s="1684"/>
      <c r="H809" s="1684"/>
      <c r="I809" s="1684"/>
      <c r="J809" s="1684"/>
      <c r="K809" s="1685" t="str">
        <f t="shared" si="155"/>
        <v/>
      </c>
      <c r="L809" s="1685" t="str">
        <f t="shared" si="156"/>
        <v/>
      </c>
      <c r="M809" s="1686"/>
    </row>
    <row r="810" spans="1:13">
      <c r="A810" s="1655">
        <f t="shared" si="157"/>
        <v>0</v>
      </c>
      <c r="B810" s="1409"/>
      <c r="C810" s="1621" t="s">
        <v>4979</v>
      </c>
      <c r="D810" s="1683"/>
      <c r="E810" s="1678">
        <f t="shared" si="158"/>
        <v>0</v>
      </c>
      <c r="F810" s="1687"/>
      <c r="G810" s="1684"/>
      <c r="H810" s="1684"/>
      <c r="I810" s="1684"/>
      <c r="J810" s="1684"/>
      <c r="K810" s="1685" t="str">
        <f t="shared" si="155"/>
        <v/>
      </c>
      <c r="L810" s="1685" t="str">
        <f t="shared" si="156"/>
        <v/>
      </c>
      <c r="M810" s="1686"/>
    </row>
    <row r="811" spans="1:13">
      <c r="A811" s="1655">
        <f t="shared" si="157"/>
        <v>0</v>
      </c>
      <c r="B811" s="1409"/>
      <c r="C811" s="1621" t="s">
        <v>4980</v>
      </c>
      <c r="D811" s="1683"/>
      <c r="E811" s="1678">
        <f t="shared" si="158"/>
        <v>0</v>
      </c>
      <c r="F811" s="1687"/>
      <c r="G811" s="1684"/>
      <c r="H811" s="1684"/>
      <c r="I811" s="1684"/>
      <c r="J811" s="1684"/>
      <c r="K811" s="1685" t="str">
        <f t="shared" si="155"/>
        <v/>
      </c>
      <c r="L811" s="1685" t="str">
        <f t="shared" si="156"/>
        <v/>
      </c>
      <c r="M811" s="1686"/>
    </row>
    <row r="812" spans="1:13">
      <c r="A812" s="1655">
        <f t="shared" si="157"/>
        <v>0</v>
      </c>
      <c r="B812" s="1409"/>
      <c r="C812" s="1621" t="s">
        <v>4981</v>
      </c>
      <c r="D812" s="1683"/>
      <c r="E812" s="1678">
        <f t="shared" si="158"/>
        <v>0</v>
      </c>
      <c r="F812" s="1687"/>
      <c r="G812" s="1684"/>
      <c r="H812" s="1684"/>
      <c r="I812" s="1684"/>
      <c r="J812" s="1684"/>
      <c r="K812" s="1685" t="str">
        <f t="shared" si="155"/>
        <v/>
      </c>
      <c r="L812" s="1685" t="str">
        <f t="shared" si="156"/>
        <v/>
      </c>
      <c r="M812" s="1686"/>
    </row>
    <row r="813" spans="1:13">
      <c r="A813" s="1655">
        <f t="shared" si="157"/>
        <v>0</v>
      </c>
      <c r="B813" s="1409"/>
      <c r="C813" s="1621" t="s">
        <v>4982</v>
      </c>
      <c r="D813" s="1683"/>
      <c r="E813" s="1678">
        <f t="shared" si="158"/>
        <v>0</v>
      </c>
      <c r="F813" s="1687"/>
      <c r="G813" s="1684"/>
      <c r="H813" s="1684"/>
      <c r="I813" s="1684"/>
      <c r="J813" s="1684"/>
      <c r="K813" s="1685" t="str">
        <f t="shared" si="155"/>
        <v/>
      </c>
      <c r="L813" s="1685" t="str">
        <f t="shared" si="156"/>
        <v/>
      </c>
      <c r="M813" s="1686"/>
    </row>
    <row r="814" spans="1:13">
      <c r="A814" s="1655">
        <f t="shared" si="157"/>
        <v>0</v>
      </c>
      <c r="B814" s="1409"/>
      <c r="C814" s="1621" t="s">
        <v>4983</v>
      </c>
      <c r="D814" s="1683"/>
      <c r="E814" s="1678">
        <f t="shared" si="158"/>
        <v>0</v>
      </c>
      <c r="F814" s="1687"/>
      <c r="G814" s="1684"/>
      <c r="H814" s="1684"/>
      <c r="I814" s="1684"/>
      <c r="J814" s="1684"/>
      <c r="K814" s="1685" t="str">
        <f t="shared" si="155"/>
        <v/>
      </c>
      <c r="L814" s="1685" t="str">
        <f t="shared" si="156"/>
        <v/>
      </c>
      <c r="M814" s="1686"/>
    </row>
    <row r="815" spans="1:13">
      <c r="A815" s="1655">
        <f t="shared" si="157"/>
        <v>0</v>
      </c>
      <c r="B815" s="1409"/>
      <c r="C815" s="1621" t="s">
        <v>4984</v>
      </c>
      <c r="D815" s="1683"/>
      <c r="E815" s="1678">
        <f t="shared" si="158"/>
        <v>0</v>
      </c>
      <c r="F815" s="1687"/>
      <c r="G815" s="1684"/>
      <c r="H815" s="1684"/>
      <c r="I815" s="1684"/>
      <c r="J815" s="1684"/>
      <c r="K815" s="1685" t="str">
        <f t="shared" si="155"/>
        <v/>
      </c>
      <c r="L815" s="1685" t="str">
        <f t="shared" si="156"/>
        <v/>
      </c>
      <c r="M815" s="1686"/>
    </row>
    <row r="816" spans="1:13">
      <c r="A816" s="1655">
        <f t="shared" si="157"/>
        <v>0</v>
      </c>
      <c r="B816" s="1409"/>
      <c r="C816" s="1621" t="s">
        <v>4985</v>
      </c>
      <c r="D816" s="1683"/>
      <c r="E816" s="1678">
        <f t="shared" si="158"/>
        <v>0</v>
      </c>
      <c r="F816" s="1687"/>
      <c r="G816" s="1684"/>
      <c r="H816" s="1684"/>
      <c r="I816" s="1684"/>
      <c r="J816" s="1684"/>
      <c r="K816" s="1685" t="str">
        <f t="shared" si="155"/>
        <v/>
      </c>
      <c r="L816" s="1685" t="str">
        <f t="shared" si="156"/>
        <v/>
      </c>
      <c r="M816" s="1686"/>
    </row>
    <row r="817" spans="1:13">
      <c r="A817" s="1655">
        <f t="shared" si="157"/>
        <v>0</v>
      </c>
      <c r="B817" s="1688"/>
      <c r="C817" s="1689" t="s">
        <v>4986</v>
      </c>
      <c r="D817" s="1690"/>
      <c r="E817" s="1691">
        <f t="shared" si="158"/>
        <v>0</v>
      </c>
      <c r="F817" s="1692"/>
      <c r="G817" s="1693"/>
      <c r="H817" s="1693"/>
      <c r="I817" s="1693"/>
      <c r="J817" s="1693"/>
      <c r="K817" s="1694" t="str">
        <f t="shared" si="155"/>
        <v/>
      </c>
      <c r="L817" s="1694" t="str">
        <f t="shared" si="156"/>
        <v/>
      </c>
      <c r="M817" s="1695"/>
    </row>
    <row r="818" spans="1:13">
      <c r="A818" s="1674">
        <f>A792+1</f>
        <v>32</v>
      </c>
      <c r="B818" s="1675" t="s">
        <v>5050</v>
      </c>
      <c r="C818" s="1676"/>
      <c r="D818" s="1677"/>
      <c r="E818" s="1679">
        <f t="shared" ref="E818:I818" si="159">SUM(E819:E843)</f>
        <v>0</v>
      </c>
      <c r="F818" s="1679">
        <f t="shared" si="159"/>
        <v>0</v>
      </c>
      <c r="G818" s="1679">
        <f t="shared" si="159"/>
        <v>0</v>
      </c>
      <c r="H818" s="1679">
        <f t="shared" si="159"/>
        <v>0</v>
      </c>
      <c r="I818" s="1679">
        <f t="shared" si="159"/>
        <v>0</v>
      </c>
      <c r="J818" s="1679">
        <f>SUM(J819:J843)</f>
        <v>0</v>
      </c>
      <c r="K818" s="1680" t="str">
        <f>IFERROR(E818/$C$6,"")</f>
        <v/>
      </c>
      <c r="L818" s="1680" t="str">
        <f>IFERROR(E818/$C$7,"")</f>
        <v/>
      </c>
      <c r="M818" s="1681">
        <f>SUM(M819:M843)</f>
        <v>0</v>
      </c>
    </row>
    <row r="819" spans="1:13">
      <c r="A819" s="1655">
        <f>IF(E819&lt;&gt;0,1,0)</f>
        <v>0</v>
      </c>
      <c r="B819" s="1412"/>
      <c r="C819" s="1621" t="s">
        <v>4962</v>
      </c>
      <c r="D819" s="1683"/>
      <c r="E819" s="1678">
        <f>SUM(F819:J819)</f>
        <v>0</v>
      </c>
      <c r="F819" s="1684"/>
      <c r="G819" s="1684"/>
      <c r="H819" s="1684"/>
      <c r="I819" s="1684"/>
      <c r="J819" s="1684"/>
      <c r="K819" s="1685" t="str">
        <f t="shared" ref="K819:K843" si="160">IFERROR(E819/$C$6,"")</f>
        <v/>
      </c>
      <c r="L819" s="1685" t="str">
        <f t="shared" ref="L819:L843" si="161">IFERROR(E819/$C$7,"")</f>
        <v/>
      </c>
      <c r="M819" s="1686"/>
    </row>
    <row r="820" spans="1:13">
      <c r="A820" s="1655">
        <f t="shared" ref="A820:A843" si="162">IF(E820&lt;&gt;0,1,0)</f>
        <v>0</v>
      </c>
      <c r="B820" s="1409"/>
      <c r="C820" s="1621" t="s">
        <v>4963</v>
      </c>
      <c r="D820" s="1683"/>
      <c r="E820" s="1678">
        <f t="shared" ref="E820:E843" si="163">SUM(F820:J820)</f>
        <v>0</v>
      </c>
      <c r="F820" s="1687"/>
      <c r="G820" s="1684"/>
      <c r="H820" s="1684"/>
      <c r="I820" s="1684"/>
      <c r="J820" s="1684"/>
      <c r="K820" s="1685" t="str">
        <f t="shared" si="160"/>
        <v/>
      </c>
      <c r="L820" s="1685" t="str">
        <f t="shared" si="161"/>
        <v/>
      </c>
      <c r="M820" s="1686"/>
    </row>
    <row r="821" spans="1:13">
      <c r="A821" s="1655">
        <f t="shared" si="162"/>
        <v>0</v>
      </c>
      <c r="B821" s="1409"/>
      <c r="C821" s="1621" t="s">
        <v>4964</v>
      </c>
      <c r="D821" s="1683"/>
      <c r="E821" s="1678">
        <f t="shared" si="163"/>
        <v>0</v>
      </c>
      <c r="F821" s="1687"/>
      <c r="G821" s="1684"/>
      <c r="H821" s="1684"/>
      <c r="I821" s="1684"/>
      <c r="J821" s="1684"/>
      <c r="K821" s="1685" t="str">
        <f t="shared" si="160"/>
        <v/>
      </c>
      <c r="L821" s="1685" t="str">
        <f t="shared" si="161"/>
        <v/>
      </c>
      <c r="M821" s="1686"/>
    </row>
    <row r="822" spans="1:13">
      <c r="A822" s="1655">
        <f t="shared" si="162"/>
        <v>0</v>
      </c>
      <c r="B822" s="1409"/>
      <c r="C822" s="1621" t="s">
        <v>4965</v>
      </c>
      <c r="D822" s="1683"/>
      <c r="E822" s="1678">
        <f t="shared" si="163"/>
        <v>0</v>
      </c>
      <c r="F822" s="1687"/>
      <c r="G822" s="1684"/>
      <c r="H822" s="1684"/>
      <c r="I822" s="1684"/>
      <c r="J822" s="1684"/>
      <c r="K822" s="1685" t="str">
        <f t="shared" si="160"/>
        <v/>
      </c>
      <c r="L822" s="1685" t="str">
        <f t="shared" si="161"/>
        <v/>
      </c>
      <c r="M822" s="1686"/>
    </row>
    <row r="823" spans="1:13">
      <c r="A823" s="1655">
        <f t="shared" si="162"/>
        <v>0</v>
      </c>
      <c r="B823" s="1409"/>
      <c r="C823" s="1621" t="s">
        <v>4966</v>
      </c>
      <c r="D823" s="1683"/>
      <c r="E823" s="1678">
        <f t="shared" si="163"/>
        <v>0</v>
      </c>
      <c r="F823" s="1687"/>
      <c r="G823" s="1684"/>
      <c r="H823" s="1684"/>
      <c r="I823" s="1684"/>
      <c r="J823" s="1684"/>
      <c r="K823" s="1685" t="str">
        <f t="shared" si="160"/>
        <v/>
      </c>
      <c r="L823" s="1685" t="str">
        <f t="shared" si="161"/>
        <v/>
      </c>
      <c r="M823" s="1686"/>
    </row>
    <row r="824" spans="1:13">
      <c r="A824" s="1655">
        <f t="shared" si="162"/>
        <v>0</v>
      </c>
      <c r="B824" s="1409"/>
      <c r="C824" s="1621" t="s">
        <v>4967</v>
      </c>
      <c r="D824" s="1683"/>
      <c r="E824" s="1678">
        <f t="shared" si="163"/>
        <v>0</v>
      </c>
      <c r="F824" s="1687"/>
      <c r="G824" s="1684"/>
      <c r="H824" s="1684"/>
      <c r="I824" s="1684"/>
      <c r="J824" s="1684"/>
      <c r="K824" s="1685" t="str">
        <f t="shared" si="160"/>
        <v/>
      </c>
      <c r="L824" s="1685" t="str">
        <f t="shared" si="161"/>
        <v/>
      </c>
      <c r="M824" s="1686"/>
    </row>
    <row r="825" spans="1:13">
      <c r="A825" s="1655">
        <f t="shared" si="162"/>
        <v>0</v>
      </c>
      <c r="B825" s="1409"/>
      <c r="C825" s="1621" t="s">
        <v>4968</v>
      </c>
      <c r="D825" s="1683"/>
      <c r="E825" s="1678">
        <f t="shared" si="163"/>
        <v>0</v>
      </c>
      <c r="F825" s="1687"/>
      <c r="G825" s="1684"/>
      <c r="H825" s="1684"/>
      <c r="I825" s="1684"/>
      <c r="J825" s="1684"/>
      <c r="K825" s="1685" t="str">
        <f t="shared" si="160"/>
        <v/>
      </c>
      <c r="L825" s="1685" t="str">
        <f t="shared" si="161"/>
        <v/>
      </c>
      <c r="M825" s="1686"/>
    </row>
    <row r="826" spans="1:13">
      <c r="A826" s="1655">
        <f t="shared" si="162"/>
        <v>0</v>
      </c>
      <c r="B826" s="1409"/>
      <c r="C826" s="1621" t="s">
        <v>4969</v>
      </c>
      <c r="D826" s="1683"/>
      <c r="E826" s="1678">
        <f t="shared" si="163"/>
        <v>0</v>
      </c>
      <c r="F826" s="1687"/>
      <c r="G826" s="1684"/>
      <c r="H826" s="1684"/>
      <c r="I826" s="1684"/>
      <c r="J826" s="1684"/>
      <c r="K826" s="1685" t="str">
        <f t="shared" si="160"/>
        <v/>
      </c>
      <c r="L826" s="1685" t="str">
        <f t="shared" si="161"/>
        <v/>
      </c>
      <c r="M826" s="1686"/>
    </row>
    <row r="827" spans="1:13">
      <c r="A827" s="1655">
        <f t="shared" si="162"/>
        <v>0</v>
      </c>
      <c r="B827" s="1409"/>
      <c r="C827" s="1621" t="s">
        <v>4970</v>
      </c>
      <c r="D827" s="1683"/>
      <c r="E827" s="1678">
        <f t="shared" si="163"/>
        <v>0</v>
      </c>
      <c r="F827" s="1687"/>
      <c r="G827" s="1684"/>
      <c r="H827" s="1684"/>
      <c r="I827" s="1684"/>
      <c r="J827" s="1684"/>
      <c r="K827" s="1685" t="str">
        <f t="shared" si="160"/>
        <v/>
      </c>
      <c r="L827" s="1685" t="str">
        <f t="shared" si="161"/>
        <v/>
      </c>
      <c r="M827" s="1686"/>
    </row>
    <row r="828" spans="1:13">
      <c r="A828" s="1655">
        <f t="shared" si="162"/>
        <v>0</v>
      </c>
      <c r="B828" s="1409"/>
      <c r="C828" s="1621" t="s">
        <v>4971</v>
      </c>
      <c r="D828" s="1683"/>
      <c r="E828" s="1678">
        <f t="shared" si="163"/>
        <v>0</v>
      </c>
      <c r="F828" s="1687"/>
      <c r="G828" s="1684"/>
      <c r="H828" s="1684"/>
      <c r="I828" s="1684"/>
      <c r="J828" s="1684"/>
      <c r="K828" s="1685" t="str">
        <f t="shared" si="160"/>
        <v/>
      </c>
      <c r="L828" s="1685" t="str">
        <f t="shared" si="161"/>
        <v/>
      </c>
      <c r="M828" s="1686"/>
    </row>
    <row r="829" spans="1:13">
      <c r="A829" s="1655">
        <f t="shared" si="162"/>
        <v>0</v>
      </c>
      <c r="B829" s="1409"/>
      <c r="C829" s="1621" t="s">
        <v>4972</v>
      </c>
      <c r="D829" s="1683"/>
      <c r="E829" s="1678">
        <f t="shared" si="163"/>
        <v>0</v>
      </c>
      <c r="F829" s="1687"/>
      <c r="G829" s="1684"/>
      <c r="H829" s="1684"/>
      <c r="I829" s="1684"/>
      <c r="J829" s="1684"/>
      <c r="K829" s="1685" t="str">
        <f t="shared" si="160"/>
        <v/>
      </c>
      <c r="L829" s="1685" t="str">
        <f t="shared" si="161"/>
        <v/>
      </c>
      <c r="M829" s="1686"/>
    </row>
    <row r="830" spans="1:13">
      <c r="A830" s="1655">
        <f t="shared" si="162"/>
        <v>0</v>
      </c>
      <c r="B830" s="1412"/>
      <c r="C830" s="1621" t="s">
        <v>4973</v>
      </c>
      <c r="D830" s="1683"/>
      <c r="E830" s="1678">
        <f t="shared" si="163"/>
        <v>0</v>
      </c>
      <c r="F830" s="1687"/>
      <c r="G830" s="1684"/>
      <c r="H830" s="1684"/>
      <c r="I830" s="1684"/>
      <c r="J830" s="1684"/>
      <c r="K830" s="1685" t="str">
        <f t="shared" si="160"/>
        <v/>
      </c>
      <c r="L830" s="1685" t="str">
        <f t="shared" si="161"/>
        <v/>
      </c>
      <c r="M830" s="1686"/>
    </row>
    <row r="831" spans="1:13">
      <c r="A831" s="1655">
        <f t="shared" si="162"/>
        <v>0</v>
      </c>
      <c r="B831" s="1412"/>
      <c r="C831" s="1621" t="s">
        <v>4974</v>
      </c>
      <c r="D831" s="1683"/>
      <c r="E831" s="1678">
        <f t="shared" si="163"/>
        <v>0</v>
      </c>
      <c r="F831" s="1687"/>
      <c r="G831" s="1684"/>
      <c r="H831" s="1684"/>
      <c r="I831" s="1684"/>
      <c r="J831" s="1684"/>
      <c r="K831" s="1685" t="str">
        <f t="shared" si="160"/>
        <v/>
      </c>
      <c r="L831" s="1685" t="str">
        <f t="shared" si="161"/>
        <v/>
      </c>
      <c r="M831" s="1686"/>
    </row>
    <row r="832" spans="1:13">
      <c r="A832" s="1655">
        <f t="shared" si="162"/>
        <v>0</v>
      </c>
      <c r="B832" s="1409"/>
      <c r="C832" s="1621" t="s">
        <v>4975</v>
      </c>
      <c r="D832" s="1683"/>
      <c r="E832" s="1678">
        <f t="shared" si="163"/>
        <v>0</v>
      </c>
      <c r="F832" s="1687"/>
      <c r="G832" s="1684"/>
      <c r="H832" s="1684"/>
      <c r="I832" s="1684"/>
      <c r="J832" s="1684"/>
      <c r="K832" s="1685" t="str">
        <f t="shared" si="160"/>
        <v/>
      </c>
      <c r="L832" s="1685" t="str">
        <f t="shared" si="161"/>
        <v/>
      </c>
      <c r="M832" s="1686"/>
    </row>
    <row r="833" spans="1:13">
      <c r="A833" s="1655">
        <f t="shared" si="162"/>
        <v>0</v>
      </c>
      <c r="B833" s="1409"/>
      <c r="C833" s="1621" t="s">
        <v>4976</v>
      </c>
      <c r="D833" s="1683"/>
      <c r="E833" s="1678">
        <f t="shared" si="163"/>
        <v>0</v>
      </c>
      <c r="F833" s="1687"/>
      <c r="G833" s="1684"/>
      <c r="H833" s="1684"/>
      <c r="I833" s="1684"/>
      <c r="J833" s="1684"/>
      <c r="K833" s="1685" t="str">
        <f t="shared" si="160"/>
        <v/>
      </c>
      <c r="L833" s="1685" t="str">
        <f t="shared" si="161"/>
        <v/>
      </c>
      <c r="M833" s="1686"/>
    </row>
    <row r="834" spans="1:13">
      <c r="A834" s="1655">
        <f t="shared" si="162"/>
        <v>0</v>
      </c>
      <c r="B834" s="1409"/>
      <c r="C834" s="1621" t="s">
        <v>4977</v>
      </c>
      <c r="D834" s="1683"/>
      <c r="E834" s="1678">
        <f t="shared" si="163"/>
        <v>0</v>
      </c>
      <c r="F834" s="1687"/>
      <c r="G834" s="1684"/>
      <c r="H834" s="1684"/>
      <c r="I834" s="1684"/>
      <c r="J834" s="1684"/>
      <c r="K834" s="1685" t="str">
        <f t="shared" si="160"/>
        <v/>
      </c>
      <c r="L834" s="1685" t="str">
        <f t="shared" si="161"/>
        <v/>
      </c>
      <c r="M834" s="1686"/>
    </row>
    <row r="835" spans="1:13">
      <c r="A835" s="1655">
        <f t="shared" si="162"/>
        <v>0</v>
      </c>
      <c r="B835" s="1409"/>
      <c r="C835" s="1621" t="s">
        <v>4978</v>
      </c>
      <c r="D835" s="1683"/>
      <c r="E835" s="1678">
        <f t="shared" si="163"/>
        <v>0</v>
      </c>
      <c r="F835" s="1687"/>
      <c r="G835" s="1684"/>
      <c r="H835" s="1684"/>
      <c r="I835" s="1684"/>
      <c r="J835" s="1684"/>
      <c r="K835" s="1685" t="str">
        <f t="shared" si="160"/>
        <v/>
      </c>
      <c r="L835" s="1685" t="str">
        <f t="shared" si="161"/>
        <v/>
      </c>
      <c r="M835" s="1686"/>
    </row>
    <row r="836" spans="1:13">
      <c r="A836" s="1655">
        <f t="shared" si="162"/>
        <v>0</v>
      </c>
      <c r="B836" s="1409"/>
      <c r="C836" s="1621" t="s">
        <v>4979</v>
      </c>
      <c r="D836" s="1683"/>
      <c r="E836" s="1678">
        <f t="shared" si="163"/>
        <v>0</v>
      </c>
      <c r="F836" s="1687"/>
      <c r="G836" s="1684"/>
      <c r="H836" s="1684"/>
      <c r="I836" s="1684"/>
      <c r="J836" s="1684"/>
      <c r="K836" s="1685" t="str">
        <f t="shared" si="160"/>
        <v/>
      </c>
      <c r="L836" s="1685" t="str">
        <f t="shared" si="161"/>
        <v/>
      </c>
      <c r="M836" s="1686"/>
    </row>
    <row r="837" spans="1:13">
      <c r="A837" s="1655">
        <f t="shared" si="162"/>
        <v>0</v>
      </c>
      <c r="B837" s="1409"/>
      <c r="C837" s="1621" t="s">
        <v>4980</v>
      </c>
      <c r="D837" s="1683"/>
      <c r="E837" s="1678">
        <f t="shared" si="163"/>
        <v>0</v>
      </c>
      <c r="F837" s="1687"/>
      <c r="G837" s="1684"/>
      <c r="H837" s="1684"/>
      <c r="I837" s="1684"/>
      <c r="J837" s="1684"/>
      <c r="K837" s="1685" t="str">
        <f t="shared" si="160"/>
        <v/>
      </c>
      <c r="L837" s="1685" t="str">
        <f t="shared" si="161"/>
        <v/>
      </c>
      <c r="M837" s="1686"/>
    </row>
    <row r="838" spans="1:13">
      <c r="A838" s="1655">
        <f t="shared" si="162"/>
        <v>0</v>
      </c>
      <c r="B838" s="1409"/>
      <c r="C838" s="1621" t="s">
        <v>4981</v>
      </c>
      <c r="D838" s="1683"/>
      <c r="E838" s="1678">
        <f t="shared" si="163"/>
        <v>0</v>
      </c>
      <c r="F838" s="1687"/>
      <c r="G838" s="1684"/>
      <c r="H838" s="1684"/>
      <c r="I838" s="1684"/>
      <c r="J838" s="1684"/>
      <c r="K838" s="1685" t="str">
        <f t="shared" si="160"/>
        <v/>
      </c>
      <c r="L838" s="1685" t="str">
        <f t="shared" si="161"/>
        <v/>
      </c>
      <c r="M838" s="1686"/>
    </row>
    <row r="839" spans="1:13">
      <c r="A839" s="1655">
        <f t="shared" si="162"/>
        <v>0</v>
      </c>
      <c r="B839" s="1409"/>
      <c r="C839" s="1621" t="s">
        <v>4982</v>
      </c>
      <c r="D839" s="1683"/>
      <c r="E839" s="1678">
        <f t="shared" si="163"/>
        <v>0</v>
      </c>
      <c r="F839" s="1687"/>
      <c r="G839" s="1684"/>
      <c r="H839" s="1684"/>
      <c r="I839" s="1684"/>
      <c r="J839" s="1684"/>
      <c r="K839" s="1685" t="str">
        <f t="shared" si="160"/>
        <v/>
      </c>
      <c r="L839" s="1685" t="str">
        <f t="shared" si="161"/>
        <v/>
      </c>
      <c r="M839" s="1686"/>
    </row>
    <row r="840" spans="1:13">
      <c r="A840" s="1655">
        <f t="shared" si="162"/>
        <v>0</v>
      </c>
      <c r="B840" s="1409"/>
      <c r="C840" s="1621" t="s">
        <v>4983</v>
      </c>
      <c r="D840" s="1683"/>
      <c r="E840" s="1678">
        <f t="shared" si="163"/>
        <v>0</v>
      </c>
      <c r="F840" s="1687"/>
      <c r="G840" s="1684"/>
      <c r="H840" s="1684"/>
      <c r="I840" s="1684"/>
      <c r="J840" s="1684"/>
      <c r="K840" s="1685" t="str">
        <f t="shared" si="160"/>
        <v/>
      </c>
      <c r="L840" s="1685" t="str">
        <f t="shared" si="161"/>
        <v/>
      </c>
      <c r="M840" s="1686"/>
    </row>
    <row r="841" spans="1:13">
      <c r="A841" s="1655">
        <f t="shared" si="162"/>
        <v>0</v>
      </c>
      <c r="B841" s="1409"/>
      <c r="C841" s="1621" t="s">
        <v>4984</v>
      </c>
      <c r="D841" s="1683"/>
      <c r="E841" s="1678">
        <f t="shared" si="163"/>
        <v>0</v>
      </c>
      <c r="F841" s="1687"/>
      <c r="G841" s="1684"/>
      <c r="H841" s="1684"/>
      <c r="I841" s="1684"/>
      <c r="J841" s="1684"/>
      <c r="K841" s="1685" t="str">
        <f t="shared" si="160"/>
        <v/>
      </c>
      <c r="L841" s="1685" t="str">
        <f t="shared" si="161"/>
        <v/>
      </c>
      <c r="M841" s="1686"/>
    </row>
    <row r="842" spans="1:13">
      <c r="A842" s="1655">
        <f t="shared" si="162"/>
        <v>0</v>
      </c>
      <c r="B842" s="1409"/>
      <c r="C842" s="1621" t="s">
        <v>4985</v>
      </c>
      <c r="D842" s="1683"/>
      <c r="E842" s="1678">
        <f t="shared" si="163"/>
        <v>0</v>
      </c>
      <c r="F842" s="1687"/>
      <c r="G842" s="1684"/>
      <c r="H842" s="1684"/>
      <c r="I842" s="1684"/>
      <c r="J842" s="1684"/>
      <c r="K842" s="1685" t="str">
        <f t="shared" si="160"/>
        <v/>
      </c>
      <c r="L842" s="1685" t="str">
        <f t="shared" si="161"/>
        <v/>
      </c>
      <c r="M842" s="1686"/>
    </row>
    <row r="843" spans="1:13">
      <c r="A843" s="1655">
        <f t="shared" si="162"/>
        <v>0</v>
      </c>
      <c r="B843" s="1688"/>
      <c r="C843" s="1689" t="s">
        <v>4986</v>
      </c>
      <c r="D843" s="1690"/>
      <c r="E843" s="1691">
        <f t="shared" si="163"/>
        <v>0</v>
      </c>
      <c r="F843" s="1692"/>
      <c r="G843" s="1693"/>
      <c r="H843" s="1693"/>
      <c r="I843" s="1693"/>
      <c r="J843" s="1693"/>
      <c r="K843" s="1694" t="str">
        <f t="shared" si="160"/>
        <v/>
      </c>
      <c r="L843" s="1694" t="str">
        <f t="shared" si="161"/>
        <v/>
      </c>
      <c r="M843" s="1695"/>
    </row>
    <row r="844" spans="1:13">
      <c r="A844" s="1674">
        <f>A818+1</f>
        <v>33</v>
      </c>
      <c r="B844" s="1675" t="s">
        <v>5050</v>
      </c>
      <c r="C844" s="1676"/>
      <c r="D844" s="1677"/>
      <c r="E844" s="1679">
        <f t="shared" ref="E844:I844" si="164">SUM(E845:E869)</f>
        <v>0</v>
      </c>
      <c r="F844" s="1679">
        <f t="shared" si="164"/>
        <v>0</v>
      </c>
      <c r="G844" s="1679">
        <f t="shared" si="164"/>
        <v>0</v>
      </c>
      <c r="H844" s="1679">
        <f t="shared" si="164"/>
        <v>0</v>
      </c>
      <c r="I844" s="1679">
        <f t="shared" si="164"/>
        <v>0</v>
      </c>
      <c r="J844" s="1679">
        <f>SUM(J845:J869)</f>
        <v>0</v>
      </c>
      <c r="K844" s="1680" t="str">
        <f>IFERROR(E844/$C$6,"")</f>
        <v/>
      </c>
      <c r="L844" s="1680" t="str">
        <f>IFERROR(E844/$C$7,"")</f>
        <v/>
      </c>
      <c r="M844" s="1681">
        <f>SUM(M845:M869)</f>
        <v>0</v>
      </c>
    </row>
    <row r="845" spans="1:13">
      <c r="A845" s="1655">
        <f>IF(E845&lt;&gt;0,1,0)</f>
        <v>0</v>
      </c>
      <c r="B845" s="1412"/>
      <c r="C845" s="1621" t="s">
        <v>4962</v>
      </c>
      <c r="D845" s="1683"/>
      <c r="E845" s="1678">
        <f>SUM(F845:J845)</f>
        <v>0</v>
      </c>
      <c r="F845" s="1684"/>
      <c r="G845" s="1684"/>
      <c r="H845" s="1684"/>
      <c r="I845" s="1684"/>
      <c r="J845" s="1684"/>
      <c r="K845" s="1685" t="str">
        <f t="shared" ref="K845:K869" si="165">IFERROR(E845/$C$6,"")</f>
        <v/>
      </c>
      <c r="L845" s="1685" t="str">
        <f t="shared" ref="L845:L869" si="166">IFERROR(E845/$C$7,"")</f>
        <v/>
      </c>
      <c r="M845" s="1686"/>
    </row>
    <row r="846" spans="1:13">
      <c r="A846" s="1655">
        <f t="shared" ref="A846:A869" si="167">IF(E846&lt;&gt;0,1,0)</f>
        <v>0</v>
      </c>
      <c r="B846" s="1409"/>
      <c r="C846" s="1621" t="s">
        <v>4963</v>
      </c>
      <c r="D846" s="1683"/>
      <c r="E846" s="1678">
        <f t="shared" ref="E846:E869" si="168">SUM(F846:J846)</f>
        <v>0</v>
      </c>
      <c r="F846" s="1687"/>
      <c r="G846" s="1684"/>
      <c r="H846" s="1684"/>
      <c r="I846" s="1684"/>
      <c r="J846" s="1684"/>
      <c r="K846" s="1685" t="str">
        <f t="shared" si="165"/>
        <v/>
      </c>
      <c r="L846" s="1685" t="str">
        <f t="shared" si="166"/>
        <v/>
      </c>
      <c r="M846" s="1686"/>
    </row>
    <row r="847" spans="1:13">
      <c r="A847" s="1655">
        <f t="shared" si="167"/>
        <v>0</v>
      </c>
      <c r="B847" s="1409"/>
      <c r="C847" s="1621" t="s">
        <v>4964</v>
      </c>
      <c r="D847" s="1683"/>
      <c r="E847" s="1678">
        <f t="shared" si="168"/>
        <v>0</v>
      </c>
      <c r="F847" s="1687"/>
      <c r="G847" s="1684"/>
      <c r="H847" s="1684"/>
      <c r="I847" s="1684"/>
      <c r="J847" s="1684"/>
      <c r="K847" s="1685" t="str">
        <f t="shared" si="165"/>
        <v/>
      </c>
      <c r="L847" s="1685" t="str">
        <f t="shared" si="166"/>
        <v/>
      </c>
      <c r="M847" s="1686"/>
    </row>
    <row r="848" spans="1:13">
      <c r="A848" s="1655">
        <f t="shared" si="167"/>
        <v>0</v>
      </c>
      <c r="B848" s="1409"/>
      <c r="C848" s="1621" t="s">
        <v>4965</v>
      </c>
      <c r="D848" s="1683"/>
      <c r="E848" s="1678">
        <f t="shared" si="168"/>
        <v>0</v>
      </c>
      <c r="F848" s="1687"/>
      <c r="G848" s="1684"/>
      <c r="H848" s="1684"/>
      <c r="I848" s="1684"/>
      <c r="J848" s="1684"/>
      <c r="K848" s="1685" t="str">
        <f t="shared" si="165"/>
        <v/>
      </c>
      <c r="L848" s="1685" t="str">
        <f t="shared" si="166"/>
        <v/>
      </c>
      <c r="M848" s="1686"/>
    </row>
    <row r="849" spans="1:13">
      <c r="A849" s="1655">
        <f t="shared" si="167"/>
        <v>0</v>
      </c>
      <c r="B849" s="1409"/>
      <c r="C849" s="1621" t="s">
        <v>4966</v>
      </c>
      <c r="D849" s="1683"/>
      <c r="E849" s="1678">
        <f t="shared" si="168"/>
        <v>0</v>
      </c>
      <c r="F849" s="1687"/>
      <c r="G849" s="1684"/>
      <c r="H849" s="1684"/>
      <c r="I849" s="1684"/>
      <c r="J849" s="1684"/>
      <c r="K849" s="1685" t="str">
        <f t="shared" si="165"/>
        <v/>
      </c>
      <c r="L849" s="1685" t="str">
        <f t="shared" si="166"/>
        <v/>
      </c>
      <c r="M849" s="1686"/>
    </row>
    <row r="850" spans="1:13">
      <c r="A850" s="1655">
        <f t="shared" si="167"/>
        <v>0</v>
      </c>
      <c r="B850" s="1409"/>
      <c r="C850" s="1621" t="s">
        <v>4967</v>
      </c>
      <c r="D850" s="1683"/>
      <c r="E850" s="1678">
        <f t="shared" si="168"/>
        <v>0</v>
      </c>
      <c r="F850" s="1687"/>
      <c r="G850" s="1684"/>
      <c r="H850" s="1684"/>
      <c r="I850" s="1684"/>
      <c r="J850" s="1684"/>
      <c r="K850" s="1685" t="str">
        <f t="shared" si="165"/>
        <v/>
      </c>
      <c r="L850" s="1685" t="str">
        <f t="shared" si="166"/>
        <v/>
      </c>
      <c r="M850" s="1686"/>
    </row>
    <row r="851" spans="1:13">
      <c r="A851" s="1655">
        <f t="shared" si="167"/>
        <v>0</v>
      </c>
      <c r="B851" s="1409"/>
      <c r="C851" s="1621" t="s">
        <v>4968</v>
      </c>
      <c r="D851" s="1683"/>
      <c r="E851" s="1678">
        <f t="shared" si="168"/>
        <v>0</v>
      </c>
      <c r="F851" s="1687"/>
      <c r="G851" s="1684"/>
      <c r="H851" s="1684"/>
      <c r="I851" s="1684"/>
      <c r="J851" s="1684"/>
      <c r="K851" s="1685" t="str">
        <f t="shared" si="165"/>
        <v/>
      </c>
      <c r="L851" s="1685" t="str">
        <f t="shared" si="166"/>
        <v/>
      </c>
      <c r="M851" s="1686"/>
    </row>
    <row r="852" spans="1:13">
      <c r="A852" s="1655">
        <f t="shared" si="167"/>
        <v>0</v>
      </c>
      <c r="B852" s="1409"/>
      <c r="C852" s="1621" t="s">
        <v>4969</v>
      </c>
      <c r="D852" s="1683"/>
      <c r="E852" s="1678">
        <f t="shared" si="168"/>
        <v>0</v>
      </c>
      <c r="F852" s="1687"/>
      <c r="G852" s="1684"/>
      <c r="H852" s="1684"/>
      <c r="I852" s="1684"/>
      <c r="J852" s="1684"/>
      <c r="K852" s="1685" t="str">
        <f t="shared" si="165"/>
        <v/>
      </c>
      <c r="L852" s="1685" t="str">
        <f t="shared" si="166"/>
        <v/>
      </c>
      <c r="M852" s="1686"/>
    </row>
    <row r="853" spans="1:13">
      <c r="A853" s="1655">
        <f t="shared" si="167"/>
        <v>0</v>
      </c>
      <c r="B853" s="1409"/>
      <c r="C853" s="1621" t="s">
        <v>4970</v>
      </c>
      <c r="D853" s="1683"/>
      <c r="E853" s="1678">
        <f t="shared" si="168"/>
        <v>0</v>
      </c>
      <c r="F853" s="1687"/>
      <c r="G853" s="1684"/>
      <c r="H853" s="1684"/>
      <c r="I853" s="1684"/>
      <c r="J853" s="1684"/>
      <c r="K853" s="1685" t="str">
        <f t="shared" si="165"/>
        <v/>
      </c>
      <c r="L853" s="1685" t="str">
        <f t="shared" si="166"/>
        <v/>
      </c>
      <c r="M853" s="1686"/>
    </row>
    <row r="854" spans="1:13">
      <c r="A854" s="1655">
        <f t="shared" si="167"/>
        <v>0</v>
      </c>
      <c r="B854" s="1409"/>
      <c r="C854" s="1621" t="s">
        <v>4971</v>
      </c>
      <c r="D854" s="1683"/>
      <c r="E854" s="1678">
        <f t="shared" si="168"/>
        <v>0</v>
      </c>
      <c r="F854" s="1687"/>
      <c r="G854" s="1684"/>
      <c r="H854" s="1684"/>
      <c r="I854" s="1684"/>
      <c r="J854" s="1684"/>
      <c r="K854" s="1685" t="str">
        <f t="shared" si="165"/>
        <v/>
      </c>
      <c r="L854" s="1685" t="str">
        <f t="shared" si="166"/>
        <v/>
      </c>
      <c r="M854" s="1686"/>
    </row>
    <row r="855" spans="1:13">
      <c r="A855" s="1655">
        <f t="shared" si="167"/>
        <v>0</v>
      </c>
      <c r="B855" s="1409"/>
      <c r="C855" s="1621" t="s">
        <v>4972</v>
      </c>
      <c r="D855" s="1683"/>
      <c r="E855" s="1678">
        <f t="shared" si="168"/>
        <v>0</v>
      </c>
      <c r="F855" s="1687"/>
      <c r="G855" s="1684"/>
      <c r="H855" s="1684"/>
      <c r="I855" s="1684"/>
      <c r="J855" s="1684"/>
      <c r="K855" s="1685" t="str">
        <f t="shared" si="165"/>
        <v/>
      </c>
      <c r="L855" s="1685" t="str">
        <f t="shared" si="166"/>
        <v/>
      </c>
      <c r="M855" s="1686"/>
    </row>
    <row r="856" spans="1:13">
      <c r="A856" s="1655">
        <f t="shared" si="167"/>
        <v>0</v>
      </c>
      <c r="B856" s="1412"/>
      <c r="C856" s="1621" t="s">
        <v>4973</v>
      </c>
      <c r="D856" s="1683"/>
      <c r="E856" s="1678">
        <f t="shared" si="168"/>
        <v>0</v>
      </c>
      <c r="F856" s="1687"/>
      <c r="G856" s="1684"/>
      <c r="H856" s="1684"/>
      <c r="I856" s="1684"/>
      <c r="J856" s="1684"/>
      <c r="K856" s="1685" t="str">
        <f t="shared" si="165"/>
        <v/>
      </c>
      <c r="L856" s="1685" t="str">
        <f t="shared" si="166"/>
        <v/>
      </c>
      <c r="M856" s="1686"/>
    </row>
    <row r="857" spans="1:13">
      <c r="A857" s="1655">
        <f t="shared" si="167"/>
        <v>0</v>
      </c>
      <c r="B857" s="1412"/>
      <c r="C857" s="1621" t="s">
        <v>4974</v>
      </c>
      <c r="D857" s="1683"/>
      <c r="E857" s="1678">
        <f t="shared" si="168"/>
        <v>0</v>
      </c>
      <c r="F857" s="1687"/>
      <c r="G857" s="1684"/>
      <c r="H857" s="1684"/>
      <c r="I857" s="1684"/>
      <c r="J857" s="1684"/>
      <c r="K857" s="1685" t="str">
        <f t="shared" si="165"/>
        <v/>
      </c>
      <c r="L857" s="1685" t="str">
        <f t="shared" si="166"/>
        <v/>
      </c>
      <c r="M857" s="1686"/>
    </row>
    <row r="858" spans="1:13">
      <c r="A858" s="1655">
        <f t="shared" si="167"/>
        <v>0</v>
      </c>
      <c r="B858" s="1409"/>
      <c r="C858" s="1621" t="s">
        <v>4975</v>
      </c>
      <c r="D858" s="1683"/>
      <c r="E858" s="1678">
        <f t="shared" si="168"/>
        <v>0</v>
      </c>
      <c r="F858" s="1687"/>
      <c r="G858" s="1684"/>
      <c r="H858" s="1684"/>
      <c r="I858" s="1684"/>
      <c r="J858" s="1684"/>
      <c r="K858" s="1685" t="str">
        <f t="shared" si="165"/>
        <v/>
      </c>
      <c r="L858" s="1685" t="str">
        <f t="shared" si="166"/>
        <v/>
      </c>
      <c r="M858" s="1686"/>
    </row>
    <row r="859" spans="1:13">
      <c r="A859" s="1655">
        <f t="shared" si="167"/>
        <v>0</v>
      </c>
      <c r="B859" s="1409"/>
      <c r="C859" s="1621" t="s">
        <v>4976</v>
      </c>
      <c r="D859" s="1683"/>
      <c r="E859" s="1678">
        <f t="shared" si="168"/>
        <v>0</v>
      </c>
      <c r="F859" s="1687"/>
      <c r="G859" s="1684"/>
      <c r="H859" s="1684"/>
      <c r="I859" s="1684"/>
      <c r="J859" s="1684"/>
      <c r="K859" s="1685" t="str">
        <f t="shared" si="165"/>
        <v/>
      </c>
      <c r="L859" s="1685" t="str">
        <f t="shared" si="166"/>
        <v/>
      </c>
      <c r="M859" s="1686"/>
    </row>
    <row r="860" spans="1:13">
      <c r="A860" s="1655">
        <f t="shared" si="167"/>
        <v>0</v>
      </c>
      <c r="B860" s="1409"/>
      <c r="C860" s="1621" t="s">
        <v>4977</v>
      </c>
      <c r="D860" s="1683"/>
      <c r="E860" s="1678">
        <f t="shared" si="168"/>
        <v>0</v>
      </c>
      <c r="F860" s="1687"/>
      <c r="G860" s="1684"/>
      <c r="H860" s="1684"/>
      <c r="I860" s="1684"/>
      <c r="J860" s="1684"/>
      <c r="K860" s="1685" t="str">
        <f t="shared" si="165"/>
        <v/>
      </c>
      <c r="L860" s="1685" t="str">
        <f t="shared" si="166"/>
        <v/>
      </c>
      <c r="M860" s="1686"/>
    </row>
    <row r="861" spans="1:13">
      <c r="A861" s="1655">
        <f t="shared" si="167"/>
        <v>0</v>
      </c>
      <c r="B861" s="1409"/>
      <c r="C861" s="1621" t="s">
        <v>4978</v>
      </c>
      <c r="D861" s="1683"/>
      <c r="E861" s="1678">
        <f t="shared" si="168"/>
        <v>0</v>
      </c>
      <c r="F861" s="1687"/>
      <c r="G861" s="1684"/>
      <c r="H861" s="1684"/>
      <c r="I861" s="1684"/>
      <c r="J861" s="1684"/>
      <c r="K861" s="1685" t="str">
        <f t="shared" si="165"/>
        <v/>
      </c>
      <c r="L861" s="1685" t="str">
        <f t="shared" si="166"/>
        <v/>
      </c>
      <c r="M861" s="1686"/>
    </row>
    <row r="862" spans="1:13">
      <c r="A862" s="1655">
        <f t="shared" si="167"/>
        <v>0</v>
      </c>
      <c r="B862" s="1409"/>
      <c r="C862" s="1621" t="s">
        <v>4979</v>
      </c>
      <c r="D862" s="1683"/>
      <c r="E862" s="1678">
        <f t="shared" si="168"/>
        <v>0</v>
      </c>
      <c r="F862" s="1687"/>
      <c r="G862" s="1684"/>
      <c r="H862" s="1684"/>
      <c r="I862" s="1684"/>
      <c r="J862" s="1684"/>
      <c r="K862" s="1685" t="str">
        <f t="shared" si="165"/>
        <v/>
      </c>
      <c r="L862" s="1685" t="str">
        <f t="shared" si="166"/>
        <v/>
      </c>
      <c r="M862" s="1686"/>
    </row>
    <row r="863" spans="1:13">
      <c r="A863" s="1655">
        <f t="shared" si="167"/>
        <v>0</v>
      </c>
      <c r="B863" s="1409"/>
      <c r="C863" s="1621" t="s">
        <v>4980</v>
      </c>
      <c r="D863" s="1683"/>
      <c r="E863" s="1678">
        <f t="shared" si="168"/>
        <v>0</v>
      </c>
      <c r="F863" s="1687"/>
      <c r="G863" s="1684"/>
      <c r="H863" s="1684"/>
      <c r="I863" s="1684"/>
      <c r="J863" s="1684"/>
      <c r="K863" s="1685" t="str">
        <f t="shared" si="165"/>
        <v/>
      </c>
      <c r="L863" s="1685" t="str">
        <f t="shared" si="166"/>
        <v/>
      </c>
      <c r="M863" s="1686"/>
    </row>
    <row r="864" spans="1:13">
      <c r="A864" s="1655">
        <f t="shared" si="167"/>
        <v>0</v>
      </c>
      <c r="B864" s="1409"/>
      <c r="C864" s="1621" t="s">
        <v>4981</v>
      </c>
      <c r="D864" s="1683"/>
      <c r="E864" s="1678">
        <f t="shared" si="168"/>
        <v>0</v>
      </c>
      <c r="F864" s="1687"/>
      <c r="G864" s="1684"/>
      <c r="H864" s="1684"/>
      <c r="I864" s="1684"/>
      <c r="J864" s="1684"/>
      <c r="K864" s="1685" t="str">
        <f t="shared" si="165"/>
        <v/>
      </c>
      <c r="L864" s="1685" t="str">
        <f t="shared" si="166"/>
        <v/>
      </c>
      <c r="M864" s="1686"/>
    </row>
    <row r="865" spans="1:13">
      <c r="A865" s="1655">
        <f t="shared" si="167"/>
        <v>0</v>
      </c>
      <c r="B865" s="1409"/>
      <c r="C865" s="1621" t="s">
        <v>4982</v>
      </c>
      <c r="D865" s="1683"/>
      <c r="E865" s="1678">
        <f t="shared" si="168"/>
        <v>0</v>
      </c>
      <c r="F865" s="1687"/>
      <c r="G865" s="1684"/>
      <c r="H865" s="1684"/>
      <c r="I865" s="1684"/>
      <c r="J865" s="1684"/>
      <c r="K865" s="1685" t="str">
        <f t="shared" si="165"/>
        <v/>
      </c>
      <c r="L865" s="1685" t="str">
        <f t="shared" si="166"/>
        <v/>
      </c>
      <c r="M865" s="1686"/>
    </row>
    <row r="866" spans="1:13">
      <c r="A866" s="1655">
        <f t="shared" si="167"/>
        <v>0</v>
      </c>
      <c r="B866" s="1409"/>
      <c r="C866" s="1621" t="s">
        <v>4983</v>
      </c>
      <c r="D866" s="1683"/>
      <c r="E866" s="1678">
        <f t="shared" si="168"/>
        <v>0</v>
      </c>
      <c r="F866" s="1687"/>
      <c r="G866" s="1684"/>
      <c r="H866" s="1684"/>
      <c r="I866" s="1684"/>
      <c r="J866" s="1684"/>
      <c r="K866" s="1685" t="str">
        <f t="shared" si="165"/>
        <v/>
      </c>
      <c r="L866" s="1685" t="str">
        <f t="shared" si="166"/>
        <v/>
      </c>
      <c r="M866" s="1686"/>
    </row>
    <row r="867" spans="1:13">
      <c r="A867" s="1655">
        <f t="shared" si="167"/>
        <v>0</v>
      </c>
      <c r="B867" s="1409"/>
      <c r="C867" s="1621" t="s">
        <v>4984</v>
      </c>
      <c r="D867" s="1683"/>
      <c r="E867" s="1678">
        <f t="shared" si="168"/>
        <v>0</v>
      </c>
      <c r="F867" s="1687"/>
      <c r="G867" s="1684"/>
      <c r="H867" s="1684"/>
      <c r="I867" s="1684"/>
      <c r="J867" s="1684"/>
      <c r="K867" s="1685" t="str">
        <f t="shared" si="165"/>
        <v/>
      </c>
      <c r="L867" s="1685" t="str">
        <f t="shared" si="166"/>
        <v/>
      </c>
      <c r="M867" s="1686"/>
    </row>
    <row r="868" spans="1:13">
      <c r="A868" s="1655">
        <f t="shared" si="167"/>
        <v>0</v>
      </c>
      <c r="B868" s="1409"/>
      <c r="C868" s="1621" t="s">
        <v>4985</v>
      </c>
      <c r="D868" s="1683"/>
      <c r="E868" s="1678">
        <f t="shared" si="168"/>
        <v>0</v>
      </c>
      <c r="F868" s="1687"/>
      <c r="G868" s="1684"/>
      <c r="H868" s="1684"/>
      <c r="I868" s="1684"/>
      <c r="J868" s="1684"/>
      <c r="K868" s="1685" t="str">
        <f t="shared" si="165"/>
        <v/>
      </c>
      <c r="L868" s="1685" t="str">
        <f t="shared" si="166"/>
        <v/>
      </c>
      <c r="M868" s="1686"/>
    </row>
    <row r="869" spans="1:13">
      <c r="A869" s="1655">
        <f t="shared" si="167"/>
        <v>0</v>
      </c>
      <c r="B869" s="1688"/>
      <c r="C869" s="1689" t="s">
        <v>4986</v>
      </c>
      <c r="D869" s="1690"/>
      <c r="E869" s="1691">
        <f t="shared" si="168"/>
        <v>0</v>
      </c>
      <c r="F869" s="1692"/>
      <c r="G869" s="1693"/>
      <c r="H869" s="1693"/>
      <c r="I869" s="1693"/>
      <c r="J869" s="1693"/>
      <c r="K869" s="1694" t="str">
        <f t="shared" si="165"/>
        <v/>
      </c>
      <c r="L869" s="1694" t="str">
        <f t="shared" si="166"/>
        <v/>
      </c>
      <c r="M869" s="1695"/>
    </row>
    <row r="870" spans="1:13">
      <c r="A870" s="1674">
        <f>A844+1</f>
        <v>34</v>
      </c>
      <c r="B870" s="1675" t="s">
        <v>5050</v>
      </c>
      <c r="C870" s="1676"/>
      <c r="D870" s="1677"/>
      <c r="E870" s="1679">
        <f t="shared" ref="E870:I870" si="169">SUM(E871:E895)</f>
        <v>0</v>
      </c>
      <c r="F870" s="1679">
        <f t="shared" si="169"/>
        <v>0</v>
      </c>
      <c r="G870" s="1679">
        <f t="shared" si="169"/>
        <v>0</v>
      </c>
      <c r="H870" s="1679">
        <f t="shared" si="169"/>
        <v>0</v>
      </c>
      <c r="I870" s="1679">
        <f t="shared" si="169"/>
        <v>0</v>
      </c>
      <c r="J870" s="1679">
        <f>SUM(J871:J895)</f>
        <v>0</v>
      </c>
      <c r="K870" s="1680" t="str">
        <f>IFERROR(E870/$C$6,"")</f>
        <v/>
      </c>
      <c r="L870" s="1680" t="str">
        <f>IFERROR(E870/$C$7,"")</f>
        <v/>
      </c>
      <c r="M870" s="1681">
        <f>SUM(M871:M895)</f>
        <v>0</v>
      </c>
    </row>
    <row r="871" spans="1:13">
      <c r="A871" s="1655">
        <f>IF(E871&lt;&gt;0,1,0)</f>
        <v>0</v>
      </c>
      <c r="B871" s="1412"/>
      <c r="C871" s="1621" t="s">
        <v>4962</v>
      </c>
      <c r="D871" s="1683"/>
      <c r="E871" s="1678">
        <f>SUM(F871:J871)</f>
        <v>0</v>
      </c>
      <c r="F871" s="1684"/>
      <c r="G871" s="1684"/>
      <c r="H871" s="1684"/>
      <c r="I871" s="1684"/>
      <c r="J871" s="1684"/>
      <c r="K871" s="1685" t="str">
        <f t="shared" ref="K871:K895" si="170">IFERROR(E871/$C$6,"")</f>
        <v/>
      </c>
      <c r="L871" s="1685" t="str">
        <f t="shared" ref="L871:L895" si="171">IFERROR(E871/$C$7,"")</f>
        <v/>
      </c>
      <c r="M871" s="1686"/>
    </row>
    <row r="872" spans="1:13">
      <c r="A872" s="1655">
        <f t="shared" ref="A872:A895" si="172">IF(E872&lt;&gt;0,1,0)</f>
        <v>0</v>
      </c>
      <c r="B872" s="1409"/>
      <c r="C872" s="1621" t="s">
        <v>4963</v>
      </c>
      <c r="D872" s="1683"/>
      <c r="E872" s="1678">
        <f t="shared" ref="E872:E895" si="173">SUM(F872:J872)</f>
        <v>0</v>
      </c>
      <c r="F872" s="1687"/>
      <c r="G872" s="1684"/>
      <c r="H872" s="1684"/>
      <c r="I872" s="1684"/>
      <c r="J872" s="1684"/>
      <c r="K872" s="1685" t="str">
        <f t="shared" si="170"/>
        <v/>
      </c>
      <c r="L872" s="1685" t="str">
        <f t="shared" si="171"/>
        <v/>
      </c>
      <c r="M872" s="1686"/>
    </row>
    <row r="873" spans="1:13">
      <c r="A873" s="1655">
        <f t="shared" si="172"/>
        <v>0</v>
      </c>
      <c r="B873" s="1409"/>
      <c r="C873" s="1621" t="s">
        <v>4964</v>
      </c>
      <c r="D873" s="1683"/>
      <c r="E873" s="1678">
        <f t="shared" si="173"/>
        <v>0</v>
      </c>
      <c r="F873" s="1687"/>
      <c r="G873" s="1684"/>
      <c r="H873" s="1684"/>
      <c r="I873" s="1684"/>
      <c r="J873" s="1684"/>
      <c r="K873" s="1685" t="str">
        <f t="shared" si="170"/>
        <v/>
      </c>
      <c r="L873" s="1685" t="str">
        <f t="shared" si="171"/>
        <v/>
      </c>
      <c r="M873" s="1686"/>
    </row>
    <row r="874" spans="1:13">
      <c r="A874" s="1655">
        <f t="shared" si="172"/>
        <v>0</v>
      </c>
      <c r="B874" s="1409"/>
      <c r="C874" s="1621" t="s">
        <v>4965</v>
      </c>
      <c r="D874" s="1683"/>
      <c r="E874" s="1678">
        <f t="shared" si="173"/>
        <v>0</v>
      </c>
      <c r="F874" s="1687"/>
      <c r="G874" s="1684"/>
      <c r="H874" s="1684"/>
      <c r="I874" s="1684"/>
      <c r="J874" s="1684"/>
      <c r="K874" s="1685" t="str">
        <f t="shared" si="170"/>
        <v/>
      </c>
      <c r="L874" s="1685" t="str">
        <f t="shared" si="171"/>
        <v/>
      </c>
      <c r="M874" s="1686"/>
    </row>
    <row r="875" spans="1:13">
      <c r="A875" s="1655">
        <f t="shared" si="172"/>
        <v>0</v>
      </c>
      <c r="B875" s="1409"/>
      <c r="C875" s="1621" t="s">
        <v>4966</v>
      </c>
      <c r="D875" s="1683"/>
      <c r="E875" s="1678">
        <f t="shared" si="173"/>
        <v>0</v>
      </c>
      <c r="F875" s="1687"/>
      <c r="G875" s="1684"/>
      <c r="H875" s="1684"/>
      <c r="I875" s="1684"/>
      <c r="J875" s="1684"/>
      <c r="K875" s="1685" t="str">
        <f t="shared" si="170"/>
        <v/>
      </c>
      <c r="L875" s="1685" t="str">
        <f t="shared" si="171"/>
        <v/>
      </c>
      <c r="M875" s="1686"/>
    </row>
    <row r="876" spans="1:13">
      <c r="A876" s="1655">
        <f t="shared" si="172"/>
        <v>0</v>
      </c>
      <c r="B876" s="1409"/>
      <c r="C876" s="1621" t="s">
        <v>4967</v>
      </c>
      <c r="D876" s="1683"/>
      <c r="E876" s="1678">
        <f t="shared" si="173"/>
        <v>0</v>
      </c>
      <c r="F876" s="1687"/>
      <c r="G876" s="1684"/>
      <c r="H876" s="1684"/>
      <c r="I876" s="1684"/>
      <c r="J876" s="1684"/>
      <c r="K876" s="1685" t="str">
        <f t="shared" si="170"/>
        <v/>
      </c>
      <c r="L876" s="1685" t="str">
        <f t="shared" si="171"/>
        <v/>
      </c>
      <c r="M876" s="1686"/>
    </row>
    <row r="877" spans="1:13">
      <c r="A877" s="1655">
        <f t="shared" si="172"/>
        <v>0</v>
      </c>
      <c r="B877" s="1409"/>
      <c r="C877" s="1621" t="s">
        <v>4968</v>
      </c>
      <c r="D877" s="1683"/>
      <c r="E877" s="1678">
        <f t="shared" si="173"/>
        <v>0</v>
      </c>
      <c r="F877" s="1687"/>
      <c r="G877" s="1684"/>
      <c r="H877" s="1684"/>
      <c r="I877" s="1684"/>
      <c r="J877" s="1684"/>
      <c r="K877" s="1685" t="str">
        <f t="shared" si="170"/>
        <v/>
      </c>
      <c r="L877" s="1685" t="str">
        <f t="shared" si="171"/>
        <v/>
      </c>
      <c r="M877" s="1686"/>
    </row>
    <row r="878" spans="1:13">
      <c r="A878" s="1655">
        <f t="shared" si="172"/>
        <v>0</v>
      </c>
      <c r="B878" s="1409"/>
      <c r="C878" s="1621" t="s">
        <v>4969</v>
      </c>
      <c r="D878" s="1683"/>
      <c r="E878" s="1678">
        <f t="shared" si="173"/>
        <v>0</v>
      </c>
      <c r="F878" s="1687"/>
      <c r="G878" s="1684"/>
      <c r="H878" s="1684"/>
      <c r="I878" s="1684"/>
      <c r="J878" s="1684"/>
      <c r="K878" s="1685" t="str">
        <f t="shared" si="170"/>
        <v/>
      </c>
      <c r="L878" s="1685" t="str">
        <f t="shared" si="171"/>
        <v/>
      </c>
      <c r="M878" s="1686"/>
    </row>
    <row r="879" spans="1:13">
      <c r="A879" s="1655">
        <f t="shared" si="172"/>
        <v>0</v>
      </c>
      <c r="B879" s="1409"/>
      <c r="C879" s="1621" t="s">
        <v>4970</v>
      </c>
      <c r="D879" s="1683"/>
      <c r="E879" s="1678">
        <f t="shared" si="173"/>
        <v>0</v>
      </c>
      <c r="F879" s="1687"/>
      <c r="G879" s="1684"/>
      <c r="H879" s="1684"/>
      <c r="I879" s="1684"/>
      <c r="J879" s="1684"/>
      <c r="K879" s="1685" t="str">
        <f t="shared" si="170"/>
        <v/>
      </c>
      <c r="L879" s="1685" t="str">
        <f t="shared" si="171"/>
        <v/>
      </c>
      <c r="M879" s="1686"/>
    </row>
    <row r="880" spans="1:13">
      <c r="A880" s="1655">
        <f t="shared" si="172"/>
        <v>0</v>
      </c>
      <c r="B880" s="1409"/>
      <c r="C880" s="1621" t="s">
        <v>4971</v>
      </c>
      <c r="D880" s="1683"/>
      <c r="E880" s="1678">
        <f t="shared" si="173"/>
        <v>0</v>
      </c>
      <c r="F880" s="1687"/>
      <c r="G880" s="1684"/>
      <c r="H880" s="1684"/>
      <c r="I880" s="1684"/>
      <c r="J880" s="1684"/>
      <c r="K880" s="1685" t="str">
        <f t="shared" si="170"/>
        <v/>
      </c>
      <c r="L880" s="1685" t="str">
        <f t="shared" si="171"/>
        <v/>
      </c>
      <c r="M880" s="1686"/>
    </row>
    <row r="881" spans="1:13">
      <c r="A881" s="1655">
        <f t="shared" si="172"/>
        <v>0</v>
      </c>
      <c r="B881" s="1409"/>
      <c r="C881" s="1621" t="s">
        <v>4972</v>
      </c>
      <c r="D881" s="1683"/>
      <c r="E881" s="1678">
        <f t="shared" si="173"/>
        <v>0</v>
      </c>
      <c r="F881" s="1687"/>
      <c r="G881" s="1684"/>
      <c r="H881" s="1684"/>
      <c r="I881" s="1684"/>
      <c r="J881" s="1684"/>
      <c r="K881" s="1685" t="str">
        <f t="shared" si="170"/>
        <v/>
      </c>
      <c r="L881" s="1685" t="str">
        <f t="shared" si="171"/>
        <v/>
      </c>
      <c r="M881" s="1686"/>
    </row>
    <row r="882" spans="1:13">
      <c r="A882" s="1655">
        <f t="shared" si="172"/>
        <v>0</v>
      </c>
      <c r="B882" s="1412"/>
      <c r="C882" s="1621" t="s">
        <v>4973</v>
      </c>
      <c r="D882" s="1683"/>
      <c r="E882" s="1678">
        <f t="shared" si="173"/>
        <v>0</v>
      </c>
      <c r="F882" s="1687"/>
      <c r="G882" s="1684"/>
      <c r="H882" s="1684"/>
      <c r="I882" s="1684"/>
      <c r="J882" s="1684"/>
      <c r="K882" s="1685" t="str">
        <f t="shared" si="170"/>
        <v/>
      </c>
      <c r="L882" s="1685" t="str">
        <f t="shared" si="171"/>
        <v/>
      </c>
      <c r="M882" s="1686"/>
    </row>
    <row r="883" spans="1:13">
      <c r="A883" s="1655">
        <f t="shared" si="172"/>
        <v>0</v>
      </c>
      <c r="B883" s="1412"/>
      <c r="C883" s="1621" t="s">
        <v>4974</v>
      </c>
      <c r="D883" s="1683"/>
      <c r="E883" s="1678">
        <f t="shared" si="173"/>
        <v>0</v>
      </c>
      <c r="F883" s="1687"/>
      <c r="G883" s="1684"/>
      <c r="H883" s="1684"/>
      <c r="I883" s="1684"/>
      <c r="J883" s="1684"/>
      <c r="K883" s="1685" t="str">
        <f t="shared" si="170"/>
        <v/>
      </c>
      <c r="L883" s="1685" t="str">
        <f t="shared" si="171"/>
        <v/>
      </c>
      <c r="M883" s="1686"/>
    </row>
    <row r="884" spans="1:13">
      <c r="A884" s="1655">
        <f t="shared" si="172"/>
        <v>0</v>
      </c>
      <c r="B884" s="1409"/>
      <c r="C884" s="1621" t="s">
        <v>4975</v>
      </c>
      <c r="D884" s="1683"/>
      <c r="E884" s="1678">
        <f t="shared" si="173"/>
        <v>0</v>
      </c>
      <c r="F884" s="1687"/>
      <c r="G884" s="1684"/>
      <c r="H884" s="1684"/>
      <c r="I884" s="1684"/>
      <c r="J884" s="1684"/>
      <c r="K884" s="1685" t="str">
        <f t="shared" si="170"/>
        <v/>
      </c>
      <c r="L884" s="1685" t="str">
        <f t="shared" si="171"/>
        <v/>
      </c>
      <c r="M884" s="1686"/>
    </row>
    <row r="885" spans="1:13">
      <c r="A885" s="1655">
        <f t="shared" si="172"/>
        <v>0</v>
      </c>
      <c r="B885" s="1409"/>
      <c r="C885" s="1621" t="s">
        <v>4976</v>
      </c>
      <c r="D885" s="1683"/>
      <c r="E885" s="1678">
        <f t="shared" si="173"/>
        <v>0</v>
      </c>
      <c r="F885" s="1687"/>
      <c r="G885" s="1684"/>
      <c r="H885" s="1684"/>
      <c r="I885" s="1684"/>
      <c r="J885" s="1684"/>
      <c r="K885" s="1685" t="str">
        <f t="shared" si="170"/>
        <v/>
      </c>
      <c r="L885" s="1685" t="str">
        <f t="shared" si="171"/>
        <v/>
      </c>
      <c r="M885" s="1686"/>
    </row>
    <row r="886" spans="1:13">
      <c r="A886" s="1655">
        <f t="shared" si="172"/>
        <v>0</v>
      </c>
      <c r="B886" s="1409"/>
      <c r="C886" s="1621" t="s">
        <v>4977</v>
      </c>
      <c r="D886" s="1683"/>
      <c r="E886" s="1678">
        <f t="shared" si="173"/>
        <v>0</v>
      </c>
      <c r="F886" s="1687"/>
      <c r="G886" s="1684"/>
      <c r="H886" s="1684"/>
      <c r="I886" s="1684"/>
      <c r="J886" s="1684"/>
      <c r="K886" s="1685" t="str">
        <f t="shared" si="170"/>
        <v/>
      </c>
      <c r="L886" s="1685" t="str">
        <f t="shared" si="171"/>
        <v/>
      </c>
      <c r="M886" s="1686"/>
    </row>
    <row r="887" spans="1:13">
      <c r="A887" s="1655">
        <f t="shared" si="172"/>
        <v>0</v>
      </c>
      <c r="B887" s="1409"/>
      <c r="C887" s="1621" t="s">
        <v>4978</v>
      </c>
      <c r="D887" s="1683"/>
      <c r="E887" s="1678">
        <f t="shared" si="173"/>
        <v>0</v>
      </c>
      <c r="F887" s="1687"/>
      <c r="G887" s="1684"/>
      <c r="H887" s="1684"/>
      <c r="I887" s="1684"/>
      <c r="J887" s="1684"/>
      <c r="K887" s="1685" t="str">
        <f t="shared" si="170"/>
        <v/>
      </c>
      <c r="L887" s="1685" t="str">
        <f t="shared" si="171"/>
        <v/>
      </c>
      <c r="M887" s="1686"/>
    </row>
    <row r="888" spans="1:13">
      <c r="A888" s="1655">
        <f t="shared" si="172"/>
        <v>0</v>
      </c>
      <c r="B888" s="1409"/>
      <c r="C888" s="1621" t="s">
        <v>4979</v>
      </c>
      <c r="D888" s="1683"/>
      <c r="E888" s="1678">
        <f t="shared" si="173"/>
        <v>0</v>
      </c>
      <c r="F888" s="1687"/>
      <c r="G888" s="1684"/>
      <c r="H888" s="1684"/>
      <c r="I888" s="1684"/>
      <c r="J888" s="1684"/>
      <c r="K888" s="1685" t="str">
        <f t="shared" si="170"/>
        <v/>
      </c>
      <c r="L888" s="1685" t="str">
        <f t="shared" si="171"/>
        <v/>
      </c>
      <c r="M888" s="1686"/>
    </row>
    <row r="889" spans="1:13">
      <c r="A889" s="1655">
        <f t="shared" si="172"/>
        <v>0</v>
      </c>
      <c r="B889" s="1409"/>
      <c r="C889" s="1621" t="s">
        <v>4980</v>
      </c>
      <c r="D889" s="1683"/>
      <c r="E889" s="1678">
        <f t="shared" si="173"/>
        <v>0</v>
      </c>
      <c r="F889" s="1687"/>
      <c r="G889" s="1684"/>
      <c r="H889" s="1684"/>
      <c r="I889" s="1684"/>
      <c r="J889" s="1684"/>
      <c r="K889" s="1685" t="str">
        <f t="shared" si="170"/>
        <v/>
      </c>
      <c r="L889" s="1685" t="str">
        <f t="shared" si="171"/>
        <v/>
      </c>
      <c r="M889" s="1686"/>
    </row>
    <row r="890" spans="1:13">
      <c r="A890" s="1655">
        <f t="shared" si="172"/>
        <v>0</v>
      </c>
      <c r="B890" s="1409"/>
      <c r="C890" s="1621" t="s">
        <v>4981</v>
      </c>
      <c r="D890" s="1683"/>
      <c r="E890" s="1678">
        <f t="shared" si="173"/>
        <v>0</v>
      </c>
      <c r="F890" s="1687"/>
      <c r="G890" s="1684"/>
      <c r="H890" s="1684"/>
      <c r="I890" s="1684"/>
      <c r="J890" s="1684"/>
      <c r="K890" s="1685" t="str">
        <f t="shared" si="170"/>
        <v/>
      </c>
      <c r="L890" s="1685" t="str">
        <f t="shared" si="171"/>
        <v/>
      </c>
      <c r="M890" s="1686"/>
    </row>
    <row r="891" spans="1:13">
      <c r="A891" s="1655">
        <f t="shared" si="172"/>
        <v>0</v>
      </c>
      <c r="B891" s="1409"/>
      <c r="C891" s="1621" t="s">
        <v>4982</v>
      </c>
      <c r="D891" s="1683"/>
      <c r="E891" s="1678">
        <f t="shared" si="173"/>
        <v>0</v>
      </c>
      <c r="F891" s="1687"/>
      <c r="G891" s="1684"/>
      <c r="H891" s="1684"/>
      <c r="I891" s="1684"/>
      <c r="J891" s="1684"/>
      <c r="K891" s="1685" t="str">
        <f t="shared" si="170"/>
        <v/>
      </c>
      <c r="L891" s="1685" t="str">
        <f t="shared" si="171"/>
        <v/>
      </c>
      <c r="M891" s="1686"/>
    </row>
    <row r="892" spans="1:13">
      <c r="A892" s="1655">
        <f t="shared" si="172"/>
        <v>0</v>
      </c>
      <c r="B892" s="1409"/>
      <c r="C892" s="1621" t="s">
        <v>4983</v>
      </c>
      <c r="D892" s="1683"/>
      <c r="E892" s="1678">
        <f t="shared" si="173"/>
        <v>0</v>
      </c>
      <c r="F892" s="1687"/>
      <c r="G892" s="1684"/>
      <c r="H892" s="1684"/>
      <c r="I892" s="1684"/>
      <c r="J892" s="1684"/>
      <c r="K892" s="1685" t="str">
        <f t="shared" si="170"/>
        <v/>
      </c>
      <c r="L892" s="1685" t="str">
        <f t="shared" si="171"/>
        <v/>
      </c>
      <c r="M892" s="1686"/>
    </row>
    <row r="893" spans="1:13">
      <c r="A893" s="1655">
        <f t="shared" si="172"/>
        <v>0</v>
      </c>
      <c r="B893" s="1409"/>
      <c r="C893" s="1621" t="s">
        <v>4984</v>
      </c>
      <c r="D893" s="1683"/>
      <c r="E893" s="1678">
        <f t="shared" si="173"/>
        <v>0</v>
      </c>
      <c r="F893" s="1687"/>
      <c r="G893" s="1684"/>
      <c r="H893" s="1684"/>
      <c r="I893" s="1684"/>
      <c r="J893" s="1684"/>
      <c r="K893" s="1685" t="str">
        <f t="shared" si="170"/>
        <v/>
      </c>
      <c r="L893" s="1685" t="str">
        <f t="shared" si="171"/>
        <v/>
      </c>
      <c r="M893" s="1686"/>
    </row>
    <row r="894" spans="1:13">
      <c r="A894" s="1655">
        <f t="shared" si="172"/>
        <v>0</v>
      </c>
      <c r="B894" s="1409"/>
      <c r="C894" s="1621" t="s">
        <v>4985</v>
      </c>
      <c r="D894" s="1683"/>
      <c r="E894" s="1678">
        <f t="shared" si="173"/>
        <v>0</v>
      </c>
      <c r="F894" s="1687"/>
      <c r="G894" s="1684"/>
      <c r="H894" s="1684"/>
      <c r="I894" s="1684"/>
      <c r="J894" s="1684"/>
      <c r="K894" s="1685" t="str">
        <f t="shared" si="170"/>
        <v/>
      </c>
      <c r="L894" s="1685" t="str">
        <f t="shared" si="171"/>
        <v/>
      </c>
      <c r="M894" s="1686"/>
    </row>
    <row r="895" spans="1:13">
      <c r="A895" s="1655">
        <f t="shared" si="172"/>
        <v>0</v>
      </c>
      <c r="B895" s="1688"/>
      <c r="C895" s="1689" t="s">
        <v>4986</v>
      </c>
      <c r="D895" s="1690"/>
      <c r="E895" s="1691">
        <f t="shared" si="173"/>
        <v>0</v>
      </c>
      <c r="F895" s="1692"/>
      <c r="G895" s="1693"/>
      <c r="H895" s="1693"/>
      <c r="I895" s="1693"/>
      <c r="J895" s="1693"/>
      <c r="K895" s="1694" t="str">
        <f t="shared" si="170"/>
        <v/>
      </c>
      <c r="L895" s="1694" t="str">
        <f t="shared" si="171"/>
        <v/>
      </c>
      <c r="M895" s="1695"/>
    </row>
    <row r="896" spans="1:13">
      <c r="A896" s="1674">
        <f>A870+1</f>
        <v>35</v>
      </c>
      <c r="B896" s="1675" t="s">
        <v>5050</v>
      </c>
      <c r="C896" s="1676"/>
      <c r="D896" s="1677"/>
      <c r="E896" s="1679">
        <f t="shared" ref="E896:I896" si="174">SUM(E897:E921)</f>
        <v>0</v>
      </c>
      <c r="F896" s="1679">
        <f t="shared" si="174"/>
        <v>0</v>
      </c>
      <c r="G896" s="1679">
        <f t="shared" si="174"/>
        <v>0</v>
      </c>
      <c r="H896" s="1679">
        <f t="shared" si="174"/>
        <v>0</v>
      </c>
      <c r="I896" s="1679">
        <f t="shared" si="174"/>
        <v>0</v>
      </c>
      <c r="J896" s="1679">
        <f>SUM(J897:J921)</f>
        <v>0</v>
      </c>
      <c r="K896" s="1680" t="str">
        <f>IFERROR(E896/$C$6,"")</f>
        <v/>
      </c>
      <c r="L896" s="1680" t="str">
        <f>IFERROR(E896/$C$7,"")</f>
        <v/>
      </c>
      <c r="M896" s="1681">
        <f>SUM(M897:M921)</f>
        <v>0</v>
      </c>
    </row>
    <row r="897" spans="1:13">
      <c r="A897" s="1655">
        <f>IF(E897&lt;&gt;0,1,0)</f>
        <v>0</v>
      </c>
      <c r="B897" s="1412"/>
      <c r="C897" s="1621" t="s">
        <v>4962</v>
      </c>
      <c r="D897" s="1683"/>
      <c r="E897" s="1678">
        <f>SUM(F897:J897)</f>
        <v>0</v>
      </c>
      <c r="F897" s="1684"/>
      <c r="G897" s="1684"/>
      <c r="H897" s="1684"/>
      <c r="I897" s="1684"/>
      <c r="J897" s="1684"/>
      <c r="K897" s="1685" t="str">
        <f t="shared" ref="K897:K921" si="175">IFERROR(E897/$C$6,"")</f>
        <v/>
      </c>
      <c r="L897" s="1685" t="str">
        <f t="shared" ref="L897:L921" si="176">IFERROR(E897/$C$7,"")</f>
        <v/>
      </c>
      <c r="M897" s="1686"/>
    </row>
    <row r="898" spans="1:13">
      <c r="A898" s="1655">
        <f t="shared" ref="A898:A921" si="177">IF(E898&lt;&gt;0,1,0)</f>
        <v>0</v>
      </c>
      <c r="B898" s="1409"/>
      <c r="C898" s="1621" t="s">
        <v>4963</v>
      </c>
      <c r="D898" s="1683"/>
      <c r="E898" s="1678">
        <f t="shared" ref="E898:E921" si="178">SUM(F898:J898)</f>
        <v>0</v>
      </c>
      <c r="F898" s="1687"/>
      <c r="G898" s="1684"/>
      <c r="H898" s="1684"/>
      <c r="I898" s="1684"/>
      <c r="J898" s="1684"/>
      <c r="K898" s="1685" t="str">
        <f t="shared" si="175"/>
        <v/>
      </c>
      <c r="L898" s="1685" t="str">
        <f t="shared" si="176"/>
        <v/>
      </c>
      <c r="M898" s="1686"/>
    </row>
    <row r="899" spans="1:13">
      <c r="A899" s="1655">
        <f t="shared" si="177"/>
        <v>0</v>
      </c>
      <c r="B899" s="1409"/>
      <c r="C899" s="1621" t="s">
        <v>4964</v>
      </c>
      <c r="D899" s="1683"/>
      <c r="E899" s="1678">
        <f t="shared" si="178"/>
        <v>0</v>
      </c>
      <c r="F899" s="1687"/>
      <c r="G899" s="1684"/>
      <c r="H899" s="1684"/>
      <c r="I899" s="1684"/>
      <c r="J899" s="1684"/>
      <c r="K899" s="1685" t="str">
        <f t="shared" si="175"/>
        <v/>
      </c>
      <c r="L899" s="1685" t="str">
        <f t="shared" si="176"/>
        <v/>
      </c>
      <c r="M899" s="1686"/>
    </row>
    <row r="900" spans="1:13">
      <c r="A900" s="1655">
        <f t="shared" si="177"/>
        <v>0</v>
      </c>
      <c r="B900" s="1409"/>
      <c r="C900" s="1621" t="s">
        <v>4965</v>
      </c>
      <c r="D900" s="1683"/>
      <c r="E900" s="1678">
        <f t="shared" si="178"/>
        <v>0</v>
      </c>
      <c r="F900" s="1687"/>
      <c r="G900" s="1684"/>
      <c r="H900" s="1684"/>
      <c r="I900" s="1684"/>
      <c r="J900" s="1684"/>
      <c r="K900" s="1685" t="str">
        <f t="shared" si="175"/>
        <v/>
      </c>
      <c r="L900" s="1685" t="str">
        <f t="shared" si="176"/>
        <v/>
      </c>
      <c r="M900" s="1686"/>
    </row>
    <row r="901" spans="1:13">
      <c r="A901" s="1655">
        <f t="shared" si="177"/>
        <v>0</v>
      </c>
      <c r="B901" s="1409"/>
      <c r="C901" s="1621" t="s">
        <v>4966</v>
      </c>
      <c r="D901" s="1683"/>
      <c r="E901" s="1678">
        <f t="shared" si="178"/>
        <v>0</v>
      </c>
      <c r="F901" s="1687"/>
      <c r="G901" s="1684"/>
      <c r="H901" s="1684"/>
      <c r="I901" s="1684"/>
      <c r="J901" s="1684"/>
      <c r="K901" s="1685" t="str">
        <f t="shared" si="175"/>
        <v/>
      </c>
      <c r="L901" s="1685" t="str">
        <f t="shared" si="176"/>
        <v/>
      </c>
      <c r="M901" s="1686"/>
    </row>
    <row r="902" spans="1:13">
      <c r="A902" s="1655">
        <f t="shared" si="177"/>
        <v>0</v>
      </c>
      <c r="B902" s="1409"/>
      <c r="C902" s="1621" t="s">
        <v>4967</v>
      </c>
      <c r="D902" s="1683"/>
      <c r="E902" s="1678">
        <f t="shared" si="178"/>
        <v>0</v>
      </c>
      <c r="F902" s="1687"/>
      <c r="G902" s="1684"/>
      <c r="H902" s="1684"/>
      <c r="I902" s="1684"/>
      <c r="J902" s="1684"/>
      <c r="K902" s="1685" t="str">
        <f t="shared" si="175"/>
        <v/>
      </c>
      <c r="L902" s="1685" t="str">
        <f t="shared" si="176"/>
        <v/>
      </c>
      <c r="M902" s="1686"/>
    </row>
    <row r="903" spans="1:13">
      <c r="A903" s="1655">
        <f t="shared" si="177"/>
        <v>0</v>
      </c>
      <c r="B903" s="1409"/>
      <c r="C903" s="1621" t="s">
        <v>4968</v>
      </c>
      <c r="D903" s="1683"/>
      <c r="E903" s="1678">
        <f t="shared" si="178"/>
        <v>0</v>
      </c>
      <c r="F903" s="1687"/>
      <c r="G903" s="1684"/>
      <c r="H903" s="1684"/>
      <c r="I903" s="1684"/>
      <c r="J903" s="1684"/>
      <c r="K903" s="1685" t="str">
        <f t="shared" si="175"/>
        <v/>
      </c>
      <c r="L903" s="1685" t="str">
        <f t="shared" si="176"/>
        <v/>
      </c>
      <c r="M903" s="1686"/>
    </row>
    <row r="904" spans="1:13">
      <c r="A904" s="1655">
        <f t="shared" si="177"/>
        <v>0</v>
      </c>
      <c r="B904" s="1409"/>
      <c r="C904" s="1621" t="s">
        <v>4969</v>
      </c>
      <c r="D904" s="1683"/>
      <c r="E904" s="1678">
        <f t="shared" si="178"/>
        <v>0</v>
      </c>
      <c r="F904" s="1687"/>
      <c r="G904" s="1684"/>
      <c r="H904" s="1684"/>
      <c r="I904" s="1684"/>
      <c r="J904" s="1684"/>
      <c r="K904" s="1685" t="str">
        <f t="shared" si="175"/>
        <v/>
      </c>
      <c r="L904" s="1685" t="str">
        <f t="shared" si="176"/>
        <v/>
      </c>
      <c r="M904" s="1686"/>
    </row>
    <row r="905" spans="1:13">
      <c r="A905" s="1655">
        <f t="shared" si="177"/>
        <v>0</v>
      </c>
      <c r="B905" s="1409"/>
      <c r="C905" s="1621" t="s">
        <v>4970</v>
      </c>
      <c r="D905" s="1683"/>
      <c r="E905" s="1678">
        <f t="shared" si="178"/>
        <v>0</v>
      </c>
      <c r="F905" s="1687"/>
      <c r="G905" s="1684"/>
      <c r="H905" s="1684"/>
      <c r="I905" s="1684"/>
      <c r="J905" s="1684"/>
      <c r="K905" s="1685" t="str">
        <f t="shared" si="175"/>
        <v/>
      </c>
      <c r="L905" s="1685" t="str">
        <f t="shared" si="176"/>
        <v/>
      </c>
      <c r="M905" s="1686"/>
    </row>
    <row r="906" spans="1:13">
      <c r="A906" s="1655">
        <f t="shared" si="177"/>
        <v>0</v>
      </c>
      <c r="B906" s="1409"/>
      <c r="C906" s="1621" t="s">
        <v>4971</v>
      </c>
      <c r="D906" s="1683"/>
      <c r="E906" s="1678">
        <f t="shared" si="178"/>
        <v>0</v>
      </c>
      <c r="F906" s="1687"/>
      <c r="G906" s="1684"/>
      <c r="H906" s="1684"/>
      <c r="I906" s="1684"/>
      <c r="J906" s="1684"/>
      <c r="K906" s="1685" t="str">
        <f t="shared" si="175"/>
        <v/>
      </c>
      <c r="L906" s="1685" t="str">
        <f t="shared" si="176"/>
        <v/>
      </c>
      <c r="M906" s="1686"/>
    </row>
    <row r="907" spans="1:13">
      <c r="A907" s="1655">
        <f t="shared" si="177"/>
        <v>0</v>
      </c>
      <c r="B907" s="1409"/>
      <c r="C907" s="1621" t="s">
        <v>4972</v>
      </c>
      <c r="D907" s="1683"/>
      <c r="E907" s="1678">
        <f t="shared" si="178"/>
        <v>0</v>
      </c>
      <c r="F907" s="1687"/>
      <c r="G907" s="1684"/>
      <c r="H907" s="1684"/>
      <c r="I907" s="1684"/>
      <c r="J907" s="1684"/>
      <c r="K907" s="1685" t="str">
        <f t="shared" si="175"/>
        <v/>
      </c>
      <c r="L907" s="1685" t="str">
        <f t="shared" si="176"/>
        <v/>
      </c>
      <c r="M907" s="1686"/>
    </row>
    <row r="908" spans="1:13">
      <c r="A908" s="1655">
        <f t="shared" si="177"/>
        <v>0</v>
      </c>
      <c r="B908" s="1412"/>
      <c r="C908" s="1621" t="s">
        <v>4973</v>
      </c>
      <c r="D908" s="1683"/>
      <c r="E908" s="1678">
        <f t="shared" si="178"/>
        <v>0</v>
      </c>
      <c r="F908" s="1687"/>
      <c r="G908" s="1684"/>
      <c r="H908" s="1684"/>
      <c r="I908" s="1684"/>
      <c r="J908" s="1684"/>
      <c r="K908" s="1685" t="str">
        <f t="shared" si="175"/>
        <v/>
      </c>
      <c r="L908" s="1685" t="str">
        <f t="shared" si="176"/>
        <v/>
      </c>
      <c r="M908" s="1686"/>
    </row>
    <row r="909" spans="1:13">
      <c r="A909" s="1655">
        <f t="shared" si="177"/>
        <v>0</v>
      </c>
      <c r="B909" s="1412"/>
      <c r="C909" s="1621" t="s">
        <v>4974</v>
      </c>
      <c r="D909" s="1683"/>
      <c r="E909" s="1678">
        <f t="shared" si="178"/>
        <v>0</v>
      </c>
      <c r="F909" s="1687"/>
      <c r="G909" s="1684"/>
      <c r="H909" s="1684"/>
      <c r="I909" s="1684"/>
      <c r="J909" s="1684"/>
      <c r="K909" s="1685" t="str">
        <f t="shared" si="175"/>
        <v/>
      </c>
      <c r="L909" s="1685" t="str">
        <f t="shared" si="176"/>
        <v/>
      </c>
      <c r="M909" s="1686"/>
    </row>
    <row r="910" spans="1:13">
      <c r="A910" s="1655">
        <f t="shared" si="177"/>
        <v>0</v>
      </c>
      <c r="B910" s="1409"/>
      <c r="C910" s="1621" t="s">
        <v>4975</v>
      </c>
      <c r="D910" s="1683"/>
      <c r="E910" s="1678">
        <f t="shared" si="178"/>
        <v>0</v>
      </c>
      <c r="F910" s="1687"/>
      <c r="G910" s="1684"/>
      <c r="H910" s="1684"/>
      <c r="I910" s="1684"/>
      <c r="J910" s="1684"/>
      <c r="K910" s="1685" t="str">
        <f t="shared" si="175"/>
        <v/>
      </c>
      <c r="L910" s="1685" t="str">
        <f t="shared" si="176"/>
        <v/>
      </c>
      <c r="M910" s="1686"/>
    </row>
    <row r="911" spans="1:13">
      <c r="A911" s="1655">
        <f t="shared" si="177"/>
        <v>0</v>
      </c>
      <c r="B911" s="1409"/>
      <c r="C911" s="1621" t="s">
        <v>4976</v>
      </c>
      <c r="D911" s="1683"/>
      <c r="E911" s="1678">
        <f t="shared" si="178"/>
        <v>0</v>
      </c>
      <c r="F911" s="1687"/>
      <c r="G911" s="1684"/>
      <c r="H911" s="1684"/>
      <c r="I911" s="1684"/>
      <c r="J911" s="1684"/>
      <c r="K911" s="1685" t="str">
        <f t="shared" si="175"/>
        <v/>
      </c>
      <c r="L911" s="1685" t="str">
        <f t="shared" si="176"/>
        <v/>
      </c>
      <c r="M911" s="1686"/>
    </row>
    <row r="912" spans="1:13">
      <c r="A912" s="1655">
        <f t="shared" si="177"/>
        <v>0</v>
      </c>
      <c r="B912" s="1409"/>
      <c r="C912" s="1621" t="s">
        <v>4977</v>
      </c>
      <c r="D912" s="1683"/>
      <c r="E912" s="1678">
        <f t="shared" si="178"/>
        <v>0</v>
      </c>
      <c r="F912" s="1687"/>
      <c r="G912" s="1684"/>
      <c r="H912" s="1684"/>
      <c r="I912" s="1684"/>
      <c r="J912" s="1684"/>
      <c r="K912" s="1685" t="str">
        <f t="shared" si="175"/>
        <v/>
      </c>
      <c r="L912" s="1685" t="str">
        <f t="shared" si="176"/>
        <v/>
      </c>
      <c r="M912" s="1686"/>
    </row>
    <row r="913" spans="1:13">
      <c r="A913" s="1655">
        <f t="shared" si="177"/>
        <v>0</v>
      </c>
      <c r="B913" s="1409"/>
      <c r="C913" s="1621" t="s">
        <v>4978</v>
      </c>
      <c r="D913" s="1683"/>
      <c r="E913" s="1678">
        <f t="shared" si="178"/>
        <v>0</v>
      </c>
      <c r="F913" s="1687"/>
      <c r="G913" s="1684"/>
      <c r="H913" s="1684"/>
      <c r="I913" s="1684"/>
      <c r="J913" s="1684"/>
      <c r="K913" s="1685" t="str">
        <f t="shared" si="175"/>
        <v/>
      </c>
      <c r="L913" s="1685" t="str">
        <f t="shared" si="176"/>
        <v/>
      </c>
      <c r="M913" s="1686"/>
    </row>
    <row r="914" spans="1:13">
      <c r="A914" s="1655">
        <f t="shared" si="177"/>
        <v>0</v>
      </c>
      <c r="B914" s="1409"/>
      <c r="C914" s="1621" t="s">
        <v>4979</v>
      </c>
      <c r="D914" s="1683"/>
      <c r="E914" s="1678">
        <f t="shared" si="178"/>
        <v>0</v>
      </c>
      <c r="F914" s="1687"/>
      <c r="G914" s="1684"/>
      <c r="H914" s="1684"/>
      <c r="I914" s="1684"/>
      <c r="J914" s="1684"/>
      <c r="K914" s="1685" t="str">
        <f t="shared" si="175"/>
        <v/>
      </c>
      <c r="L914" s="1685" t="str">
        <f t="shared" si="176"/>
        <v/>
      </c>
      <c r="M914" s="1686"/>
    </row>
    <row r="915" spans="1:13">
      <c r="A915" s="1655">
        <f t="shared" si="177"/>
        <v>0</v>
      </c>
      <c r="B915" s="1409"/>
      <c r="C915" s="1621" t="s">
        <v>4980</v>
      </c>
      <c r="D915" s="1683"/>
      <c r="E915" s="1678">
        <f t="shared" si="178"/>
        <v>0</v>
      </c>
      <c r="F915" s="1687"/>
      <c r="G915" s="1684"/>
      <c r="H915" s="1684"/>
      <c r="I915" s="1684"/>
      <c r="J915" s="1684"/>
      <c r="K915" s="1685" t="str">
        <f t="shared" si="175"/>
        <v/>
      </c>
      <c r="L915" s="1685" t="str">
        <f t="shared" si="176"/>
        <v/>
      </c>
      <c r="M915" s="1686"/>
    </row>
    <row r="916" spans="1:13">
      <c r="A916" s="1655">
        <f t="shared" si="177"/>
        <v>0</v>
      </c>
      <c r="B916" s="1409"/>
      <c r="C916" s="1621" t="s">
        <v>4981</v>
      </c>
      <c r="D916" s="1683"/>
      <c r="E916" s="1678">
        <f t="shared" si="178"/>
        <v>0</v>
      </c>
      <c r="F916" s="1687"/>
      <c r="G916" s="1684"/>
      <c r="H916" s="1684"/>
      <c r="I916" s="1684"/>
      <c r="J916" s="1684"/>
      <c r="K916" s="1685" t="str">
        <f t="shared" si="175"/>
        <v/>
      </c>
      <c r="L916" s="1685" t="str">
        <f t="shared" si="176"/>
        <v/>
      </c>
      <c r="M916" s="1686"/>
    </row>
    <row r="917" spans="1:13">
      <c r="A917" s="1655">
        <f t="shared" si="177"/>
        <v>0</v>
      </c>
      <c r="B917" s="1409"/>
      <c r="C917" s="1621" t="s">
        <v>4982</v>
      </c>
      <c r="D917" s="1683"/>
      <c r="E917" s="1678">
        <f t="shared" si="178"/>
        <v>0</v>
      </c>
      <c r="F917" s="1687"/>
      <c r="G917" s="1684"/>
      <c r="H917" s="1684"/>
      <c r="I917" s="1684"/>
      <c r="J917" s="1684"/>
      <c r="K917" s="1685" t="str">
        <f t="shared" si="175"/>
        <v/>
      </c>
      <c r="L917" s="1685" t="str">
        <f t="shared" si="176"/>
        <v/>
      </c>
      <c r="M917" s="1686"/>
    </row>
    <row r="918" spans="1:13">
      <c r="A918" s="1655">
        <f t="shared" si="177"/>
        <v>0</v>
      </c>
      <c r="B918" s="1409"/>
      <c r="C918" s="1621" t="s">
        <v>4983</v>
      </c>
      <c r="D918" s="1683"/>
      <c r="E918" s="1678">
        <f t="shared" si="178"/>
        <v>0</v>
      </c>
      <c r="F918" s="1687"/>
      <c r="G918" s="1684"/>
      <c r="H918" s="1684"/>
      <c r="I918" s="1684"/>
      <c r="J918" s="1684"/>
      <c r="K918" s="1685" t="str">
        <f t="shared" si="175"/>
        <v/>
      </c>
      <c r="L918" s="1685" t="str">
        <f t="shared" si="176"/>
        <v/>
      </c>
      <c r="M918" s="1686"/>
    </row>
    <row r="919" spans="1:13">
      <c r="A919" s="1655">
        <f t="shared" si="177"/>
        <v>0</v>
      </c>
      <c r="B919" s="1409"/>
      <c r="C919" s="1621" t="s">
        <v>4984</v>
      </c>
      <c r="D919" s="1683"/>
      <c r="E919" s="1678">
        <f t="shared" si="178"/>
        <v>0</v>
      </c>
      <c r="F919" s="1687"/>
      <c r="G919" s="1684"/>
      <c r="H919" s="1684"/>
      <c r="I919" s="1684"/>
      <c r="J919" s="1684"/>
      <c r="K919" s="1685" t="str">
        <f t="shared" si="175"/>
        <v/>
      </c>
      <c r="L919" s="1685" t="str">
        <f t="shared" si="176"/>
        <v/>
      </c>
      <c r="M919" s="1686"/>
    </row>
    <row r="920" spans="1:13">
      <c r="A920" s="1655">
        <f t="shared" si="177"/>
        <v>0</v>
      </c>
      <c r="B920" s="1409"/>
      <c r="C920" s="1621" t="s">
        <v>4985</v>
      </c>
      <c r="D920" s="1683"/>
      <c r="E920" s="1678">
        <f t="shared" si="178"/>
        <v>0</v>
      </c>
      <c r="F920" s="1687"/>
      <c r="G920" s="1684"/>
      <c r="H920" s="1684"/>
      <c r="I920" s="1684"/>
      <c r="J920" s="1684"/>
      <c r="K920" s="1685" t="str">
        <f t="shared" si="175"/>
        <v/>
      </c>
      <c r="L920" s="1685" t="str">
        <f t="shared" si="176"/>
        <v/>
      </c>
      <c r="M920" s="1686"/>
    </row>
    <row r="921" spans="1:13">
      <c r="A921" s="1655">
        <f t="shared" si="177"/>
        <v>0</v>
      </c>
      <c r="B921" s="1688"/>
      <c r="C921" s="1689" t="s">
        <v>4986</v>
      </c>
      <c r="D921" s="1690"/>
      <c r="E921" s="1691">
        <f t="shared" si="178"/>
        <v>0</v>
      </c>
      <c r="F921" s="1692"/>
      <c r="G921" s="1693"/>
      <c r="H921" s="1693"/>
      <c r="I921" s="1693"/>
      <c r="J921" s="1693"/>
      <c r="K921" s="1694" t="str">
        <f t="shared" si="175"/>
        <v/>
      </c>
      <c r="L921" s="1694" t="str">
        <f t="shared" si="176"/>
        <v/>
      </c>
      <c r="M921" s="1695"/>
    </row>
    <row r="922" spans="1:13">
      <c r="A922" s="1674">
        <f>A896+1</f>
        <v>36</v>
      </c>
      <c r="B922" s="1675" t="s">
        <v>5050</v>
      </c>
      <c r="C922" s="1676"/>
      <c r="D922" s="1677"/>
      <c r="E922" s="1679">
        <f t="shared" ref="E922:I922" si="179">SUM(E923:E947)</f>
        <v>0</v>
      </c>
      <c r="F922" s="1679">
        <f t="shared" si="179"/>
        <v>0</v>
      </c>
      <c r="G922" s="1679">
        <f t="shared" si="179"/>
        <v>0</v>
      </c>
      <c r="H922" s="1679">
        <f t="shared" si="179"/>
        <v>0</v>
      </c>
      <c r="I922" s="1679">
        <f t="shared" si="179"/>
        <v>0</v>
      </c>
      <c r="J922" s="1679">
        <f>SUM(J923:J947)</f>
        <v>0</v>
      </c>
      <c r="K922" s="1680" t="str">
        <f>IFERROR(E922/$C$6,"")</f>
        <v/>
      </c>
      <c r="L922" s="1680" t="str">
        <f>IFERROR(E922/$C$7,"")</f>
        <v/>
      </c>
      <c r="M922" s="1681">
        <f>SUM(M923:M947)</f>
        <v>0</v>
      </c>
    </row>
    <row r="923" spans="1:13">
      <c r="A923" s="1655">
        <f>IF(E923&lt;&gt;0,1,0)</f>
        <v>0</v>
      </c>
      <c r="B923" s="1412"/>
      <c r="C923" s="1621" t="s">
        <v>4962</v>
      </c>
      <c r="D923" s="1683"/>
      <c r="E923" s="1678">
        <f>SUM(F923:J923)</f>
        <v>0</v>
      </c>
      <c r="F923" s="1684"/>
      <c r="G923" s="1684"/>
      <c r="H923" s="1684"/>
      <c r="I923" s="1684"/>
      <c r="J923" s="1684"/>
      <c r="K923" s="1685" t="str">
        <f t="shared" ref="K923:K947" si="180">IFERROR(E923/$C$6,"")</f>
        <v/>
      </c>
      <c r="L923" s="1685" t="str">
        <f t="shared" ref="L923:L947" si="181">IFERROR(E923/$C$7,"")</f>
        <v/>
      </c>
      <c r="M923" s="1686"/>
    </row>
    <row r="924" spans="1:13">
      <c r="A924" s="1655">
        <f t="shared" ref="A924:A947" si="182">IF(E924&lt;&gt;0,1,0)</f>
        <v>0</v>
      </c>
      <c r="B924" s="1409"/>
      <c r="C924" s="1621" t="s">
        <v>4963</v>
      </c>
      <c r="D924" s="1683"/>
      <c r="E924" s="1678">
        <f t="shared" ref="E924:E947" si="183">SUM(F924:J924)</f>
        <v>0</v>
      </c>
      <c r="F924" s="1687"/>
      <c r="G924" s="1684"/>
      <c r="H924" s="1684"/>
      <c r="I924" s="1684"/>
      <c r="J924" s="1684"/>
      <c r="K924" s="1685" t="str">
        <f t="shared" si="180"/>
        <v/>
      </c>
      <c r="L924" s="1685" t="str">
        <f t="shared" si="181"/>
        <v/>
      </c>
      <c r="M924" s="1686"/>
    </row>
    <row r="925" spans="1:13">
      <c r="A925" s="1655">
        <f t="shared" si="182"/>
        <v>0</v>
      </c>
      <c r="B925" s="1409"/>
      <c r="C925" s="1621" t="s">
        <v>4964</v>
      </c>
      <c r="D925" s="1683"/>
      <c r="E925" s="1678">
        <f t="shared" si="183"/>
        <v>0</v>
      </c>
      <c r="F925" s="1687"/>
      <c r="G925" s="1684"/>
      <c r="H925" s="1684"/>
      <c r="I925" s="1684"/>
      <c r="J925" s="1684"/>
      <c r="K925" s="1685" t="str">
        <f t="shared" si="180"/>
        <v/>
      </c>
      <c r="L925" s="1685" t="str">
        <f t="shared" si="181"/>
        <v/>
      </c>
      <c r="M925" s="1686"/>
    </row>
    <row r="926" spans="1:13">
      <c r="A926" s="1655">
        <f t="shared" si="182"/>
        <v>0</v>
      </c>
      <c r="B926" s="1409"/>
      <c r="C926" s="1621" t="s">
        <v>4965</v>
      </c>
      <c r="D926" s="1683"/>
      <c r="E926" s="1678">
        <f t="shared" si="183"/>
        <v>0</v>
      </c>
      <c r="F926" s="1687"/>
      <c r="G926" s="1684"/>
      <c r="H926" s="1684"/>
      <c r="I926" s="1684"/>
      <c r="J926" s="1684"/>
      <c r="K926" s="1685" t="str">
        <f t="shared" si="180"/>
        <v/>
      </c>
      <c r="L926" s="1685" t="str">
        <f t="shared" si="181"/>
        <v/>
      </c>
      <c r="M926" s="1686"/>
    </row>
    <row r="927" spans="1:13">
      <c r="A927" s="1655">
        <f t="shared" si="182"/>
        <v>0</v>
      </c>
      <c r="B927" s="1409"/>
      <c r="C927" s="1621" t="s">
        <v>4966</v>
      </c>
      <c r="D927" s="1683"/>
      <c r="E927" s="1678">
        <f t="shared" si="183"/>
        <v>0</v>
      </c>
      <c r="F927" s="1687"/>
      <c r="G927" s="1684"/>
      <c r="H927" s="1684"/>
      <c r="I927" s="1684"/>
      <c r="J927" s="1684"/>
      <c r="K927" s="1685" t="str">
        <f t="shared" si="180"/>
        <v/>
      </c>
      <c r="L927" s="1685" t="str">
        <f t="shared" si="181"/>
        <v/>
      </c>
      <c r="M927" s="1686"/>
    </row>
    <row r="928" spans="1:13">
      <c r="A928" s="1655">
        <f t="shared" si="182"/>
        <v>0</v>
      </c>
      <c r="B928" s="1409"/>
      <c r="C928" s="1621" t="s">
        <v>4967</v>
      </c>
      <c r="D928" s="1683"/>
      <c r="E928" s="1678">
        <f t="shared" si="183"/>
        <v>0</v>
      </c>
      <c r="F928" s="1687"/>
      <c r="G928" s="1684"/>
      <c r="H928" s="1684"/>
      <c r="I928" s="1684"/>
      <c r="J928" s="1684"/>
      <c r="K928" s="1685" t="str">
        <f t="shared" si="180"/>
        <v/>
      </c>
      <c r="L928" s="1685" t="str">
        <f t="shared" si="181"/>
        <v/>
      </c>
      <c r="M928" s="1686"/>
    </row>
    <row r="929" spans="1:13">
      <c r="A929" s="1655">
        <f t="shared" si="182"/>
        <v>0</v>
      </c>
      <c r="B929" s="1409"/>
      <c r="C929" s="1621" t="s">
        <v>4968</v>
      </c>
      <c r="D929" s="1683"/>
      <c r="E929" s="1678">
        <f t="shared" si="183"/>
        <v>0</v>
      </c>
      <c r="F929" s="1687"/>
      <c r="G929" s="1684"/>
      <c r="H929" s="1684"/>
      <c r="I929" s="1684"/>
      <c r="J929" s="1684"/>
      <c r="K929" s="1685" t="str">
        <f t="shared" si="180"/>
        <v/>
      </c>
      <c r="L929" s="1685" t="str">
        <f t="shared" si="181"/>
        <v/>
      </c>
      <c r="M929" s="1686"/>
    </row>
    <row r="930" spans="1:13">
      <c r="A930" s="1655">
        <f t="shared" si="182"/>
        <v>0</v>
      </c>
      <c r="B930" s="1409"/>
      <c r="C930" s="1621" t="s">
        <v>4969</v>
      </c>
      <c r="D930" s="1683"/>
      <c r="E930" s="1678">
        <f t="shared" si="183"/>
        <v>0</v>
      </c>
      <c r="F930" s="1687"/>
      <c r="G930" s="1684"/>
      <c r="H930" s="1684"/>
      <c r="I930" s="1684"/>
      <c r="J930" s="1684"/>
      <c r="K930" s="1685" t="str">
        <f t="shared" si="180"/>
        <v/>
      </c>
      <c r="L930" s="1685" t="str">
        <f t="shared" si="181"/>
        <v/>
      </c>
      <c r="M930" s="1686"/>
    </row>
    <row r="931" spans="1:13">
      <c r="A931" s="1655">
        <f t="shared" si="182"/>
        <v>0</v>
      </c>
      <c r="B931" s="1409"/>
      <c r="C931" s="1621" t="s">
        <v>4970</v>
      </c>
      <c r="D931" s="1683"/>
      <c r="E931" s="1678">
        <f t="shared" si="183"/>
        <v>0</v>
      </c>
      <c r="F931" s="1687"/>
      <c r="G931" s="1684"/>
      <c r="H931" s="1684"/>
      <c r="I931" s="1684"/>
      <c r="J931" s="1684"/>
      <c r="K931" s="1685" t="str">
        <f t="shared" si="180"/>
        <v/>
      </c>
      <c r="L931" s="1685" t="str">
        <f t="shared" si="181"/>
        <v/>
      </c>
      <c r="M931" s="1686"/>
    </row>
    <row r="932" spans="1:13">
      <c r="A932" s="1655">
        <f t="shared" si="182"/>
        <v>0</v>
      </c>
      <c r="B932" s="1409"/>
      <c r="C932" s="1621" t="s">
        <v>4971</v>
      </c>
      <c r="D932" s="1683"/>
      <c r="E932" s="1678">
        <f t="shared" si="183"/>
        <v>0</v>
      </c>
      <c r="F932" s="1687"/>
      <c r="G932" s="1684"/>
      <c r="H932" s="1684"/>
      <c r="I932" s="1684"/>
      <c r="J932" s="1684"/>
      <c r="K932" s="1685" t="str">
        <f t="shared" si="180"/>
        <v/>
      </c>
      <c r="L932" s="1685" t="str">
        <f t="shared" si="181"/>
        <v/>
      </c>
      <c r="M932" s="1686"/>
    </row>
    <row r="933" spans="1:13">
      <c r="A933" s="1655">
        <f t="shared" si="182"/>
        <v>0</v>
      </c>
      <c r="B933" s="1409"/>
      <c r="C933" s="1621" t="s">
        <v>4972</v>
      </c>
      <c r="D933" s="1683"/>
      <c r="E933" s="1678">
        <f t="shared" si="183"/>
        <v>0</v>
      </c>
      <c r="F933" s="1687"/>
      <c r="G933" s="1684"/>
      <c r="H933" s="1684"/>
      <c r="I933" s="1684"/>
      <c r="J933" s="1684"/>
      <c r="K933" s="1685" t="str">
        <f t="shared" si="180"/>
        <v/>
      </c>
      <c r="L933" s="1685" t="str">
        <f t="shared" si="181"/>
        <v/>
      </c>
      <c r="M933" s="1686"/>
    </row>
    <row r="934" spans="1:13">
      <c r="A934" s="1655">
        <f t="shared" si="182"/>
        <v>0</v>
      </c>
      <c r="B934" s="1412"/>
      <c r="C934" s="1621" t="s">
        <v>4973</v>
      </c>
      <c r="D934" s="1683"/>
      <c r="E934" s="1678">
        <f t="shared" si="183"/>
        <v>0</v>
      </c>
      <c r="F934" s="1687"/>
      <c r="G934" s="1684"/>
      <c r="H934" s="1684"/>
      <c r="I934" s="1684"/>
      <c r="J934" s="1684"/>
      <c r="K934" s="1685" t="str">
        <f t="shared" si="180"/>
        <v/>
      </c>
      <c r="L934" s="1685" t="str">
        <f t="shared" si="181"/>
        <v/>
      </c>
      <c r="M934" s="1686"/>
    </row>
    <row r="935" spans="1:13">
      <c r="A935" s="1655">
        <f t="shared" si="182"/>
        <v>0</v>
      </c>
      <c r="B935" s="1412"/>
      <c r="C935" s="1621" t="s">
        <v>4974</v>
      </c>
      <c r="D935" s="1683"/>
      <c r="E935" s="1678">
        <f t="shared" si="183"/>
        <v>0</v>
      </c>
      <c r="F935" s="1687"/>
      <c r="G935" s="1684"/>
      <c r="H935" s="1684"/>
      <c r="I935" s="1684"/>
      <c r="J935" s="1684"/>
      <c r="K935" s="1685" t="str">
        <f t="shared" si="180"/>
        <v/>
      </c>
      <c r="L935" s="1685" t="str">
        <f t="shared" si="181"/>
        <v/>
      </c>
      <c r="M935" s="1686"/>
    </row>
    <row r="936" spans="1:13">
      <c r="A936" s="1655">
        <f t="shared" si="182"/>
        <v>0</v>
      </c>
      <c r="B936" s="1409"/>
      <c r="C936" s="1621" t="s">
        <v>4975</v>
      </c>
      <c r="D936" s="1683"/>
      <c r="E936" s="1678">
        <f t="shared" si="183"/>
        <v>0</v>
      </c>
      <c r="F936" s="1687"/>
      <c r="G936" s="1684"/>
      <c r="H936" s="1684"/>
      <c r="I936" s="1684"/>
      <c r="J936" s="1684"/>
      <c r="K936" s="1685" t="str">
        <f t="shared" si="180"/>
        <v/>
      </c>
      <c r="L936" s="1685" t="str">
        <f t="shared" si="181"/>
        <v/>
      </c>
      <c r="M936" s="1686"/>
    </row>
    <row r="937" spans="1:13">
      <c r="A937" s="1655">
        <f t="shared" si="182"/>
        <v>0</v>
      </c>
      <c r="B937" s="1409"/>
      <c r="C937" s="1621" t="s">
        <v>4976</v>
      </c>
      <c r="D937" s="1683"/>
      <c r="E937" s="1678">
        <f t="shared" si="183"/>
        <v>0</v>
      </c>
      <c r="F937" s="1687"/>
      <c r="G937" s="1684"/>
      <c r="H937" s="1684"/>
      <c r="I937" s="1684"/>
      <c r="J937" s="1684"/>
      <c r="K937" s="1685" t="str">
        <f t="shared" si="180"/>
        <v/>
      </c>
      <c r="L937" s="1685" t="str">
        <f t="shared" si="181"/>
        <v/>
      </c>
      <c r="M937" s="1686"/>
    </row>
    <row r="938" spans="1:13">
      <c r="A938" s="1655">
        <f t="shared" si="182"/>
        <v>0</v>
      </c>
      <c r="B938" s="1409"/>
      <c r="C938" s="1621" t="s">
        <v>4977</v>
      </c>
      <c r="D938" s="1683"/>
      <c r="E938" s="1678">
        <f t="shared" si="183"/>
        <v>0</v>
      </c>
      <c r="F938" s="1687"/>
      <c r="G938" s="1684"/>
      <c r="H938" s="1684"/>
      <c r="I938" s="1684"/>
      <c r="J938" s="1684"/>
      <c r="K938" s="1685" t="str">
        <f t="shared" si="180"/>
        <v/>
      </c>
      <c r="L938" s="1685" t="str">
        <f t="shared" si="181"/>
        <v/>
      </c>
      <c r="M938" s="1686"/>
    </row>
    <row r="939" spans="1:13">
      <c r="A939" s="1655">
        <f t="shared" si="182"/>
        <v>0</v>
      </c>
      <c r="B939" s="1409"/>
      <c r="C939" s="1621" t="s">
        <v>4978</v>
      </c>
      <c r="D939" s="1683"/>
      <c r="E939" s="1678">
        <f t="shared" si="183"/>
        <v>0</v>
      </c>
      <c r="F939" s="1687"/>
      <c r="G939" s="1684"/>
      <c r="H939" s="1684"/>
      <c r="I939" s="1684"/>
      <c r="J939" s="1684"/>
      <c r="K939" s="1685" t="str">
        <f t="shared" si="180"/>
        <v/>
      </c>
      <c r="L939" s="1685" t="str">
        <f t="shared" si="181"/>
        <v/>
      </c>
      <c r="M939" s="1686"/>
    </row>
    <row r="940" spans="1:13">
      <c r="A940" s="1655">
        <f t="shared" si="182"/>
        <v>0</v>
      </c>
      <c r="B940" s="1409"/>
      <c r="C940" s="1621" t="s">
        <v>4979</v>
      </c>
      <c r="D940" s="1683"/>
      <c r="E940" s="1678">
        <f t="shared" si="183"/>
        <v>0</v>
      </c>
      <c r="F940" s="1687"/>
      <c r="G940" s="1684"/>
      <c r="H940" s="1684"/>
      <c r="I940" s="1684"/>
      <c r="J940" s="1684"/>
      <c r="K940" s="1685" t="str">
        <f t="shared" si="180"/>
        <v/>
      </c>
      <c r="L940" s="1685" t="str">
        <f t="shared" si="181"/>
        <v/>
      </c>
      <c r="M940" s="1686"/>
    </row>
    <row r="941" spans="1:13">
      <c r="A941" s="1655">
        <f t="shared" si="182"/>
        <v>0</v>
      </c>
      <c r="B941" s="1409"/>
      <c r="C941" s="1621" t="s">
        <v>4980</v>
      </c>
      <c r="D941" s="1683"/>
      <c r="E941" s="1678">
        <f t="shared" si="183"/>
        <v>0</v>
      </c>
      <c r="F941" s="1687"/>
      <c r="G941" s="1684"/>
      <c r="H941" s="1684"/>
      <c r="I941" s="1684"/>
      <c r="J941" s="1684"/>
      <c r="K941" s="1685" t="str">
        <f t="shared" si="180"/>
        <v/>
      </c>
      <c r="L941" s="1685" t="str">
        <f t="shared" si="181"/>
        <v/>
      </c>
      <c r="M941" s="1686"/>
    </row>
    <row r="942" spans="1:13">
      <c r="A942" s="1655">
        <f t="shared" si="182"/>
        <v>0</v>
      </c>
      <c r="B942" s="1409"/>
      <c r="C942" s="1621" t="s">
        <v>4981</v>
      </c>
      <c r="D942" s="1683"/>
      <c r="E942" s="1678">
        <f t="shared" si="183"/>
        <v>0</v>
      </c>
      <c r="F942" s="1687"/>
      <c r="G942" s="1684"/>
      <c r="H942" s="1684"/>
      <c r="I942" s="1684"/>
      <c r="J942" s="1684"/>
      <c r="K942" s="1685" t="str">
        <f t="shared" si="180"/>
        <v/>
      </c>
      <c r="L942" s="1685" t="str">
        <f t="shared" si="181"/>
        <v/>
      </c>
      <c r="M942" s="1686"/>
    </row>
    <row r="943" spans="1:13">
      <c r="A943" s="1655">
        <f t="shared" si="182"/>
        <v>0</v>
      </c>
      <c r="B943" s="1409"/>
      <c r="C943" s="1621" t="s">
        <v>4982</v>
      </c>
      <c r="D943" s="1683"/>
      <c r="E943" s="1678">
        <f t="shared" si="183"/>
        <v>0</v>
      </c>
      <c r="F943" s="1687"/>
      <c r="G943" s="1684"/>
      <c r="H943" s="1684"/>
      <c r="I943" s="1684"/>
      <c r="J943" s="1684"/>
      <c r="K943" s="1685" t="str">
        <f t="shared" si="180"/>
        <v/>
      </c>
      <c r="L943" s="1685" t="str">
        <f t="shared" si="181"/>
        <v/>
      </c>
      <c r="M943" s="1686"/>
    </row>
    <row r="944" spans="1:13">
      <c r="A944" s="1655">
        <f t="shared" si="182"/>
        <v>0</v>
      </c>
      <c r="B944" s="1409"/>
      <c r="C944" s="1621" t="s">
        <v>4983</v>
      </c>
      <c r="D944" s="1683"/>
      <c r="E944" s="1678">
        <f t="shared" si="183"/>
        <v>0</v>
      </c>
      <c r="F944" s="1687"/>
      <c r="G944" s="1684"/>
      <c r="H944" s="1684"/>
      <c r="I944" s="1684"/>
      <c r="J944" s="1684"/>
      <c r="K944" s="1685" t="str">
        <f t="shared" si="180"/>
        <v/>
      </c>
      <c r="L944" s="1685" t="str">
        <f t="shared" si="181"/>
        <v/>
      </c>
      <c r="M944" s="1686"/>
    </row>
    <row r="945" spans="1:13">
      <c r="A945" s="1655">
        <f t="shared" si="182"/>
        <v>0</v>
      </c>
      <c r="B945" s="1409"/>
      <c r="C945" s="1621" t="s">
        <v>4984</v>
      </c>
      <c r="D945" s="1683"/>
      <c r="E945" s="1678">
        <f t="shared" si="183"/>
        <v>0</v>
      </c>
      <c r="F945" s="1687"/>
      <c r="G945" s="1684"/>
      <c r="H945" s="1684"/>
      <c r="I945" s="1684"/>
      <c r="J945" s="1684"/>
      <c r="K945" s="1685" t="str">
        <f t="shared" si="180"/>
        <v/>
      </c>
      <c r="L945" s="1685" t="str">
        <f t="shared" si="181"/>
        <v/>
      </c>
      <c r="M945" s="1686"/>
    </row>
    <row r="946" spans="1:13">
      <c r="A946" s="1655">
        <f t="shared" si="182"/>
        <v>0</v>
      </c>
      <c r="B946" s="1409"/>
      <c r="C946" s="1621" t="s">
        <v>4985</v>
      </c>
      <c r="D946" s="1683"/>
      <c r="E946" s="1678">
        <f t="shared" si="183"/>
        <v>0</v>
      </c>
      <c r="F946" s="1687"/>
      <c r="G946" s="1684"/>
      <c r="H946" s="1684"/>
      <c r="I946" s="1684"/>
      <c r="J946" s="1684"/>
      <c r="K946" s="1685" t="str">
        <f t="shared" si="180"/>
        <v/>
      </c>
      <c r="L946" s="1685" t="str">
        <f t="shared" si="181"/>
        <v/>
      </c>
      <c r="M946" s="1686"/>
    </row>
    <row r="947" spans="1:13">
      <c r="A947" s="1655">
        <f t="shared" si="182"/>
        <v>0</v>
      </c>
      <c r="B947" s="1688"/>
      <c r="C947" s="1689" t="s">
        <v>4986</v>
      </c>
      <c r="D947" s="1690"/>
      <c r="E947" s="1691">
        <f t="shared" si="183"/>
        <v>0</v>
      </c>
      <c r="F947" s="1692"/>
      <c r="G947" s="1693"/>
      <c r="H947" s="1693"/>
      <c r="I947" s="1693"/>
      <c r="J947" s="1693"/>
      <c r="K947" s="1694" t="str">
        <f t="shared" si="180"/>
        <v/>
      </c>
      <c r="L947" s="1694" t="str">
        <f t="shared" si="181"/>
        <v/>
      </c>
      <c r="M947" s="1695"/>
    </row>
    <row r="948" spans="1:13">
      <c r="A948" s="1674">
        <f>A922+1</f>
        <v>37</v>
      </c>
      <c r="B948" s="1675" t="s">
        <v>5050</v>
      </c>
      <c r="C948" s="1676"/>
      <c r="D948" s="1677"/>
      <c r="E948" s="1679">
        <f t="shared" ref="E948:I948" si="184">SUM(E949:E973)</f>
        <v>0</v>
      </c>
      <c r="F948" s="1679">
        <f t="shared" si="184"/>
        <v>0</v>
      </c>
      <c r="G948" s="1679">
        <f t="shared" si="184"/>
        <v>0</v>
      </c>
      <c r="H948" s="1679">
        <f t="shared" si="184"/>
        <v>0</v>
      </c>
      <c r="I948" s="1679">
        <f t="shared" si="184"/>
        <v>0</v>
      </c>
      <c r="J948" s="1679">
        <f>SUM(J949:J973)</f>
        <v>0</v>
      </c>
      <c r="K948" s="1680" t="str">
        <f>IFERROR(E948/$C$6,"")</f>
        <v/>
      </c>
      <c r="L948" s="1680" t="str">
        <f>IFERROR(E948/$C$7,"")</f>
        <v/>
      </c>
      <c r="M948" s="1681">
        <f>SUM(M949:M973)</f>
        <v>0</v>
      </c>
    </row>
    <row r="949" spans="1:13">
      <c r="A949" s="1655">
        <f>IF(E949&lt;&gt;0,1,0)</f>
        <v>0</v>
      </c>
      <c r="B949" s="1412"/>
      <c r="C949" s="1621" t="s">
        <v>4962</v>
      </c>
      <c r="D949" s="1683"/>
      <c r="E949" s="1678">
        <f>SUM(F949:J949)</f>
        <v>0</v>
      </c>
      <c r="F949" s="1684"/>
      <c r="G949" s="1684"/>
      <c r="H949" s="1684"/>
      <c r="I949" s="1684"/>
      <c r="J949" s="1684"/>
      <c r="K949" s="1685" t="str">
        <f t="shared" ref="K949:K973" si="185">IFERROR(E949/$C$6,"")</f>
        <v/>
      </c>
      <c r="L949" s="1685" t="str">
        <f t="shared" ref="L949:L973" si="186">IFERROR(E949/$C$7,"")</f>
        <v/>
      </c>
      <c r="M949" s="1686"/>
    </row>
    <row r="950" spans="1:13">
      <c r="A950" s="1655">
        <f t="shared" ref="A950:A973" si="187">IF(E950&lt;&gt;0,1,0)</f>
        <v>0</v>
      </c>
      <c r="B950" s="1409"/>
      <c r="C950" s="1621" t="s">
        <v>4963</v>
      </c>
      <c r="D950" s="1683"/>
      <c r="E950" s="1678">
        <f t="shared" ref="E950:E973" si="188">SUM(F950:J950)</f>
        <v>0</v>
      </c>
      <c r="F950" s="1687"/>
      <c r="G950" s="1684"/>
      <c r="H950" s="1684"/>
      <c r="I950" s="1684"/>
      <c r="J950" s="1684"/>
      <c r="K950" s="1685" t="str">
        <f t="shared" si="185"/>
        <v/>
      </c>
      <c r="L950" s="1685" t="str">
        <f t="shared" si="186"/>
        <v/>
      </c>
      <c r="M950" s="1686"/>
    </row>
    <row r="951" spans="1:13">
      <c r="A951" s="1655">
        <f t="shared" si="187"/>
        <v>0</v>
      </c>
      <c r="B951" s="1409"/>
      <c r="C951" s="1621" t="s">
        <v>4964</v>
      </c>
      <c r="D951" s="1683"/>
      <c r="E951" s="1678">
        <f t="shared" si="188"/>
        <v>0</v>
      </c>
      <c r="F951" s="1687"/>
      <c r="G951" s="1684"/>
      <c r="H951" s="1684"/>
      <c r="I951" s="1684"/>
      <c r="J951" s="1684"/>
      <c r="K951" s="1685" t="str">
        <f t="shared" si="185"/>
        <v/>
      </c>
      <c r="L951" s="1685" t="str">
        <f t="shared" si="186"/>
        <v/>
      </c>
      <c r="M951" s="1686"/>
    </row>
    <row r="952" spans="1:13">
      <c r="A952" s="1655">
        <f t="shared" si="187"/>
        <v>0</v>
      </c>
      <c r="B952" s="1409"/>
      <c r="C952" s="1621" t="s">
        <v>4965</v>
      </c>
      <c r="D952" s="1683"/>
      <c r="E952" s="1678">
        <f t="shared" si="188"/>
        <v>0</v>
      </c>
      <c r="F952" s="1687"/>
      <c r="G952" s="1684"/>
      <c r="H952" s="1684"/>
      <c r="I952" s="1684"/>
      <c r="J952" s="1684"/>
      <c r="K952" s="1685" t="str">
        <f t="shared" si="185"/>
        <v/>
      </c>
      <c r="L952" s="1685" t="str">
        <f t="shared" si="186"/>
        <v/>
      </c>
      <c r="M952" s="1686"/>
    </row>
    <row r="953" spans="1:13">
      <c r="A953" s="1655">
        <f t="shared" si="187"/>
        <v>0</v>
      </c>
      <c r="B953" s="1409"/>
      <c r="C953" s="1621" t="s">
        <v>4966</v>
      </c>
      <c r="D953" s="1683"/>
      <c r="E953" s="1678">
        <f t="shared" si="188"/>
        <v>0</v>
      </c>
      <c r="F953" s="1687"/>
      <c r="G953" s="1684"/>
      <c r="H953" s="1684"/>
      <c r="I953" s="1684"/>
      <c r="J953" s="1684"/>
      <c r="K953" s="1685" t="str">
        <f t="shared" si="185"/>
        <v/>
      </c>
      <c r="L953" s="1685" t="str">
        <f t="shared" si="186"/>
        <v/>
      </c>
      <c r="M953" s="1686"/>
    </row>
    <row r="954" spans="1:13">
      <c r="A954" s="1655">
        <f t="shared" si="187"/>
        <v>0</v>
      </c>
      <c r="B954" s="1409"/>
      <c r="C954" s="1621" t="s">
        <v>4967</v>
      </c>
      <c r="D954" s="1683"/>
      <c r="E954" s="1678">
        <f t="shared" si="188"/>
        <v>0</v>
      </c>
      <c r="F954" s="1687"/>
      <c r="G954" s="1684"/>
      <c r="H954" s="1684"/>
      <c r="I954" s="1684"/>
      <c r="J954" s="1684"/>
      <c r="K954" s="1685" t="str">
        <f t="shared" si="185"/>
        <v/>
      </c>
      <c r="L954" s="1685" t="str">
        <f t="shared" si="186"/>
        <v/>
      </c>
      <c r="M954" s="1686"/>
    </row>
    <row r="955" spans="1:13">
      <c r="A955" s="1655">
        <f t="shared" si="187"/>
        <v>0</v>
      </c>
      <c r="B955" s="1409"/>
      <c r="C955" s="1621" t="s">
        <v>4968</v>
      </c>
      <c r="D955" s="1683"/>
      <c r="E955" s="1678">
        <f t="shared" si="188"/>
        <v>0</v>
      </c>
      <c r="F955" s="1687"/>
      <c r="G955" s="1684"/>
      <c r="H955" s="1684"/>
      <c r="I955" s="1684"/>
      <c r="J955" s="1684"/>
      <c r="K955" s="1685" t="str">
        <f t="shared" si="185"/>
        <v/>
      </c>
      <c r="L955" s="1685" t="str">
        <f t="shared" si="186"/>
        <v/>
      </c>
      <c r="M955" s="1686"/>
    </row>
    <row r="956" spans="1:13">
      <c r="A956" s="1655">
        <f t="shared" si="187"/>
        <v>0</v>
      </c>
      <c r="B956" s="1409"/>
      <c r="C956" s="1621" t="s">
        <v>4969</v>
      </c>
      <c r="D956" s="1683"/>
      <c r="E956" s="1678">
        <f t="shared" si="188"/>
        <v>0</v>
      </c>
      <c r="F956" s="1687"/>
      <c r="G956" s="1684"/>
      <c r="H956" s="1684"/>
      <c r="I956" s="1684"/>
      <c r="J956" s="1684"/>
      <c r="K956" s="1685" t="str">
        <f t="shared" si="185"/>
        <v/>
      </c>
      <c r="L956" s="1685" t="str">
        <f t="shared" si="186"/>
        <v/>
      </c>
      <c r="M956" s="1686"/>
    </row>
    <row r="957" spans="1:13">
      <c r="A957" s="1655">
        <f t="shared" si="187"/>
        <v>0</v>
      </c>
      <c r="B957" s="1409"/>
      <c r="C957" s="1621" t="s">
        <v>4970</v>
      </c>
      <c r="D957" s="1683"/>
      <c r="E957" s="1678">
        <f t="shared" si="188"/>
        <v>0</v>
      </c>
      <c r="F957" s="1687"/>
      <c r="G957" s="1684"/>
      <c r="H957" s="1684"/>
      <c r="I957" s="1684"/>
      <c r="J957" s="1684"/>
      <c r="K957" s="1685" t="str">
        <f t="shared" si="185"/>
        <v/>
      </c>
      <c r="L957" s="1685" t="str">
        <f t="shared" si="186"/>
        <v/>
      </c>
      <c r="M957" s="1686"/>
    </row>
    <row r="958" spans="1:13">
      <c r="A958" s="1655">
        <f t="shared" si="187"/>
        <v>0</v>
      </c>
      <c r="B958" s="1409"/>
      <c r="C958" s="1621" t="s">
        <v>4971</v>
      </c>
      <c r="D958" s="1683"/>
      <c r="E958" s="1678">
        <f t="shared" si="188"/>
        <v>0</v>
      </c>
      <c r="F958" s="1687"/>
      <c r="G958" s="1684"/>
      <c r="H958" s="1684"/>
      <c r="I958" s="1684"/>
      <c r="J958" s="1684"/>
      <c r="K958" s="1685" t="str">
        <f t="shared" si="185"/>
        <v/>
      </c>
      <c r="L958" s="1685" t="str">
        <f t="shared" si="186"/>
        <v/>
      </c>
      <c r="M958" s="1686"/>
    </row>
    <row r="959" spans="1:13">
      <c r="A959" s="1655">
        <f t="shared" si="187"/>
        <v>0</v>
      </c>
      <c r="B959" s="1409"/>
      <c r="C959" s="1621" t="s">
        <v>4972</v>
      </c>
      <c r="D959" s="1683"/>
      <c r="E959" s="1678">
        <f t="shared" si="188"/>
        <v>0</v>
      </c>
      <c r="F959" s="1687"/>
      <c r="G959" s="1684"/>
      <c r="H959" s="1684"/>
      <c r="I959" s="1684"/>
      <c r="J959" s="1684"/>
      <c r="K959" s="1685" t="str">
        <f t="shared" si="185"/>
        <v/>
      </c>
      <c r="L959" s="1685" t="str">
        <f t="shared" si="186"/>
        <v/>
      </c>
      <c r="M959" s="1686"/>
    </row>
    <row r="960" spans="1:13">
      <c r="A960" s="1655">
        <f t="shared" si="187"/>
        <v>0</v>
      </c>
      <c r="B960" s="1412"/>
      <c r="C960" s="1621" t="s">
        <v>4973</v>
      </c>
      <c r="D960" s="1683"/>
      <c r="E960" s="1678">
        <f t="shared" si="188"/>
        <v>0</v>
      </c>
      <c r="F960" s="1687"/>
      <c r="G960" s="1684"/>
      <c r="H960" s="1684"/>
      <c r="I960" s="1684"/>
      <c r="J960" s="1684"/>
      <c r="K960" s="1685" t="str">
        <f t="shared" si="185"/>
        <v/>
      </c>
      <c r="L960" s="1685" t="str">
        <f t="shared" si="186"/>
        <v/>
      </c>
      <c r="M960" s="1686"/>
    </row>
    <row r="961" spans="1:13">
      <c r="A961" s="1655">
        <f t="shared" si="187"/>
        <v>0</v>
      </c>
      <c r="B961" s="1412"/>
      <c r="C961" s="1621" t="s">
        <v>4974</v>
      </c>
      <c r="D961" s="1683"/>
      <c r="E961" s="1678">
        <f t="shared" si="188"/>
        <v>0</v>
      </c>
      <c r="F961" s="1687"/>
      <c r="G961" s="1684"/>
      <c r="H961" s="1684"/>
      <c r="I961" s="1684"/>
      <c r="J961" s="1684"/>
      <c r="K961" s="1685" t="str">
        <f t="shared" si="185"/>
        <v/>
      </c>
      <c r="L961" s="1685" t="str">
        <f t="shared" si="186"/>
        <v/>
      </c>
      <c r="M961" s="1686"/>
    </row>
    <row r="962" spans="1:13">
      <c r="A962" s="1655">
        <f t="shared" si="187"/>
        <v>0</v>
      </c>
      <c r="B962" s="1409"/>
      <c r="C962" s="1621" t="s">
        <v>4975</v>
      </c>
      <c r="D962" s="1683"/>
      <c r="E962" s="1678">
        <f t="shared" si="188"/>
        <v>0</v>
      </c>
      <c r="F962" s="1687"/>
      <c r="G962" s="1684"/>
      <c r="H962" s="1684"/>
      <c r="I962" s="1684"/>
      <c r="J962" s="1684"/>
      <c r="K962" s="1685" t="str">
        <f t="shared" si="185"/>
        <v/>
      </c>
      <c r="L962" s="1685" t="str">
        <f t="shared" si="186"/>
        <v/>
      </c>
      <c r="M962" s="1686"/>
    </row>
    <row r="963" spans="1:13">
      <c r="A963" s="1655">
        <f t="shared" si="187"/>
        <v>0</v>
      </c>
      <c r="B963" s="1409"/>
      <c r="C963" s="1621" t="s">
        <v>4976</v>
      </c>
      <c r="D963" s="1683"/>
      <c r="E963" s="1678">
        <f t="shared" si="188"/>
        <v>0</v>
      </c>
      <c r="F963" s="1687"/>
      <c r="G963" s="1684"/>
      <c r="H963" s="1684"/>
      <c r="I963" s="1684"/>
      <c r="J963" s="1684"/>
      <c r="K963" s="1685" t="str">
        <f t="shared" si="185"/>
        <v/>
      </c>
      <c r="L963" s="1685" t="str">
        <f t="shared" si="186"/>
        <v/>
      </c>
      <c r="M963" s="1686"/>
    </row>
    <row r="964" spans="1:13">
      <c r="A964" s="1655">
        <f t="shared" si="187"/>
        <v>0</v>
      </c>
      <c r="B964" s="1409"/>
      <c r="C964" s="1621" t="s">
        <v>4977</v>
      </c>
      <c r="D964" s="1683"/>
      <c r="E964" s="1678">
        <f t="shared" si="188"/>
        <v>0</v>
      </c>
      <c r="F964" s="1687"/>
      <c r="G964" s="1684"/>
      <c r="H964" s="1684"/>
      <c r="I964" s="1684"/>
      <c r="J964" s="1684"/>
      <c r="K964" s="1685" t="str">
        <f t="shared" si="185"/>
        <v/>
      </c>
      <c r="L964" s="1685" t="str">
        <f t="shared" si="186"/>
        <v/>
      </c>
      <c r="M964" s="1686"/>
    </row>
    <row r="965" spans="1:13">
      <c r="A965" s="1655">
        <f t="shared" si="187"/>
        <v>0</v>
      </c>
      <c r="B965" s="1409"/>
      <c r="C965" s="1621" t="s">
        <v>4978</v>
      </c>
      <c r="D965" s="1683"/>
      <c r="E965" s="1678">
        <f t="shared" si="188"/>
        <v>0</v>
      </c>
      <c r="F965" s="1687"/>
      <c r="G965" s="1684"/>
      <c r="H965" s="1684"/>
      <c r="I965" s="1684"/>
      <c r="J965" s="1684"/>
      <c r="K965" s="1685" t="str">
        <f t="shared" si="185"/>
        <v/>
      </c>
      <c r="L965" s="1685" t="str">
        <f t="shared" si="186"/>
        <v/>
      </c>
      <c r="M965" s="1686"/>
    </row>
    <row r="966" spans="1:13">
      <c r="A966" s="1655">
        <f t="shared" si="187"/>
        <v>0</v>
      </c>
      <c r="B966" s="1409"/>
      <c r="C966" s="1621" t="s">
        <v>4979</v>
      </c>
      <c r="D966" s="1683"/>
      <c r="E966" s="1678">
        <f t="shared" si="188"/>
        <v>0</v>
      </c>
      <c r="F966" s="1687"/>
      <c r="G966" s="1684"/>
      <c r="H966" s="1684"/>
      <c r="I966" s="1684"/>
      <c r="J966" s="1684"/>
      <c r="K966" s="1685" t="str">
        <f t="shared" si="185"/>
        <v/>
      </c>
      <c r="L966" s="1685" t="str">
        <f t="shared" si="186"/>
        <v/>
      </c>
      <c r="M966" s="1686"/>
    </row>
    <row r="967" spans="1:13">
      <c r="A967" s="1655">
        <f t="shared" si="187"/>
        <v>0</v>
      </c>
      <c r="B967" s="1409"/>
      <c r="C967" s="1621" t="s">
        <v>4980</v>
      </c>
      <c r="D967" s="1683"/>
      <c r="E967" s="1678">
        <f t="shared" si="188"/>
        <v>0</v>
      </c>
      <c r="F967" s="1687"/>
      <c r="G967" s="1684"/>
      <c r="H967" s="1684"/>
      <c r="I967" s="1684"/>
      <c r="J967" s="1684"/>
      <c r="K967" s="1685" t="str">
        <f t="shared" si="185"/>
        <v/>
      </c>
      <c r="L967" s="1685" t="str">
        <f t="shared" si="186"/>
        <v/>
      </c>
      <c r="M967" s="1686"/>
    </row>
    <row r="968" spans="1:13">
      <c r="A968" s="1655">
        <f t="shared" si="187"/>
        <v>0</v>
      </c>
      <c r="B968" s="1409"/>
      <c r="C968" s="1621" t="s">
        <v>4981</v>
      </c>
      <c r="D968" s="1683"/>
      <c r="E968" s="1678">
        <f t="shared" si="188"/>
        <v>0</v>
      </c>
      <c r="F968" s="1687"/>
      <c r="G968" s="1684"/>
      <c r="H968" s="1684"/>
      <c r="I968" s="1684"/>
      <c r="J968" s="1684"/>
      <c r="K968" s="1685" t="str">
        <f t="shared" si="185"/>
        <v/>
      </c>
      <c r="L968" s="1685" t="str">
        <f t="shared" si="186"/>
        <v/>
      </c>
      <c r="M968" s="1686"/>
    </row>
    <row r="969" spans="1:13">
      <c r="A969" s="1655">
        <f t="shared" si="187"/>
        <v>0</v>
      </c>
      <c r="B969" s="1409"/>
      <c r="C969" s="1621" t="s">
        <v>4982</v>
      </c>
      <c r="D969" s="1683"/>
      <c r="E969" s="1678">
        <f t="shared" si="188"/>
        <v>0</v>
      </c>
      <c r="F969" s="1687"/>
      <c r="G969" s="1684"/>
      <c r="H969" s="1684"/>
      <c r="I969" s="1684"/>
      <c r="J969" s="1684"/>
      <c r="K969" s="1685" t="str">
        <f t="shared" si="185"/>
        <v/>
      </c>
      <c r="L969" s="1685" t="str">
        <f t="shared" si="186"/>
        <v/>
      </c>
      <c r="M969" s="1686"/>
    </row>
    <row r="970" spans="1:13">
      <c r="A970" s="1655">
        <f t="shared" si="187"/>
        <v>0</v>
      </c>
      <c r="B970" s="1409"/>
      <c r="C970" s="1621" t="s">
        <v>4983</v>
      </c>
      <c r="D970" s="1683"/>
      <c r="E970" s="1678">
        <f t="shared" si="188"/>
        <v>0</v>
      </c>
      <c r="F970" s="1687"/>
      <c r="G970" s="1684"/>
      <c r="H970" s="1684"/>
      <c r="I970" s="1684"/>
      <c r="J970" s="1684"/>
      <c r="K970" s="1685" t="str">
        <f t="shared" si="185"/>
        <v/>
      </c>
      <c r="L970" s="1685" t="str">
        <f t="shared" si="186"/>
        <v/>
      </c>
      <c r="M970" s="1686"/>
    </row>
    <row r="971" spans="1:13">
      <c r="A971" s="1655">
        <f t="shared" si="187"/>
        <v>0</v>
      </c>
      <c r="B971" s="1409"/>
      <c r="C971" s="1621" t="s">
        <v>4984</v>
      </c>
      <c r="D971" s="1683"/>
      <c r="E971" s="1678">
        <f t="shared" si="188"/>
        <v>0</v>
      </c>
      <c r="F971" s="1687"/>
      <c r="G971" s="1684"/>
      <c r="H971" s="1684"/>
      <c r="I971" s="1684"/>
      <c r="J971" s="1684"/>
      <c r="K971" s="1685" t="str">
        <f t="shared" si="185"/>
        <v/>
      </c>
      <c r="L971" s="1685" t="str">
        <f t="shared" si="186"/>
        <v/>
      </c>
      <c r="M971" s="1686"/>
    </row>
    <row r="972" spans="1:13">
      <c r="A972" s="1655">
        <f t="shared" si="187"/>
        <v>0</v>
      </c>
      <c r="B972" s="1409"/>
      <c r="C972" s="1621" t="s">
        <v>4985</v>
      </c>
      <c r="D972" s="1683"/>
      <c r="E972" s="1678">
        <f t="shared" si="188"/>
        <v>0</v>
      </c>
      <c r="F972" s="1687"/>
      <c r="G972" s="1684"/>
      <c r="H972" s="1684"/>
      <c r="I972" s="1684"/>
      <c r="J972" s="1684"/>
      <c r="K972" s="1685" t="str">
        <f t="shared" si="185"/>
        <v/>
      </c>
      <c r="L972" s="1685" t="str">
        <f t="shared" si="186"/>
        <v/>
      </c>
      <c r="M972" s="1686"/>
    </row>
    <row r="973" spans="1:13">
      <c r="A973" s="1655">
        <f t="shared" si="187"/>
        <v>0</v>
      </c>
      <c r="B973" s="1688"/>
      <c r="C973" s="1689" t="s">
        <v>4986</v>
      </c>
      <c r="D973" s="1690"/>
      <c r="E973" s="1691">
        <f t="shared" si="188"/>
        <v>0</v>
      </c>
      <c r="F973" s="1692"/>
      <c r="G973" s="1693"/>
      <c r="H973" s="1693"/>
      <c r="I973" s="1693"/>
      <c r="J973" s="1693"/>
      <c r="K973" s="1694" t="str">
        <f t="shared" si="185"/>
        <v/>
      </c>
      <c r="L973" s="1694" t="str">
        <f t="shared" si="186"/>
        <v/>
      </c>
      <c r="M973" s="1695"/>
    </row>
    <row r="974" spans="1:13">
      <c r="A974" s="1674">
        <f>A948+1</f>
        <v>38</v>
      </c>
      <c r="B974" s="1675" t="s">
        <v>5050</v>
      </c>
      <c r="C974" s="1676"/>
      <c r="D974" s="1677"/>
      <c r="E974" s="1679">
        <f t="shared" ref="E974:I974" si="189">SUM(E975:E999)</f>
        <v>0</v>
      </c>
      <c r="F974" s="1679">
        <f t="shared" si="189"/>
        <v>0</v>
      </c>
      <c r="G974" s="1679">
        <f t="shared" si="189"/>
        <v>0</v>
      </c>
      <c r="H974" s="1679">
        <f t="shared" si="189"/>
        <v>0</v>
      </c>
      <c r="I974" s="1679">
        <f t="shared" si="189"/>
        <v>0</v>
      </c>
      <c r="J974" s="1679">
        <f>SUM(J975:J999)</f>
        <v>0</v>
      </c>
      <c r="K974" s="1680" t="str">
        <f>IFERROR(E974/$C$6,"")</f>
        <v/>
      </c>
      <c r="L974" s="1680" t="str">
        <f>IFERROR(E974/$C$7,"")</f>
        <v/>
      </c>
      <c r="M974" s="1681">
        <f>SUM(M975:M999)</f>
        <v>0</v>
      </c>
    </row>
    <row r="975" spans="1:13">
      <c r="A975" s="1655">
        <f>IF(E975&lt;&gt;0,1,0)</f>
        <v>0</v>
      </c>
      <c r="B975" s="1412"/>
      <c r="C975" s="1621" t="s">
        <v>4962</v>
      </c>
      <c r="D975" s="1683"/>
      <c r="E975" s="1678">
        <f>SUM(F975:J975)</f>
        <v>0</v>
      </c>
      <c r="F975" s="1684"/>
      <c r="G975" s="1684"/>
      <c r="H975" s="1684"/>
      <c r="I975" s="1684"/>
      <c r="J975" s="1684"/>
      <c r="K975" s="1685" t="str">
        <f t="shared" ref="K975:K999" si="190">IFERROR(E975/$C$6,"")</f>
        <v/>
      </c>
      <c r="L975" s="1685" t="str">
        <f t="shared" ref="L975:L999" si="191">IFERROR(E975/$C$7,"")</f>
        <v/>
      </c>
      <c r="M975" s="1686"/>
    </row>
    <row r="976" spans="1:13">
      <c r="A976" s="1655">
        <f t="shared" ref="A976:A999" si="192">IF(E976&lt;&gt;0,1,0)</f>
        <v>0</v>
      </c>
      <c r="B976" s="1409"/>
      <c r="C976" s="1621" t="s">
        <v>4963</v>
      </c>
      <c r="D976" s="1683"/>
      <c r="E976" s="1678">
        <f t="shared" ref="E976:E999" si="193">SUM(F976:J976)</f>
        <v>0</v>
      </c>
      <c r="F976" s="1687"/>
      <c r="G976" s="1684"/>
      <c r="H976" s="1684"/>
      <c r="I976" s="1684"/>
      <c r="J976" s="1684"/>
      <c r="K976" s="1685" t="str">
        <f t="shared" si="190"/>
        <v/>
      </c>
      <c r="L976" s="1685" t="str">
        <f t="shared" si="191"/>
        <v/>
      </c>
      <c r="M976" s="1686"/>
    </row>
    <row r="977" spans="1:13">
      <c r="A977" s="1655">
        <f t="shared" si="192"/>
        <v>0</v>
      </c>
      <c r="B977" s="1409"/>
      <c r="C977" s="1621" t="s">
        <v>4964</v>
      </c>
      <c r="D977" s="1683"/>
      <c r="E977" s="1678">
        <f t="shared" si="193"/>
        <v>0</v>
      </c>
      <c r="F977" s="1687"/>
      <c r="G977" s="1684"/>
      <c r="H977" s="1684"/>
      <c r="I977" s="1684"/>
      <c r="J977" s="1684"/>
      <c r="K977" s="1685" t="str">
        <f t="shared" si="190"/>
        <v/>
      </c>
      <c r="L977" s="1685" t="str">
        <f t="shared" si="191"/>
        <v/>
      </c>
      <c r="M977" s="1686"/>
    </row>
    <row r="978" spans="1:13">
      <c r="A978" s="1655">
        <f t="shared" si="192"/>
        <v>0</v>
      </c>
      <c r="B978" s="1409"/>
      <c r="C978" s="1621" t="s">
        <v>4965</v>
      </c>
      <c r="D978" s="1683"/>
      <c r="E978" s="1678">
        <f t="shared" si="193"/>
        <v>0</v>
      </c>
      <c r="F978" s="1687"/>
      <c r="G978" s="1684"/>
      <c r="H978" s="1684"/>
      <c r="I978" s="1684"/>
      <c r="J978" s="1684"/>
      <c r="K978" s="1685" t="str">
        <f t="shared" si="190"/>
        <v/>
      </c>
      <c r="L978" s="1685" t="str">
        <f t="shared" si="191"/>
        <v/>
      </c>
      <c r="M978" s="1686"/>
    </row>
    <row r="979" spans="1:13">
      <c r="A979" s="1655">
        <f t="shared" si="192"/>
        <v>0</v>
      </c>
      <c r="B979" s="1409"/>
      <c r="C979" s="1621" t="s">
        <v>4966</v>
      </c>
      <c r="D979" s="1683"/>
      <c r="E979" s="1678">
        <f t="shared" si="193"/>
        <v>0</v>
      </c>
      <c r="F979" s="1687"/>
      <c r="G979" s="1684"/>
      <c r="H979" s="1684"/>
      <c r="I979" s="1684"/>
      <c r="J979" s="1684"/>
      <c r="K979" s="1685" t="str">
        <f t="shared" si="190"/>
        <v/>
      </c>
      <c r="L979" s="1685" t="str">
        <f t="shared" si="191"/>
        <v/>
      </c>
      <c r="M979" s="1686"/>
    </row>
    <row r="980" spans="1:13">
      <c r="A980" s="1655">
        <f t="shared" si="192"/>
        <v>0</v>
      </c>
      <c r="B980" s="1409"/>
      <c r="C980" s="1621" t="s">
        <v>4967</v>
      </c>
      <c r="D980" s="1683"/>
      <c r="E980" s="1678">
        <f t="shared" si="193"/>
        <v>0</v>
      </c>
      <c r="F980" s="1687"/>
      <c r="G980" s="1684"/>
      <c r="H980" s="1684"/>
      <c r="I980" s="1684"/>
      <c r="J980" s="1684"/>
      <c r="K980" s="1685" t="str">
        <f t="shared" si="190"/>
        <v/>
      </c>
      <c r="L980" s="1685" t="str">
        <f t="shared" si="191"/>
        <v/>
      </c>
      <c r="M980" s="1686"/>
    </row>
    <row r="981" spans="1:13">
      <c r="A981" s="1655">
        <f t="shared" si="192"/>
        <v>0</v>
      </c>
      <c r="B981" s="1409"/>
      <c r="C981" s="1621" t="s">
        <v>4968</v>
      </c>
      <c r="D981" s="1683"/>
      <c r="E981" s="1678">
        <f t="shared" si="193"/>
        <v>0</v>
      </c>
      <c r="F981" s="1687"/>
      <c r="G981" s="1684"/>
      <c r="H981" s="1684"/>
      <c r="I981" s="1684"/>
      <c r="J981" s="1684"/>
      <c r="K981" s="1685" t="str">
        <f t="shared" si="190"/>
        <v/>
      </c>
      <c r="L981" s="1685" t="str">
        <f t="shared" si="191"/>
        <v/>
      </c>
      <c r="M981" s="1686"/>
    </row>
    <row r="982" spans="1:13">
      <c r="A982" s="1655">
        <f t="shared" si="192"/>
        <v>0</v>
      </c>
      <c r="B982" s="1409"/>
      <c r="C982" s="1621" t="s">
        <v>4969</v>
      </c>
      <c r="D982" s="1683"/>
      <c r="E982" s="1678">
        <f t="shared" si="193"/>
        <v>0</v>
      </c>
      <c r="F982" s="1687"/>
      <c r="G982" s="1684"/>
      <c r="H982" s="1684"/>
      <c r="I982" s="1684"/>
      <c r="J982" s="1684"/>
      <c r="K982" s="1685" t="str">
        <f t="shared" si="190"/>
        <v/>
      </c>
      <c r="L982" s="1685" t="str">
        <f t="shared" si="191"/>
        <v/>
      </c>
      <c r="M982" s="1686"/>
    </row>
    <row r="983" spans="1:13">
      <c r="A983" s="1655">
        <f t="shared" si="192"/>
        <v>0</v>
      </c>
      <c r="B983" s="1409"/>
      <c r="C983" s="1621" t="s">
        <v>4970</v>
      </c>
      <c r="D983" s="1683"/>
      <c r="E983" s="1678">
        <f t="shared" si="193"/>
        <v>0</v>
      </c>
      <c r="F983" s="1687"/>
      <c r="G983" s="1684"/>
      <c r="H983" s="1684"/>
      <c r="I983" s="1684"/>
      <c r="J983" s="1684"/>
      <c r="K983" s="1685" t="str">
        <f t="shared" si="190"/>
        <v/>
      </c>
      <c r="L983" s="1685" t="str">
        <f t="shared" si="191"/>
        <v/>
      </c>
      <c r="M983" s="1686"/>
    </row>
    <row r="984" spans="1:13">
      <c r="A984" s="1655">
        <f t="shared" si="192"/>
        <v>0</v>
      </c>
      <c r="B984" s="1409"/>
      <c r="C984" s="1621" t="s">
        <v>4971</v>
      </c>
      <c r="D984" s="1683"/>
      <c r="E984" s="1678">
        <f t="shared" si="193"/>
        <v>0</v>
      </c>
      <c r="F984" s="1687"/>
      <c r="G984" s="1684"/>
      <c r="H984" s="1684"/>
      <c r="I984" s="1684"/>
      <c r="J984" s="1684"/>
      <c r="K984" s="1685" t="str">
        <f t="shared" si="190"/>
        <v/>
      </c>
      <c r="L984" s="1685" t="str">
        <f t="shared" si="191"/>
        <v/>
      </c>
      <c r="M984" s="1686"/>
    </row>
    <row r="985" spans="1:13">
      <c r="A985" s="1655">
        <f t="shared" si="192"/>
        <v>0</v>
      </c>
      <c r="B985" s="1409"/>
      <c r="C985" s="1621" t="s">
        <v>4972</v>
      </c>
      <c r="D985" s="1683"/>
      <c r="E985" s="1678">
        <f t="shared" si="193"/>
        <v>0</v>
      </c>
      <c r="F985" s="1687"/>
      <c r="G985" s="1684"/>
      <c r="H985" s="1684"/>
      <c r="I985" s="1684"/>
      <c r="J985" s="1684"/>
      <c r="K985" s="1685" t="str">
        <f t="shared" si="190"/>
        <v/>
      </c>
      <c r="L985" s="1685" t="str">
        <f t="shared" si="191"/>
        <v/>
      </c>
      <c r="M985" s="1686"/>
    </row>
    <row r="986" spans="1:13">
      <c r="A986" s="1655">
        <f t="shared" si="192"/>
        <v>0</v>
      </c>
      <c r="B986" s="1412"/>
      <c r="C986" s="1621" t="s">
        <v>4973</v>
      </c>
      <c r="D986" s="1683"/>
      <c r="E986" s="1678">
        <f t="shared" si="193"/>
        <v>0</v>
      </c>
      <c r="F986" s="1687"/>
      <c r="G986" s="1684"/>
      <c r="H986" s="1684"/>
      <c r="I986" s="1684"/>
      <c r="J986" s="1684"/>
      <c r="K986" s="1685" t="str">
        <f t="shared" si="190"/>
        <v/>
      </c>
      <c r="L986" s="1685" t="str">
        <f t="shared" si="191"/>
        <v/>
      </c>
      <c r="M986" s="1686"/>
    </row>
    <row r="987" spans="1:13">
      <c r="A987" s="1655">
        <f t="shared" si="192"/>
        <v>0</v>
      </c>
      <c r="B987" s="1412"/>
      <c r="C987" s="1621" t="s">
        <v>4974</v>
      </c>
      <c r="D987" s="1683"/>
      <c r="E987" s="1678">
        <f t="shared" si="193"/>
        <v>0</v>
      </c>
      <c r="F987" s="1687"/>
      <c r="G987" s="1684"/>
      <c r="H987" s="1684"/>
      <c r="I987" s="1684"/>
      <c r="J987" s="1684"/>
      <c r="K987" s="1685" t="str">
        <f t="shared" si="190"/>
        <v/>
      </c>
      <c r="L987" s="1685" t="str">
        <f t="shared" si="191"/>
        <v/>
      </c>
      <c r="M987" s="1686"/>
    </row>
    <row r="988" spans="1:13">
      <c r="A988" s="1655">
        <f t="shared" si="192"/>
        <v>0</v>
      </c>
      <c r="B988" s="1409"/>
      <c r="C988" s="1621" t="s">
        <v>4975</v>
      </c>
      <c r="D988" s="1683"/>
      <c r="E988" s="1678">
        <f t="shared" si="193"/>
        <v>0</v>
      </c>
      <c r="F988" s="1687"/>
      <c r="G988" s="1684"/>
      <c r="H988" s="1684"/>
      <c r="I988" s="1684"/>
      <c r="J988" s="1684"/>
      <c r="K988" s="1685" t="str">
        <f t="shared" si="190"/>
        <v/>
      </c>
      <c r="L988" s="1685" t="str">
        <f t="shared" si="191"/>
        <v/>
      </c>
      <c r="M988" s="1686"/>
    </row>
    <row r="989" spans="1:13">
      <c r="A989" s="1655">
        <f t="shared" si="192"/>
        <v>0</v>
      </c>
      <c r="B989" s="1409"/>
      <c r="C989" s="1621" t="s">
        <v>4976</v>
      </c>
      <c r="D989" s="1683"/>
      <c r="E989" s="1678">
        <f t="shared" si="193"/>
        <v>0</v>
      </c>
      <c r="F989" s="1687"/>
      <c r="G989" s="1684"/>
      <c r="H989" s="1684"/>
      <c r="I989" s="1684"/>
      <c r="J989" s="1684"/>
      <c r="K989" s="1685" t="str">
        <f t="shared" si="190"/>
        <v/>
      </c>
      <c r="L989" s="1685" t="str">
        <f t="shared" si="191"/>
        <v/>
      </c>
      <c r="M989" s="1686"/>
    </row>
    <row r="990" spans="1:13">
      <c r="A990" s="1655">
        <f t="shared" si="192"/>
        <v>0</v>
      </c>
      <c r="B990" s="1409"/>
      <c r="C990" s="1621" t="s">
        <v>4977</v>
      </c>
      <c r="D990" s="1683"/>
      <c r="E990" s="1678">
        <f t="shared" si="193"/>
        <v>0</v>
      </c>
      <c r="F990" s="1687"/>
      <c r="G990" s="1684"/>
      <c r="H990" s="1684"/>
      <c r="I990" s="1684"/>
      <c r="J990" s="1684"/>
      <c r="K990" s="1685" t="str">
        <f t="shared" si="190"/>
        <v/>
      </c>
      <c r="L990" s="1685" t="str">
        <f t="shared" si="191"/>
        <v/>
      </c>
      <c r="M990" s="1686"/>
    </row>
    <row r="991" spans="1:13">
      <c r="A991" s="1655">
        <f t="shared" si="192"/>
        <v>0</v>
      </c>
      <c r="B991" s="1409"/>
      <c r="C991" s="1621" t="s">
        <v>4978</v>
      </c>
      <c r="D991" s="1683"/>
      <c r="E991" s="1678">
        <f t="shared" si="193"/>
        <v>0</v>
      </c>
      <c r="F991" s="1687"/>
      <c r="G991" s="1684"/>
      <c r="H991" s="1684"/>
      <c r="I991" s="1684"/>
      <c r="J991" s="1684"/>
      <c r="K991" s="1685" t="str">
        <f t="shared" si="190"/>
        <v/>
      </c>
      <c r="L991" s="1685" t="str">
        <f t="shared" si="191"/>
        <v/>
      </c>
      <c r="M991" s="1686"/>
    </row>
    <row r="992" spans="1:13">
      <c r="A992" s="1655">
        <f t="shared" si="192"/>
        <v>0</v>
      </c>
      <c r="B992" s="1409"/>
      <c r="C992" s="1621" t="s">
        <v>4979</v>
      </c>
      <c r="D992" s="1683"/>
      <c r="E992" s="1678">
        <f t="shared" si="193"/>
        <v>0</v>
      </c>
      <c r="F992" s="1687"/>
      <c r="G992" s="1684"/>
      <c r="H992" s="1684"/>
      <c r="I992" s="1684"/>
      <c r="J992" s="1684"/>
      <c r="K992" s="1685" t="str">
        <f t="shared" si="190"/>
        <v/>
      </c>
      <c r="L992" s="1685" t="str">
        <f t="shared" si="191"/>
        <v/>
      </c>
      <c r="M992" s="1686"/>
    </row>
    <row r="993" spans="1:13">
      <c r="A993" s="1655">
        <f t="shared" si="192"/>
        <v>0</v>
      </c>
      <c r="B993" s="1409"/>
      <c r="C993" s="1621" t="s">
        <v>4980</v>
      </c>
      <c r="D993" s="1683"/>
      <c r="E993" s="1678">
        <f t="shared" si="193"/>
        <v>0</v>
      </c>
      <c r="F993" s="1687"/>
      <c r="G993" s="1684"/>
      <c r="H993" s="1684"/>
      <c r="I993" s="1684"/>
      <c r="J993" s="1684"/>
      <c r="K993" s="1685" t="str">
        <f t="shared" si="190"/>
        <v/>
      </c>
      <c r="L993" s="1685" t="str">
        <f t="shared" si="191"/>
        <v/>
      </c>
      <c r="M993" s="1686"/>
    </row>
    <row r="994" spans="1:13">
      <c r="A994" s="1655">
        <f t="shared" si="192"/>
        <v>0</v>
      </c>
      <c r="B994" s="1409"/>
      <c r="C994" s="1621" t="s">
        <v>4981</v>
      </c>
      <c r="D994" s="1683"/>
      <c r="E994" s="1678">
        <f t="shared" si="193"/>
        <v>0</v>
      </c>
      <c r="F994" s="1687"/>
      <c r="G994" s="1684"/>
      <c r="H994" s="1684"/>
      <c r="I994" s="1684"/>
      <c r="J994" s="1684"/>
      <c r="K994" s="1685" t="str">
        <f t="shared" si="190"/>
        <v/>
      </c>
      <c r="L994" s="1685" t="str">
        <f t="shared" si="191"/>
        <v/>
      </c>
      <c r="M994" s="1686"/>
    </row>
    <row r="995" spans="1:13">
      <c r="A995" s="1655">
        <f t="shared" si="192"/>
        <v>0</v>
      </c>
      <c r="B995" s="1409"/>
      <c r="C995" s="1621" t="s">
        <v>4982</v>
      </c>
      <c r="D995" s="1683"/>
      <c r="E995" s="1678">
        <f t="shared" si="193"/>
        <v>0</v>
      </c>
      <c r="F995" s="1687"/>
      <c r="G995" s="1684"/>
      <c r="H995" s="1684"/>
      <c r="I995" s="1684"/>
      <c r="J995" s="1684"/>
      <c r="K995" s="1685" t="str">
        <f t="shared" si="190"/>
        <v/>
      </c>
      <c r="L995" s="1685" t="str">
        <f t="shared" si="191"/>
        <v/>
      </c>
      <c r="M995" s="1686"/>
    </row>
    <row r="996" spans="1:13">
      <c r="A996" s="1655">
        <f t="shared" si="192"/>
        <v>0</v>
      </c>
      <c r="B996" s="1409"/>
      <c r="C996" s="1621" t="s">
        <v>4983</v>
      </c>
      <c r="D996" s="1683"/>
      <c r="E996" s="1678">
        <f t="shared" si="193"/>
        <v>0</v>
      </c>
      <c r="F996" s="1687"/>
      <c r="G996" s="1684"/>
      <c r="H996" s="1684"/>
      <c r="I996" s="1684"/>
      <c r="J996" s="1684"/>
      <c r="K996" s="1685" t="str">
        <f t="shared" si="190"/>
        <v/>
      </c>
      <c r="L996" s="1685" t="str">
        <f t="shared" si="191"/>
        <v/>
      </c>
      <c r="M996" s="1686"/>
    </row>
    <row r="997" spans="1:13">
      <c r="A997" s="1655">
        <f t="shared" si="192"/>
        <v>0</v>
      </c>
      <c r="B997" s="1409"/>
      <c r="C997" s="1621" t="s">
        <v>4984</v>
      </c>
      <c r="D997" s="1683"/>
      <c r="E997" s="1678">
        <f t="shared" si="193"/>
        <v>0</v>
      </c>
      <c r="F997" s="1687"/>
      <c r="G997" s="1684"/>
      <c r="H997" s="1684"/>
      <c r="I997" s="1684"/>
      <c r="J997" s="1684"/>
      <c r="K997" s="1685" t="str">
        <f t="shared" si="190"/>
        <v/>
      </c>
      <c r="L997" s="1685" t="str">
        <f t="shared" si="191"/>
        <v/>
      </c>
      <c r="M997" s="1686"/>
    </row>
    <row r="998" spans="1:13">
      <c r="A998" s="1655">
        <f t="shared" si="192"/>
        <v>0</v>
      </c>
      <c r="B998" s="1409"/>
      <c r="C998" s="1621" t="s">
        <v>4985</v>
      </c>
      <c r="D998" s="1683"/>
      <c r="E998" s="1678">
        <f t="shared" si="193"/>
        <v>0</v>
      </c>
      <c r="F998" s="1687"/>
      <c r="G998" s="1684"/>
      <c r="H998" s="1684"/>
      <c r="I998" s="1684"/>
      <c r="J998" s="1684"/>
      <c r="K998" s="1685" t="str">
        <f t="shared" si="190"/>
        <v/>
      </c>
      <c r="L998" s="1685" t="str">
        <f t="shared" si="191"/>
        <v/>
      </c>
      <c r="M998" s="1686"/>
    </row>
    <row r="999" spans="1:13">
      <c r="A999" s="1655">
        <f t="shared" si="192"/>
        <v>0</v>
      </c>
      <c r="B999" s="1688"/>
      <c r="C999" s="1689" t="s">
        <v>4986</v>
      </c>
      <c r="D999" s="1690"/>
      <c r="E999" s="1691">
        <f t="shared" si="193"/>
        <v>0</v>
      </c>
      <c r="F999" s="1692"/>
      <c r="G999" s="1693"/>
      <c r="H999" s="1693"/>
      <c r="I999" s="1693"/>
      <c r="J999" s="1693"/>
      <c r="K999" s="1694" t="str">
        <f t="shared" si="190"/>
        <v/>
      </c>
      <c r="L999" s="1694" t="str">
        <f t="shared" si="191"/>
        <v/>
      </c>
      <c r="M999" s="1695"/>
    </row>
    <row r="1000" spans="1:13">
      <c r="A1000" s="1674">
        <f>A974+1</f>
        <v>39</v>
      </c>
      <c r="B1000" s="1675" t="s">
        <v>5050</v>
      </c>
      <c r="C1000" s="1676"/>
      <c r="D1000" s="1677"/>
      <c r="E1000" s="1679">
        <f t="shared" ref="E1000:I1000" si="194">SUM(E1001:E1025)</f>
        <v>0</v>
      </c>
      <c r="F1000" s="1679">
        <f t="shared" si="194"/>
        <v>0</v>
      </c>
      <c r="G1000" s="1679">
        <f t="shared" si="194"/>
        <v>0</v>
      </c>
      <c r="H1000" s="1679">
        <f t="shared" si="194"/>
        <v>0</v>
      </c>
      <c r="I1000" s="1679">
        <f t="shared" si="194"/>
        <v>0</v>
      </c>
      <c r="J1000" s="1679">
        <f>SUM(J1001:J1025)</f>
        <v>0</v>
      </c>
      <c r="K1000" s="1680" t="str">
        <f>IFERROR(E1000/$C$6,"")</f>
        <v/>
      </c>
      <c r="L1000" s="1680" t="str">
        <f>IFERROR(E1000/$C$7,"")</f>
        <v/>
      </c>
      <c r="M1000" s="1681">
        <f>SUM(M1001:M1025)</f>
        <v>0</v>
      </c>
    </row>
    <row r="1001" spans="1:13">
      <c r="A1001" s="1655">
        <f>IF(E1001&lt;&gt;0,1,0)</f>
        <v>0</v>
      </c>
      <c r="B1001" s="1412"/>
      <c r="C1001" s="1621" t="s">
        <v>4962</v>
      </c>
      <c r="D1001" s="1683"/>
      <c r="E1001" s="1678">
        <f>SUM(F1001:J1001)</f>
        <v>0</v>
      </c>
      <c r="F1001" s="1684"/>
      <c r="G1001" s="1684"/>
      <c r="H1001" s="1684"/>
      <c r="I1001" s="1684"/>
      <c r="J1001" s="1684"/>
      <c r="K1001" s="1685" t="str">
        <f t="shared" ref="K1001:K1025" si="195">IFERROR(E1001/$C$6,"")</f>
        <v/>
      </c>
      <c r="L1001" s="1685" t="str">
        <f t="shared" ref="L1001:L1025" si="196">IFERROR(E1001/$C$7,"")</f>
        <v/>
      </c>
      <c r="M1001" s="1686"/>
    </row>
    <row r="1002" spans="1:13">
      <c r="A1002" s="1655">
        <f t="shared" ref="A1002:A1025" si="197">IF(E1002&lt;&gt;0,1,0)</f>
        <v>0</v>
      </c>
      <c r="B1002" s="1409"/>
      <c r="C1002" s="1621" t="s">
        <v>4963</v>
      </c>
      <c r="D1002" s="1683"/>
      <c r="E1002" s="1678">
        <f t="shared" ref="E1002:E1025" si="198">SUM(F1002:J1002)</f>
        <v>0</v>
      </c>
      <c r="F1002" s="1687"/>
      <c r="G1002" s="1684"/>
      <c r="H1002" s="1684"/>
      <c r="I1002" s="1684"/>
      <c r="J1002" s="1684"/>
      <c r="K1002" s="1685" t="str">
        <f t="shared" si="195"/>
        <v/>
      </c>
      <c r="L1002" s="1685" t="str">
        <f t="shared" si="196"/>
        <v/>
      </c>
      <c r="M1002" s="1686"/>
    </row>
    <row r="1003" spans="1:13">
      <c r="A1003" s="1655">
        <f t="shared" si="197"/>
        <v>0</v>
      </c>
      <c r="B1003" s="1409"/>
      <c r="C1003" s="1621" t="s">
        <v>4964</v>
      </c>
      <c r="D1003" s="1683"/>
      <c r="E1003" s="1678">
        <f t="shared" si="198"/>
        <v>0</v>
      </c>
      <c r="F1003" s="1687"/>
      <c r="G1003" s="1684"/>
      <c r="H1003" s="1684"/>
      <c r="I1003" s="1684"/>
      <c r="J1003" s="1684"/>
      <c r="K1003" s="1685" t="str">
        <f t="shared" si="195"/>
        <v/>
      </c>
      <c r="L1003" s="1685" t="str">
        <f t="shared" si="196"/>
        <v/>
      </c>
      <c r="M1003" s="1686"/>
    </row>
    <row r="1004" spans="1:13">
      <c r="A1004" s="1655">
        <f t="shared" si="197"/>
        <v>0</v>
      </c>
      <c r="B1004" s="1409"/>
      <c r="C1004" s="1621" t="s">
        <v>4965</v>
      </c>
      <c r="D1004" s="1683"/>
      <c r="E1004" s="1678">
        <f t="shared" si="198"/>
        <v>0</v>
      </c>
      <c r="F1004" s="1687"/>
      <c r="G1004" s="1684"/>
      <c r="H1004" s="1684"/>
      <c r="I1004" s="1684"/>
      <c r="J1004" s="1684"/>
      <c r="K1004" s="1685" t="str">
        <f t="shared" si="195"/>
        <v/>
      </c>
      <c r="L1004" s="1685" t="str">
        <f t="shared" si="196"/>
        <v/>
      </c>
      <c r="M1004" s="1686"/>
    </row>
    <row r="1005" spans="1:13">
      <c r="A1005" s="1655">
        <f t="shared" si="197"/>
        <v>0</v>
      </c>
      <c r="B1005" s="1409"/>
      <c r="C1005" s="1621" t="s">
        <v>4966</v>
      </c>
      <c r="D1005" s="1683"/>
      <c r="E1005" s="1678">
        <f t="shared" si="198"/>
        <v>0</v>
      </c>
      <c r="F1005" s="1687"/>
      <c r="G1005" s="1684"/>
      <c r="H1005" s="1684"/>
      <c r="I1005" s="1684"/>
      <c r="J1005" s="1684"/>
      <c r="K1005" s="1685" t="str">
        <f t="shared" si="195"/>
        <v/>
      </c>
      <c r="L1005" s="1685" t="str">
        <f t="shared" si="196"/>
        <v/>
      </c>
      <c r="M1005" s="1686"/>
    </row>
    <row r="1006" spans="1:13">
      <c r="A1006" s="1655">
        <f t="shared" si="197"/>
        <v>0</v>
      </c>
      <c r="B1006" s="1409"/>
      <c r="C1006" s="1621" t="s">
        <v>4967</v>
      </c>
      <c r="D1006" s="1683"/>
      <c r="E1006" s="1678">
        <f t="shared" si="198"/>
        <v>0</v>
      </c>
      <c r="F1006" s="1687"/>
      <c r="G1006" s="1684"/>
      <c r="H1006" s="1684"/>
      <c r="I1006" s="1684"/>
      <c r="J1006" s="1684"/>
      <c r="K1006" s="1685" t="str">
        <f t="shared" si="195"/>
        <v/>
      </c>
      <c r="L1006" s="1685" t="str">
        <f t="shared" si="196"/>
        <v/>
      </c>
      <c r="M1006" s="1686"/>
    </row>
    <row r="1007" spans="1:13">
      <c r="A1007" s="1655">
        <f t="shared" si="197"/>
        <v>0</v>
      </c>
      <c r="B1007" s="1409"/>
      <c r="C1007" s="1621" t="s">
        <v>4968</v>
      </c>
      <c r="D1007" s="1683"/>
      <c r="E1007" s="1678">
        <f t="shared" si="198"/>
        <v>0</v>
      </c>
      <c r="F1007" s="1687"/>
      <c r="G1007" s="1684"/>
      <c r="H1007" s="1684"/>
      <c r="I1007" s="1684"/>
      <c r="J1007" s="1684"/>
      <c r="K1007" s="1685" t="str">
        <f t="shared" si="195"/>
        <v/>
      </c>
      <c r="L1007" s="1685" t="str">
        <f t="shared" si="196"/>
        <v/>
      </c>
      <c r="M1007" s="1686"/>
    </row>
    <row r="1008" spans="1:13">
      <c r="A1008" s="1655">
        <f t="shared" si="197"/>
        <v>0</v>
      </c>
      <c r="B1008" s="1409"/>
      <c r="C1008" s="1621" t="s">
        <v>4969</v>
      </c>
      <c r="D1008" s="1683"/>
      <c r="E1008" s="1678">
        <f t="shared" si="198"/>
        <v>0</v>
      </c>
      <c r="F1008" s="1687"/>
      <c r="G1008" s="1684"/>
      <c r="H1008" s="1684"/>
      <c r="I1008" s="1684"/>
      <c r="J1008" s="1684"/>
      <c r="K1008" s="1685" t="str">
        <f t="shared" si="195"/>
        <v/>
      </c>
      <c r="L1008" s="1685" t="str">
        <f t="shared" si="196"/>
        <v/>
      </c>
      <c r="M1008" s="1686"/>
    </row>
    <row r="1009" spans="1:13">
      <c r="A1009" s="1655">
        <f t="shared" si="197"/>
        <v>0</v>
      </c>
      <c r="B1009" s="1409"/>
      <c r="C1009" s="1621" t="s">
        <v>4970</v>
      </c>
      <c r="D1009" s="1683"/>
      <c r="E1009" s="1678">
        <f t="shared" si="198"/>
        <v>0</v>
      </c>
      <c r="F1009" s="1687"/>
      <c r="G1009" s="1684"/>
      <c r="H1009" s="1684"/>
      <c r="I1009" s="1684"/>
      <c r="J1009" s="1684"/>
      <c r="K1009" s="1685" t="str">
        <f t="shared" si="195"/>
        <v/>
      </c>
      <c r="L1009" s="1685" t="str">
        <f t="shared" si="196"/>
        <v/>
      </c>
      <c r="M1009" s="1686"/>
    </row>
    <row r="1010" spans="1:13">
      <c r="A1010" s="1655">
        <f t="shared" si="197"/>
        <v>0</v>
      </c>
      <c r="B1010" s="1409"/>
      <c r="C1010" s="1621" t="s">
        <v>4971</v>
      </c>
      <c r="D1010" s="1683"/>
      <c r="E1010" s="1678">
        <f t="shared" si="198"/>
        <v>0</v>
      </c>
      <c r="F1010" s="1687"/>
      <c r="G1010" s="1684"/>
      <c r="H1010" s="1684"/>
      <c r="I1010" s="1684"/>
      <c r="J1010" s="1684"/>
      <c r="K1010" s="1685" t="str">
        <f t="shared" si="195"/>
        <v/>
      </c>
      <c r="L1010" s="1685" t="str">
        <f t="shared" si="196"/>
        <v/>
      </c>
      <c r="M1010" s="1686"/>
    </row>
    <row r="1011" spans="1:13">
      <c r="A1011" s="1655">
        <f t="shared" si="197"/>
        <v>0</v>
      </c>
      <c r="B1011" s="1409"/>
      <c r="C1011" s="1621" t="s">
        <v>4972</v>
      </c>
      <c r="D1011" s="1683"/>
      <c r="E1011" s="1678">
        <f t="shared" si="198"/>
        <v>0</v>
      </c>
      <c r="F1011" s="1687"/>
      <c r="G1011" s="1684"/>
      <c r="H1011" s="1684"/>
      <c r="I1011" s="1684"/>
      <c r="J1011" s="1684"/>
      <c r="K1011" s="1685" t="str">
        <f t="shared" si="195"/>
        <v/>
      </c>
      <c r="L1011" s="1685" t="str">
        <f t="shared" si="196"/>
        <v/>
      </c>
      <c r="M1011" s="1686"/>
    </row>
    <row r="1012" spans="1:13">
      <c r="A1012" s="1655">
        <f t="shared" si="197"/>
        <v>0</v>
      </c>
      <c r="B1012" s="1412"/>
      <c r="C1012" s="1621" t="s">
        <v>4973</v>
      </c>
      <c r="D1012" s="1683"/>
      <c r="E1012" s="1678">
        <f t="shared" si="198"/>
        <v>0</v>
      </c>
      <c r="F1012" s="1687"/>
      <c r="G1012" s="1684"/>
      <c r="H1012" s="1684"/>
      <c r="I1012" s="1684"/>
      <c r="J1012" s="1684"/>
      <c r="K1012" s="1685" t="str">
        <f t="shared" si="195"/>
        <v/>
      </c>
      <c r="L1012" s="1685" t="str">
        <f t="shared" si="196"/>
        <v/>
      </c>
      <c r="M1012" s="1686"/>
    </row>
    <row r="1013" spans="1:13">
      <c r="A1013" s="1655">
        <f t="shared" si="197"/>
        <v>0</v>
      </c>
      <c r="B1013" s="1412"/>
      <c r="C1013" s="1621" t="s">
        <v>4974</v>
      </c>
      <c r="D1013" s="1683"/>
      <c r="E1013" s="1678">
        <f t="shared" si="198"/>
        <v>0</v>
      </c>
      <c r="F1013" s="1687"/>
      <c r="G1013" s="1684"/>
      <c r="H1013" s="1684"/>
      <c r="I1013" s="1684"/>
      <c r="J1013" s="1684"/>
      <c r="K1013" s="1685" t="str">
        <f t="shared" si="195"/>
        <v/>
      </c>
      <c r="L1013" s="1685" t="str">
        <f t="shared" si="196"/>
        <v/>
      </c>
      <c r="M1013" s="1686"/>
    </row>
    <row r="1014" spans="1:13">
      <c r="A1014" s="1655">
        <f t="shared" si="197"/>
        <v>0</v>
      </c>
      <c r="B1014" s="1409"/>
      <c r="C1014" s="1621" t="s">
        <v>4975</v>
      </c>
      <c r="D1014" s="1683"/>
      <c r="E1014" s="1678">
        <f t="shared" si="198"/>
        <v>0</v>
      </c>
      <c r="F1014" s="1687"/>
      <c r="G1014" s="1684"/>
      <c r="H1014" s="1684"/>
      <c r="I1014" s="1684"/>
      <c r="J1014" s="1684"/>
      <c r="K1014" s="1685" t="str">
        <f t="shared" si="195"/>
        <v/>
      </c>
      <c r="L1014" s="1685" t="str">
        <f t="shared" si="196"/>
        <v/>
      </c>
      <c r="M1014" s="1686"/>
    </row>
    <row r="1015" spans="1:13">
      <c r="A1015" s="1655">
        <f t="shared" si="197"/>
        <v>0</v>
      </c>
      <c r="B1015" s="1409"/>
      <c r="C1015" s="1621" t="s">
        <v>4976</v>
      </c>
      <c r="D1015" s="1683"/>
      <c r="E1015" s="1678">
        <f t="shared" si="198"/>
        <v>0</v>
      </c>
      <c r="F1015" s="1687"/>
      <c r="G1015" s="1684"/>
      <c r="H1015" s="1684"/>
      <c r="I1015" s="1684"/>
      <c r="J1015" s="1684"/>
      <c r="K1015" s="1685" t="str">
        <f t="shared" si="195"/>
        <v/>
      </c>
      <c r="L1015" s="1685" t="str">
        <f t="shared" si="196"/>
        <v/>
      </c>
      <c r="M1015" s="1686"/>
    </row>
    <row r="1016" spans="1:13">
      <c r="A1016" s="1655">
        <f t="shared" si="197"/>
        <v>0</v>
      </c>
      <c r="B1016" s="1409"/>
      <c r="C1016" s="1621" t="s">
        <v>4977</v>
      </c>
      <c r="D1016" s="1683"/>
      <c r="E1016" s="1678">
        <f t="shared" si="198"/>
        <v>0</v>
      </c>
      <c r="F1016" s="1687"/>
      <c r="G1016" s="1684"/>
      <c r="H1016" s="1684"/>
      <c r="I1016" s="1684"/>
      <c r="J1016" s="1684"/>
      <c r="K1016" s="1685" t="str">
        <f t="shared" si="195"/>
        <v/>
      </c>
      <c r="L1016" s="1685" t="str">
        <f t="shared" si="196"/>
        <v/>
      </c>
      <c r="M1016" s="1686"/>
    </row>
    <row r="1017" spans="1:13">
      <c r="A1017" s="1655">
        <f t="shared" si="197"/>
        <v>0</v>
      </c>
      <c r="B1017" s="1409"/>
      <c r="C1017" s="1621" t="s">
        <v>4978</v>
      </c>
      <c r="D1017" s="1683"/>
      <c r="E1017" s="1678">
        <f t="shared" si="198"/>
        <v>0</v>
      </c>
      <c r="F1017" s="1687"/>
      <c r="G1017" s="1684"/>
      <c r="H1017" s="1684"/>
      <c r="I1017" s="1684"/>
      <c r="J1017" s="1684"/>
      <c r="K1017" s="1685" t="str">
        <f t="shared" si="195"/>
        <v/>
      </c>
      <c r="L1017" s="1685" t="str">
        <f t="shared" si="196"/>
        <v/>
      </c>
      <c r="M1017" s="1686"/>
    </row>
    <row r="1018" spans="1:13">
      <c r="A1018" s="1655">
        <f t="shared" si="197"/>
        <v>0</v>
      </c>
      <c r="B1018" s="1409"/>
      <c r="C1018" s="1621" t="s">
        <v>4979</v>
      </c>
      <c r="D1018" s="1683"/>
      <c r="E1018" s="1678">
        <f t="shared" si="198"/>
        <v>0</v>
      </c>
      <c r="F1018" s="1687"/>
      <c r="G1018" s="1684"/>
      <c r="H1018" s="1684"/>
      <c r="I1018" s="1684"/>
      <c r="J1018" s="1684"/>
      <c r="K1018" s="1685" t="str">
        <f t="shared" si="195"/>
        <v/>
      </c>
      <c r="L1018" s="1685" t="str">
        <f t="shared" si="196"/>
        <v/>
      </c>
      <c r="M1018" s="1686"/>
    </row>
    <row r="1019" spans="1:13">
      <c r="A1019" s="1655">
        <f t="shared" si="197"/>
        <v>0</v>
      </c>
      <c r="B1019" s="1409"/>
      <c r="C1019" s="1621" t="s">
        <v>4980</v>
      </c>
      <c r="D1019" s="1683"/>
      <c r="E1019" s="1678">
        <f t="shared" si="198"/>
        <v>0</v>
      </c>
      <c r="F1019" s="1687"/>
      <c r="G1019" s="1684"/>
      <c r="H1019" s="1684"/>
      <c r="I1019" s="1684"/>
      <c r="J1019" s="1684"/>
      <c r="K1019" s="1685" t="str">
        <f t="shared" si="195"/>
        <v/>
      </c>
      <c r="L1019" s="1685" t="str">
        <f t="shared" si="196"/>
        <v/>
      </c>
      <c r="M1019" s="1686"/>
    </row>
    <row r="1020" spans="1:13">
      <c r="A1020" s="1655">
        <f t="shared" si="197"/>
        <v>0</v>
      </c>
      <c r="B1020" s="1409"/>
      <c r="C1020" s="1621" t="s">
        <v>4981</v>
      </c>
      <c r="D1020" s="1683"/>
      <c r="E1020" s="1678">
        <f t="shared" si="198"/>
        <v>0</v>
      </c>
      <c r="F1020" s="1687"/>
      <c r="G1020" s="1684"/>
      <c r="H1020" s="1684"/>
      <c r="I1020" s="1684"/>
      <c r="J1020" s="1684"/>
      <c r="K1020" s="1685" t="str">
        <f t="shared" si="195"/>
        <v/>
      </c>
      <c r="L1020" s="1685" t="str">
        <f t="shared" si="196"/>
        <v/>
      </c>
      <c r="M1020" s="1686"/>
    </row>
    <row r="1021" spans="1:13">
      <c r="A1021" s="1655">
        <f t="shared" si="197"/>
        <v>0</v>
      </c>
      <c r="B1021" s="1409"/>
      <c r="C1021" s="1621" t="s">
        <v>4982</v>
      </c>
      <c r="D1021" s="1683"/>
      <c r="E1021" s="1678">
        <f t="shared" si="198"/>
        <v>0</v>
      </c>
      <c r="F1021" s="1687"/>
      <c r="G1021" s="1684"/>
      <c r="H1021" s="1684"/>
      <c r="I1021" s="1684"/>
      <c r="J1021" s="1684"/>
      <c r="K1021" s="1685" t="str">
        <f t="shared" si="195"/>
        <v/>
      </c>
      <c r="L1021" s="1685" t="str">
        <f t="shared" si="196"/>
        <v/>
      </c>
      <c r="M1021" s="1686"/>
    </row>
    <row r="1022" spans="1:13">
      <c r="A1022" s="1655">
        <f t="shared" si="197"/>
        <v>0</v>
      </c>
      <c r="B1022" s="1409"/>
      <c r="C1022" s="1621" t="s">
        <v>4983</v>
      </c>
      <c r="D1022" s="1683"/>
      <c r="E1022" s="1678">
        <f t="shared" si="198"/>
        <v>0</v>
      </c>
      <c r="F1022" s="1687"/>
      <c r="G1022" s="1684"/>
      <c r="H1022" s="1684"/>
      <c r="I1022" s="1684"/>
      <c r="J1022" s="1684"/>
      <c r="K1022" s="1685" t="str">
        <f t="shared" si="195"/>
        <v/>
      </c>
      <c r="L1022" s="1685" t="str">
        <f t="shared" si="196"/>
        <v/>
      </c>
      <c r="M1022" s="1686"/>
    </row>
    <row r="1023" spans="1:13">
      <c r="A1023" s="1655">
        <f t="shared" si="197"/>
        <v>0</v>
      </c>
      <c r="B1023" s="1409"/>
      <c r="C1023" s="1621" t="s">
        <v>4984</v>
      </c>
      <c r="D1023" s="1683"/>
      <c r="E1023" s="1678">
        <f t="shared" si="198"/>
        <v>0</v>
      </c>
      <c r="F1023" s="1687"/>
      <c r="G1023" s="1684"/>
      <c r="H1023" s="1684"/>
      <c r="I1023" s="1684"/>
      <c r="J1023" s="1684"/>
      <c r="K1023" s="1685" t="str">
        <f t="shared" si="195"/>
        <v/>
      </c>
      <c r="L1023" s="1685" t="str">
        <f t="shared" si="196"/>
        <v/>
      </c>
      <c r="M1023" s="1686"/>
    </row>
    <row r="1024" spans="1:13">
      <c r="A1024" s="1655">
        <f t="shared" si="197"/>
        <v>0</v>
      </c>
      <c r="B1024" s="1409"/>
      <c r="C1024" s="1621" t="s">
        <v>4985</v>
      </c>
      <c r="D1024" s="1683"/>
      <c r="E1024" s="1678">
        <f t="shared" si="198"/>
        <v>0</v>
      </c>
      <c r="F1024" s="1687"/>
      <c r="G1024" s="1684"/>
      <c r="H1024" s="1684"/>
      <c r="I1024" s="1684"/>
      <c r="J1024" s="1684"/>
      <c r="K1024" s="1685" t="str">
        <f t="shared" si="195"/>
        <v/>
      </c>
      <c r="L1024" s="1685" t="str">
        <f t="shared" si="196"/>
        <v/>
      </c>
      <c r="M1024" s="1686"/>
    </row>
    <row r="1025" spans="1:13">
      <c r="A1025" s="1655">
        <f t="shared" si="197"/>
        <v>0</v>
      </c>
      <c r="B1025" s="1688"/>
      <c r="C1025" s="1689" t="s">
        <v>4986</v>
      </c>
      <c r="D1025" s="1690"/>
      <c r="E1025" s="1691">
        <f t="shared" si="198"/>
        <v>0</v>
      </c>
      <c r="F1025" s="1692"/>
      <c r="G1025" s="1693"/>
      <c r="H1025" s="1693"/>
      <c r="I1025" s="1693"/>
      <c r="J1025" s="1693"/>
      <c r="K1025" s="1694" t="str">
        <f t="shared" si="195"/>
        <v/>
      </c>
      <c r="L1025" s="1694" t="str">
        <f t="shared" si="196"/>
        <v/>
      </c>
      <c r="M1025" s="1695"/>
    </row>
    <row r="1026" spans="1:13">
      <c r="A1026" s="1674">
        <f>A1000+1</f>
        <v>40</v>
      </c>
      <c r="B1026" s="1675" t="s">
        <v>5050</v>
      </c>
      <c r="C1026" s="1676"/>
      <c r="D1026" s="1677"/>
      <c r="E1026" s="1679">
        <f t="shared" ref="E1026:I1026" si="199">SUM(E1027:E1051)</f>
        <v>0</v>
      </c>
      <c r="F1026" s="1679">
        <f t="shared" si="199"/>
        <v>0</v>
      </c>
      <c r="G1026" s="1679">
        <f t="shared" si="199"/>
        <v>0</v>
      </c>
      <c r="H1026" s="1679">
        <f t="shared" si="199"/>
        <v>0</v>
      </c>
      <c r="I1026" s="1679">
        <f t="shared" si="199"/>
        <v>0</v>
      </c>
      <c r="J1026" s="1679">
        <f>SUM(J1027:J1051)</f>
        <v>0</v>
      </c>
      <c r="K1026" s="1680" t="str">
        <f>IFERROR(E1026/$C$6,"")</f>
        <v/>
      </c>
      <c r="L1026" s="1680" t="str">
        <f>IFERROR(E1026/$C$7,"")</f>
        <v/>
      </c>
      <c r="M1026" s="1681">
        <f>SUM(M1027:M1051)</f>
        <v>0</v>
      </c>
    </row>
    <row r="1027" spans="1:13">
      <c r="A1027" s="1655">
        <f>IF(E1027&lt;&gt;0,1,0)</f>
        <v>0</v>
      </c>
      <c r="B1027" s="1412"/>
      <c r="C1027" s="1621" t="s">
        <v>4962</v>
      </c>
      <c r="D1027" s="1683"/>
      <c r="E1027" s="1678">
        <f>SUM(F1027:J1027)</f>
        <v>0</v>
      </c>
      <c r="F1027" s="1684"/>
      <c r="G1027" s="1684"/>
      <c r="H1027" s="1684"/>
      <c r="I1027" s="1684"/>
      <c r="J1027" s="1684"/>
      <c r="K1027" s="1685" t="str">
        <f t="shared" ref="K1027:K1051" si="200">IFERROR(E1027/$C$6,"")</f>
        <v/>
      </c>
      <c r="L1027" s="1685" t="str">
        <f t="shared" ref="L1027:L1051" si="201">IFERROR(E1027/$C$7,"")</f>
        <v/>
      </c>
      <c r="M1027" s="1686"/>
    </row>
    <row r="1028" spans="1:13">
      <c r="A1028" s="1655">
        <f t="shared" ref="A1028:A1051" si="202">IF(E1028&lt;&gt;0,1,0)</f>
        <v>0</v>
      </c>
      <c r="B1028" s="1409"/>
      <c r="C1028" s="1621" t="s">
        <v>4963</v>
      </c>
      <c r="D1028" s="1683"/>
      <c r="E1028" s="1678">
        <f t="shared" ref="E1028:E1051" si="203">SUM(F1028:J1028)</f>
        <v>0</v>
      </c>
      <c r="F1028" s="1687"/>
      <c r="G1028" s="1684"/>
      <c r="H1028" s="1684"/>
      <c r="I1028" s="1684"/>
      <c r="J1028" s="1684"/>
      <c r="K1028" s="1685" t="str">
        <f t="shared" si="200"/>
        <v/>
      </c>
      <c r="L1028" s="1685" t="str">
        <f t="shared" si="201"/>
        <v/>
      </c>
      <c r="M1028" s="1686"/>
    </row>
    <row r="1029" spans="1:13">
      <c r="A1029" s="1655">
        <f t="shared" si="202"/>
        <v>0</v>
      </c>
      <c r="B1029" s="1409"/>
      <c r="C1029" s="1621" t="s">
        <v>4964</v>
      </c>
      <c r="D1029" s="1683"/>
      <c r="E1029" s="1678">
        <f t="shared" si="203"/>
        <v>0</v>
      </c>
      <c r="F1029" s="1687"/>
      <c r="G1029" s="1684"/>
      <c r="H1029" s="1684"/>
      <c r="I1029" s="1684"/>
      <c r="J1029" s="1684"/>
      <c r="K1029" s="1685" t="str">
        <f t="shared" si="200"/>
        <v/>
      </c>
      <c r="L1029" s="1685" t="str">
        <f t="shared" si="201"/>
        <v/>
      </c>
      <c r="M1029" s="1686"/>
    </row>
    <row r="1030" spans="1:13">
      <c r="A1030" s="1655">
        <f t="shared" si="202"/>
        <v>0</v>
      </c>
      <c r="B1030" s="1409"/>
      <c r="C1030" s="1621" t="s">
        <v>4965</v>
      </c>
      <c r="D1030" s="1683"/>
      <c r="E1030" s="1678">
        <f t="shared" si="203"/>
        <v>0</v>
      </c>
      <c r="F1030" s="1687"/>
      <c r="G1030" s="1684"/>
      <c r="H1030" s="1684"/>
      <c r="I1030" s="1684"/>
      <c r="J1030" s="1684"/>
      <c r="K1030" s="1685" t="str">
        <f t="shared" si="200"/>
        <v/>
      </c>
      <c r="L1030" s="1685" t="str">
        <f t="shared" si="201"/>
        <v/>
      </c>
      <c r="M1030" s="1686"/>
    </row>
    <row r="1031" spans="1:13">
      <c r="A1031" s="1655">
        <f t="shared" si="202"/>
        <v>0</v>
      </c>
      <c r="B1031" s="1409"/>
      <c r="C1031" s="1621" t="s">
        <v>4966</v>
      </c>
      <c r="D1031" s="1683"/>
      <c r="E1031" s="1678">
        <f t="shared" si="203"/>
        <v>0</v>
      </c>
      <c r="F1031" s="1687"/>
      <c r="G1031" s="1684"/>
      <c r="H1031" s="1684"/>
      <c r="I1031" s="1684"/>
      <c r="J1031" s="1684"/>
      <c r="K1031" s="1685" t="str">
        <f t="shared" si="200"/>
        <v/>
      </c>
      <c r="L1031" s="1685" t="str">
        <f t="shared" si="201"/>
        <v/>
      </c>
      <c r="M1031" s="1686"/>
    </row>
    <row r="1032" spans="1:13">
      <c r="A1032" s="1655">
        <f t="shared" si="202"/>
        <v>0</v>
      </c>
      <c r="B1032" s="1409"/>
      <c r="C1032" s="1621" t="s">
        <v>4967</v>
      </c>
      <c r="D1032" s="1683"/>
      <c r="E1032" s="1678">
        <f t="shared" si="203"/>
        <v>0</v>
      </c>
      <c r="F1032" s="1687"/>
      <c r="G1032" s="1684"/>
      <c r="H1032" s="1684"/>
      <c r="I1032" s="1684"/>
      <c r="J1032" s="1684"/>
      <c r="K1032" s="1685" t="str">
        <f t="shared" si="200"/>
        <v/>
      </c>
      <c r="L1032" s="1685" t="str">
        <f t="shared" si="201"/>
        <v/>
      </c>
      <c r="M1032" s="1686"/>
    </row>
    <row r="1033" spans="1:13">
      <c r="A1033" s="1655">
        <f t="shared" si="202"/>
        <v>0</v>
      </c>
      <c r="B1033" s="1409"/>
      <c r="C1033" s="1621" t="s">
        <v>4968</v>
      </c>
      <c r="D1033" s="1683"/>
      <c r="E1033" s="1678">
        <f t="shared" si="203"/>
        <v>0</v>
      </c>
      <c r="F1033" s="1687"/>
      <c r="G1033" s="1684"/>
      <c r="H1033" s="1684"/>
      <c r="I1033" s="1684"/>
      <c r="J1033" s="1684"/>
      <c r="K1033" s="1685" t="str">
        <f t="shared" si="200"/>
        <v/>
      </c>
      <c r="L1033" s="1685" t="str">
        <f t="shared" si="201"/>
        <v/>
      </c>
      <c r="M1033" s="1686"/>
    </row>
    <row r="1034" spans="1:13">
      <c r="A1034" s="1655">
        <f t="shared" si="202"/>
        <v>0</v>
      </c>
      <c r="B1034" s="1409"/>
      <c r="C1034" s="1621" t="s">
        <v>4969</v>
      </c>
      <c r="D1034" s="1683"/>
      <c r="E1034" s="1678">
        <f t="shared" si="203"/>
        <v>0</v>
      </c>
      <c r="F1034" s="1687"/>
      <c r="G1034" s="1684"/>
      <c r="H1034" s="1684"/>
      <c r="I1034" s="1684"/>
      <c r="J1034" s="1684"/>
      <c r="K1034" s="1685" t="str">
        <f t="shared" si="200"/>
        <v/>
      </c>
      <c r="L1034" s="1685" t="str">
        <f t="shared" si="201"/>
        <v/>
      </c>
      <c r="M1034" s="1686"/>
    </row>
    <row r="1035" spans="1:13">
      <c r="A1035" s="1655">
        <f t="shared" si="202"/>
        <v>0</v>
      </c>
      <c r="B1035" s="1409"/>
      <c r="C1035" s="1621" t="s">
        <v>4970</v>
      </c>
      <c r="D1035" s="1683"/>
      <c r="E1035" s="1678">
        <f t="shared" si="203"/>
        <v>0</v>
      </c>
      <c r="F1035" s="1687"/>
      <c r="G1035" s="1684"/>
      <c r="H1035" s="1684"/>
      <c r="I1035" s="1684"/>
      <c r="J1035" s="1684"/>
      <c r="K1035" s="1685" t="str">
        <f t="shared" si="200"/>
        <v/>
      </c>
      <c r="L1035" s="1685" t="str">
        <f t="shared" si="201"/>
        <v/>
      </c>
      <c r="M1035" s="1686"/>
    </row>
    <row r="1036" spans="1:13">
      <c r="A1036" s="1655">
        <f t="shared" si="202"/>
        <v>0</v>
      </c>
      <c r="B1036" s="1409"/>
      <c r="C1036" s="1621" t="s">
        <v>4971</v>
      </c>
      <c r="D1036" s="1683"/>
      <c r="E1036" s="1678">
        <f t="shared" si="203"/>
        <v>0</v>
      </c>
      <c r="F1036" s="1687"/>
      <c r="G1036" s="1684"/>
      <c r="H1036" s="1684"/>
      <c r="I1036" s="1684"/>
      <c r="J1036" s="1684"/>
      <c r="K1036" s="1685" t="str">
        <f t="shared" si="200"/>
        <v/>
      </c>
      <c r="L1036" s="1685" t="str">
        <f t="shared" si="201"/>
        <v/>
      </c>
      <c r="M1036" s="1686"/>
    </row>
    <row r="1037" spans="1:13">
      <c r="A1037" s="1655">
        <f t="shared" si="202"/>
        <v>0</v>
      </c>
      <c r="B1037" s="1409"/>
      <c r="C1037" s="1621" t="s">
        <v>4972</v>
      </c>
      <c r="D1037" s="1683"/>
      <c r="E1037" s="1678">
        <f t="shared" si="203"/>
        <v>0</v>
      </c>
      <c r="F1037" s="1687"/>
      <c r="G1037" s="1684"/>
      <c r="H1037" s="1684"/>
      <c r="I1037" s="1684"/>
      <c r="J1037" s="1684"/>
      <c r="K1037" s="1685" t="str">
        <f t="shared" si="200"/>
        <v/>
      </c>
      <c r="L1037" s="1685" t="str">
        <f t="shared" si="201"/>
        <v/>
      </c>
      <c r="M1037" s="1686"/>
    </row>
    <row r="1038" spans="1:13">
      <c r="A1038" s="1655">
        <f t="shared" si="202"/>
        <v>0</v>
      </c>
      <c r="B1038" s="1412"/>
      <c r="C1038" s="1621" t="s">
        <v>4973</v>
      </c>
      <c r="D1038" s="1683"/>
      <c r="E1038" s="1678">
        <f t="shared" si="203"/>
        <v>0</v>
      </c>
      <c r="F1038" s="1687"/>
      <c r="G1038" s="1684"/>
      <c r="H1038" s="1684"/>
      <c r="I1038" s="1684"/>
      <c r="J1038" s="1684"/>
      <c r="K1038" s="1685" t="str">
        <f t="shared" si="200"/>
        <v/>
      </c>
      <c r="L1038" s="1685" t="str">
        <f t="shared" si="201"/>
        <v/>
      </c>
      <c r="M1038" s="1686"/>
    </row>
    <row r="1039" spans="1:13">
      <c r="A1039" s="1655">
        <f t="shared" si="202"/>
        <v>0</v>
      </c>
      <c r="B1039" s="1412"/>
      <c r="C1039" s="1621" t="s">
        <v>4974</v>
      </c>
      <c r="D1039" s="1683"/>
      <c r="E1039" s="1678">
        <f t="shared" si="203"/>
        <v>0</v>
      </c>
      <c r="F1039" s="1687"/>
      <c r="G1039" s="1684"/>
      <c r="H1039" s="1684"/>
      <c r="I1039" s="1684"/>
      <c r="J1039" s="1684"/>
      <c r="K1039" s="1685" t="str">
        <f t="shared" si="200"/>
        <v/>
      </c>
      <c r="L1039" s="1685" t="str">
        <f t="shared" si="201"/>
        <v/>
      </c>
      <c r="M1039" s="1686"/>
    </row>
    <row r="1040" spans="1:13">
      <c r="A1040" s="1655">
        <f t="shared" si="202"/>
        <v>0</v>
      </c>
      <c r="B1040" s="1409"/>
      <c r="C1040" s="1621" t="s">
        <v>4975</v>
      </c>
      <c r="D1040" s="1683"/>
      <c r="E1040" s="1678">
        <f t="shared" si="203"/>
        <v>0</v>
      </c>
      <c r="F1040" s="1687"/>
      <c r="G1040" s="1684"/>
      <c r="H1040" s="1684"/>
      <c r="I1040" s="1684"/>
      <c r="J1040" s="1684"/>
      <c r="K1040" s="1685" t="str">
        <f t="shared" si="200"/>
        <v/>
      </c>
      <c r="L1040" s="1685" t="str">
        <f t="shared" si="201"/>
        <v/>
      </c>
      <c r="M1040" s="1686"/>
    </row>
    <row r="1041" spans="1:13">
      <c r="A1041" s="1655">
        <f t="shared" si="202"/>
        <v>0</v>
      </c>
      <c r="B1041" s="1409"/>
      <c r="C1041" s="1621" t="s">
        <v>4976</v>
      </c>
      <c r="D1041" s="1683"/>
      <c r="E1041" s="1678">
        <f t="shared" si="203"/>
        <v>0</v>
      </c>
      <c r="F1041" s="1687"/>
      <c r="G1041" s="1684"/>
      <c r="H1041" s="1684"/>
      <c r="I1041" s="1684"/>
      <c r="J1041" s="1684"/>
      <c r="K1041" s="1685" t="str">
        <f t="shared" si="200"/>
        <v/>
      </c>
      <c r="L1041" s="1685" t="str">
        <f t="shared" si="201"/>
        <v/>
      </c>
      <c r="M1041" s="1686"/>
    </row>
    <row r="1042" spans="1:13">
      <c r="A1042" s="1655">
        <f t="shared" si="202"/>
        <v>0</v>
      </c>
      <c r="B1042" s="1409"/>
      <c r="C1042" s="1621" t="s">
        <v>4977</v>
      </c>
      <c r="D1042" s="1683"/>
      <c r="E1042" s="1678">
        <f t="shared" si="203"/>
        <v>0</v>
      </c>
      <c r="F1042" s="1687"/>
      <c r="G1042" s="1684"/>
      <c r="H1042" s="1684"/>
      <c r="I1042" s="1684"/>
      <c r="J1042" s="1684"/>
      <c r="K1042" s="1685" t="str">
        <f t="shared" si="200"/>
        <v/>
      </c>
      <c r="L1042" s="1685" t="str">
        <f t="shared" si="201"/>
        <v/>
      </c>
      <c r="M1042" s="1686"/>
    </row>
    <row r="1043" spans="1:13">
      <c r="A1043" s="1655">
        <f t="shared" si="202"/>
        <v>0</v>
      </c>
      <c r="B1043" s="1409"/>
      <c r="C1043" s="1621" t="s">
        <v>4978</v>
      </c>
      <c r="D1043" s="1683"/>
      <c r="E1043" s="1678">
        <f t="shared" si="203"/>
        <v>0</v>
      </c>
      <c r="F1043" s="1687"/>
      <c r="G1043" s="1684"/>
      <c r="H1043" s="1684"/>
      <c r="I1043" s="1684"/>
      <c r="J1043" s="1684"/>
      <c r="K1043" s="1685" t="str">
        <f t="shared" si="200"/>
        <v/>
      </c>
      <c r="L1043" s="1685" t="str">
        <f t="shared" si="201"/>
        <v/>
      </c>
      <c r="M1043" s="1686"/>
    </row>
    <row r="1044" spans="1:13">
      <c r="A1044" s="1655">
        <f t="shared" si="202"/>
        <v>0</v>
      </c>
      <c r="B1044" s="1409"/>
      <c r="C1044" s="1621" t="s">
        <v>4979</v>
      </c>
      <c r="D1044" s="1683"/>
      <c r="E1044" s="1678">
        <f t="shared" si="203"/>
        <v>0</v>
      </c>
      <c r="F1044" s="1687"/>
      <c r="G1044" s="1684"/>
      <c r="H1044" s="1684"/>
      <c r="I1044" s="1684"/>
      <c r="J1044" s="1684"/>
      <c r="K1044" s="1685" t="str">
        <f t="shared" si="200"/>
        <v/>
      </c>
      <c r="L1044" s="1685" t="str">
        <f t="shared" si="201"/>
        <v/>
      </c>
      <c r="M1044" s="1686"/>
    </row>
    <row r="1045" spans="1:13">
      <c r="A1045" s="1655">
        <f t="shared" si="202"/>
        <v>0</v>
      </c>
      <c r="B1045" s="1409"/>
      <c r="C1045" s="1621" t="s">
        <v>4980</v>
      </c>
      <c r="D1045" s="1683"/>
      <c r="E1045" s="1678">
        <f t="shared" si="203"/>
        <v>0</v>
      </c>
      <c r="F1045" s="1687"/>
      <c r="G1045" s="1684"/>
      <c r="H1045" s="1684"/>
      <c r="I1045" s="1684"/>
      <c r="J1045" s="1684"/>
      <c r="K1045" s="1685" t="str">
        <f t="shared" si="200"/>
        <v/>
      </c>
      <c r="L1045" s="1685" t="str">
        <f t="shared" si="201"/>
        <v/>
      </c>
      <c r="M1045" s="1686"/>
    </row>
    <row r="1046" spans="1:13">
      <c r="A1046" s="1655">
        <f t="shared" si="202"/>
        <v>0</v>
      </c>
      <c r="B1046" s="1409"/>
      <c r="C1046" s="1621" t="s">
        <v>4981</v>
      </c>
      <c r="D1046" s="1683"/>
      <c r="E1046" s="1678">
        <f t="shared" si="203"/>
        <v>0</v>
      </c>
      <c r="F1046" s="1687"/>
      <c r="G1046" s="1684"/>
      <c r="H1046" s="1684"/>
      <c r="I1046" s="1684"/>
      <c r="J1046" s="1684"/>
      <c r="K1046" s="1685" t="str">
        <f t="shared" si="200"/>
        <v/>
      </c>
      <c r="L1046" s="1685" t="str">
        <f t="shared" si="201"/>
        <v/>
      </c>
      <c r="M1046" s="1686"/>
    </row>
    <row r="1047" spans="1:13">
      <c r="A1047" s="1655">
        <f t="shared" si="202"/>
        <v>0</v>
      </c>
      <c r="B1047" s="1409"/>
      <c r="C1047" s="1621" t="s">
        <v>4982</v>
      </c>
      <c r="D1047" s="1683"/>
      <c r="E1047" s="1678">
        <f t="shared" si="203"/>
        <v>0</v>
      </c>
      <c r="F1047" s="1687"/>
      <c r="G1047" s="1684"/>
      <c r="H1047" s="1684"/>
      <c r="I1047" s="1684"/>
      <c r="J1047" s="1684"/>
      <c r="K1047" s="1685" t="str">
        <f t="shared" si="200"/>
        <v/>
      </c>
      <c r="L1047" s="1685" t="str">
        <f t="shared" si="201"/>
        <v/>
      </c>
      <c r="M1047" s="1686"/>
    </row>
    <row r="1048" spans="1:13">
      <c r="A1048" s="1655">
        <f t="shared" si="202"/>
        <v>0</v>
      </c>
      <c r="B1048" s="1409"/>
      <c r="C1048" s="1621" t="s">
        <v>4983</v>
      </c>
      <c r="D1048" s="1683"/>
      <c r="E1048" s="1678">
        <f t="shared" si="203"/>
        <v>0</v>
      </c>
      <c r="F1048" s="1687"/>
      <c r="G1048" s="1684"/>
      <c r="H1048" s="1684"/>
      <c r="I1048" s="1684"/>
      <c r="J1048" s="1684"/>
      <c r="K1048" s="1685" t="str">
        <f t="shared" si="200"/>
        <v/>
      </c>
      <c r="L1048" s="1685" t="str">
        <f t="shared" si="201"/>
        <v/>
      </c>
      <c r="M1048" s="1686"/>
    </row>
    <row r="1049" spans="1:13">
      <c r="A1049" s="1655">
        <f t="shared" si="202"/>
        <v>0</v>
      </c>
      <c r="B1049" s="1409"/>
      <c r="C1049" s="1621" t="s">
        <v>4984</v>
      </c>
      <c r="D1049" s="1683"/>
      <c r="E1049" s="1678">
        <f t="shared" si="203"/>
        <v>0</v>
      </c>
      <c r="F1049" s="1687"/>
      <c r="G1049" s="1684"/>
      <c r="H1049" s="1684"/>
      <c r="I1049" s="1684"/>
      <c r="J1049" s="1684"/>
      <c r="K1049" s="1685" t="str">
        <f t="shared" si="200"/>
        <v/>
      </c>
      <c r="L1049" s="1685" t="str">
        <f t="shared" si="201"/>
        <v/>
      </c>
      <c r="M1049" s="1686"/>
    </row>
    <row r="1050" spans="1:13">
      <c r="A1050" s="1655">
        <f t="shared" si="202"/>
        <v>0</v>
      </c>
      <c r="B1050" s="1409"/>
      <c r="C1050" s="1621" t="s">
        <v>4985</v>
      </c>
      <c r="D1050" s="1683"/>
      <c r="E1050" s="1678">
        <f t="shared" si="203"/>
        <v>0</v>
      </c>
      <c r="F1050" s="1687"/>
      <c r="G1050" s="1684"/>
      <c r="H1050" s="1684"/>
      <c r="I1050" s="1684"/>
      <c r="J1050" s="1684"/>
      <c r="K1050" s="1685" t="str">
        <f t="shared" si="200"/>
        <v/>
      </c>
      <c r="L1050" s="1685" t="str">
        <f t="shared" si="201"/>
        <v/>
      </c>
      <c r="M1050" s="1686"/>
    </row>
    <row r="1051" spans="1:13">
      <c r="A1051" s="1655">
        <f t="shared" si="202"/>
        <v>0</v>
      </c>
      <c r="B1051" s="1688"/>
      <c r="C1051" s="1689" t="s">
        <v>4986</v>
      </c>
      <c r="D1051" s="1690"/>
      <c r="E1051" s="1691">
        <f t="shared" si="203"/>
        <v>0</v>
      </c>
      <c r="F1051" s="1692"/>
      <c r="G1051" s="1693"/>
      <c r="H1051" s="1693"/>
      <c r="I1051" s="1693"/>
      <c r="J1051" s="1693"/>
      <c r="K1051" s="1694" t="str">
        <f t="shared" si="200"/>
        <v/>
      </c>
      <c r="L1051" s="1694" t="str">
        <f t="shared" si="201"/>
        <v/>
      </c>
      <c r="M1051" s="1695"/>
    </row>
    <row r="1052" spans="1:13">
      <c r="A1052" s="1674">
        <f>A1026+1</f>
        <v>41</v>
      </c>
      <c r="B1052" s="1675" t="s">
        <v>5050</v>
      </c>
      <c r="C1052" s="1676"/>
      <c r="D1052" s="1677"/>
      <c r="E1052" s="1679">
        <f t="shared" ref="E1052:I1052" si="204">SUM(E1053:E1077)</f>
        <v>0</v>
      </c>
      <c r="F1052" s="1679">
        <f t="shared" si="204"/>
        <v>0</v>
      </c>
      <c r="G1052" s="1679">
        <f t="shared" si="204"/>
        <v>0</v>
      </c>
      <c r="H1052" s="1679">
        <f t="shared" si="204"/>
        <v>0</v>
      </c>
      <c r="I1052" s="1679">
        <f t="shared" si="204"/>
        <v>0</v>
      </c>
      <c r="J1052" s="1679">
        <f>SUM(J1053:J1077)</f>
        <v>0</v>
      </c>
      <c r="K1052" s="1680" t="str">
        <f>IFERROR(E1052/$C$6,"")</f>
        <v/>
      </c>
      <c r="L1052" s="1680" t="str">
        <f>IFERROR(E1052/$C$7,"")</f>
        <v/>
      </c>
      <c r="M1052" s="1681">
        <f>SUM(M1053:M1077)</f>
        <v>0</v>
      </c>
    </row>
    <row r="1053" spans="1:13">
      <c r="A1053" s="1655">
        <f>IF(E1053&lt;&gt;0,1,0)</f>
        <v>0</v>
      </c>
      <c r="B1053" s="1412"/>
      <c r="C1053" s="1621" t="s">
        <v>4962</v>
      </c>
      <c r="D1053" s="1683"/>
      <c r="E1053" s="1678">
        <f>SUM(F1053:J1053)</f>
        <v>0</v>
      </c>
      <c r="F1053" s="1684"/>
      <c r="G1053" s="1684"/>
      <c r="H1053" s="1684"/>
      <c r="I1053" s="1684"/>
      <c r="J1053" s="1684"/>
      <c r="K1053" s="1685" t="str">
        <f t="shared" ref="K1053:K1077" si="205">IFERROR(E1053/$C$6,"")</f>
        <v/>
      </c>
      <c r="L1053" s="1685" t="str">
        <f t="shared" ref="L1053:L1077" si="206">IFERROR(E1053/$C$7,"")</f>
        <v/>
      </c>
      <c r="M1053" s="1686"/>
    </row>
    <row r="1054" spans="1:13">
      <c r="A1054" s="1655">
        <f t="shared" ref="A1054:A1077" si="207">IF(E1054&lt;&gt;0,1,0)</f>
        <v>0</v>
      </c>
      <c r="B1054" s="1409"/>
      <c r="C1054" s="1621" t="s">
        <v>4963</v>
      </c>
      <c r="D1054" s="1683"/>
      <c r="E1054" s="1678">
        <f t="shared" ref="E1054:E1077" si="208">SUM(F1054:J1054)</f>
        <v>0</v>
      </c>
      <c r="F1054" s="1687"/>
      <c r="G1054" s="1684"/>
      <c r="H1054" s="1684"/>
      <c r="I1054" s="1684"/>
      <c r="J1054" s="1684"/>
      <c r="K1054" s="1685" t="str">
        <f t="shared" si="205"/>
        <v/>
      </c>
      <c r="L1054" s="1685" t="str">
        <f t="shared" si="206"/>
        <v/>
      </c>
      <c r="M1054" s="1686"/>
    </row>
    <row r="1055" spans="1:13">
      <c r="A1055" s="1655">
        <f t="shared" si="207"/>
        <v>0</v>
      </c>
      <c r="B1055" s="1409"/>
      <c r="C1055" s="1621" t="s">
        <v>4964</v>
      </c>
      <c r="D1055" s="1683"/>
      <c r="E1055" s="1678">
        <f t="shared" si="208"/>
        <v>0</v>
      </c>
      <c r="F1055" s="1687"/>
      <c r="G1055" s="1684"/>
      <c r="H1055" s="1684"/>
      <c r="I1055" s="1684"/>
      <c r="J1055" s="1684"/>
      <c r="K1055" s="1685" t="str">
        <f t="shared" si="205"/>
        <v/>
      </c>
      <c r="L1055" s="1685" t="str">
        <f t="shared" si="206"/>
        <v/>
      </c>
      <c r="M1055" s="1686"/>
    </row>
    <row r="1056" spans="1:13">
      <c r="A1056" s="1655">
        <f t="shared" si="207"/>
        <v>0</v>
      </c>
      <c r="B1056" s="1409"/>
      <c r="C1056" s="1621" t="s">
        <v>4965</v>
      </c>
      <c r="D1056" s="1683"/>
      <c r="E1056" s="1678">
        <f t="shared" si="208"/>
        <v>0</v>
      </c>
      <c r="F1056" s="1687"/>
      <c r="G1056" s="1684"/>
      <c r="H1056" s="1684"/>
      <c r="I1056" s="1684"/>
      <c r="J1056" s="1684"/>
      <c r="K1056" s="1685" t="str">
        <f t="shared" si="205"/>
        <v/>
      </c>
      <c r="L1056" s="1685" t="str">
        <f t="shared" si="206"/>
        <v/>
      </c>
      <c r="M1056" s="1686"/>
    </row>
    <row r="1057" spans="1:13">
      <c r="A1057" s="1655">
        <f t="shared" si="207"/>
        <v>0</v>
      </c>
      <c r="B1057" s="1409"/>
      <c r="C1057" s="1621" t="s">
        <v>4966</v>
      </c>
      <c r="D1057" s="1683"/>
      <c r="E1057" s="1678">
        <f t="shared" si="208"/>
        <v>0</v>
      </c>
      <c r="F1057" s="1687"/>
      <c r="G1057" s="1684"/>
      <c r="H1057" s="1684"/>
      <c r="I1057" s="1684"/>
      <c r="J1057" s="1684"/>
      <c r="K1057" s="1685" t="str">
        <f t="shared" si="205"/>
        <v/>
      </c>
      <c r="L1057" s="1685" t="str">
        <f t="shared" si="206"/>
        <v/>
      </c>
      <c r="M1057" s="1686"/>
    </row>
    <row r="1058" spans="1:13">
      <c r="A1058" s="1655">
        <f t="shared" si="207"/>
        <v>0</v>
      </c>
      <c r="B1058" s="1409"/>
      <c r="C1058" s="1621" t="s">
        <v>4967</v>
      </c>
      <c r="D1058" s="1683"/>
      <c r="E1058" s="1678">
        <f t="shared" si="208"/>
        <v>0</v>
      </c>
      <c r="F1058" s="1687"/>
      <c r="G1058" s="1684"/>
      <c r="H1058" s="1684"/>
      <c r="I1058" s="1684"/>
      <c r="J1058" s="1684"/>
      <c r="K1058" s="1685" t="str">
        <f t="shared" si="205"/>
        <v/>
      </c>
      <c r="L1058" s="1685" t="str">
        <f t="shared" si="206"/>
        <v/>
      </c>
      <c r="M1058" s="1686"/>
    </row>
    <row r="1059" spans="1:13">
      <c r="A1059" s="1655">
        <f t="shared" si="207"/>
        <v>0</v>
      </c>
      <c r="B1059" s="1409"/>
      <c r="C1059" s="1621" t="s">
        <v>4968</v>
      </c>
      <c r="D1059" s="1683"/>
      <c r="E1059" s="1678">
        <f t="shared" si="208"/>
        <v>0</v>
      </c>
      <c r="F1059" s="1687"/>
      <c r="G1059" s="1684"/>
      <c r="H1059" s="1684"/>
      <c r="I1059" s="1684"/>
      <c r="J1059" s="1684"/>
      <c r="K1059" s="1685" t="str">
        <f t="shared" si="205"/>
        <v/>
      </c>
      <c r="L1059" s="1685" t="str">
        <f t="shared" si="206"/>
        <v/>
      </c>
      <c r="M1059" s="1686"/>
    </row>
    <row r="1060" spans="1:13">
      <c r="A1060" s="1655">
        <f t="shared" si="207"/>
        <v>0</v>
      </c>
      <c r="B1060" s="1409"/>
      <c r="C1060" s="1621" t="s">
        <v>4969</v>
      </c>
      <c r="D1060" s="1683"/>
      <c r="E1060" s="1678">
        <f t="shared" si="208"/>
        <v>0</v>
      </c>
      <c r="F1060" s="1687"/>
      <c r="G1060" s="1684"/>
      <c r="H1060" s="1684"/>
      <c r="I1060" s="1684"/>
      <c r="J1060" s="1684"/>
      <c r="K1060" s="1685" t="str">
        <f t="shared" si="205"/>
        <v/>
      </c>
      <c r="L1060" s="1685" t="str">
        <f t="shared" si="206"/>
        <v/>
      </c>
      <c r="M1060" s="1686"/>
    </row>
    <row r="1061" spans="1:13">
      <c r="A1061" s="1655">
        <f t="shared" si="207"/>
        <v>0</v>
      </c>
      <c r="B1061" s="1409"/>
      <c r="C1061" s="1621" t="s">
        <v>4970</v>
      </c>
      <c r="D1061" s="1683"/>
      <c r="E1061" s="1678">
        <f t="shared" si="208"/>
        <v>0</v>
      </c>
      <c r="F1061" s="1687"/>
      <c r="G1061" s="1684"/>
      <c r="H1061" s="1684"/>
      <c r="I1061" s="1684"/>
      <c r="J1061" s="1684"/>
      <c r="K1061" s="1685" t="str">
        <f t="shared" si="205"/>
        <v/>
      </c>
      <c r="L1061" s="1685" t="str">
        <f t="shared" si="206"/>
        <v/>
      </c>
      <c r="M1061" s="1686"/>
    </row>
    <row r="1062" spans="1:13">
      <c r="A1062" s="1655">
        <f t="shared" si="207"/>
        <v>0</v>
      </c>
      <c r="B1062" s="1409"/>
      <c r="C1062" s="1621" t="s">
        <v>4971</v>
      </c>
      <c r="D1062" s="1683"/>
      <c r="E1062" s="1678">
        <f t="shared" si="208"/>
        <v>0</v>
      </c>
      <c r="F1062" s="1687"/>
      <c r="G1062" s="1684"/>
      <c r="H1062" s="1684"/>
      <c r="I1062" s="1684"/>
      <c r="J1062" s="1684"/>
      <c r="K1062" s="1685" t="str">
        <f t="shared" si="205"/>
        <v/>
      </c>
      <c r="L1062" s="1685" t="str">
        <f t="shared" si="206"/>
        <v/>
      </c>
      <c r="M1062" s="1686"/>
    </row>
    <row r="1063" spans="1:13">
      <c r="A1063" s="1655">
        <f t="shared" si="207"/>
        <v>0</v>
      </c>
      <c r="B1063" s="1409"/>
      <c r="C1063" s="1621" t="s">
        <v>4972</v>
      </c>
      <c r="D1063" s="1683"/>
      <c r="E1063" s="1678">
        <f t="shared" si="208"/>
        <v>0</v>
      </c>
      <c r="F1063" s="1687"/>
      <c r="G1063" s="1684"/>
      <c r="H1063" s="1684"/>
      <c r="I1063" s="1684"/>
      <c r="J1063" s="1684"/>
      <c r="K1063" s="1685" t="str">
        <f t="shared" si="205"/>
        <v/>
      </c>
      <c r="L1063" s="1685" t="str">
        <f t="shared" si="206"/>
        <v/>
      </c>
      <c r="M1063" s="1686"/>
    </row>
    <row r="1064" spans="1:13">
      <c r="A1064" s="1655">
        <f t="shared" si="207"/>
        <v>0</v>
      </c>
      <c r="B1064" s="1412"/>
      <c r="C1064" s="1621" t="s">
        <v>4973</v>
      </c>
      <c r="D1064" s="1683"/>
      <c r="E1064" s="1678">
        <f t="shared" si="208"/>
        <v>0</v>
      </c>
      <c r="F1064" s="1687"/>
      <c r="G1064" s="1684"/>
      <c r="H1064" s="1684"/>
      <c r="I1064" s="1684"/>
      <c r="J1064" s="1684"/>
      <c r="K1064" s="1685" t="str">
        <f t="shared" si="205"/>
        <v/>
      </c>
      <c r="L1064" s="1685" t="str">
        <f t="shared" si="206"/>
        <v/>
      </c>
      <c r="M1064" s="1686"/>
    </row>
    <row r="1065" spans="1:13">
      <c r="A1065" s="1655">
        <f t="shared" si="207"/>
        <v>0</v>
      </c>
      <c r="B1065" s="1412"/>
      <c r="C1065" s="1621" t="s">
        <v>4974</v>
      </c>
      <c r="D1065" s="1683"/>
      <c r="E1065" s="1678">
        <f t="shared" si="208"/>
        <v>0</v>
      </c>
      <c r="F1065" s="1687"/>
      <c r="G1065" s="1684"/>
      <c r="H1065" s="1684"/>
      <c r="I1065" s="1684"/>
      <c r="J1065" s="1684"/>
      <c r="K1065" s="1685" t="str">
        <f t="shared" si="205"/>
        <v/>
      </c>
      <c r="L1065" s="1685" t="str">
        <f t="shared" si="206"/>
        <v/>
      </c>
      <c r="M1065" s="1686"/>
    </row>
    <row r="1066" spans="1:13">
      <c r="A1066" s="1655">
        <f t="shared" si="207"/>
        <v>0</v>
      </c>
      <c r="B1066" s="1409"/>
      <c r="C1066" s="1621" t="s">
        <v>4975</v>
      </c>
      <c r="D1066" s="1683"/>
      <c r="E1066" s="1678">
        <f t="shared" si="208"/>
        <v>0</v>
      </c>
      <c r="F1066" s="1687"/>
      <c r="G1066" s="1684"/>
      <c r="H1066" s="1684"/>
      <c r="I1066" s="1684"/>
      <c r="J1066" s="1684"/>
      <c r="K1066" s="1685" t="str">
        <f t="shared" si="205"/>
        <v/>
      </c>
      <c r="L1066" s="1685" t="str">
        <f t="shared" si="206"/>
        <v/>
      </c>
      <c r="M1066" s="1686"/>
    </row>
    <row r="1067" spans="1:13">
      <c r="A1067" s="1655">
        <f t="shared" si="207"/>
        <v>0</v>
      </c>
      <c r="B1067" s="1409"/>
      <c r="C1067" s="1621" t="s">
        <v>4976</v>
      </c>
      <c r="D1067" s="1683"/>
      <c r="E1067" s="1678">
        <f t="shared" si="208"/>
        <v>0</v>
      </c>
      <c r="F1067" s="1687"/>
      <c r="G1067" s="1684"/>
      <c r="H1067" s="1684"/>
      <c r="I1067" s="1684"/>
      <c r="J1067" s="1684"/>
      <c r="K1067" s="1685" t="str">
        <f t="shared" si="205"/>
        <v/>
      </c>
      <c r="L1067" s="1685" t="str">
        <f t="shared" si="206"/>
        <v/>
      </c>
      <c r="M1067" s="1686"/>
    </row>
    <row r="1068" spans="1:13">
      <c r="A1068" s="1655">
        <f t="shared" si="207"/>
        <v>0</v>
      </c>
      <c r="B1068" s="1409"/>
      <c r="C1068" s="1621" t="s">
        <v>4977</v>
      </c>
      <c r="D1068" s="1683"/>
      <c r="E1068" s="1678">
        <f t="shared" si="208"/>
        <v>0</v>
      </c>
      <c r="F1068" s="1687"/>
      <c r="G1068" s="1684"/>
      <c r="H1068" s="1684"/>
      <c r="I1068" s="1684"/>
      <c r="J1068" s="1684"/>
      <c r="K1068" s="1685" t="str">
        <f t="shared" si="205"/>
        <v/>
      </c>
      <c r="L1068" s="1685" t="str">
        <f t="shared" si="206"/>
        <v/>
      </c>
      <c r="M1068" s="1686"/>
    </row>
    <row r="1069" spans="1:13">
      <c r="A1069" s="1655">
        <f t="shared" si="207"/>
        <v>0</v>
      </c>
      <c r="B1069" s="1409"/>
      <c r="C1069" s="1621" t="s">
        <v>4978</v>
      </c>
      <c r="D1069" s="1683"/>
      <c r="E1069" s="1678">
        <f t="shared" si="208"/>
        <v>0</v>
      </c>
      <c r="F1069" s="1687"/>
      <c r="G1069" s="1684"/>
      <c r="H1069" s="1684"/>
      <c r="I1069" s="1684"/>
      <c r="J1069" s="1684"/>
      <c r="K1069" s="1685" t="str">
        <f t="shared" si="205"/>
        <v/>
      </c>
      <c r="L1069" s="1685" t="str">
        <f t="shared" si="206"/>
        <v/>
      </c>
      <c r="M1069" s="1686"/>
    </row>
    <row r="1070" spans="1:13">
      <c r="A1070" s="1655">
        <f t="shared" si="207"/>
        <v>0</v>
      </c>
      <c r="B1070" s="1409"/>
      <c r="C1070" s="1621" t="s">
        <v>4979</v>
      </c>
      <c r="D1070" s="1683"/>
      <c r="E1070" s="1678">
        <f t="shared" si="208"/>
        <v>0</v>
      </c>
      <c r="F1070" s="1687"/>
      <c r="G1070" s="1684"/>
      <c r="H1070" s="1684"/>
      <c r="I1070" s="1684"/>
      <c r="J1070" s="1684"/>
      <c r="K1070" s="1685" t="str">
        <f t="shared" si="205"/>
        <v/>
      </c>
      <c r="L1070" s="1685" t="str">
        <f t="shared" si="206"/>
        <v/>
      </c>
      <c r="M1070" s="1686"/>
    </row>
    <row r="1071" spans="1:13">
      <c r="A1071" s="1655">
        <f t="shared" si="207"/>
        <v>0</v>
      </c>
      <c r="B1071" s="1409"/>
      <c r="C1071" s="1621" t="s">
        <v>4980</v>
      </c>
      <c r="D1071" s="1683"/>
      <c r="E1071" s="1678">
        <f t="shared" si="208"/>
        <v>0</v>
      </c>
      <c r="F1071" s="1687"/>
      <c r="G1071" s="1684"/>
      <c r="H1071" s="1684"/>
      <c r="I1071" s="1684"/>
      <c r="J1071" s="1684"/>
      <c r="K1071" s="1685" t="str">
        <f t="shared" si="205"/>
        <v/>
      </c>
      <c r="L1071" s="1685" t="str">
        <f t="shared" si="206"/>
        <v/>
      </c>
      <c r="M1071" s="1686"/>
    </row>
    <row r="1072" spans="1:13">
      <c r="A1072" s="1655">
        <f t="shared" si="207"/>
        <v>0</v>
      </c>
      <c r="B1072" s="1409"/>
      <c r="C1072" s="1621" t="s">
        <v>4981</v>
      </c>
      <c r="D1072" s="1683"/>
      <c r="E1072" s="1678">
        <f t="shared" si="208"/>
        <v>0</v>
      </c>
      <c r="F1072" s="1687"/>
      <c r="G1072" s="1684"/>
      <c r="H1072" s="1684"/>
      <c r="I1072" s="1684"/>
      <c r="J1072" s="1684"/>
      <c r="K1072" s="1685" t="str">
        <f t="shared" si="205"/>
        <v/>
      </c>
      <c r="L1072" s="1685" t="str">
        <f t="shared" si="206"/>
        <v/>
      </c>
      <c r="M1072" s="1686"/>
    </row>
    <row r="1073" spans="1:13">
      <c r="A1073" s="1655">
        <f t="shared" si="207"/>
        <v>0</v>
      </c>
      <c r="B1073" s="1409"/>
      <c r="C1073" s="1621" t="s">
        <v>4982</v>
      </c>
      <c r="D1073" s="1683"/>
      <c r="E1073" s="1678">
        <f t="shared" si="208"/>
        <v>0</v>
      </c>
      <c r="F1073" s="1687"/>
      <c r="G1073" s="1684"/>
      <c r="H1073" s="1684"/>
      <c r="I1073" s="1684"/>
      <c r="J1073" s="1684"/>
      <c r="K1073" s="1685" t="str">
        <f t="shared" si="205"/>
        <v/>
      </c>
      <c r="L1073" s="1685" t="str">
        <f t="shared" si="206"/>
        <v/>
      </c>
      <c r="M1073" s="1686"/>
    </row>
    <row r="1074" spans="1:13">
      <c r="A1074" s="1655">
        <f t="shared" si="207"/>
        <v>0</v>
      </c>
      <c r="B1074" s="1409"/>
      <c r="C1074" s="1621" t="s">
        <v>4983</v>
      </c>
      <c r="D1074" s="1683"/>
      <c r="E1074" s="1678">
        <f t="shared" si="208"/>
        <v>0</v>
      </c>
      <c r="F1074" s="1687"/>
      <c r="G1074" s="1684"/>
      <c r="H1074" s="1684"/>
      <c r="I1074" s="1684"/>
      <c r="J1074" s="1684"/>
      <c r="K1074" s="1685" t="str">
        <f t="shared" si="205"/>
        <v/>
      </c>
      <c r="L1074" s="1685" t="str">
        <f t="shared" si="206"/>
        <v/>
      </c>
      <c r="M1074" s="1686"/>
    </row>
    <row r="1075" spans="1:13">
      <c r="A1075" s="1655">
        <f t="shared" si="207"/>
        <v>0</v>
      </c>
      <c r="B1075" s="1409"/>
      <c r="C1075" s="1621" t="s">
        <v>4984</v>
      </c>
      <c r="D1075" s="1683"/>
      <c r="E1075" s="1678">
        <f t="shared" si="208"/>
        <v>0</v>
      </c>
      <c r="F1075" s="1687"/>
      <c r="G1075" s="1684"/>
      <c r="H1075" s="1684"/>
      <c r="I1075" s="1684"/>
      <c r="J1075" s="1684"/>
      <c r="K1075" s="1685" t="str">
        <f t="shared" si="205"/>
        <v/>
      </c>
      <c r="L1075" s="1685" t="str">
        <f t="shared" si="206"/>
        <v/>
      </c>
      <c r="M1075" s="1686"/>
    </row>
    <row r="1076" spans="1:13">
      <c r="A1076" s="1655">
        <f t="shared" si="207"/>
        <v>0</v>
      </c>
      <c r="B1076" s="1409"/>
      <c r="C1076" s="1621" t="s">
        <v>4985</v>
      </c>
      <c r="D1076" s="1683"/>
      <c r="E1076" s="1678">
        <f t="shared" si="208"/>
        <v>0</v>
      </c>
      <c r="F1076" s="1687"/>
      <c r="G1076" s="1684"/>
      <c r="H1076" s="1684"/>
      <c r="I1076" s="1684"/>
      <c r="J1076" s="1684"/>
      <c r="K1076" s="1685" t="str">
        <f t="shared" si="205"/>
        <v/>
      </c>
      <c r="L1076" s="1685" t="str">
        <f t="shared" si="206"/>
        <v/>
      </c>
      <c r="M1076" s="1686"/>
    </row>
    <row r="1077" spans="1:13">
      <c r="A1077" s="1655">
        <f t="shared" si="207"/>
        <v>0</v>
      </c>
      <c r="B1077" s="1688"/>
      <c r="C1077" s="1689" t="s">
        <v>4986</v>
      </c>
      <c r="D1077" s="1690"/>
      <c r="E1077" s="1691">
        <f t="shared" si="208"/>
        <v>0</v>
      </c>
      <c r="F1077" s="1692"/>
      <c r="G1077" s="1693"/>
      <c r="H1077" s="1693"/>
      <c r="I1077" s="1693"/>
      <c r="J1077" s="1693"/>
      <c r="K1077" s="1694" t="str">
        <f t="shared" si="205"/>
        <v/>
      </c>
      <c r="L1077" s="1694" t="str">
        <f t="shared" si="206"/>
        <v/>
      </c>
      <c r="M1077" s="1695"/>
    </row>
    <row r="1078" spans="1:13">
      <c r="A1078" s="1674">
        <f>A1052+1</f>
        <v>42</v>
      </c>
      <c r="B1078" s="1675" t="s">
        <v>5050</v>
      </c>
      <c r="C1078" s="1676"/>
      <c r="D1078" s="1677"/>
      <c r="E1078" s="1679">
        <f t="shared" ref="E1078:I1078" si="209">SUM(E1079:E1103)</f>
        <v>0</v>
      </c>
      <c r="F1078" s="1679">
        <f t="shared" si="209"/>
        <v>0</v>
      </c>
      <c r="G1078" s="1679">
        <f t="shared" si="209"/>
        <v>0</v>
      </c>
      <c r="H1078" s="1679">
        <f t="shared" si="209"/>
        <v>0</v>
      </c>
      <c r="I1078" s="1679">
        <f t="shared" si="209"/>
        <v>0</v>
      </c>
      <c r="J1078" s="1679">
        <f>SUM(J1079:J1103)</f>
        <v>0</v>
      </c>
      <c r="K1078" s="1680" t="str">
        <f>IFERROR(E1078/$C$6,"")</f>
        <v/>
      </c>
      <c r="L1078" s="1680" t="str">
        <f>IFERROR(E1078/$C$7,"")</f>
        <v/>
      </c>
      <c r="M1078" s="1681">
        <f>SUM(M1079:M1103)</f>
        <v>0</v>
      </c>
    </row>
    <row r="1079" spans="1:13">
      <c r="A1079" s="1655">
        <f>IF(E1079&lt;&gt;0,1,0)</f>
        <v>0</v>
      </c>
      <c r="B1079" s="1412"/>
      <c r="C1079" s="1621" t="s">
        <v>4962</v>
      </c>
      <c r="D1079" s="1683"/>
      <c r="E1079" s="1678">
        <f>SUM(F1079:J1079)</f>
        <v>0</v>
      </c>
      <c r="F1079" s="1684"/>
      <c r="G1079" s="1684"/>
      <c r="H1079" s="1684"/>
      <c r="I1079" s="1684"/>
      <c r="J1079" s="1684"/>
      <c r="K1079" s="1685" t="str">
        <f t="shared" ref="K1079:K1103" si="210">IFERROR(E1079/$C$6,"")</f>
        <v/>
      </c>
      <c r="L1079" s="1685" t="str">
        <f t="shared" ref="L1079:L1103" si="211">IFERROR(E1079/$C$7,"")</f>
        <v/>
      </c>
      <c r="M1079" s="1686"/>
    </row>
    <row r="1080" spans="1:13">
      <c r="A1080" s="1655">
        <f t="shared" ref="A1080:A1103" si="212">IF(E1080&lt;&gt;0,1,0)</f>
        <v>0</v>
      </c>
      <c r="B1080" s="1409"/>
      <c r="C1080" s="1621" t="s">
        <v>4963</v>
      </c>
      <c r="D1080" s="1683"/>
      <c r="E1080" s="1678">
        <f t="shared" ref="E1080:E1103" si="213">SUM(F1080:J1080)</f>
        <v>0</v>
      </c>
      <c r="F1080" s="1687"/>
      <c r="G1080" s="1684"/>
      <c r="H1080" s="1684"/>
      <c r="I1080" s="1684"/>
      <c r="J1080" s="1684"/>
      <c r="K1080" s="1685" t="str">
        <f t="shared" si="210"/>
        <v/>
      </c>
      <c r="L1080" s="1685" t="str">
        <f t="shared" si="211"/>
        <v/>
      </c>
      <c r="M1080" s="1686"/>
    </row>
    <row r="1081" spans="1:13">
      <c r="A1081" s="1655">
        <f t="shared" si="212"/>
        <v>0</v>
      </c>
      <c r="B1081" s="1409"/>
      <c r="C1081" s="1621" t="s">
        <v>4964</v>
      </c>
      <c r="D1081" s="1683"/>
      <c r="E1081" s="1678">
        <f t="shared" si="213"/>
        <v>0</v>
      </c>
      <c r="F1081" s="1687"/>
      <c r="G1081" s="1684"/>
      <c r="H1081" s="1684"/>
      <c r="I1081" s="1684"/>
      <c r="J1081" s="1684"/>
      <c r="K1081" s="1685" t="str">
        <f t="shared" si="210"/>
        <v/>
      </c>
      <c r="L1081" s="1685" t="str">
        <f t="shared" si="211"/>
        <v/>
      </c>
      <c r="M1081" s="1686"/>
    </row>
    <row r="1082" spans="1:13">
      <c r="A1082" s="1655">
        <f t="shared" si="212"/>
        <v>0</v>
      </c>
      <c r="B1082" s="1409"/>
      <c r="C1082" s="1621" t="s">
        <v>4965</v>
      </c>
      <c r="D1082" s="1683"/>
      <c r="E1082" s="1678">
        <f t="shared" si="213"/>
        <v>0</v>
      </c>
      <c r="F1082" s="1687"/>
      <c r="G1082" s="1684"/>
      <c r="H1082" s="1684"/>
      <c r="I1082" s="1684"/>
      <c r="J1082" s="1684"/>
      <c r="K1082" s="1685" t="str">
        <f t="shared" si="210"/>
        <v/>
      </c>
      <c r="L1082" s="1685" t="str">
        <f t="shared" si="211"/>
        <v/>
      </c>
      <c r="M1082" s="1686"/>
    </row>
    <row r="1083" spans="1:13">
      <c r="A1083" s="1655">
        <f t="shared" si="212"/>
        <v>0</v>
      </c>
      <c r="B1083" s="1409"/>
      <c r="C1083" s="1621" t="s">
        <v>4966</v>
      </c>
      <c r="D1083" s="1683"/>
      <c r="E1083" s="1678">
        <f t="shared" si="213"/>
        <v>0</v>
      </c>
      <c r="F1083" s="1687"/>
      <c r="G1083" s="1684"/>
      <c r="H1083" s="1684"/>
      <c r="I1083" s="1684"/>
      <c r="J1083" s="1684"/>
      <c r="K1083" s="1685" t="str">
        <f t="shared" si="210"/>
        <v/>
      </c>
      <c r="L1083" s="1685" t="str">
        <f t="shared" si="211"/>
        <v/>
      </c>
      <c r="M1083" s="1686"/>
    </row>
    <row r="1084" spans="1:13">
      <c r="A1084" s="1655">
        <f t="shared" si="212"/>
        <v>0</v>
      </c>
      <c r="B1084" s="1409"/>
      <c r="C1084" s="1621" t="s">
        <v>4967</v>
      </c>
      <c r="D1084" s="1683"/>
      <c r="E1084" s="1678">
        <f t="shared" si="213"/>
        <v>0</v>
      </c>
      <c r="F1084" s="1687"/>
      <c r="G1084" s="1684"/>
      <c r="H1084" s="1684"/>
      <c r="I1084" s="1684"/>
      <c r="J1084" s="1684"/>
      <c r="K1084" s="1685" t="str">
        <f t="shared" si="210"/>
        <v/>
      </c>
      <c r="L1084" s="1685" t="str">
        <f t="shared" si="211"/>
        <v/>
      </c>
      <c r="M1084" s="1686"/>
    </row>
    <row r="1085" spans="1:13">
      <c r="A1085" s="1655">
        <f t="shared" si="212"/>
        <v>0</v>
      </c>
      <c r="B1085" s="1409"/>
      <c r="C1085" s="1621" t="s">
        <v>4968</v>
      </c>
      <c r="D1085" s="1683"/>
      <c r="E1085" s="1678">
        <f t="shared" si="213"/>
        <v>0</v>
      </c>
      <c r="F1085" s="1687"/>
      <c r="G1085" s="1684"/>
      <c r="H1085" s="1684"/>
      <c r="I1085" s="1684"/>
      <c r="J1085" s="1684"/>
      <c r="K1085" s="1685" t="str">
        <f t="shared" si="210"/>
        <v/>
      </c>
      <c r="L1085" s="1685" t="str">
        <f t="shared" si="211"/>
        <v/>
      </c>
      <c r="M1085" s="1686"/>
    </row>
    <row r="1086" spans="1:13">
      <c r="A1086" s="1655">
        <f t="shared" si="212"/>
        <v>0</v>
      </c>
      <c r="B1086" s="1409"/>
      <c r="C1086" s="1621" t="s">
        <v>4969</v>
      </c>
      <c r="D1086" s="1683"/>
      <c r="E1086" s="1678">
        <f t="shared" si="213"/>
        <v>0</v>
      </c>
      <c r="F1086" s="1687"/>
      <c r="G1086" s="1684"/>
      <c r="H1086" s="1684"/>
      <c r="I1086" s="1684"/>
      <c r="J1086" s="1684"/>
      <c r="K1086" s="1685" t="str">
        <f t="shared" si="210"/>
        <v/>
      </c>
      <c r="L1086" s="1685" t="str">
        <f t="shared" si="211"/>
        <v/>
      </c>
      <c r="M1086" s="1686"/>
    </row>
    <row r="1087" spans="1:13">
      <c r="A1087" s="1655">
        <f t="shared" si="212"/>
        <v>0</v>
      </c>
      <c r="B1087" s="1409"/>
      <c r="C1087" s="1621" t="s">
        <v>4970</v>
      </c>
      <c r="D1087" s="1683"/>
      <c r="E1087" s="1678">
        <f t="shared" si="213"/>
        <v>0</v>
      </c>
      <c r="F1087" s="1687"/>
      <c r="G1087" s="1684"/>
      <c r="H1087" s="1684"/>
      <c r="I1087" s="1684"/>
      <c r="J1087" s="1684"/>
      <c r="K1087" s="1685" t="str">
        <f t="shared" si="210"/>
        <v/>
      </c>
      <c r="L1087" s="1685" t="str">
        <f t="shared" si="211"/>
        <v/>
      </c>
      <c r="M1087" s="1686"/>
    </row>
    <row r="1088" spans="1:13">
      <c r="A1088" s="1655">
        <f t="shared" si="212"/>
        <v>0</v>
      </c>
      <c r="B1088" s="1409"/>
      <c r="C1088" s="1621" t="s">
        <v>4971</v>
      </c>
      <c r="D1088" s="1683"/>
      <c r="E1088" s="1678">
        <f t="shared" si="213"/>
        <v>0</v>
      </c>
      <c r="F1088" s="1687"/>
      <c r="G1088" s="1684"/>
      <c r="H1088" s="1684"/>
      <c r="I1088" s="1684"/>
      <c r="J1088" s="1684"/>
      <c r="K1088" s="1685" t="str">
        <f t="shared" si="210"/>
        <v/>
      </c>
      <c r="L1088" s="1685" t="str">
        <f t="shared" si="211"/>
        <v/>
      </c>
      <c r="M1088" s="1686"/>
    </row>
    <row r="1089" spans="1:13">
      <c r="A1089" s="1655">
        <f t="shared" si="212"/>
        <v>0</v>
      </c>
      <c r="B1089" s="1409"/>
      <c r="C1089" s="1621" t="s">
        <v>4972</v>
      </c>
      <c r="D1089" s="1683"/>
      <c r="E1089" s="1678">
        <f t="shared" si="213"/>
        <v>0</v>
      </c>
      <c r="F1089" s="1687"/>
      <c r="G1089" s="1684"/>
      <c r="H1089" s="1684"/>
      <c r="I1089" s="1684"/>
      <c r="J1089" s="1684"/>
      <c r="K1089" s="1685" t="str">
        <f t="shared" si="210"/>
        <v/>
      </c>
      <c r="L1089" s="1685" t="str">
        <f t="shared" si="211"/>
        <v/>
      </c>
      <c r="M1089" s="1686"/>
    </row>
    <row r="1090" spans="1:13">
      <c r="A1090" s="1655">
        <f t="shared" si="212"/>
        <v>0</v>
      </c>
      <c r="B1090" s="1412"/>
      <c r="C1090" s="1621" t="s">
        <v>4973</v>
      </c>
      <c r="D1090" s="1683"/>
      <c r="E1090" s="1678">
        <f t="shared" si="213"/>
        <v>0</v>
      </c>
      <c r="F1090" s="1687"/>
      <c r="G1090" s="1684"/>
      <c r="H1090" s="1684"/>
      <c r="I1090" s="1684"/>
      <c r="J1090" s="1684"/>
      <c r="K1090" s="1685" t="str">
        <f t="shared" si="210"/>
        <v/>
      </c>
      <c r="L1090" s="1685" t="str">
        <f t="shared" si="211"/>
        <v/>
      </c>
      <c r="M1090" s="1686"/>
    </row>
    <row r="1091" spans="1:13">
      <c r="A1091" s="1655">
        <f t="shared" si="212"/>
        <v>0</v>
      </c>
      <c r="B1091" s="1412"/>
      <c r="C1091" s="1621" t="s">
        <v>4974</v>
      </c>
      <c r="D1091" s="1683"/>
      <c r="E1091" s="1678">
        <f t="shared" si="213"/>
        <v>0</v>
      </c>
      <c r="F1091" s="1687"/>
      <c r="G1091" s="1684"/>
      <c r="H1091" s="1684"/>
      <c r="I1091" s="1684"/>
      <c r="J1091" s="1684"/>
      <c r="K1091" s="1685" t="str">
        <f t="shared" si="210"/>
        <v/>
      </c>
      <c r="L1091" s="1685" t="str">
        <f t="shared" si="211"/>
        <v/>
      </c>
      <c r="M1091" s="1686"/>
    </row>
    <row r="1092" spans="1:13">
      <c r="A1092" s="1655">
        <f t="shared" si="212"/>
        <v>0</v>
      </c>
      <c r="B1092" s="1409"/>
      <c r="C1092" s="1621" t="s">
        <v>4975</v>
      </c>
      <c r="D1092" s="1683"/>
      <c r="E1092" s="1678">
        <f t="shared" si="213"/>
        <v>0</v>
      </c>
      <c r="F1092" s="1687"/>
      <c r="G1092" s="1684"/>
      <c r="H1092" s="1684"/>
      <c r="I1092" s="1684"/>
      <c r="J1092" s="1684"/>
      <c r="K1092" s="1685" t="str">
        <f t="shared" si="210"/>
        <v/>
      </c>
      <c r="L1092" s="1685" t="str">
        <f t="shared" si="211"/>
        <v/>
      </c>
      <c r="M1092" s="1686"/>
    </row>
    <row r="1093" spans="1:13">
      <c r="A1093" s="1655">
        <f t="shared" si="212"/>
        <v>0</v>
      </c>
      <c r="B1093" s="1409"/>
      <c r="C1093" s="1621" t="s">
        <v>4976</v>
      </c>
      <c r="D1093" s="1683"/>
      <c r="E1093" s="1678">
        <f t="shared" si="213"/>
        <v>0</v>
      </c>
      <c r="F1093" s="1687"/>
      <c r="G1093" s="1684"/>
      <c r="H1093" s="1684"/>
      <c r="I1093" s="1684"/>
      <c r="J1093" s="1684"/>
      <c r="K1093" s="1685" t="str">
        <f t="shared" si="210"/>
        <v/>
      </c>
      <c r="L1093" s="1685" t="str">
        <f t="shared" si="211"/>
        <v/>
      </c>
      <c r="M1093" s="1686"/>
    </row>
    <row r="1094" spans="1:13">
      <c r="A1094" s="1655">
        <f t="shared" si="212"/>
        <v>0</v>
      </c>
      <c r="B1094" s="1409"/>
      <c r="C1094" s="1621" t="s">
        <v>4977</v>
      </c>
      <c r="D1094" s="1683"/>
      <c r="E1094" s="1678">
        <f t="shared" si="213"/>
        <v>0</v>
      </c>
      <c r="F1094" s="1687"/>
      <c r="G1094" s="1684"/>
      <c r="H1094" s="1684"/>
      <c r="I1094" s="1684"/>
      <c r="J1094" s="1684"/>
      <c r="K1094" s="1685" t="str">
        <f t="shared" si="210"/>
        <v/>
      </c>
      <c r="L1094" s="1685" t="str">
        <f t="shared" si="211"/>
        <v/>
      </c>
      <c r="M1094" s="1686"/>
    </row>
    <row r="1095" spans="1:13">
      <c r="A1095" s="1655">
        <f t="shared" si="212"/>
        <v>0</v>
      </c>
      <c r="B1095" s="1409"/>
      <c r="C1095" s="1621" t="s">
        <v>4978</v>
      </c>
      <c r="D1095" s="1683"/>
      <c r="E1095" s="1678">
        <f t="shared" si="213"/>
        <v>0</v>
      </c>
      <c r="F1095" s="1687"/>
      <c r="G1095" s="1684"/>
      <c r="H1095" s="1684"/>
      <c r="I1095" s="1684"/>
      <c r="J1095" s="1684"/>
      <c r="K1095" s="1685" t="str">
        <f t="shared" si="210"/>
        <v/>
      </c>
      <c r="L1095" s="1685" t="str">
        <f t="shared" si="211"/>
        <v/>
      </c>
      <c r="M1095" s="1686"/>
    </row>
    <row r="1096" spans="1:13">
      <c r="A1096" s="1655">
        <f t="shared" si="212"/>
        <v>0</v>
      </c>
      <c r="B1096" s="1409"/>
      <c r="C1096" s="1621" t="s">
        <v>4979</v>
      </c>
      <c r="D1096" s="1683"/>
      <c r="E1096" s="1678">
        <f t="shared" si="213"/>
        <v>0</v>
      </c>
      <c r="F1096" s="1687"/>
      <c r="G1096" s="1684"/>
      <c r="H1096" s="1684"/>
      <c r="I1096" s="1684"/>
      <c r="J1096" s="1684"/>
      <c r="K1096" s="1685" t="str">
        <f t="shared" si="210"/>
        <v/>
      </c>
      <c r="L1096" s="1685" t="str">
        <f t="shared" si="211"/>
        <v/>
      </c>
      <c r="M1096" s="1686"/>
    </row>
    <row r="1097" spans="1:13">
      <c r="A1097" s="1655">
        <f t="shared" si="212"/>
        <v>0</v>
      </c>
      <c r="B1097" s="1409"/>
      <c r="C1097" s="1621" t="s">
        <v>4980</v>
      </c>
      <c r="D1097" s="1683"/>
      <c r="E1097" s="1678">
        <f t="shared" si="213"/>
        <v>0</v>
      </c>
      <c r="F1097" s="1687"/>
      <c r="G1097" s="1684"/>
      <c r="H1097" s="1684"/>
      <c r="I1097" s="1684"/>
      <c r="J1097" s="1684"/>
      <c r="K1097" s="1685" t="str">
        <f t="shared" si="210"/>
        <v/>
      </c>
      <c r="L1097" s="1685" t="str">
        <f t="shared" si="211"/>
        <v/>
      </c>
      <c r="M1097" s="1686"/>
    </row>
    <row r="1098" spans="1:13">
      <c r="A1098" s="1655">
        <f t="shared" si="212"/>
        <v>0</v>
      </c>
      <c r="B1098" s="1409"/>
      <c r="C1098" s="1621" t="s">
        <v>4981</v>
      </c>
      <c r="D1098" s="1683"/>
      <c r="E1098" s="1678">
        <f t="shared" si="213"/>
        <v>0</v>
      </c>
      <c r="F1098" s="1687"/>
      <c r="G1098" s="1684"/>
      <c r="H1098" s="1684"/>
      <c r="I1098" s="1684"/>
      <c r="J1098" s="1684"/>
      <c r="K1098" s="1685" t="str">
        <f t="shared" si="210"/>
        <v/>
      </c>
      <c r="L1098" s="1685" t="str">
        <f t="shared" si="211"/>
        <v/>
      </c>
      <c r="M1098" s="1686"/>
    </row>
    <row r="1099" spans="1:13">
      <c r="A1099" s="1655">
        <f t="shared" si="212"/>
        <v>0</v>
      </c>
      <c r="B1099" s="1409"/>
      <c r="C1099" s="1621" t="s">
        <v>4982</v>
      </c>
      <c r="D1099" s="1683"/>
      <c r="E1099" s="1678">
        <f t="shared" si="213"/>
        <v>0</v>
      </c>
      <c r="F1099" s="1687"/>
      <c r="G1099" s="1684"/>
      <c r="H1099" s="1684"/>
      <c r="I1099" s="1684"/>
      <c r="J1099" s="1684"/>
      <c r="K1099" s="1685" t="str">
        <f t="shared" si="210"/>
        <v/>
      </c>
      <c r="L1099" s="1685" t="str">
        <f t="shared" si="211"/>
        <v/>
      </c>
      <c r="M1099" s="1686"/>
    </row>
    <row r="1100" spans="1:13">
      <c r="A1100" s="1655">
        <f t="shared" si="212"/>
        <v>0</v>
      </c>
      <c r="B1100" s="1409"/>
      <c r="C1100" s="1621" t="s">
        <v>4983</v>
      </c>
      <c r="D1100" s="1683"/>
      <c r="E1100" s="1678">
        <f t="shared" si="213"/>
        <v>0</v>
      </c>
      <c r="F1100" s="1687"/>
      <c r="G1100" s="1684"/>
      <c r="H1100" s="1684"/>
      <c r="I1100" s="1684"/>
      <c r="J1100" s="1684"/>
      <c r="K1100" s="1685" t="str">
        <f t="shared" si="210"/>
        <v/>
      </c>
      <c r="L1100" s="1685" t="str">
        <f t="shared" si="211"/>
        <v/>
      </c>
      <c r="M1100" s="1686"/>
    </row>
    <row r="1101" spans="1:13">
      <c r="A1101" s="1655">
        <f t="shared" si="212"/>
        <v>0</v>
      </c>
      <c r="B1101" s="1409"/>
      <c r="C1101" s="1621" t="s">
        <v>4984</v>
      </c>
      <c r="D1101" s="1683"/>
      <c r="E1101" s="1678">
        <f t="shared" si="213"/>
        <v>0</v>
      </c>
      <c r="F1101" s="1687"/>
      <c r="G1101" s="1684"/>
      <c r="H1101" s="1684"/>
      <c r="I1101" s="1684"/>
      <c r="J1101" s="1684"/>
      <c r="K1101" s="1685" t="str">
        <f t="shared" si="210"/>
        <v/>
      </c>
      <c r="L1101" s="1685" t="str">
        <f t="shared" si="211"/>
        <v/>
      </c>
      <c r="M1101" s="1686"/>
    </row>
    <row r="1102" spans="1:13">
      <c r="A1102" s="1655">
        <f t="shared" si="212"/>
        <v>0</v>
      </c>
      <c r="B1102" s="1409"/>
      <c r="C1102" s="1621" t="s">
        <v>4985</v>
      </c>
      <c r="D1102" s="1683"/>
      <c r="E1102" s="1678">
        <f t="shared" si="213"/>
        <v>0</v>
      </c>
      <c r="F1102" s="1687"/>
      <c r="G1102" s="1684"/>
      <c r="H1102" s="1684"/>
      <c r="I1102" s="1684"/>
      <c r="J1102" s="1684"/>
      <c r="K1102" s="1685" t="str">
        <f t="shared" si="210"/>
        <v/>
      </c>
      <c r="L1102" s="1685" t="str">
        <f t="shared" si="211"/>
        <v/>
      </c>
      <c r="M1102" s="1686"/>
    </row>
    <row r="1103" spans="1:13">
      <c r="A1103" s="1655">
        <f t="shared" si="212"/>
        <v>0</v>
      </c>
      <c r="B1103" s="1688"/>
      <c r="C1103" s="1689" t="s">
        <v>4986</v>
      </c>
      <c r="D1103" s="1690"/>
      <c r="E1103" s="1691">
        <f t="shared" si="213"/>
        <v>0</v>
      </c>
      <c r="F1103" s="1692"/>
      <c r="G1103" s="1693"/>
      <c r="H1103" s="1693"/>
      <c r="I1103" s="1693"/>
      <c r="J1103" s="1693"/>
      <c r="K1103" s="1694" t="str">
        <f t="shared" si="210"/>
        <v/>
      </c>
      <c r="L1103" s="1694" t="str">
        <f t="shared" si="211"/>
        <v/>
      </c>
      <c r="M1103" s="1695"/>
    </row>
    <row r="1104" spans="1:13">
      <c r="A1104" s="1674">
        <f>A1078+1</f>
        <v>43</v>
      </c>
      <c r="B1104" s="1675" t="s">
        <v>5050</v>
      </c>
      <c r="C1104" s="1676"/>
      <c r="D1104" s="1677"/>
      <c r="E1104" s="1679">
        <f t="shared" ref="E1104:I1104" si="214">SUM(E1105:E1129)</f>
        <v>0</v>
      </c>
      <c r="F1104" s="1679">
        <f t="shared" si="214"/>
        <v>0</v>
      </c>
      <c r="G1104" s="1679">
        <f t="shared" si="214"/>
        <v>0</v>
      </c>
      <c r="H1104" s="1679">
        <f t="shared" si="214"/>
        <v>0</v>
      </c>
      <c r="I1104" s="1679">
        <f t="shared" si="214"/>
        <v>0</v>
      </c>
      <c r="J1104" s="1679">
        <f>SUM(J1105:J1129)</f>
        <v>0</v>
      </c>
      <c r="K1104" s="1680" t="str">
        <f>IFERROR(E1104/$C$6,"")</f>
        <v/>
      </c>
      <c r="L1104" s="1680" t="str">
        <f>IFERROR(E1104/$C$7,"")</f>
        <v/>
      </c>
      <c r="M1104" s="1681">
        <f>SUM(M1105:M1129)</f>
        <v>0</v>
      </c>
    </row>
    <row r="1105" spans="1:13">
      <c r="A1105" s="1655">
        <f>IF(E1105&lt;&gt;0,1,0)</f>
        <v>0</v>
      </c>
      <c r="B1105" s="1412"/>
      <c r="C1105" s="1621" t="s">
        <v>4962</v>
      </c>
      <c r="D1105" s="1683"/>
      <c r="E1105" s="1678">
        <f>SUM(F1105:J1105)</f>
        <v>0</v>
      </c>
      <c r="F1105" s="1684"/>
      <c r="G1105" s="1684"/>
      <c r="H1105" s="1684"/>
      <c r="I1105" s="1684"/>
      <c r="J1105" s="1684"/>
      <c r="K1105" s="1685" t="str">
        <f t="shared" ref="K1105:K1129" si="215">IFERROR(E1105/$C$6,"")</f>
        <v/>
      </c>
      <c r="L1105" s="1685" t="str">
        <f t="shared" ref="L1105:L1129" si="216">IFERROR(E1105/$C$7,"")</f>
        <v/>
      </c>
      <c r="M1105" s="1686"/>
    </row>
    <row r="1106" spans="1:13">
      <c r="A1106" s="1655">
        <f t="shared" ref="A1106:A1129" si="217">IF(E1106&lt;&gt;0,1,0)</f>
        <v>0</v>
      </c>
      <c r="B1106" s="1409"/>
      <c r="C1106" s="1621" t="s">
        <v>4963</v>
      </c>
      <c r="D1106" s="1683"/>
      <c r="E1106" s="1678">
        <f t="shared" ref="E1106:E1129" si="218">SUM(F1106:J1106)</f>
        <v>0</v>
      </c>
      <c r="F1106" s="1687"/>
      <c r="G1106" s="1684"/>
      <c r="H1106" s="1684"/>
      <c r="I1106" s="1684"/>
      <c r="J1106" s="1684"/>
      <c r="K1106" s="1685" t="str">
        <f t="shared" si="215"/>
        <v/>
      </c>
      <c r="L1106" s="1685" t="str">
        <f t="shared" si="216"/>
        <v/>
      </c>
      <c r="M1106" s="1686"/>
    </row>
    <row r="1107" spans="1:13">
      <c r="A1107" s="1655">
        <f t="shared" si="217"/>
        <v>0</v>
      </c>
      <c r="B1107" s="1409"/>
      <c r="C1107" s="1621" t="s">
        <v>4964</v>
      </c>
      <c r="D1107" s="1683"/>
      <c r="E1107" s="1678">
        <f t="shared" si="218"/>
        <v>0</v>
      </c>
      <c r="F1107" s="1687"/>
      <c r="G1107" s="1684"/>
      <c r="H1107" s="1684"/>
      <c r="I1107" s="1684"/>
      <c r="J1107" s="1684"/>
      <c r="K1107" s="1685" t="str">
        <f t="shared" si="215"/>
        <v/>
      </c>
      <c r="L1107" s="1685" t="str">
        <f t="shared" si="216"/>
        <v/>
      </c>
      <c r="M1107" s="1686"/>
    </row>
    <row r="1108" spans="1:13">
      <c r="A1108" s="1655">
        <f t="shared" si="217"/>
        <v>0</v>
      </c>
      <c r="B1108" s="1409"/>
      <c r="C1108" s="1621" t="s">
        <v>4965</v>
      </c>
      <c r="D1108" s="1683"/>
      <c r="E1108" s="1678">
        <f t="shared" si="218"/>
        <v>0</v>
      </c>
      <c r="F1108" s="1687"/>
      <c r="G1108" s="1684"/>
      <c r="H1108" s="1684"/>
      <c r="I1108" s="1684"/>
      <c r="J1108" s="1684"/>
      <c r="K1108" s="1685" t="str">
        <f t="shared" si="215"/>
        <v/>
      </c>
      <c r="L1108" s="1685" t="str">
        <f t="shared" si="216"/>
        <v/>
      </c>
      <c r="M1108" s="1686"/>
    </row>
    <row r="1109" spans="1:13">
      <c r="A1109" s="1655">
        <f t="shared" si="217"/>
        <v>0</v>
      </c>
      <c r="B1109" s="1409"/>
      <c r="C1109" s="1621" t="s">
        <v>4966</v>
      </c>
      <c r="D1109" s="1683"/>
      <c r="E1109" s="1678">
        <f t="shared" si="218"/>
        <v>0</v>
      </c>
      <c r="F1109" s="1687"/>
      <c r="G1109" s="1684"/>
      <c r="H1109" s="1684"/>
      <c r="I1109" s="1684"/>
      <c r="J1109" s="1684"/>
      <c r="K1109" s="1685" t="str">
        <f t="shared" si="215"/>
        <v/>
      </c>
      <c r="L1109" s="1685" t="str">
        <f t="shared" si="216"/>
        <v/>
      </c>
      <c r="M1109" s="1686"/>
    </row>
    <row r="1110" spans="1:13">
      <c r="A1110" s="1655">
        <f t="shared" si="217"/>
        <v>0</v>
      </c>
      <c r="B1110" s="1409"/>
      <c r="C1110" s="1621" t="s">
        <v>4967</v>
      </c>
      <c r="D1110" s="1683"/>
      <c r="E1110" s="1678">
        <f t="shared" si="218"/>
        <v>0</v>
      </c>
      <c r="F1110" s="1687"/>
      <c r="G1110" s="1684"/>
      <c r="H1110" s="1684"/>
      <c r="I1110" s="1684"/>
      <c r="J1110" s="1684"/>
      <c r="K1110" s="1685" t="str">
        <f t="shared" si="215"/>
        <v/>
      </c>
      <c r="L1110" s="1685" t="str">
        <f t="shared" si="216"/>
        <v/>
      </c>
      <c r="M1110" s="1686"/>
    </row>
    <row r="1111" spans="1:13">
      <c r="A1111" s="1655">
        <f t="shared" si="217"/>
        <v>0</v>
      </c>
      <c r="B1111" s="1409"/>
      <c r="C1111" s="1621" t="s">
        <v>4968</v>
      </c>
      <c r="D1111" s="1683"/>
      <c r="E1111" s="1678">
        <f t="shared" si="218"/>
        <v>0</v>
      </c>
      <c r="F1111" s="1687"/>
      <c r="G1111" s="1684"/>
      <c r="H1111" s="1684"/>
      <c r="I1111" s="1684"/>
      <c r="J1111" s="1684"/>
      <c r="K1111" s="1685" t="str">
        <f t="shared" si="215"/>
        <v/>
      </c>
      <c r="L1111" s="1685" t="str">
        <f t="shared" si="216"/>
        <v/>
      </c>
      <c r="M1111" s="1686"/>
    </row>
    <row r="1112" spans="1:13">
      <c r="A1112" s="1655">
        <f t="shared" si="217"/>
        <v>0</v>
      </c>
      <c r="B1112" s="1409"/>
      <c r="C1112" s="1621" t="s">
        <v>4969</v>
      </c>
      <c r="D1112" s="1683"/>
      <c r="E1112" s="1678">
        <f t="shared" si="218"/>
        <v>0</v>
      </c>
      <c r="F1112" s="1687"/>
      <c r="G1112" s="1684"/>
      <c r="H1112" s="1684"/>
      <c r="I1112" s="1684"/>
      <c r="J1112" s="1684"/>
      <c r="K1112" s="1685" t="str">
        <f t="shared" si="215"/>
        <v/>
      </c>
      <c r="L1112" s="1685" t="str">
        <f t="shared" si="216"/>
        <v/>
      </c>
      <c r="M1112" s="1686"/>
    </row>
    <row r="1113" spans="1:13">
      <c r="A1113" s="1655">
        <f t="shared" si="217"/>
        <v>0</v>
      </c>
      <c r="B1113" s="1409"/>
      <c r="C1113" s="1621" t="s">
        <v>4970</v>
      </c>
      <c r="D1113" s="1683"/>
      <c r="E1113" s="1678">
        <f t="shared" si="218"/>
        <v>0</v>
      </c>
      <c r="F1113" s="1687"/>
      <c r="G1113" s="1684"/>
      <c r="H1113" s="1684"/>
      <c r="I1113" s="1684"/>
      <c r="J1113" s="1684"/>
      <c r="K1113" s="1685" t="str">
        <f t="shared" si="215"/>
        <v/>
      </c>
      <c r="L1113" s="1685" t="str">
        <f t="shared" si="216"/>
        <v/>
      </c>
      <c r="M1113" s="1686"/>
    </row>
    <row r="1114" spans="1:13">
      <c r="A1114" s="1655">
        <f t="shared" si="217"/>
        <v>0</v>
      </c>
      <c r="B1114" s="1409"/>
      <c r="C1114" s="1621" t="s">
        <v>4971</v>
      </c>
      <c r="D1114" s="1683"/>
      <c r="E1114" s="1678">
        <f t="shared" si="218"/>
        <v>0</v>
      </c>
      <c r="F1114" s="1687"/>
      <c r="G1114" s="1684"/>
      <c r="H1114" s="1684"/>
      <c r="I1114" s="1684"/>
      <c r="J1114" s="1684"/>
      <c r="K1114" s="1685" t="str">
        <f t="shared" si="215"/>
        <v/>
      </c>
      <c r="L1114" s="1685" t="str">
        <f t="shared" si="216"/>
        <v/>
      </c>
      <c r="M1114" s="1686"/>
    </row>
    <row r="1115" spans="1:13">
      <c r="A1115" s="1655">
        <f t="shared" si="217"/>
        <v>0</v>
      </c>
      <c r="B1115" s="1409"/>
      <c r="C1115" s="1621" t="s">
        <v>4972</v>
      </c>
      <c r="D1115" s="1683"/>
      <c r="E1115" s="1678">
        <f t="shared" si="218"/>
        <v>0</v>
      </c>
      <c r="F1115" s="1687"/>
      <c r="G1115" s="1684"/>
      <c r="H1115" s="1684"/>
      <c r="I1115" s="1684"/>
      <c r="J1115" s="1684"/>
      <c r="K1115" s="1685" t="str">
        <f t="shared" si="215"/>
        <v/>
      </c>
      <c r="L1115" s="1685" t="str">
        <f t="shared" si="216"/>
        <v/>
      </c>
      <c r="M1115" s="1686"/>
    </row>
    <row r="1116" spans="1:13">
      <c r="A1116" s="1655">
        <f t="shared" si="217"/>
        <v>0</v>
      </c>
      <c r="B1116" s="1412"/>
      <c r="C1116" s="1621" t="s">
        <v>4973</v>
      </c>
      <c r="D1116" s="1683"/>
      <c r="E1116" s="1678">
        <f t="shared" si="218"/>
        <v>0</v>
      </c>
      <c r="F1116" s="1687"/>
      <c r="G1116" s="1684"/>
      <c r="H1116" s="1684"/>
      <c r="I1116" s="1684"/>
      <c r="J1116" s="1684"/>
      <c r="K1116" s="1685" t="str">
        <f t="shared" si="215"/>
        <v/>
      </c>
      <c r="L1116" s="1685" t="str">
        <f t="shared" si="216"/>
        <v/>
      </c>
      <c r="M1116" s="1686"/>
    </row>
    <row r="1117" spans="1:13">
      <c r="A1117" s="1655">
        <f t="shared" si="217"/>
        <v>0</v>
      </c>
      <c r="B1117" s="1412"/>
      <c r="C1117" s="1621" t="s">
        <v>4974</v>
      </c>
      <c r="D1117" s="1683"/>
      <c r="E1117" s="1678">
        <f t="shared" si="218"/>
        <v>0</v>
      </c>
      <c r="F1117" s="1687"/>
      <c r="G1117" s="1684"/>
      <c r="H1117" s="1684"/>
      <c r="I1117" s="1684"/>
      <c r="J1117" s="1684"/>
      <c r="K1117" s="1685" t="str">
        <f t="shared" si="215"/>
        <v/>
      </c>
      <c r="L1117" s="1685" t="str">
        <f t="shared" si="216"/>
        <v/>
      </c>
      <c r="M1117" s="1686"/>
    </row>
    <row r="1118" spans="1:13">
      <c r="A1118" s="1655">
        <f t="shared" si="217"/>
        <v>0</v>
      </c>
      <c r="B1118" s="1409"/>
      <c r="C1118" s="1621" t="s">
        <v>4975</v>
      </c>
      <c r="D1118" s="1683"/>
      <c r="E1118" s="1678">
        <f t="shared" si="218"/>
        <v>0</v>
      </c>
      <c r="F1118" s="1687"/>
      <c r="G1118" s="1684"/>
      <c r="H1118" s="1684"/>
      <c r="I1118" s="1684"/>
      <c r="J1118" s="1684"/>
      <c r="K1118" s="1685" t="str">
        <f t="shared" si="215"/>
        <v/>
      </c>
      <c r="L1118" s="1685" t="str">
        <f t="shared" si="216"/>
        <v/>
      </c>
      <c r="M1118" s="1686"/>
    </row>
    <row r="1119" spans="1:13">
      <c r="A1119" s="1655">
        <f t="shared" si="217"/>
        <v>0</v>
      </c>
      <c r="B1119" s="1409"/>
      <c r="C1119" s="1621" t="s">
        <v>4976</v>
      </c>
      <c r="D1119" s="1683"/>
      <c r="E1119" s="1678">
        <f t="shared" si="218"/>
        <v>0</v>
      </c>
      <c r="F1119" s="1687"/>
      <c r="G1119" s="1684"/>
      <c r="H1119" s="1684"/>
      <c r="I1119" s="1684"/>
      <c r="J1119" s="1684"/>
      <c r="K1119" s="1685" t="str">
        <f t="shared" si="215"/>
        <v/>
      </c>
      <c r="L1119" s="1685" t="str">
        <f t="shared" si="216"/>
        <v/>
      </c>
      <c r="M1119" s="1686"/>
    </row>
    <row r="1120" spans="1:13">
      <c r="A1120" s="1655">
        <f t="shared" si="217"/>
        <v>0</v>
      </c>
      <c r="B1120" s="1409"/>
      <c r="C1120" s="1621" t="s">
        <v>4977</v>
      </c>
      <c r="D1120" s="1683"/>
      <c r="E1120" s="1678">
        <f t="shared" si="218"/>
        <v>0</v>
      </c>
      <c r="F1120" s="1687"/>
      <c r="G1120" s="1684"/>
      <c r="H1120" s="1684"/>
      <c r="I1120" s="1684"/>
      <c r="J1120" s="1684"/>
      <c r="K1120" s="1685" t="str">
        <f t="shared" si="215"/>
        <v/>
      </c>
      <c r="L1120" s="1685" t="str">
        <f t="shared" si="216"/>
        <v/>
      </c>
      <c r="M1120" s="1686"/>
    </row>
    <row r="1121" spans="1:13">
      <c r="A1121" s="1655">
        <f t="shared" si="217"/>
        <v>0</v>
      </c>
      <c r="B1121" s="1409"/>
      <c r="C1121" s="1621" t="s">
        <v>4978</v>
      </c>
      <c r="D1121" s="1683"/>
      <c r="E1121" s="1678">
        <f t="shared" si="218"/>
        <v>0</v>
      </c>
      <c r="F1121" s="1687"/>
      <c r="G1121" s="1684"/>
      <c r="H1121" s="1684"/>
      <c r="I1121" s="1684"/>
      <c r="J1121" s="1684"/>
      <c r="K1121" s="1685" t="str">
        <f t="shared" si="215"/>
        <v/>
      </c>
      <c r="L1121" s="1685" t="str">
        <f t="shared" si="216"/>
        <v/>
      </c>
      <c r="M1121" s="1686"/>
    </row>
    <row r="1122" spans="1:13">
      <c r="A1122" s="1655">
        <f t="shared" si="217"/>
        <v>0</v>
      </c>
      <c r="B1122" s="1409"/>
      <c r="C1122" s="1621" t="s">
        <v>4979</v>
      </c>
      <c r="D1122" s="1683"/>
      <c r="E1122" s="1678">
        <f t="shared" si="218"/>
        <v>0</v>
      </c>
      <c r="F1122" s="1687"/>
      <c r="G1122" s="1684"/>
      <c r="H1122" s="1684"/>
      <c r="I1122" s="1684"/>
      <c r="J1122" s="1684"/>
      <c r="K1122" s="1685" t="str">
        <f t="shared" si="215"/>
        <v/>
      </c>
      <c r="L1122" s="1685" t="str">
        <f t="shared" si="216"/>
        <v/>
      </c>
      <c r="M1122" s="1686"/>
    </row>
    <row r="1123" spans="1:13">
      <c r="A1123" s="1655">
        <f t="shared" si="217"/>
        <v>0</v>
      </c>
      <c r="B1123" s="1409"/>
      <c r="C1123" s="1621" t="s">
        <v>4980</v>
      </c>
      <c r="D1123" s="1683"/>
      <c r="E1123" s="1678">
        <f t="shared" si="218"/>
        <v>0</v>
      </c>
      <c r="F1123" s="1687"/>
      <c r="G1123" s="1684"/>
      <c r="H1123" s="1684"/>
      <c r="I1123" s="1684"/>
      <c r="J1123" s="1684"/>
      <c r="K1123" s="1685" t="str">
        <f t="shared" si="215"/>
        <v/>
      </c>
      <c r="L1123" s="1685" t="str">
        <f t="shared" si="216"/>
        <v/>
      </c>
      <c r="M1123" s="1686"/>
    </row>
    <row r="1124" spans="1:13">
      <c r="A1124" s="1655">
        <f t="shared" si="217"/>
        <v>0</v>
      </c>
      <c r="B1124" s="1409"/>
      <c r="C1124" s="1621" t="s">
        <v>4981</v>
      </c>
      <c r="D1124" s="1683"/>
      <c r="E1124" s="1678">
        <f t="shared" si="218"/>
        <v>0</v>
      </c>
      <c r="F1124" s="1687"/>
      <c r="G1124" s="1684"/>
      <c r="H1124" s="1684"/>
      <c r="I1124" s="1684"/>
      <c r="J1124" s="1684"/>
      <c r="K1124" s="1685" t="str">
        <f t="shared" si="215"/>
        <v/>
      </c>
      <c r="L1124" s="1685" t="str">
        <f t="shared" si="216"/>
        <v/>
      </c>
      <c r="M1124" s="1686"/>
    </row>
    <row r="1125" spans="1:13">
      <c r="A1125" s="1655">
        <f t="shared" si="217"/>
        <v>0</v>
      </c>
      <c r="B1125" s="1409"/>
      <c r="C1125" s="1621" t="s">
        <v>4982</v>
      </c>
      <c r="D1125" s="1683"/>
      <c r="E1125" s="1678">
        <f t="shared" si="218"/>
        <v>0</v>
      </c>
      <c r="F1125" s="1687"/>
      <c r="G1125" s="1684"/>
      <c r="H1125" s="1684"/>
      <c r="I1125" s="1684"/>
      <c r="J1125" s="1684"/>
      <c r="K1125" s="1685" t="str">
        <f t="shared" si="215"/>
        <v/>
      </c>
      <c r="L1125" s="1685" t="str">
        <f t="shared" si="216"/>
        <v/>
      </c>
      <c r="M1125" s="1686"/>
    </row>
    <row r="1126" spans="1:13">
      <c r="A1126" s="1655">
        <f t="shared" si="217"/>
        <v>0</v>
      </c>
      <c r="B1126" s="1409"/>
      <c r="C1126" s="1621" t="s">
        <v>4983</v>
      </c>
      <c r="D1126" s="1683"/>
      <c r="E1126" s="1678">
        <f t="shared" si="218"/>
        <v>0</v>
      </c>
      <c r="F1126" s="1687"/>
      <c r="G1126" s="1684"/>
      <c r="H1126" s="1684"/>
      <c r="I1126" s="1684"/>
      <c r="J1126" s="1684"/>
      <c r="K1126" s="1685" t="str">
        <f t="shared" si="215"/>
        <v/>
      </c>
      <c r="L1126" s="1685" t="str">
        <f t="shared" si="216"/>
        <v/>
      </c>
      <c r="M1126" s="1686"/>
    </row>
    <row r="1127" spans="1:13">
      <c r="A1127" s="1655">
        <f t="shared" si="217"/>
        <v>0</v>
      </c>
      <c r="B1127" s="1409"/>
      <c r="C1127" s="1621" t="s">
        <v>4984</v>
      </c>
      <c r="D1127" s="1683"/>
      <c r="E1127" s="1678">
        <f t="shared" si="218"/>
        <v>0</v>
      </c>
      <c r="F1127" s="1687"/>
      <c r="G1127" s="1684"/>
      <c r="H1127" s="1684"/>
      <c r="I1127" s="1684"/>
      <c r="J1127" s="1684"/>
      <c r="K1127" s="1685" t="str">
        <f t="shared" si="215"/>
        <v/>
      </c>
      <c r="L1127" s="1685" t="str">
        <f t="shared" si="216"/>
        <v/>
      </c>
      <c r="M1127" s="1686"/>
    </row>
    <row r="1128" spans="1:13">
      <c r="A1128" s="1655">
        <f t="shared" si="217"/>
        <v>0</v>
      </c>
      <c r="B1128" s="1409"/>
      <c r="C1128" s="1621" t="s">
        <v>4985</v>
      </c>
      <c r="D1128" s="1683"/>
      <c r="E1128" s="1678">
        <f t="shared" si="218"/>
        <v>0</v>
      </c>
      <c r="F1128" s="1687"/>
      <c r="G1128" s="1684"/>
      <c r="H1128" s="1684"/>
      <c r="I1128" s="1684"/>
      <c r="J1128" s="1684"/>
      <c r="K1128" s="1685" t="str">
        <f t="shared" si="215"/>
        <v/>
      </c>
      <c r="L1128" s="1685" t="str">
        <f t="shared" si="216"/>
        <v/>
      </c>
      <c r="M1128" s="1686"/>
    </row>
    <row r="1129" spans="1:13">
      <c r="A1129" s="1655">
        <f t="shared" si="217"/>
        <v>0</v>
      </c>
      <c r="B1129" s="1688"/>
      <c r="C1129" s="1689" t="s">
        <v>4986</v>
      </c>
      <c r="D1129" s="1690"/>
      <c r="E1129" s="1691">
        <f t="shared" si="218"/>
        <v>0</v>
      </c>
      <c r="F1129" s="1692"/>
      <c r="G1129" s="1693"/>
      <c r="H1129" s="1693"/>
      <c r="I1129" s="1693"/>
      <c r="J1129" s="1693"/>
      <c r="K1129" s="1694" t="str">
        <f t="shared" si="215"/>
        <v/>
      </c>
      <c r="L1129" s="1694" t="str">
        <f t="shared" si="216"/>
        <v/>
      </c>
      <c r="M1129" s="1695"/>
    </row>
    <row r="1130" spans="1:13">
      <c r="A1130" s="1674">
        <f>A1104+1</f>
        <v>44</v>
      </c>
      <c r="B1130" s="1675" t="s">
        <v>5050</v>
      </c>
      <c r="C1130" s="1676"/>
      <c r="D1130" s="1677"/>
      <c r="E1130" s="1679">
        <f t="shared" ref="E1130:I1130" si="219">SUM(E1131:E1155)</f>
        <v>0</v>
      </c>
      <c r="F1130" s="1679">
        <f t="shared" si="219"/>
        <v>0</v>
      </c>
      <c r="G1130" s="1679">
        <f t="shared" si="219"/>
        <v>0</v>
      </c>
      <c r="H1130" s="1679">
        <f t="shared" si="219"/>
        <v>0</v>
      </c>
      <c r="I1130" s="1679">
        <f t="shared" si="219"/>
        <v>0</v>
      </c>
      <c r="J1130" s="1679">
        <f>SUM(J1131:J1155)</f>
        <v>0</v>
      </c>
      <c r="K1130" s="1680" t="str">
        <f>IFERROR(E1130/$C$6,"")</f>
        <v/>
      </c>
      <c r="L1130" s="1680" t="str">
        <f>IFERROR(E1130/$C$7,"")</f>
        <v/>
      </c>
      <c r="M1130" s="1681">
        <f>SUM(M1131:M1155)</f>
        <v>0</v>
      </c>
    </row>
    <row r="1131" spans="1:13">
      <c r="A1131" s="1655">
        <f>IF(E1131&lt;&gt;0,1,0)</f>
        <v>0</v>
      </c>
      <c r="B1131" s="1412"/>
      <c r="C1131" s="1621" t="s">
        <v>4962</v>
      </c>
      <c r="D1131" s="1683"/>
      <c r="E1131" s="1678">
        <f>SUM(F1131:J1131)</f>
        <v>0</v>
      </c>
      <c r="F1131" s="1684"/>
      <c r="G1131" s="1684"/>
      <c r="H1131" s="1684"/>
      <c r="I1131" s="1684"/>
      <c r="J1131" s="1684"/>
      <c r="K1131" s="1685" t="str">
        <f t="shared" ref="K1131:K1155" si="220">IFERROR(E1131/$C$6,"")</f>
        <v/>
      </c>
      <c r="L1131" s="1685" t="str">
        <f t="shared" ref="L1131:L1155" si="221">IFERROR(E1131/$C$7,"")</f>
        <v/>
      </c>
      <c r="M1131" s="1686"/>
    </row>
    <row r="1132" spans="1:13">
      <c r="A1132" s="1655">
        <f t="shared" ref="A1132:A1155" si="222">IF(E1132&lt;&gt;0,1,0)</f>
        <v>0</v>
      </c>
      <c r="B1132" s="1409"/>
      <c r="C1132" s="1621" t="s">
        <v>4963</v>
      </c>
      <c r="D1132" s="1683"/>
      <c r="E1132" s="1678">
        <f t="shared" ref="E1132:E1155" si="223">SUM(F1132:J1132)</f>
        <v>0</v>
      </c>
      <c r="F1132" s="1687"/>
      <c r="G1132" s="1684"/>
      <c r="H1132" s="1684"/>
      <c r="I1132" s="1684"/>
      <c r="J1132" s="1684"/>
      <c r="K1132" s="1685" t="str">
        <f t="shared" si="220"/>
        <v/>
      </c>
      <c r="L1132" s="1685" t="str">
        <f t="shared" si="221"/>
        <v/>
      </c>
      <c r="M1132" s="1686"/>
    </row>
    <row r="1133" spans="1:13">
      <c r="A1133" s="1655">
        <f t="shared" si="222"/>
        <v>0</v>
      </c>
      <c r="B1133" s="1409"/>
      <c r="C1133" s="1621" t="s">
        <v>4964</v>
      </c>
      <c r="D1133" s="1683"/>
      <c r="E1133" s="1678">
        <f t="shared" si="223"/>
        <v>0</v>
      </c>
      <c r="F1133" s="1687"/>
      <c r="G1133" s="1684"/>
      <c r="H1133" s="1684"/>
      <c r="I1133" s="1684"/>
      <c r="J1133" s="1684"/>
      <c r="K1133" s="1685" t="str">
        <f t="shared" si="220"/>
        <v/>
      </c>
      <c r="L1133" s="1685" t="str">
        <f t="shared" si="221"/>
        <v/>
      </c>
      <c r="M1133" s="1686"/>
    </row>
    <row r="1134" spans="1:13">
      <c r="A1134" s="1655">
        <f t="shared" si="222"/>
        <v>0</v>
      </c>
      <c r="B1134" s="1409"/>
      <c r="C1134" s="1621" t="s">
        <v>4965</v>
      </c>
      <c r="D1134" s="1683"/>
      <c r="E1134" s="1678">
        <f t="shared" si="223"/>
        <v>0</v>
      </c>
      <c r="F1134" s="1687"/>
      <c r="G1134" s="1684"/>
      <c r="H1134" s="1684"/>
      <c r="I1134" s="1684"/>
      <c r="J1134" s="1684"/>
      <c r="K1134" s="1685" t="str">
        <f t="shared" si="220"/>
        <v/>
      </c>
      <c r="L1134" s="1685" t="str">
        <f t="shared" si="221"/>
        <v/>
      </c>
      <c r="M1134" s="1686"/>
    </row>
    <row r="1135" spans="1:13">
      <c r="A1135" s="1655">
        <f t="shared" si="222"/>
        <v>0</v>
      </c>
      <c r="B1135" s="1409"/>
      <c r="C1135" s="1621" t="s">
        <v>4966</v>
      </c>
      <c r="D1135" s="1683"/>
      <c r="E1135" s="1678">
        <f t="shared" si="223"/>
        <v>0</v>
      </c>
      <c r="F1135" s="1687"/>
      <c r="G1135" s="1684"/>
      <c r="H1135" s="1684"/>
      <c r="I1135" s="1684"/>
      <c r="J1135" s="1684"/>
      <c r="K1135" s="1685" t="str">
        <f t="shared" si="220"/>
        <v/>
      </c>
      <c r="L1135" s="1685" t="str">
        <f t="shared" si="221"/>
        <v/>
      </c>
      <c r="M1135" s="1686"/>
    </row>
    <row r="1136" spans="1:13">
      <c r="A1136" s="1655">
        <f t="shared" si="222"/>
        <v>0</v>
      </c>
      <c r="B1136" s="1409"/>
      <c r="C1136" s="1621" t="s">
        <v>4967</v>
      </c>
      <c r="D1136" s="1683"/>
      <c r="E1136" s="1678">
        <f t="shared" si="223"/>
        <v>0</v>
      </c>
      <c r="F1136" s="1687"/>
      <c r="G1136" s="1684"/>
      <c r="H1136" s="1684"/>
      <c r="I1136" s="1684"/>
      <c r="J1136" s="1684"/>
      <c r="K1136" s="1685" t="str">
        <f t="shared" si="220"/>
        <v/>
      </c>
      <c r="L1136" s="1685" t="str">
        <f t="shared" si="221"/>
        <v/>
      </c>
      <c r="M1136" s="1686"/>
    </row>
    <row r="1137" spans="1:13">
      <c r="A1137" s="1655">
        <f t="shared" si="222"/>
        <v>0</v>
      </c>
      <c r="B1137" s="1409"/>
      <c r="C1137" s="1621" t="s">
        <v>4968</v>
      </c>
      <c r="D1137" s="1683"/>
      <c r="E1137" s="1678">
        <f t="shared" si="223"/>
        <v>0</v>
      </c>
      <c r="F1137" s="1687"/>
      <c r="G1137" s="1684"/>
      <c r="H1137" s="1684"/>
      <c r="I1137" s="1684"/>
      <c r="J1137" s="1684"/>
      <c r="K1137" s="1685" t="str">
        <f t="shared" si="220"/>
        <v/>
      </c>
      <c r="L1137" s="1685" t="str">
        <f t="shared" si="221"/>
        <v/>
      </c>
      <c r="M1137" s="1686"/>
    </row>
    <row r="1138" spans="1:13">
      <c r="A1138" s="1655">
        <f t="shared" si="222"/>
        <v>0</v>
      </c>
      <c r="B1138" s="1409"/>
      <c r="C1138" s="1621" t="s">
        <v>4969</v>
      </c>
      <c r="D1138" s="1683"/>
      <c r="E1138" s="1678">
        <f t="shared" si="223"/>
        <v>0</v>
      </c>
      <c r="F1138" s="1687"/>
      <c r="G1138" s="1684"/>
      <c r="H1138" s="1684"/>
      <c r="I1138" s="1684"/>
      <c r="J1138" s="1684"/>
      <c r="K1138" s="1685" t="str">
        <f t="shared" si="220"/>
        <v/>
      </c>
      <c r="L1138" s="1685" t="str">
        <f t="shared" si="221"/>
        <v/>
      </c>
      <c r="M1138" s="1686"/>
    </row>
    <row r="1139" spans="1:13">
      <c r="A1139" s="1655">
        <f t="shared" si="222"/>
        <v>0</v>
      </c>
      <c r="B1139" s="1409"/>
      <c r="C1139" s="1621" t="s">
        <v>4970</v>
      </c>
      <c r="D1139" s="1683"/>
      <c r="E1139" s="1678">
        <f t="shared" si="223"/>
        <v>0</v>
      </c>
      <c r="F1139" s="1687"/>
      <c r="G1139" s="1684"/>
      <c r="H1139" s="1684"/>
      <c r="I1139" s="1684"/>
      <c r="J1139" s="1684"/>
      <c r="K1139" s="1685" t="str">
        <f t="shared" si="220"/>
        <v/>
      </c>
      <c r="L1139" s="1685" t="str">
        <f t="shared" si="221"/>
        <v/>
      </c>
      <c r="M1139" s="1686"/>
    </row>
    <row r="1140" spans="1:13">
      <c r="A1140" s="1655">
        <f t="shared" si="222"/>
        <v>0</v>
      </c>
      <c r="B1140" s="1409"/>
      <c r="C1140" s="1621" t="s">
        <v>4971</v>
      </c>
      <c r="D1140" s="1683"/>
      <c r="E1140" s="1678">
        <f t="shared" si="223"/>
        <v>0</v>
      </c>
      <c r="F1140" s="1687"/>
      <c r="G1140" s="1684"/>
      <c r="H1140" s="1684"/>
      <c r="I1140" s="1684"/>
      <c r="J1140" s="1684"/>
      <c r="K1140" s="1685" t="str">
        <f t="shared" si="220"/>
        <v/>
      </c>
      <c r="L1140" s="1685" t="str">
        <f t="shared" si="221"/>
        <v/>
      </c>
      <c r="M1140" s="1686"/>
    </row>
    <row r="1141" spans="1:13">
      <c r="A1141" s="1655">
        <f t="shared" si="222"/>
        <v>0</v>
      </c>
      <c r="B1141" s="1409"/>
      <c r="C1141" s="1621" t="s">
        <v>4972</v>
      </c>
      <c r="D1141" s="1683"/>
      <c r="E1141" s="1678">
        <f t="shared" si="223"/>
        <v>0</v>
      </c>
      <c r="F1141" s="1687"/>
      <c r="G1141" s="1684"/>
      <c r="H1141" s="1684"/>
      <c r="I1141" s="1684"/>
      <c r="J1141" s="1684"/>
      <c r="K1141" s="1685" t="str">
        <f t="shared" si="220"/>
        <v/>
      </c>
      <c r="L1141" s="1685" t="str">
        <f t="shared" si="221"/>
        <v/>
      </c>
      <c r="M1141" s="1686"/>
    </row>
    <row r="1142" spans="1:13">
      <c r="A1142" s="1655">
        <f t="shared" si="222"/>
        <v>0</v>
      </c>
      <c r="B1142" s="1412"/>
      <c r="C1142" s="1621" t="s">
        <v>4973</v>
      </c>
      <c r="D1142" s="1683"/>
      <c r="E1142" s="1678">
        <f t="shared" si="223"/>
        <v>0</v>
      </c>
      <c r="F1142" s="1687"/>
      <c r="G1142" s="1684"/>
      <c r="H1142" s="1684"/>
      <c r="I1142" s="1684"/>
      <c r="J1142" s="1684"/>
      <c r="K1142" s="1685" t="str">
        <f t="shared" si="220"/>
        <v/>
      </c>
      <c r="L1142" s="1685" t="str">
        <f t="shared" si="221"/>
        <v/>
      </c>
      <c r="M1142" s="1686"/>
    </row>
    <row r="1143" spans="1:13">
      <c r="A1143" s="1655">
        <f t="shared" si="222"/>
        <v>0</v>
      </c>
      <c r="B1143" s="1412"/>
      <c r="C1143" s="1621" t="s">
        <v>4974</v>
      </c>
      <c r="D1143" s="1683"/>
      <c r="E1143" s="1678">
        <f t="shared" si="223"/>
        <v>0</v>
      </c>
      <c r="F1143" s="1687"/>
      <c r="G1143" s="1684"/>
      <c r="H1143" s="1684"/>
      <c r="I1143" s="1684"/>
      <c r="J1143" s="1684"/>
      <c r="K1143" s="1685" t="str">
        <f t="shared" si="220"/>
        <v/>
      </c>
      <c r="L1143" s="1685" t="str">
        <f t="shared" si="221"/>
        <v/>
      </c>
      <c r="M1143" s="1686"/>
    </row>
    <row r="1144" spans="1:13">
      <c r="A1144" s="1655">
        <f t="shared" si="222"/>
        <v>0</v>
      </c>
      <c r="B1144" s="1409"/>
      <c r="C1144" s="1621" t="s">
        <v>4975</v>
      </c>
      <c r="D1144" s="1683"/>
      <c r="E1144" s="1678">
        <f t="shared" si="223"/>
        <v>0</v>
      </c>
      <c r="F1144" s="1687"/>
      <c r="G1144" s="1684"/>
      <c r="H1144" s="1684"/>
      <c r="I1144" s="1684"/>
      <c r="J1144" s="1684"/>
      <c r="K1144" s="1685" t="str">
        <f t="shared" si="220"/>
        <v/>
      </c>
      <c r="L1144" s="1685" t="str">
        <f t="shared" si="221"/>
        <v/>
      </c>
      <c r="M1144" s="1686"/>
    </row>
    <row r="1145" spans="1:13">
      <c r="A1145" s="1655">
        <f t="shared" si="222"/>
        <v>0</v>
      </c>
      <c r="B1145" s="1409"/>
      <c r="C1145" s="1621" t="s">
        <v>4976</v>
      </c>
      <c r="D1145" s="1683"/>
      <c r="E1145" s="1678">
        <f t="shared" si="223"/>
        <v>0</v>
      </c>
      <c r="F1145" s="1687"/>
      <c r="G1145" s="1684"/>
      <c r="H1145" s="1684"/>
      <c r="I1145" s="1684"/>
      <c r="J1145" s="1684"/>
      <c r="K1145" s="1685" t="str">
        <f t="shared" si="220"/>
        <v/>
      </c>
      <c r="L1145" s="1685" t="str">
        <f t="shared" si="221"/>
        <v/>
      </c>
      <c r="M1145" s="1686"/>
    </row>
    <row r="1146" spans="1:13">
      <c r="A1146" s="1655">
        <f t="shared" si="222"/>
        <v>0</v>
      </c>
      <c r="B1146" s="1409"/>
      <c r="C1146" s="1621" t="s">
        <v>4977</v>
      </c>
      <c r="D1146" s="1683"/>
      <c r="E1146" s="1678">
        <f t="shared" si="223"/>
        <v>0</v>
      </c>
      <c r="F1146" s="1687"/>
      <c r="G1146" s="1684"/>
      <c r="H1146" s="1684"/>
      <c r="I1146" s="1684"/>
      <c r="J1146" s="1684"/>
      <c r="K1146" s="1685" t="str">
        <f t="shared" si="220"/>
        <v/>
      </c>
      <c r="L1146" s="1685" t="str">
        <f t="shared" si="221"/>
        <v/>
      </c>
      <c r="M1146" s="1686"/>
    </row>
    <row r="1147" spans="1:13">
      <c r="A1147" s="1655">
        <f t="shared" si="222"/>
        <v>0</v>
      </c>
      <c r="B1147" s="1409"/>
      <c r="C1147" s="1621" t="s">
        <v>4978</v>
      </c>
      <c r="D1147" s="1683"/>
      <c r="E1147" s="1678">
        <f t="shared" si="223"/>
        <v>0</v>
      </c>
      <c r="F1147" s="1687"/>
      <c r="G1147" s="1684"/>
      <c r="H1147" s="1684"/>
      <c r="I1147" s="1684"/>
      <c r="J1147" s="1684"/>
      <c r="K1147" s="1685" t="str">
        <f t="shared" si="220"/>
        <v/>
      </c>
      <c r="L1147" s="1685" t="str">
        <f t="shared" si="221"/>
        <v/>
      </c>
      <c r="M1147" s="1686"/>
    </row>
    <row r="1148" spans="1:13">
      <c r="A1148" s="1655">
        <f t="shared" si="222"/>
        <v>0</v>
      </c>
      <c r="B1148" s="1409"/>
      <c r="C1148" s="1621" t="s">
        <v>4979</v>
      </c>
      <c r="D1148" s="1683"/>
      <c r="E1148" s="1678">
        <f t="shared" si="223"/>
        <v>0</v>
      </c>
      <c r="F1148" s="1687"/>
      <c r="G1148" s="1684"/>
      <c r="H1148" s="1684"/>
      <c r="I1148" s="1684"/>
      <c r="J1148" s="1684"/>
      <c r="K1148" s="1685" t="str">
        <f t="shared" si="220"/>
        <v/>
      </c>
      <c r="L1148" s="1685" t="str">
        <f t="shared" si="221"/>
        <v/>
      </c>
      <c r="M1148" s="1686"/>
    </row>
    <row r="1149" spans="1:13">
      <c r="A1149" s="1655">
        <f t="shared" si="222"/>
        <v>0</v>
      </c>
      <c r="B1149" s="1409"/>
      <c r="C1149" s="1621" t="s">
        <v>4980</v>
      </c>
      <c r="D1149" s="1683"/>
      <c r="E1149" s="1678">
        <f t="shared" si="223"/>
        <v>0</v>
      </c>
      <c r="F1149" s="1687"/>
      <c r="G1149" s="1684"/>
      <c r="H1149" s="1684"/>
      <c r="I1149" s="1684"/>
      <c r="J1149" s="1684"/>
      <c r="K1149" s="1685" t="str">
        <f t="shared" si="220"/>
        <v/>
      </c>
      <c r="L1149" s="1685" t="str">
        <f t="shared" si="221"/>
        <v/>
      </c>
      <c r="M1149" s="1686"/>
    </row>
    <row r="1150" spans="1:13">
      <c r="A1150" s="1655">
        <f t="shared" si="222"/>
        <v>0</v>
      </c>
      <c r="B1150" s="1409"/>
      <c r="C1150" s="1621" t="s">
        <v>4981</v>
      </c>
      <c r="D1150" s="1683"/>
      <c r="E1150" s="1678">
        <f t="shared" si="223"/>
        <v>0</v>
      </c>
      <c r="F1150" s="1687"/>
      <c r="G1150" s="1684"/>
      <c r="H1150" s="1684"/>
      <c r="I1150" s="1684"/>
      <c r="J1150" s="1684"/>
      <c r="K1150" s="1685" t="str">
        <f t="shared" si="220"/>
        <v/>
      </c>
      <c r="L1150" s="1685" t="str">
        <f t="shared" si="221"/>
        <v/>
      </c>
      <c r="M1150" s="1686"/>
    </row>
    <row r="1151" spans="1:13">
      <c r="A1151" s="1655">
        <f t="shared" si="222"/>
        <v>0</v>
      </c>
      <c r="B1151" s="1409"/>
      <c r="C1151" s="1621" t="s">
        <v>4982</v>
      </c>
      <c r="D1151" s="1683"/>
      <c r="E1151" s="1678">
        <f t="shared" si="223"/>
        <v>0</v>
      </c>
      <c r="F1151" s="1687"/>
      <c r="G1151" s="1684"/>
      <c r="H1151" s="1684"/>
      <c r="I1151" s="1684"/>
      <c r="J1151" s="1684"/>
      <c r="K1151" s="1685" t="str">
        <f t="shared" si="220"/>
        <v/>
      </c>
      <c r="L1151" s="1685" t="str">
        <f t="shared" si="221"/>
        <v/>
      </c>
      <c r="M1151" s="1686"/>
    </row>
    <row r="1152" spans="1:13">
      <c r="A1152" s="1655">
        <f t="shared" si="222"/>
        <v>0</v>
      </c>
      <c r="B1152" s="1409"/>
      <c r="C1152" s="1621" t="s">
        <v>4983</v>
      </c>
      <c r="D1152" s="1683"/>
      <c r="E1152" s="1678">
        <f t="shared" si="223"/>
        <v>0</v>
      </c>
      <c r="F1152" s="1687"/>
      <c r="G1152" s="1684"/>
      <c r="H1152" s="1684"/>
      <c r="I1152" s="1684"/>
      <c r="J1152" s="1684"/>
      <c r="K1152" s="1685" t="str">
        <f t="shared" si="220"/>
        <v/>
      </c>
      <c r="L1152" s="1685" t="str">
        <f t="shared" si="221"/>
        <v/>
      </c>
      <c r="M1152" s="1686"/>
    </row>
    <row r="1153" spans="1:13">
      <c r="A1153" s="1655">
        <f t="shared" si="222"/>
        <v>0</v>
      </c>
      <c r="B1153" s="1409"/>
      <c r="C1153" s="1621" t="s">
        <v>4984</v>
      </c>
      <c r="D1153" s="1683"/>
      <c r="E1153" s="1678">
        <f t="shared" si="223"/>
        <v>0</v>
      </c>
      <c r="F1153" s="1687"/>
      <c r="G1153" s="1684"/>
      <c r="H1153" s="1684"/>
      <c r="I1153" s="1684"/>
      <c r="J1153" s="1684"/>
      <c r="K1153" s="1685" t="str">
        <f t="shared" si="220"/>
        <v/>
      </c>
      <c r="L1153" s="1685" t="str">
        <f t="shared" si="221"/>
        <v/>
      </c>
      <c r="M1153" s="1686"/>
    </row>
    <row r="1154" spans="1:13">
      <c r="A1154" s="1655">
        <f t="shared" si="222"/>
        <v>0</v>
      </c>
      <c r="B1154" s="1409"/>
      <c r="C1154" s="1621" t="s">
        <v>4985</v>
      </c>
      <c r="D1154" s="1683"/>
      <c r="E1154" s="1678">
        <f t="shared" si="223"/>
        <v>0</v>
      </c>
      <c r="F1154" s="1687"/>
      <c r="G1154" s="1684"/>
      <c r="H1154" s="1684"/>
      <c r="I1154" s="1684"/>
      <c r="J1154" s="1684"/>
      <c r="K1154" s="1685" t="str">
        <f t="shared" si="220"/>
        <v/>
      </c>
      <c r="L1154" s="1685" t="str">
        <f t="shared" si="221"/>
        <v/>
      </c>
      <c r="M1154" s="1686"/>
    </row>
    <row r="1155" spans="1:13">
      <c r="A1155" s="1655">
        <f t="shared" si="222"/>
        <v>0</v>
      </c>
      <c r="B1155" s="1688"/>
      <c r="C1155" s="1689" t="s">
        <v>4986</v>
      </c>
      <c r="D1155" s="1690"/>
      <c r="E1155" s="1691">
        <f t="shared" si="223"/>
        <v>0</v>
      </c>
      <c r="F1155" s="1692"/>
      <c r="G1155" s="1693"/>
      <c r="H1155" s="1693"/>
      <c r="I1155" s="1693"/>
      <c r="J1155" s="1693"/>
      <c r="K1155" s="1694" t="str">
        <f t="shared" si="220"/>
        <v/>
      </c>
      <c r="L1155" s="1694" t="str">
        <f t="shared" si="221"/>
        <v/>
      </c>
      <c r="M1155" s="1695"/>
    </row>
    <row r="1156" spans="1:13">
      <c r="A1156" s="1674">
        <f>A1130+1</f>
        <v>45</v>
      </c>
      <c r="B1156" s="1675" t="s">
        <v>5050</v>
      </c>
      <c r="C1156" s="1676"/>
      <c r="D1156" s="1677"/>
      <c r="E1156" s="1679">
        <f t="shared" ref="E1156:I1156" si="224">SUM(E1157:E1181)</f>
        <v>0</v>
      </c>
      <c r="F1156" s="1679">
        <f t="shared" si="224"/>
        <v>0</v>
      </c>
      <c r="G1156" s="1679">
        <f t="shared" si="224"/>
        <v>0</v>
      </c>
      <c r="H1156" s="1679">
        <f t="shared" si="224"/>
        <v>0</v>
      </c>
      <c r="I1156" s="1679">
        <f t="shared" si="224"/>
        <v>0</v>
      </c>
      <c r="J1156" s="1679">
        <f>SUM(J1157:J1181)</f>
        <v>0</v>
      </c>
      <c r="K1156" s="1680" t="str">
        <f>IFERROR(E1156/$C$6,"")</f>
        <v/>
      </c>
      <c r="L1156" s="1680" t="str">
        <f>IFERROR(E1156/$C$7,"")</f>
        <v/>
      </c>
      <c r="M1156" s="1681">
        <f>SUM(M1157:M1181)</f>
        <v>0</v>
      </c>
    </row>
    <row r="1157" spans="1:13">
      <c r="A1157" s="1655">
        <f>IF(E1157&lt;&gt;0,1,0)</f>
        <v>0</v>
      </c>
      <c r="B1157" s="1412"/>
      <c r="C1157" s="1621" t="s">
        <v>4962</v>
      </c>
      <c r="D1157" s="1683"/>
      <c r="E1157" s="1678">
        <f>SUM(F1157:J1157)</f>
        <v>0</v>
      </c>
      <c r="F1157" s="1684"/>
      <c r="G1157" s="1684"/>
      <c r="H1157" s="1684"/>
      <c r="I1157" s="1684"/>
      <c r="J1157" s="1684"/>
      <c r="K1157" s="1685" t="str">
        <f t="shared" ref="K1157:K1181" si="225">IFERROR(E1157/$C$6,"")</f>
        <v/>
      </c>
      <c r="L1157" s="1685" t="str">
        <f t="shared" ref="L1157:L1181" si="226">IFERROR(E1157/$C$7,"")</f>
        <v/>
      </c>
      <c r="M1157" s="1686"/>
    </row>
    <row r="1158" spans="1:13">
      <c r="A1158" s="1655">
        <f t="shared" ref="A1158:A1181" si="227">IF(E1158&lt;&gt;0,1,0)</f>
        <v>0</v>
      </c>
      <c r="B1158" s="1409"/>
      <c r="C1158" s="1621" t="s">
        <v>4963</v>
      </c>
      <c r="D1158" s="1683"/>
      <c r="E1158" s="1678">
        <f t="shared" ref="E1158:E1181" si="228">SUM(F1158:J1158)</f>
        <v>0</v>
      </c>
      <c r="F1158" s="1687"/>
      <c r="G1158" s="1684"/>
      <c r="H1158" s="1684"/>
      <c r="I1158" s="1684"/>
      <c r="J1158" s="1684"/>
      <c r="K1158" s="1685" t="str">
        <f t="shared" si="225"/>
        <v/>
      </c>
      <c r="L1158" s="1685" t="str">
        <f t="shared" si="226"/>
        <v/>
      </c>
      <c r="M1158" s="1686"/>
    </row>
    <row r="1159" spans="1:13">
      <c r="A1159" s="1655">
        <f t="shared" si="227"/>
        <v>0</v>
      </c>
      <c r="B1159" s="1409"/>
      <c r="C1159" s="1621" t="s">
        <v>4964</v>
      </c>
      <c r="D1159" s="1683"/>
      <c r="E1159" s="1678">
        <f t="shared" si="228"/>
        <v>0</v>
      </c>
      <c r="F1159" s="1687"/>
      <c r="G1159" s="1684"/>
      <c r="H1159" s="1684"/>
      <c r="I1159" s="1684"/>
      <c r="J1159" s="1684"/>
      <c r="K1159" s="1685" t="str">
        <f t="shared" si="225"/>
        <v/>
      </c>
      <c r="L1159" s="1685" t="str">
        <f t="shared" si="226"/>
        <v/>
      </c>
      <c r="M1159" s="1686"/>
    </row>
    <row r="1160" spans="1:13">
      <c r="A1160" s="1655">
        <f t="shared" si="227"/>
        <v>0</v>
      </c>
      <c r="B1160" s="1409"/>
      <c r="C1160" s="1621" t="s">
        <v>4965</v>
      </c>
      <c r="D1160" s="1683"/>
      <c r="E1160" s="1678">
        <f t="shared" si="228"/>
        <v>0</v>
      </c>
      <c r="F1160" s="1687"/>
      <c r="G1160" s="1684"/>
      <c r="H1160" s="1684"/>
      <c r="I1160" s="1684"/>
      <c r="J1160" s="1684"/>
      <c r="K1160" s="1685" t="str">
        <f t="shared" si="225"/>
        <v/>
      </c>
      <c r="L1160" s="1685" t="str">
        <f t="shared" si="226"/>
        <v/>
      </c>
      <c r="M1160" s="1686"/>
    </row>
    <row r="1161" spans="1:13">
      <c r="A1161" s="1655">
        <f t="shared" si="227"/>
        <v>0</v>
      </c>
      <c r="B1161" s="1409"/>
      <c r="C1161" s="1621" t="s">
        <v>4966</v>
      </c>
      <c r="D1161" s="1683"/>
      <c r="E1161" s="1678">
        <f t="shared" si="228"/>
        <v>0</v>
      </c>
      <c r="F1161" s="1687"/>
      <c r="G1161" s="1684"/>
      <c r="H1161" s="1684"/>
      <c r="I1161" s="1684"/>
      <c r="J1161" s="1684"/>
      <c r="K1161" s="1685" t="str">
        <f t="shared" si="225"/>
        <v/>
      </c>
      <c r="L1161" s="1685" t="str">
        <f t="shared" si="226"/>
        <v/>
      </c>
      <c r="M1161" s="1686"/>
    </row>
    <row r="1162" spans="1:13">
      <c r="A1162" s="1655">
        <f t="shared" si="227"/>
        <v>0</v>
      </c>
      <c r="B1162" s="1409"/>
      <c r="C1162" s="1621" t="s">
        <v>4967</v>
      </c>
      <c r="D1162" s="1683"/>
      <c r="E1162" s="1678">
        <f t="shared" si="228"/>
        <v>0</v>
      </c>
      <c r="F1162" s="1687"/>
      <c r="G1162" s="1684"/>
      <c r="H1162" s="1684"/>
      <c r="I1162" s="1684"/>
      <c r="J1162" s="1684"/>
      <c r="K1162" s="1685" t="str">
        <f t="shared" si="225"/>
        <v/>
      </c>
      <c r="L1162" s="1685" t="str">
        <f t="shared" si="226"/>
        <v/>
      </c>
      <c r="M1162" s="1686"/>
    </row>
    <row r="1163" spans="1:13">
      <c r="A1163" s="1655">
        <f t="shared" si="227"/>
        <v>0</v>
      </c>
      <c r="B1163" s="1409"/>
      <c r="C1163" s="1621" t="s">
        <v>4968</v>
      </c>
      <c r="D1163" s="1683"/>
      <c r="E1163" s="1678">
        <f t="shared" si="228"/>
        <v>0</v>
      </c>
      <c r="F1163" s="1687"/>
      <c r="G1163" s="1684"/>
      <c r="H1163" s="1684"/>
      <c r="I1163" s="1684"/>
      <c r="J1163" s="1684"/>
      <c r="K1163" s="1685" t="str">
        <f t="shared" si="225"/>
        <v/>
      </c>
      <c r="L1163" s="1685" t="str">
        <f t="shared" si="226"/>
        <v/>
      </c>
      <c r="M1163" s="1686"/>
    </row>
    <row r="1164" spans="1:13">
      <c r="A1164" s="1655">
        <f t="shared" si="227"/>
        <v>0</v>
      </c>
      <c r="B1164" s="1409"/>
      <c r="C1164" s="1621" t="s">
        <v>4969</v>
      </c>
      <c r="D1164" s="1683"/>
      <c r="E1164" s="1678">
        <f t="shared" si="228"/>
        <v>0</v>
      </c>
      <c r="F1164" s="1687"/>
      <c r="G1164" s="1684"/>
      <c r="H1164" s="1684"/>
      <c r="I1164" s="1684"/>
      <c r="J1164" s="1684"/>
      <c r="K1164" s="1685" t="str">
        <f t="shared" si="225"/>
        <v/>
      </c>
      <c r="L1164" s="1685" t="str">
        <f t="shared" si="226"/>
        <v/>
      </c>
      <c r="M1164" s="1686"/>
    </row>
    <row r="1165" spans="1:13">
      <c r="A1165" s="1655">
        <f t="shared" si="227"/>
        <v>0</v>
      </c>
      <c r="B1165" s="1409"/>
      <c r="C1165" s="1621" t="s">
        <v>4970</v>
      </c>
      <c r="D1165" s="1683"/>
      <c r="E1165" s="1678">
        <f t="shared" si="228"/>
        <v>0</v>
      </c>
      <c r="F1165" s="1687"/>
      <c r="G1165" s="1684"/>
      <c r="H1165" s="1684"/>
      <c r="I1165" s="1684"/>
      <c r="J1165" s="1684"/>
      <c r="K1165" s="1685" t="str">
        <f t="shared" si="225"/>
        <v/>
      </c>
      <c r="L1165" s="1685" t="str">
        <f t="shared" si="226"/>
        <v/>
      </c>
      <c r="M1165" s="1686"/>
    </row>
    <row r="1166" spans="1:13">
      <c r="A1166" s="1655">
        <f t="shared" si="227"/>
        <v>0</v>
      </c>
      <c r="B1166" s="1409"/>
      <c r="C1166" s="1621" t="s">
        <v>4971</v>
      </c>
      <c r="D1166" s="1683"/>
      <c r="E1166" s="1678">
        <f t="shared" si="228"/>
        <v>0</v>
      </c>
      <c r="F1166" s="1687"/>
      <c r="G1166" s="1684"/>
      <c r="H1166" s="1684"/>
      <c r="I1166" s="1684"/>
      <c r="J1166" s="1684"/>
      <c r="K1166" s="1685" t="str">
        <f t="shared" si="225"/>
        <v/>
      </c>
      <c r="L1166" s="1685" t="str">
        <f t="shared" si="226"/>
        <v/>
      </c>
      <c r="M1166" s="1686"/>
    </row>
    <row r="1167" spans="1:13">
      <c r="A1167" s="1655">
        <f t="shared" si="227"/>
        <v>0</v>
      </c>
      <c r="B1167" s="1409"/>
      <c r="C1167" s="1621" t="s">
        <v>4972</v>
      </c>
      <c r="D1167" s="1683"/>
      <c r="E1167" s="1678">
        <f t="shared" si="228"/>
        <v>0</v>
      </c>
      <c r="F1167" s="1687"/>
      <c r="G1167" s="1684"/>
      <c r="H1167" s="1684"/>
      <c r="I1167" s="1684"/>
      <c r="J1167" s="1684"/>
      <c r="K1167" s="1685" t="str">
        <f t="shared" si="225"/>
        <v/>
      </c>
      <c r="L1167" s="1685" t="str">
        <f t="shared" si="226"/>
        <v/>
      </c>
      <c r="M1167" s="1686"/>
    </row>
    <row r="1168" spans="1:13">
      <c r="A1168" s="1655">
        <f t="shared" si="227"/>
        <v>0</v>
      </c>
      <c r="B1168" s="1412"/>
      <c r="C1168" s="1621" t="s">
        <v>4973</v>
      </c>
      <c r="D1168" s="1683"/>
      <c r="E1168" s="1678">
        <f t="shared" si="228"/>
        <v>0</v>
      </c>
      <c r="F1168" s="1687"/>
      <c r="G1168" s="1684"/>
      <c r="H1168" s="1684"/>
      <c r="I1168" s="1684"/>
      <c r="J1168" s="1684"/>
      <c r="K1168" s="1685" t="str">
        <f t="shared" si="225"/>
        <v/>
      </c>
      <c r="L1168" s="1685" t="str">
        <f t="shared" si="226"/>
        <v/>
      </c>
      <c r="M1168" s="1686"/>
    </row>
    <row r="1169" spans="1:13">
      <c r="A1169" s="1655">
        <f t="shared" si="227"/>
        <v>0</v>
      </c>
      <c r="B1169" s="1412"/>
      <c r="C1169" s="1621" t="s">
        <v>4974</v>
      </c>
      <c r="D1169" s="1683"/>
      <c r="E1169" s="1678">
        <f t="shared" si="228"/>
        <v>0</v>
      </c>
      <c r="F1169" s="1687"/>
      <c r="G1169" s="1684"/>
      <c r="H1169" s="1684"/>
      <c r="I1169" s="1684"/>
      <c r="J1169" s="1684"/>
      <c r="K1169" s="1685" t="str">
        <f t="shared" si="225"/>
        <v/>
      </c>
      <c r="L1169" s="1685" t="str">
        <f t="shared" si="226"/>
        <v/>
      </c>
      <c r="M1169" s="1686"/>
    </row>
    <row r="1170" spans="1:13">
      <c r="A1170" s="1655">
        <f t="shared" si="227"/>
        <v>0</v>
      </c>
      <c r="B1170" s="1409"/>
      <c r="C1170" s="1621" t="s">
        <v>4975</v>
      </c>
      <c r="D1170" s="1683"/>
      <c r="E1170" s="1678">
        <f t="shared" si="228"/>
        <v>0</v>
      </c>
      <c r="F1170" s="1687"/>
      <c r="G1170" s="1684"/>
      <c r="H1170" s="1684"/>
      <c r="I1170" s="1684"/>
      <c r="J1170" s="1684"/>
      <c r="K1170" s="1685" t="str">
        <f t="shared" si="225"/>
        <v/>
      </c>
      <c r="L1170" s="1685" t="str">
        <f t="shared" si="226"/>
        <v/>
      </c>
      <c r="M1170" s="1686"/>
    </row>
    <row r="1171" spans="1:13">
      <c r="A1171" s="1655">
        <f t="shared" si="227"/>
        <v>0</v>
      </c>
      <c r="B1171" s="1409"/>
      <c r="C1171" s="1621" t="s">
        <v>4976</v>
      </c>
      <c r="D1171" s="1683"/>
      <c r="E1171" s="1678">
        <f t="shared" si="228"/>
        <v>0</v>
      </c>
      <c r="F1171" s="1687"/>
      <c r="G1171" s="1684"/>
      <c r="H1171" s="1684"/>
      <c r="I1171" s="1684"/>
      <c r="J1171" s="1684"/>
      <c r="K1171" s="1685" t="str">
        <f t="shared" si="225"/>
        <v/>
      </c>
      <c r="L1171" s="1685" t="str">
        <f t="shared" si="226"/>
        <v/>
      </c>
      <c r="M1171" s="1686"/>
    </row>
    <row r="1172" spans="1:13">
      <c r="A1172" s="1655">
        <f t="shared" si="227"/>
        <v>0</v>
      </c>
      <c r="B1172" s="1409"/>
      <c r="C1172" s="1621" t="s">
        <v>4977</v>
      </c>
      <c r="D1172" s="1683"/>
      <c r="E1172" s="1678">
        <f t="shared" si="228"/>
        <v>0</v>
      </c>
      <c r="F1172" s="1687"/>
      <c r="G1172" s="1684"/>
      <c r="H1172" s="1684"/>
      <c r="I1172" s="1684"/>
      <c r="J1172" s="1684"/>
      <c r="K1172" s="1685" t="str">
        <f t="shared" si="225"/>
        <v/>
      </c>
      <c r="L1172" s="1685" t="str">
        <f t="shared" si="226"/>
        <v/>
      </c>
      <c r="M1172" s="1686"/>
    </row>
    <row r="1173" spans="1:13">
      <c r="A1173" s="1655">
        <f t="shared" si="227"/>
        <v>0</v>
      </c>
      <c r="B1173" s="1409"/>
      <c r="C1173" s="1621" t="s">
        <v>4978</v>
      </c>
      <c r="D1173" s="1683"/>
      <c r="E1173" s="1678">
        <f t="shared" si="228"/>
        <v>0</v>
      </c>
      <c r="F1173" s="1687"/>
      <c r="G1173" s="1684"/>
      <c r="H1173" s="1684"/>
      <c r="I1173" s="1684"/>
      <c r="J1173" s="1684"/>
      <c r="K1173" s="1685" t="str">
        <f t="shared" si="225"/>
        <v/>
      </c>
      <c r="L1173" s="1685" t="str">
        <f t="shared" si="226"/>
        <v/>
      </c>
      <c r="M1173" s="1686"/>
    </row>
    <row r="1174" spans="1:13">
      <c r="A1174" s="1655">
        <f t="shared" si="227"/>
        <v>0</v>
      </c>
      <c r="B1174" s="1409"/>
      <c r="C1174" s="1621" t="s">
        <v>4979</v>
      </c>
      <c r="D1174" s="1683"/>
      <c r="E1174" s="1678">
        <f t="shared" si="228"/>
        <v>0</v>
      </c>
      <c r="F1174" s="1687"/>
      <c r="G1174" s="1684"/>
      <c r="H1174" s="1684"/>
      <c r="I1174" s="1684"/>
      <c r="J1174" s="1684"/>
      <c r="K1174" s="1685" t="str">
        <f t="shared" si="225"/>
        <v/>
      </c>
      <c r="L1174" s="1685" t="str">
        <f t="shared" si="226"/>
        <v/>
      </c>
      <c r="M1174" s="1686"/>
    </row>
    <row r="1175" spans="1:13">
      <c r="A1175" s="1655">
        <f t="shared" si="227"/>
        <v>0</v>
      </c>
      <c r="B1175" s="1409"/>
      <c r="C1175" s="1621" t="s">
        <v>4980</v>
      </c>
      <c r="D1175" s="1683"/>
      <c r="E1175" s="1678">
        <f t="shared" si="228"/>
        <v>0</v>
      </c>
      <c r="F1175" s="1687"/>
      <c r="G1175" s="1684"/>
      <c r="H1175" s="1684"/>
      <c r="I1175" s="1684"/>
      <c r="J1175" s="1684"/>
      <c r="K1175" s="1685" t="str">
        <f t="shared" si="225"/>
        <v/>
      </c>
      <c r="L1175" s="1685" t="str">
        <f t="shared" si="226"/>
        <v/>
      </c>
      <c r="M1175" s="1686"/>
    </row>
    <row r="1176" spans="1:13">
      <c r="A1176" s="1655">
        <f t="shared" si="227"/>
        <v>0</v>
      </c>
      <c r="B1176" s="1409"/>
      <c r="C1176" s="1621" t="s">
        <v>4981</v>
      </c>
      <c r="D1176" s="1683"/>
      <c r="E1176" s="1678">
        <f t="shared" si="228"/>
        <v>0</v>
      </c>
      <c r="F1176" s="1687"/>
      <c r="G1176" s="1684"/>
      <c r="H1176" s="1684"/>
      <c r="I1176" s="1684"/>
      <c r="J1176" s="1684"/>
      <c r="K1176" s="1685" t="str">
        <f t="shared" si="225"/>
        <v/>
      </c>
      <c r="L1176" s="1685" t="str">
        <f t="shared" si="226"/>
        <v/>
      </c>
      <c r="M1176" s="1686"/>
    </row>
    <row r="1177" spans="1:13">
      <c r="A1177" s="1655">
        <f t="shared" si="227"/>
        <v>0</v>
      </c>
      <c r="B1177" s="1409"/>
      <c r="C1177" s="1621" t="s">
        <v>4982</v>
      </c>
      <c r="D1177" s="1683"/>
      <c r="E1177" s="1678">
        <f t="shared" si="228"/>
        <v>0</v>
      </c>
      <c r="F1177" s="1687"/>
      <c r="G1177" s="1684"/>
      <c r="H1177" s="1684"/>
      <c r="I1177" s="1684"/>
      <c r="J1177" s="1684"/>
      <c r="K1177" s="1685" t="str">
        <f t="shared" si="225"/>
        <v/>
      </c>
      <c r="L1177" s="1685" t="str">
        <f t="shared" si="226"/>
        <v/>
      </c>
      <c r="M1177" s="1686"/>
    </row>
    <row r="1178" spans="1:13">
      <c r="A1178" s="1655">
        <f t="shared" si="227"/>
        <v>0</v>
      </c>
      <c r="B1178" s="1409"/>
      <c r="C1178" s="1621" t="s">
        <v>4983</v>
      </c>
      <c r="D1178" s="1683"/>
      <c r="E1178" s="1678">
        <f t="shared" si="228"/>
        <v>0</v>
      </c>
      <c r="F1178" s="1687"/>
      <c r="G1178" s="1684"/>
      <c r="H1178" s="1684"/>
      <c r="I1178" s="1684"/>
      <c r="J1178" s="1684"/>
      <c r="K1178" s="1685" t="str">
        <f t="shared" si="225"/>
        <v/>
      </c>
      <c r="L1178" s="1685" t="str">
        <f t="shared" si="226"/>
        <v/>
      </c>
      <c r="M1178" s="1686"/>
    </row>
    <row r="1179" spans="1:13">
      <c r="A1179" s="1655">
        <f t="shared" si="227"/>
        <v>0</v>
      </c>
      <c r="B1179" s="1409"/>
      <c r="C1179" s="1621" t="s">
        <v>4984</v>
      </c>
      <c r="D1179" s="1683"/>
      <c r="E1179" s="1678">
        <f t="shared" si="228"/>
        <v>0</v>
      </c>
      <c r="F1179" s="1687"/>
      <c r="G1179" s="1684"/>
      <c r="H1179" s="1684"/>
      <c r="I1179" s="1684"/>
      <c r="J1179" s="1684"/>
      <c r="K1179" s="1685" t="str">
        <f t="shared" si="225"/>
        <v/>
      </c>
      <c r="L1179" s="1685" t="str">
        <f t="shared" si="226"/>
        <v/>
      </c>
      <c r="M1179" s="1686"/>
    </row>
    <row r="1180" spans="1:13">
      <c r="A1180" s="1655">
        <f t="shared" si="227"/>
        <v>0</v>
      </c>
      <c r="B1180" s="1409"/>
      <c r="C1180" s="1621" t="s">
        <v>4985</v>
      </c>
      <c r="D1180" s="1683"/>
      <c r="E1180" s="1678">
        <f t="shared" si="228"/>
        <v>0</v>
      </c>
      <c r="F1180" s="1687"/>
      <c r="G1180" s="1684"/>
      <c r="H1180" s="1684"/>
      <c r="I1180" s="1684"/>
      <c r="J1180" s="1684"/>
      <c r="K1180" s="1685" t="str">
        <f t="shared" si="225"/>
        <v/>
      </c>
      <c r="L1180" s="1685" t="str">
        <f t="shared" si="226"/>
        <v/>
      </c>
      <c r="M1180" s="1686"/>
    </row>
    <row r="1181" spans="1:13">
      <c r="A1181" s="1655">
        <f t="shared" si="227"/>
        <v>0</v>
      </c>
      <c r="B1181" s="1688"/>
      <c r="C1181" s="1689" t="s">
        <v>4986</v>
      </c>
      <c r="D1181" s="1690"/>
      <c r="E1181" s="1691">
        <f t="shared" si="228"/>
        <v>0</v>
      </c>
      <c r="F1181" s="1692"/>
      <c r="G1181" s="1693"/>
      <c r="H1181" s="1693"/>
      <c r="I1181" s="1693"/>
      <c r="J1181" s="1693"/>
      <c r="K1181" s="1694" t="str">
        <f t="shared" si="225"/>
        <v/>
      </c>
      <c r="L1181" s="1694" t="str">
        <f t="shared" si="226"/>
        <v/>
      </c>
      <c r="M1181" s="1695"/>
    </row>
    <row r="1182" spans="1:13">
      <c r="A1182" s="1674">
        <f>A1156+1</f>
        <v>46</v>
      </c>
      <c r="B1182" s="1675" t="s">
        <v>5050</v>
      </c>
      <c r="C1182" s="1676"/>
      <c r="D1182" s="1677"/>
      <c r="E1182" s="1679">
        <f t="shared" ref="E1182:I1182" si="229">SUM(E1183:E1207)</f>
        <v>0</v>
      </c>
      <c r="F1182" s="1679">
        <f t="shared" si="229"/>
        <v>0</v>
      </c>
      <c r="G1182" s="1679">
        <f t="shared" si="229"/>
        <v>0</v>
      </c>
      <c r="H1182" s="1679">
        <f t="shared" si="229"/>
        <v>0</v>
      </c>
      <c r="I1182" s="1679">
        <f t="shared" si="229"/>
        <v>0</v>
      </c>
      <c r="J1182" s="1679">
        <f>SUM(J1183:J1207)</f>
        <v>0</v>
      </c>
      <c r="K1182" s="1680" t="str">
        <f>IFERROR(E1182/$C$6,"")</f>
        <v/>
      </c>
      <c r="L1182" s="1680" t="str">
        <f>IFERROR(E1182/$C$7,"")</f>
        <v/>
      </c>
      <c r="M1182" s="1681">
        <f>SUM(M1183:M1207)</f>
        <v>0</v>
      </c>
    </row>
    <row r="1183" spans="1:13">
      <c r="A1183" s="1655">
        <f>IF(E1183&lt;&gt;0,1,0)</f>
        <v>0</v>
      </c>
      <c r="B1183" s="1412"/>
      <c r="C1183" s="1621" t="s">
        <v>4962</v>
      </c>
      <c r="D1183" s="1683"/>
      <c r="E1183" s="1678">
        <f>SUM(F1183:J1183)</f>
        <v>0</v>
      </c>
      <c r="F1183" s="1684"/>
      <c r="G1183" s="1684"/>
      <c r="H1183" s="1684"/>
      <c r="I1183" s="1684"/>
      <c r="J1183" s="1684"/>
      <c r="K1183" s="1685" t="str">
        <f t="shared" ref="K1183:K1207" si="230">IFERROR(E1183/$C$6,"")</f>
        <v/>
      </c>
      <c r="L1183" s="1685" t="str">
        <f t="shared" ref="L1183:L1207" si="231">IFERROR(E1183/$C$7,"")</f>
        <v/>
      </c>
      <c r="M1183" s="1686"/>
    </row>
    <row r="1184" spans="1:13">
      <c r="A1184" s="1655">
        <f t="shared" ref="A1184:A1207" si="232">IF(E1184&lt;&gt;0,1,0)</f>
        <v>0</v>
      </c>
      <c r="B1184" s="1409"/>
      <c r="C1184" s="1621" t="s">
        <v>4963</v>
      </c>
      <c r="D1184" s="1683"/>
      <c r="E1184" s="1678">
        <f t="shared" ref="E1184:E1207" si="233">SUM(F1184:J1184)</f>
        <v>0</v>
      </c>
      <c r="F1184" s="1687"/>
      <c r="G1184" s="1684"/>
      <c r="H1184" s="1684"/>
      <c r="I1184" s="1684"/>
      <c r="J1184" s="1684"/>
      <c r="K1184" s="1685" t="str">
        <f t="shared" si="230"/>
        <v/>
      </c>
      <c r="L1184" s="1685" t="str">
        <f t="shared" si="231"/>
        <v/>
      </c>
      <c r="M1184" s="1686"/>
    </row>
    <row r="1185" spans="1:13">
      <c r="A1185" s="1655">
        <f t="shared" si="232"/>
        <v>0</v>
      </c>
      <c r="B1185" s="1409"/>
      <c r="C1185" s="1621" t="s">
        <v>4964</v>
      </c>
      <c r="D1185" s="1683"/>
      <c r="E1185" s="1678">
        <f t="shared" si="233"/>
        <v>0</v>
      </c>
      <c r="F1185" s="1687"/>
      <c r="G1185" s="1684"/>
      <c r="H1185" s="1684"/>
      <c r="I1185" s="1684"/>
      <c r="J1185" s="1684"/>
      <c r="K1185" s="1685" t="str">
        <f t="shared" si="230"/>
        <v/>
      </c>
      <c r="L1185" s="1685" t="str">
        <f t="shared" si="231"/>
        <v/>
      </c>
      <c r="M1185" s="1686"/>
    </row>
    <row r="1186" spans="1:13">
      <c r="A1186" s="1655">
        <f t="shared" si="232"/>
        <v>0</v>
      </c>
      <c r="B1186" s="1409"/>
      <c r="C1186" s="1621" t="s">
        <v>4965</v>
      </c>
      <c r="D1186" s="1683"/>
      <c r="E1186" s="1678">
        <f t="shared" si="233"/>
        <v>0</v>
      </c>
      <c r="F1186" s="1687"/>
      <c r="G1186" s="1684"/>
      <c r="H1186" s="1684"/>
      <c r="I1186" s="1684"/>
      <c r="J1186" s="1684"/>
      <c r="K1186" s="1685" t="str">
        <f t="shared" si="230"/>
        <v/>
      </c>
      <c r="L1186" s="1685" t="str">
        <f t="shared" si="231"/>
        <v/>
      </c>
      <c r="M1186" s="1686"/>
    </row>
    <row r="1187" spans="1:13">
      <c r="A1187" s="1655">
        <f t="shared" si="232"/>
        <v>0</v>
      </c>
      <c r="B1187" s="1409"/>
      <c r="C1187" s="1621" t="s">
        <v>4966</v>
      </c>
      <c r="D1187" s="1683"/>
      <c r="E1187" s="1678">
        <f t="shared" si="233"/>
        <v>0</v>
      </c>
      <c r="F1187" s="1687"/>
      <c r="G1187" s="1684"/>
      <c r="H1187" s="1684"/>
      <c r="I1187" s="1684"/>
      <c r="J1187" s="1684"/>
      <c r="K1187" s="1685" t="str">
        <f t="shared" si="230"/>
        <v/>
      </c>
      <c r="L1187" s="1685" t="str">
        <f t="shared" si="231"/>
        <v/>
      </c>
      <c r="M1187" s="1686"/>
    </row>
    <row r="1188" spans="1:13">
      <c r="A1188" s="1655">
        <f t="shared" si="232"/>
        <v>0</v>
      </c>
      <c r="B1188" s="1409"/>
      <c r="C1188" s="1621" t="s">
        <v>4967</v>
      </c>
      <c r="D1188" s="1683"/>
      <c r="E1188" s="1678">
        <f t="shared" si="233"/>
        <v>0</v>
      </c>
      <c r="F1188" s="1687"/>
      <c r="G1188" s="1684"/>
      <c r="H1188" s="1684"/>
      <c r="I1188" s="1684"/>
      <c r="J1188" s="1684"/>
      <c r="K1188" s="1685" t="str">
        <f t="shared" si="230"/>
        <v/>
      </c>
      <c r="L1188" s="1685" t="str">
        <f t="shared" si="231"/>
        <v/>
      </c>
      <c r="M1188" s="1686"/>
    </row>
    <row r="1189" spans="1:13">
      <c r="A1189" s="1655">
        <f t="shared" si="232"/>
        <v>0</v>
      </c>
      <c r="B1189" s="1409"/>
      <c r="C1189" s="1621" t="s">
        <v>4968</v>
      </c>
      <c r="D1189" s="1683"/>
      <c r="E1189" s="1678">
        <f t="shared" si="233"/>
        <v>0</v>
      </c>
      <c r="F1189" s="1687"/>
      <c r="G1189" s="1684"/>
      <c r="H1189" s="1684"/>
      <c r="I1189" s="1684"/>
      <c r="J1189" s="1684"/>
      <c r="K1189" s="1685" t="str">
        <f t="shared" si="230"/>
        <v/>
      </c>
      <c r="L1189" s="1685" t="str">
        <f t="shared" si="231"/>
        <v/>
      </c>
      <c r="M1189" s="1686"/>
    </row>
    <row r="1190" spans="1:13">
      <c r="A1190" s="1655">
        <f t="shared" si="232"/>
        <v>0</v>
      </c>
      <c r="B1190" s="1409"/>
      <c r="C1190" s="1621" t="s">
        <v>4969</v>
      </c>
      <c r="D1190" s="1683"/>
      <c r="E1190" s="1678">
        <f t="shared" si="233"/>
        <v>0</v>
      </c>
      <c r="F1190" s="1687"/>
      <c r="G1190" s="1684"/>
      <c r="H1190" s="1684"/>
      <c r="I1190" s="1684"/>
      <c r="J1190" s="1684"/>
      <c r="K1190" s="1685" t="str">
        <f t="shared" si="230"/>
        <v/>
      </c>
      <c r="L1190" s="1685" t="str">
        <f t="shared" si="231"/>
        <v/>
      </c>
      <c r="M1190" s="1686"/>
    </row>
    <row r="1191" spans="1:13">
      <c r="A1191" s="1655">
        <f t="shared" si="232"/>
        <v>0</v>
      </c>
      <c r="B1191" s="1409"/>
      <c r="C1191" s="1621" t="s">
        <v>4970</v>
      </c>
      <c r="D1191" s="1683"/>
      <c r="E1191" s="1678">
        <f t="shared" si="233"/>
        <v>0</v>
      </c>
      <c r="F1191" s="1687"/>
      <c r="G1191" s="1684"/>
      <c r="H1191" s="1684"/>
      <c r="I1191" s="1684"/>
      <c r="J1191" s="1684"/>
      <c r="K1191" s="1685" t="str">
        <f t="shared" si="230"/>
        <v/>
      </c>
      <c r="L1191" s="1685" t="str">
        <f t="shared" si="231"/>
        <v/>
      </c>
      <c r="M1191" s="1686"/>
    </row>
    <row r="1192" spans="1:13">
      <c r="A1192" s="1655">
        <f t="shared" si="232"/>
        <v>0</v>
      </c>
      <c r="B1192" s="1409"/>
      <c r="C1192" s="1621" t="s">
        <v>4971</v>
      </c>
      <c r="D1192" s="1683"/>
      <c r="E1192" s="1678">
        <f t="shared" si="233"/>
        <v>0</v>
      </c>
      <c r="F1192" s="1687"/>
      <c r="G1192" s="1684"/>
      <c r="H1192" s="1684"/>
      <c r="I1192" s="1684"/>
      <c r="J1192" s="1684"/>
      <c r="K1192" s="1685" t="str">
        <f t="shared" si="230"/>
        <v/>
      </c>
      <c r="L1192" s="1685" t="str">
        <f t="shared" si="231"/>
        <v/>
      </c>
      <c r="M1192" s="1686"/>
    </row>
    <row r="1193" spans="1:13">
      <c r="A1193" s="1655">
        <f t="shared" si="232"/>
        <v>0</v>
      </c>
      <c r="B1193" s="1409"/>
      <c r="C1193" s="1621" t="s">
        <v>4972</v>
      </c>
      <c r="D1193" s="1683"/>
      <c r="E1193" s="1678">
        <f t="shared" si="233"/>
        <v>0</v>
      </c>
      <c r="F1193" s="1687"/>
      <c r="G1193" s="1684"/>
      <c r="H1193" s="1684"/>
      <c r="I1193" s="1684"/>
      <c r="J1193" s="1684"/>
      <c r="K1193" s="1685" t="str">
        <f t="shared" si="230"/>
        <v/>
      </c>
      <c r="L1193" s="1685" t="str">
        <f t="shared" si="231"/>
        <v/>
      </c>
      <c r="M1193" s="1686"/>
    </row>
    <row r="1194" spans="1:13">
      <c r="A1194" s="1655">
        <f t="shared" si="232"/>
        <v>0</v>
      </c>
      <c r="B1194" s="1412"/>
      <c r="C1194" s="1621" t="s">
        <v>4973</v>
      </c>
      <c r="D1194" s="1683"/>
      <c r="E1194" s="1678">
        <f t="shared" si="233"/>
        <v>0</v>
      </c>
      <c r="F1194" s="1687"/>
      <c r="G1194" s="1684"/>
      <c r="H1194" s="1684"/>
      <c r="I1194" s="1684"/>
      <c r="J1194" s="1684"/>
      <c r="K1194" s="1685" t="str">
        <f t="shared" si="230"/>
        <v/>
      </c>
      <c r="L1194" s="1685" t="str">
        <f t="shared" si="231"/>
        <v/>
      </c>
      <c r="M1194" s="1686"/>
    </row>
    <row r="1195" spans="1:13">
      <c r="A1195" s="1655">
        <f t="shared" si="232"/>
        <v>0</v>
      </c>
      <c r="B1195" s="1412"/>
      <c r="C1195" s="1621" t="s">
        <v>4974</v>
      </c>
      <c r="D1195" s="1683"/>
      <c r="E1195" s="1678">
        <f t="shared" si="233"/>
        <v>0</v>
      </c>
      <c r="F1195" s="1687"/>
      <c r="G1195" s="1684"/>
      <c r="H1195" s="1684"/>
      <c r="I1195" s="1684"/>
      <c r="J1195" s="1684"/>
      <c r="K1195" s="1685" t="str">
        <f t="shared" si="230"/>
        <v/>
      </c>
      <c r="L1195" s="1685" t="str">
        <f t="shared" si="231"/>
        <v/>
      </c>
      <c r="M1195" s="1686"/>
    </row>
    <row r="1196" spans="1:13">
      <c r="A1196" s="1655">
        <f t="shared" si="232"/>
        <v>0</v>
      </c>
      <c r="B1196" s="1409"/>
      <c r="C1196" s="1621" t="s">
        <v>4975</v>
      </c>
      <c r="D1196" s="1683"/>
      <c r="E1196" s="1678">
        <f t="shared" si="233"/>
        <v>0</v>
      </c>
      <c r="F1196" s="1687"/>
      <c r="G1196" s="1684"/>
      <c r="H1196" s="1684"/>
      <c r="I1196" s="1684"/>
      <c r="J1196" s="1684"/>
      <c r="K1196" s="1685" t="str">
        <f t="shared" si="230"/>
        <v/>
      </c>
      <c r="L1196" s="1685" t="str">
        <f t="shared" si="231"/>
        <v/>
      </c>
      <c r="M1196" s="1686"/>
    </row>
    <row r="1197" spans="1:13">
      <c r="A1197" s="1655">
        <f t="shared" si="232"/>
        <v>0</v>
      </c>
      <c r="B1197" s="1409"/>
      <c r="C1197" s="1621" t="s">
        <v>4976</v>
      </c>
      <c r="D1197" s="1683"/>
      <c r="E1197" s="1678">
        <f t="shared" si="233"/>
        <v>0</v>
      </c>
      <c r="F1197" s="1687"/>
      <c r="G1197" s="1684"/>
      <c r="H1197" s="1684"/>
      <c r="I1197" s="1684"/>
      <c r="J1197" s="1684"/>
      <c r="K1197" s="1685" t="str">
        <f t="shared" si="230"/>
        <v/>
      </c>
      <c r="L1197" s="1685" t="str">
        <f t="shared" si="231"/>
        <v/>
      </c>
      <c r="M1197" s="1686"/>
    </row>
    <row r="1198" spans="1:13">
      <c r="A1198" s="1655">
        <f t="shared" si="232"/>
        <v>0</v>
      </c>
      <c r="B1198" s="1409"/>
      <c r="C1198" s="1621" t="s">
        <v>4977</v>
      </c>
      <c r="D1198" s="1683"/>
      <c r="E1198" s="1678">
        <f t="shared" si="233"/>
        <v>0</v>
      </c>
      <c r="F1198" s="1687"/>
      <c r="G1198" s="1684"/>
      <c r="H1198" s="1684"/>
      <c r="I1198" s="1684"/>
      <c r="J1198" s="1684"/>
      <c r="K1198" s="1685" t="str">
        <f t="shared" si="230"/>
        <v/>
      </c>
      <c r="L1198" s="1685" t="str">
        <f t="shared" si="231"/>
        <v/>
      </c>
      <c r="M1198" s="1686"/>
    </row>
    <row r="1199" spans="1:13">
      <c r="A1199" s="1655">
        <f t="shared" si="232"/>
        <v>0</v>
      </c>
      <c r="B1199" s="1409"/>
      <c r="C1199" s="1621" t="s">
        <v>4978</v>
      </c>
      <c r="D1199" s="1683"/>
      <c r="E1199" s="1678">
        <f t="shared" si="233"/>
        <v>0</v>
      </c>
      <c r="F1199" s="1687"/>
      <c r="G1199" s="1684"/>
      <c r="H1199" s="1684"/>
      <c r="I1199" s="1684"/>
      <c r="J1199" s="1684"/>
      <c r="K1199" s="1685" t="str">
        <f t="shared" si="230"/>
        <v/>
      </c>
      <c r="L1199" s="1685" t="str">
        <f t="shared" si="231"/>
        <v/>
      </c>
      <c r="M1199" s="1686"/>
    </row>
    <row r="1200" spans="1:13">
      <c r="A1200" s="1655">
        <f t="shared" si="232"/>
        <v>0</v>
      </c>
      <c r="B1200" s="1409"/>
      <c r="C1200" s="1621" t="s">
        <v>4979</v>
      </c>
      <c r="D1200" s="1683"/>
      <c r="E1200" s="1678">
        <f t="shared" si="233"/>
        <v>0</v>
      </c>
      <c r="F1200" s="1687"/>
      <c r="G1200" s="1684"/>
      <c r="H1200" s="1684"/>
      <c r="I1200" s="1684"/>
      <c r="J1200" s="1684"/>
      <c r="K1200" s="1685" t="str">
        <f t="shared" si="230"/>
        <v/>
      </c>
      <c r="L1200" s="1685" t="str">
        <f t="shared" si="231"/>
        <v/>
      </c>
      <c r="M1200" s="1686"/>
    </row>
    <row r="1201" spans="1:13">
      <c r="A1201" s="1655">
        <f t="shared" si="232"/>
        <v>0</v>
      </c>
      <c r="B1201" s="1409"/>
      <c r="C1201" s="1621" t="s">
        <v>4980</v>
      </c>
      <c r="D1201" s="1683"/>
      <c r="E1201" s="1678">
        <f t="shared" si="233"/>
        <v>0</v>
      </c>
      <c r="F1201" s="1687"/>
      <c r="G1201" s="1684"/>
      <c r="H1201" s="1684"/>
      <c r="I1201" s="1684"/>
      <c r="J1201" s="1684"/>
      <c r="K1201" s="1685" t="str">
        <f t="shared" si="230"/>
        <v/>
      </c>
      <c r="L1201" s="1685" t="str">
        <f t="shared" si="231"/>
        <v/>
      </c>
      <c r="M1201" s="1686"/>
    </row>
    <row r="1202" spans="1:13">
      <c r="A1202" s="1655">
        <f t="shared" si="232"/>
        <v>0</v>
      </c>
      <c r="B1202" s="1409"/>
      <c r="C1202" s="1621" t="s">
        <v>4981</v>
      </c>
      <c r="D1202" s="1683"/>
      <c r="E1202" s="1678">
        <f t="shared" si="233"/>
        <v>0</v>
      </c>
      <c r="F1202" s="1687"/>
      <c r="G1202" s="1684"/>
      <c r="H1202" s="1684"/>
      <c r="I1202" s="1684"/>
      <c r="J1202" s="1684"/>
      <c r="K1202" s="1685" t="str">
        <f t="shared" si="230"/>
        <v/>
      </c>
      <c r="L1202" s="1685" t="str">
        <f t="shared" si="231"/>
        <v/>
      </c>
      <c r="M1202" s="1686"/>
    </row>
    <row r="1203" spans="1:13">
      <c r="A1203" s="1655">
        <f t="shared" si="232"/>
        <v>0</v>
      </c>
      <c r="B1203" s="1409"/>
      <c r="C1203" s="1621" t="s">
        <v>4982</v>
      </c>
      <c r="D1203" s="1683"/>
      <c r="E1203" s="1678">
        <f t="shared" si="233"/>
        <v>0</v>
      </c>
      <c r="F1203" s="1687"/>
      <c r="G1203" s="1684"/>
      <c r="H1203" s="1684"/>
      <c r="I1203" s="1684"/>
      <c r="J1203" s="1684"/>
      <c r="K1203" s="1685" t="str">
        <f t="shared" si="230"/>
        <v/>
      </c>
      <c r="L1203" s="1685" t="str">
        <f t="shared" si="231"/>
        <v/>
      </c>
      <c r="M1203" s="1686"/>
    </row>
    <row r="1204" spans="1:13">
      <c r="A1204" s="1655">
        <f t="shared" si="232"/>
        <v>0</v>
      </c>
      <c r="B1204" s="1409"/>
      <c r="C1204" s="1621" t="s">
        <v>4983</v>
      </c>
      <c r="D1204" s="1683"/>
      <c r="E1204" s="1678">
        <f t="shared" si="233"/>
        <v>0</v>
      </c>
      <c r="F1204" s="1687"/>
      <c r="G1204" s="1684"/>
      <c r="H1204" s="1684"/>
      <c r="I1204" s="1684"/>
      <c r="J1204" s="1684"/>
      <c r="K1204" s="1685" t="str">
        <f t="shared" si="230"/>
        <v/>
      </c>
      <c r="L1204" s="1685" t="str">
        <f t="shared" si="231"/>
        <v/>
      </c>
      <c r="M1204" s="1686"/>
    </row>
    <row r="1205" spans="1:13">
      <c r="A1205" s="1655">
        <f t="shared" si="232"/>
        <v>0</v>
      </c>
      <c r="B1205" s="1409"/>
      <c r="C1205" s="1621" t="s">
        <v>4984</v>
      </c>
      <c r="D1205" s="1683"/>
      <c r="E1205" s="1678">
        <f t="shared" si="233"/>
        <v>0</v>
      </c>
      <c r="F1205" s="1687"/>
      <c r="G1205" s="1684"/>
      <c r="H1205" s="1684"/>
      <c r="I1205" s="1684"/>
      <c r="J1205" s="1684"/>
      <c r="K1205" s="1685" t="str">
        <f t="shared" si="230"/>
        <v/>
      </c>
      <c r="L1205" s="1685" t="str">
        <f t="shared" si="231"/>
        <v/>
      </c>
      <c r="M1205" s="1686"/>
    </row>
    <row r="1206" spans="1:13">
      <c r="A1206" s="1655">
        <f t="shared" si="232"/>
        <v>0</v>
      </c>
      <c r="B1206" s="1409"/>
      <c r="C1206" s="1621" t="s">
        <v>4985</v>
      </c>
      <c r="D1206" s="1683"/>
      <c r="E1206" s="1678">
        <f t="shared" si="233"/>
        <v>0</v>
      </c>
      <c r="F1206" s="1687"/>
      <c r="G1206" s="1684"/>
      <c r="H1206" s="1684"/>
      <c r="I1206" s="1684"/>
      <c r="J1206" s="1684"/>
      <c r="K1206" s="1685" t="str">
        <f t="shared" si="230"/>
        <v/>
      </c>
      <c r="L1206" s="1685" t="str">
        <f t="shared" si="231"/>
        <v/>
      </c>
      <c r="M1206" s="1686"/>
    </row>
    <row r="1207" spans="1:13">
      <c r="A1207" s="1655">
        <f t="shared" si="232"/>
        <v>0</v>
      </c>
      <c r="B1207" s="1688"/>
      <c r="C1207" s="1689" t="s">
        <v>4986</v>
      </c>
      <c r="D1207" s="1690"/>
      <c r="E1207" s="1691">
        <f t="shared" si="233"/>
        <v>0</v>
      </c>
      <c r="F1207" s="1692"/>
      <c r="G1207" s="1693"/>
      <c r="H1207" s="1693"/>
      <c r="I1207" s="1693"/>
      <c r="J1207" s="1693"/>
      <c r="K1207" s="1694" t="str">
        <f t="shared" si="230"/>
        <v/>
      </c>
      <c r="L1207" s="1694" t="str">
        <f t="shared" si="231"/>
        <v/>
      </c>
      <c r="M1207" s="1695"/>
    </row>
    <row r="1208" spans="1:13">
      <c r="A1208" s="1674">
        <f>A1182+1</f>
        <v>47</v>
      </c>
      <c r="B1208" s="1675" t="s">
        <v>5050</v>
      </c>
      <c r="C1208" s="1676"/>
      <c r="D1208" s="1677"/>
      <c r="E1208" s="1679">
        <f t="shared" ref="E1208:I1208" si="234">SUM(E1209:E1233)</f>
        <v>0</v>
      </c>
      <c r="F1208" s="1679">
        <f t="shared" si="234"/>
        <v>0</v>
      </c>
      <c r="G1208" s="1679">
        <f t="shared" si="234"/>
        <v>0</v>
      </c>
      <c r="H1208" s="1679">
        <f t="shared" si="234"/>
        <v>0</v>
      </c>
      <c r="I1208" s="1679">
        <f t="shared" si="234"/>
        <v>0</v>
      </c>
      <c r="J1208" s="1679">
        <f>SUM(J1209:J1233)</f>
        <v>0</v>
      </c>
      <c r="K1208" s="1680" t="str">
        <f>IFERROR(E1208/$C$6,"")</f>
        <v/>
      </c>
      <c r="L1208" s="1680" t="str">
        <f>IFERROR(E1208/$C$7,"")</f>
        <v/>
      </c>
      <c r="M1208" s="1681">
        <f>SUM(M1209:M1233)</f>
        <v>0</v>
      </c>
    </row>
    <row r="1209" spans="1:13">
      <c r="A1209" s="1655">
        <f>IF(E1209&lt;&gt;0,1,0)</f>
        <v>0</v>
      </c>
      <c r="B1209" s="1412"/>
      <c r="C1209" s="1621" t="s">
        <v>4962</v>
      </c>
      <c r="D1209" s="1683"/>
      <c r="E1209" s="1678">
        <f>SUM(F1209:J1209)</f>
        <v>0</v>
      </c>
      <c r="F1209" s="1684"/>
      <c r="G1209" s="1684"/>
      <c r="H1209" s="1684"/>
      <c r="I1209" s="1684"/>
      <c r="J1209" s="1684"/>
      <c r="K1209" s="1685" t="str">
        <f t="shared" ref="K1209:K1233" si="235">IFERROR(E1209/$C$6,"")</f>
        <v/>
      </c>
      <c r="L1209" s="1685" t="str">
        <f t="shared" ref="L1209:L1233" si="236">IFERROR(E1209/$C$7,"")</f>
        <v/>
      </c>
      <c r="M1209" s="1686"/>
    </row>
    <row r="1210" spans="1:13">
      <c r="A1210" s="1655">
        <f t="shared" ref="A1210:A1233" si="237">IF(E1210&lt;&gt;0,1,0)</f>
        <v>0</v>
      </c>
      <c r="B1210" s="1409"/>
      <c r="C1210" s="1621" t="s">
        <v>4963</v>
      </c>
      <c r="D1210" s="1683"/>
      <c r="E1210" s="1678">
        <f t="shared" ref="E1210:E1233" si="238">SUM(F1210:J1210)</f>
        <v>0</v>
      </c>
      <c r="F1210" s="1687"/>
      <c r="G1210" s="1684"/>
      <c r="H1210" s="1684"/>
      <c r="I1210" s="1684"/>
      <c r="J1210" s="1684"/>
      <c r="K1210" s="1685" t="str">
        <f t="shared" si="235"/>
        <v/>
      </c>
      <c r="L1210" s="1685" t="str">
        <f t="shared" si="236"/>
        <v/>
      </c>
      <c r="M1210" s="1686"/>
    </row>
    <row r="1211" spans="1:13">
      <c r="A1211" s="1655">
        <f t="shared" si="237"/>
        <v>0</v>
      </c>
      <c r="B1211" s="1409"/>
      <c r="C1211" s="1621" t="s">
        <v>4964</v>
      </c>
      <c r="D1211" s="1683"/>
      <c r="E1211" s="1678">
        <f t="shared" si="238"/>
        <v>0</v>
      </c>
      <c r="F1211" s="1687"/>
      <c r="G1211" s="1684"/>
      <c r="H1211" s="1684"/>
      <c r="I1211" s="1684"/>
      <c r="J1211" s="1684"/>
      <c r="K1211" s="1685" t="str">
        <f t="shared" si="235"/>
        <v/>
      </c>
      <c r="L1211" s="1685" t="str">
        <f t="shared" si="236"/>
        <v/>
      </c>
      <c r="M1211" s="1686"/>
    </row>
    <row r="1212" spans="1:13">
      <c r="A1212" s="1655">
        <f t="shared" si="237"/>
        <v>0</v>
      </c>
      <c r="B1212" s="1409"/>
      <c r="C1212" s="1621" t="s">
        <v>4965</v>
      </c>
      <c r="D1212" s="1683"/>
      <c r="E1212" s="1678">
        <f t="shared" si="238"/>
        <v>0</v>
      </c>
      <c r="F1212" s="1687"/>
      <c r="G1212" s="1684"/>
      <c r="H1212" s="1684"/>
      <c r="I1212" s="1684"/>
      <c r="J1212" s="1684"/>
      <c r="K1212" s="1685" t="str">
        <f t="shared" si="235"/>
        <v/>
      </c>
      <c r="L1212" s="1685" t="str">
        <f t="shared" si="236"/>
        <v/>
      </c>
      <c r="M1212" s="1686"/>
    </row>
    <row r="1213" spans="1:13">
      <c r="A1213" s="1655">
        <f t="shared" si="237"/>
        <v>0</v>
      </c>
      <c r="B1213" s="1409"/>
      <c r="C1213" s="1621" t="s">
        <v>4966</v>
      </c>
      <c r="D1213" s="1683"/>
      <c r="E1213" s="1678">
        <f t="shared" si="238"/>
        <v>0</v>
      </c>
      <c r="F1213" s="1687"/>
      <c r="G1213" s="1684"/>
      <c r="H1213" s="1684"/>
      <c r="I1213" s="1684"/>
      <c r="J1213" s="1684"/>
      <c r="K1213" s="1685" t="str">
        <f t="shared" si="235"/>
        <v/>
      </c>
      <c r="L1213" s="1685" t="str">
        <f t="shared" si="236"/>
        <v/>
      </c>
      <c r="M1213" s="1686"/>
    </row>
    <row r="1214" spans="1:13">
      <c r="A1214" s="1655">
        <f t="shared" si="237"/>
        <v>0</v>
      </c>
      <c r="B1214" s="1409"/>
      <c r="C1214" s="1621" t="s">
        <v>4967</v>
      </c>
      <c r="D1214" s="1683"/>
      <c r="E1214" s="1678">
        <f t="shared" si="238"/>
        <v>0</v>
      </c>
      <c r="F1214" s="1687"/>
      <c r="G1214" s="1684"/>
      <c r="H1214" s="1684"/>
      <c r="I1214" s="1684"/>
      <c r="J1214" s="1684"/>
      <c r="K1214" s="1685" t="str">
        <f t="shared" si="235"/>
        <v/>
      </c>
      <c r="L1214" s="1685" t="str">
        <f t="shared" si="236"/>
        <v/>
      </c>
      <c r="M1214" s="1686"/>
    </row>
    <row r="1215" spans="1:13">
      <c r="A1215" s="1655">
        <f t="shared" si="237"/>
        <v>0</v>
      </c>
      <c r="B1215" s="1409"/>
      <c r="C1215" s="1621" t="s">
        <v>4968</v>
      </c>
      <c r="D1215" s="1683"/>
      <c r="E1215" s="1678">
        <f t="shared" si="238"/>
        <v>0</v>
      </c>
      <c r="F1215" s="1687"/>
      <c r="G1215" s="1684"/>
      <c r="H1215" s="1684"/>
      <c r="I1215" s="1684"/>
      <c r="J1215" s="1684"/>
      <c r="K1215" s="1685" t="str">
        <f t="shared" si="235"/>
        <v/>
      </c>
      <c r="L1215" s="1685" t="str">
        <f t="shared" si="236"/>
        <v/>
      </c>
      <c r="M1215" s="1686"/>
    </row>
    <row r="1216" spans="1:13">
      <c r="A1216" s="1655">
        <f t="shared" si="237"/>
        <v>0</v>
      </c>
      <c r="B1216" s="1409"/>
      <c r="C1216" s="1621" t="s">
        <v>4969</v>
      </c>
      <c r="D1216" s="1683"/>
      <c r="E1216" s="1678">
        <f t="shared" si="238"/>
        <v>0</v>
      </c>
      <c r="F1216" s="1687"/>
      <c r="G1216" s="1684"/>
      <c r="H1216" s="1684"/>
      <c r="I1216" s="1684"/>
      <c r="J1216" s="1684"/>
      <c r="K1216" s="1685" t="str">
        <f t="shared" si="235"/>
        <v/>
      </c>
      <c r="L1216" s="1685" t="str">
        <f t="shared" si="236"/>
        <v/>
      </c>
      <c r="M1216" s="1686"/>
    </row>
    <row r="1217" spans="1:13">
      <c r="A1217" s="1655">
        <f t="shared" si="237"/>
        <v>0</v>
      </c>
      <c r="B1217" s="1409"/>
      <c r="C1217" s="1621" t="s">
        <v>4970</v>
      </c>
      <c r="D1217" s="1683"/>
      <c r="E1217" s="1678">
        <f t="shared" si="238"/>
        <v>0</v>
      </c>
      <c r="F1217" s="1687"/>
      <c r="G1217" s="1684"/>
      <c r="H1217" s="1684"/>
      <c r="I1217" s="1684"/>
      <c r="J1217" s="1684"/>
      <c r="K1217" s="1685" t="str">
        <f t="shared" si="235"/>
        <v/>
      </c>
      <c r="L1217" s="1685" t="str">
        <f t="shared" si="236"/>
        <v/>
      </c>
      <c r="M1217" s="1686"/>
    </row>
    <row r="1218" spans="1:13">
      <c r="A1218" s="1655">
        <f t="shared" si="237"/>
        <v>0</v>
      </c>
      <c r="B1218" s="1409"/>
      <c r="C1218" s="1621" t="s">
        <v>4971</v>
      </c>
      <c r="D1218" s="1683"/>
      <c r="E1218" s="1678">
        <f t="shared" si="238"/>
        <v>0</v>
      </c>
      <c r="F1218" s="1687"/>
      <c r="G1218" s="1684"/>
      <c r="H1218" s="1684"/>
      <c r="I1218" s="1684"/>
      <c r="J1218" s="1684"/>
      <c r="K1218" s="1685" t="str">
        <f t="shared" si="235"/>
        <v/>
      </c>
      <c r="L1218" s="1685" t="str">
        <f t="shared" si="236"/>
        <v/>
      </c>
      <c r="M1218" s="1686"/>
    </row>
    <row r="1219" spans="1:13">
      <c r="A1219" s="1655">
        <f t="shared" si="237"/>
        <v>0</v>
      </c>
      <c r="B1219" s="1409"/>
      <c r="C1219" s="1621" t="s">
        <v>4972</v>
      </c>
      <c r="D1219" s="1683"/>
      <c r="E1219" s="1678">
        <f t="shared" si="238"/>
        <v>0</v>
      </c>
      <c r="F1219" s="1687"/>
      <c r="G1219" s="1684"/>
      <c r="H1219" s="1684"/>
      <c r="I1219" s="1684"/>
      <c r="J1219" s="1684"/>
      <c r="K1219" s="1685" t="str">
        <f t="shared" si="235"/>
        <v/>
      </c>
      <c r="L1219" s="1685" t="str">
        <f t="shared" si="236"/>
        <v/>
      </c>
      <c r="M1219" s="1686"/>
    </row>
    <row r="1220" spans="1:13">
      <c r="A1220" s="1655">
        <f t="shared" si="237"/>
        <v>0</v>
      </c>
      <c r="B1220" s="1412"/>
      <c r="C1220" s="1621" t="s">
        <v>4973</v>
      </c>
      <c r="D1220" s="1683"/>
      <c r="E1220" s="1678">
        <f t="shared" si="238"/>
        <v>0</v>
      </c>
      <c r="F1220" s="1687"/>
      <c r="G1220" s="1684"/>
      <c r="H1220" s="1684"/>
      <c r="I1220" s="1684"/>
      <c r="J1220" s="1684"/>
      <c r="K1220" s="1685" t="str">
        <f t="shared" si="235"/>
        <v/>
      </c>
      <c r="L1220" s="1685" t="str">
        <f t="shared" si="236"/>
        <v/>
      </c>
      <c r="M1220" s="1686"/>
    </row>
    <row r="1221" spans="1:13">
      <c r="A1221" s="1655">
        <f t="shared" si="237"/>
        <v>0</v>
      </c>
      <c r="B1221" s="1412"/>
      <c r="C1221" s="1621" t="s">
        <v>4974</v>
      </c>
      <c r="D1221" s="1683"/>
      <c r="E1221" s="1678">
        <f t="shared" si="238"/>
        <v>0</v>
      </c>
      <c r="F1221" s="1687"/>
      <c r="G1221" s="1684"/>
      <c r="H1221" s="1684"/>
      <c r="I1221" s="1684"/>
      <c r="J1221" s="1684"/>
      <c r="K1221" s="1685" t="str">
        <f t="shared" si="235"/>
        <v/>
      </c>
      <c r="L1221" s="1685" t="str">
        <f t="shared" si="236"/>
        <v/>
      </c>
      <c r="M1221" s="1686"/>
    </row>
    <row r="1222" spans="1:13">
      <c r="A1222" s="1655">
        <f t="shared" si="237"/>
        <v>0</v>
      </c>
      <c r="B1222" s="1409"/>
      <c r="C1222" s="1621" t="s">
        <v>4975</v>
      </c>
      <c r="D1222" s="1683"/>
      <c r="E1222" s="1678">
        <f t="shared" si="238"/>
        <v>0</v>
      </c>
      <c r="F1222" s="1687"/>
      <c r="G1222" s="1684"/>
      <c r="H1222" s="1684"/>
      <c r="I1222" s="1684"/>
      <c r="J1222" s="1684"/>
      <c r="K1222" s="1685" t="str">
        <f t="shared" si="235"/>
        <v/>
      </c>
      <c r="L1222" s="1685" t="str">
        <f t="shared" si="236"/>
        <v/>
      </c>
      <c r="M1222" s="1686"/>
    </row>
    <row r="1223" spans="1:13">
      <c r="A1223" s="1655">
        <f t="shared" si="237"/>
        <v>0</v>
      </c>
      <c r="B1223" s="1409"/>
      <c r="C1223" s="1621" t="s">
        <v>4976</v>
      </c>
      <c r="D1223" s="1683"/>
      <c r="E1223" s="1678">
        <f t="shared" si="238"/>
        <v>0</v>
      </c>
      <c r="F1223" s="1687"/>
      <c r="G1223" s="1684"/>
      <c r="H1223" s="1684"/>
      <c r="I1223" s="1684"/>
      <c r="J1223" s="1684"/>
      <c r="K1223" s="1685" t="str">
        <f t="shared" si="235"/>
        <v/>
      </c>
      <c r="L1223" s="1685" t="str">
        <f t="shared" si="236"/>
        <v/>
      </c>
      <c r="M1223" s="1686"/>
    </row>
    <row r="1224" spans="1:13">
      <c r="A1224" s="1655">
        <f t="shared" si="237"/>
        <v>0</v>
      </c>
      <c r="B1224" s="1409"/>
      <c r="C1224" s="1621" t="s">
        <v>4977</v>
      </c>
      <c r="D1224" s="1683"/>
      <c r="E1224" s="1678">
        <f t="shared" si="238"/>
        <v>0</v>
      </c>
      <c r="F1224" s="1687"/>
      <c r="G1224" s="1684"/>
      <c r="H1224" s="1684"/>
      <c r="I1224" s="1684"/>
      <c r="J1224" s="1684"/>
      <c r="K1224" s="1685" t="str">
        <f t="shared" si="235"/>
        <v/>
      </c>
      <c r="L1224" s="1685" t="str">
        <f t="shared" si="236"/>
        <v/>
      </c>
      <c r="M1224" s="1686"/>
    </row>
    <row r="1225" spans="1:13">
      <c r="A1225" s="1655">
        <f t="shared" si="237"/>
        <v>0</v>
      </c>
      <c r="B1225" s="1409"/>
      <c r="C1225" s="1621" t="s">
        <v>4978</v>
      </c>
      <c r="D1225" s="1683"/>
      <c r="E1225" s="1678">
        <f t="shared" si="238"/>
        <v>0</v>
      </c>
      <c r="F1225" s="1687"/>
      <c r="G1225" s="1684"/>
      <c r="H1225" s="1684"/>
      <c r="I1225" s="1684"/>
      <c r="J1225" s="1684"/>
      <c r="K1225" s="1685" t="str">
        <f t="shared" si="235"/>
        <v/>
      </c>
      <c r="L1225" s="1685" t="str">
        <f t="shared" si="236"/>
        <v/>
      </c>
      <c r="M1225" s="1686"/>
    </row>
    <row r="1226" spans="1:13">
      <c r="A1226" s="1655">
        <f t="shared" si="237"/>
        <v>0</v>
      </c>
      <c r="B1226" s="1409"/>
      <c r="C1226" s="1621" t="s">
        <v>4979</v>
      </c>
      <c r="D1226" s="1683"/>
      <c r="E1226" s="1678">
        <f t="shared" si="238"/>
        <v>0</v>
      </c>
      <c r="F1226" s="1687"/>
      <c r="G1226" s="1684"/>
      <c r="H1226" s="1684"/>
      <c r="I1226" s="1684"/>
      <c r="J1226" s="1684"/>
      <c r="K1226" s="1685" t="str">
        <f t="shared" si="235"/>
        <v/>
      </c>
      <c r="L1226" s="1685" t="str">
        <f t="shared" si="236"/>
        <v/>
      </c>
      <c r="M1226" s="1686"/>
    </row>
    <row r="1227" spans="1:13">
      <c r="A1227" s="1655">
        <f t="shared" si="237"/>
        <v>0</v>
      </c>
      <c r="B1227" s="1409"/>
      <c r="C1227" s="1621" t="s">
        <v>4980</v>
      </c>
      <c r="D1227" s="1683"/>
      <c r="E1227" s="1678">
        <f t="shared" si="238"/>
        <v>0</v>
      </c>
      <c r="F1227" s="1687"/>
      <c r="G1227" s="1684"/>
      <c r="H1227" s="1684"/>
      <c r="I1227" s="1684"/>
      <c r="J1227" s="1684"/>
      <c r="K1227" s="1685" t="str">
        <f t="shared" si="235"/>
        <v/>
      </c>
      <c r="L1227" s="1685" t="str">
        <f t="shared" si="236"/>
        <v/>
      </c>
      <c r="M1227" s="1686"/>
    </row>
    <row r="1228" spans="1:13">
      <c r="A1228" s="1655">
        <f t="shared" si="237"/>
        <v>0</v>
      </c>
      <c r="B1228" s="1409"/>
      <c r="C1228" s="1621" t="s">
        <v>4981</v>
      </c>
      <c r="D1228" s="1683"/>
      <c r="E1228" s="1678">
        <f t="shared" si="238"/>
        <v>0</v>
      </c>
      <c r="F1228" s="1687"/>
      <c r="G1228" s="1684"/>
      <c r="H1228" s="1684"/>
      <c r="I1228" s="1684"/>
      <c r="J1228" s="1684"/>
      <c r="K1228" s="1685" t="str">
        <f t="shared" si="235"/>
        <v/>
      </c>
      <c r="L1228" s="1685" t="str">
        <f t="shared" si="236"/>
        <v/>
      </c>
      <c r="M1228" s="1686"/>
    </row>
    <row r="1229" spans="1:13">
      <c r="A1229" s="1655">
        <f t="shared" si="237"/>
        <v>0</v>
      </c>
      <c r="B1229" s="1409"/>
      <c r="C1229" s="1621" t="s">
        <v>4982</v>
      </c>
      <c r="D1229" s="1683"/>
      <c r="E1229" s="1678">
        <f t="shared" si="238"/>
        <v>0</v>
      </c>
      <c r="F1229" s="1687"/>
      <c r="G1229" s="1684"/>
      <c r="H1229" s="1684"/>
      <c r="I1229" s="1684"/>
      <c r="J1229" s="1684"/>
      <c r="K1229" s="1685" t="str">
        <f t="shared" si="235"/>
        <v/>
      </c>
      <c r="L1229" s="1685" t="str">
        <f t="shared" si="236"/>
        <v/>
      </c>
      <c r="M1229" s="1686"/>
    </row>
    <row r="1230" spans="1:13">
      <c r="A1230" s="1655">
        <f t="shared" si="237"/>
        <v>0</v>
      </c>
      <c r="B1230" s="1409"/>
      <c r="C1230" s="1621" t="s">
        <v>4983</v>
      </c>
      <c r="D1230" s="1683"/>
      <c r="E1230" s="1678">
        <f t="shared" si="238"/>
        <v>0</v>
      </c>
      <c r="F1230" s="1687"/>
      <c r="G1230" s="1684"/>
      <c r="H1230" s="1684"/>
      <c r="I1230" s="1684"/>
      <c r="J1230" s="1684"/>
      <c r="K1230" s="1685" t="str">
        <f t="shared" si="235"/>
        <v/>
      </c>
      <c r="L1230" s="1685" t="str">
        <f t="shared" si="236"/>
        <v/>
      </c>
      <c r="M1230" s="1686"/>
    </row>
    <row r="1231" spans="1:13">
      <c r="A1231" s="1655">
        <f t="shared" si="237"/>
        <v>0</v>
      </c>
      <c r="B1231" s="1409"/>
      <c r="C1231" s="1621" t="s">
        <v>4984</v>
      </c>
      <c r="D1231" s="1683"/>
      <c r="E1231" s="1678">
        <f t="shared" si="238"/>
        <v>0</v>
      </c>
      <c r="F1231" s="1687"/>
      <c r="G1231" s="1684"/>
      <c r="H1231" s="1684"/>
      <c r="I1231" s="1684"/>
      <c r="J1231" s="1684"/>
      <c r="K1231" s="1685" t="str">
        <f t="shared" si="235"/>
        <v/>
      </c>
      <c r="L1231" s="1685" t="str">
        <f t="shared" si="236"/>
        <v/>
      </c>
      <c r="M1231" s="1686"/>
    </row>
    <row r="1232" spans="1:13">
      <c r="A1232" s="1655">
        <f t="shared" si="237"/>
        <v>0</v>
      </c>
      <c r="B1232" s="1409"/>
      <c r="C1232" s="1621" t="s">
        <v>4985</v>
      </c>
      <c r="D1232" s="1683"/>
      <c r="E1232" s="1678">
        <f t="shared" si="238"/>
        <v>0</v>
      </c>
      <c r="F1232" s="1687"/>
      <c r="G1232" s="1684"/>
      <c r="H1232" s="1684"/>
      <c r="I1232" s="1684"/>
      <c r="J1232" s="1684"/>
      <c r="K1232" s="1685" t="str">
        <f t="shared" si="235"/>
        <v/>
      </c>
      <c r="L1232" s="1685" t="str">
        <f t="shared" si="236"/>
        <v/>
      </c>
      <c r="M1232" s="1686"/>
    </row>
    <row r="1233" spans="1:13">
      <c r="A1233" s="1655">
        <f t="shared" si="237"/>
        <v>0</v>
      </c>
      <c r="B1233" s="1688"/>
      <c r="C1233" s="1689" t="s">
        <v>4986</v>
      </c>
      <c r="D1233" s="1690"/>
      <c r="E1233" s="1691">
        <f t="shared" si="238"/>
        <v>0</v>
      </c>
      <c r="F1233" s="1692"/>
      <c r="G1233" s="1693"/>
      <c r="H1233" s="1693"/>
      <c r="I1233" s="1693"/>
      <c r="J1233" s="1693"/>
      <c r="K1233" s="1694" t="str">
        <f t="shared" si="235"/>
        <v/>
      </c>
      <c r="L1233" s="1694" t="str">
        <f t="shared" si="236"/>
        <v/>
      </c>
      <c r="M1233" s="1695"/>
    </row>
    <row r="1234" spans="1:13">
      <c r="A1234" s="1674">
        <f>A1208+1</f>
        <v>48</v>
      </c>
      <c r="B1234" s="1675" t="s">
        <v>5050</v>
      </c>
      <c r="C1234" s="1676"/>
      <c r="D1234" s="1677"/>
      <c r="E1234" s="1679">
        <f t="shared" ref="E1234:I1234" si="239">SUM(E1235:E1259)</f>
        <v>0</v>
      </c>
      <c r="F1234" s="1679">
        <f t="shared" si="239"/>
        <v>0</v>
      </c>
      <c r="G1234" s="1679">
        <f t="shared" si="239"/>
        <v>0</v>
      </c>
      <c r="H1234" s="1679">
        <f t="shared" si="239"/>
        <v>0</v>
      </c>
      <c r="I1234" s="1679">
        <f t="shared" si="239"/>
        <v>0</v>
      </c>
      <c r="J1234" s="1679">
        <f>SUM(J1235:J1259)</f>
        <v>0</v>
      </c>
      <c r="K1234" s="1680" t="str">
        <f>IFERROR(E1234/$C$6,"")</f>
        <v/>
      </c>
      <c r="L1234" s="1680" t="str">
        <f>IFERROR(E1234/$C$7,"")</f>
        <v/>
      </c>
      <c r="M1234" s="1681">
        <f>SUM(M1235:M1259)</f>
        <v>0</v>
      </c>
    </row>
    <row r="1235" spans="1:13">
      <c r="A1235" s="1655">
        <f>IF(E1235&lt;&gt;0,1,0)</f>
        <v>0</v>
      </c>
      <c r="B1235" s="1412"/>
      <c r="C1235" s="1621" t="s">
        <v>4962</v>
      </c>
      <c r="D1235" s="1683"/>
      <c r="E1235" s="1678">
        <f>SUM(F1235:J1235)</f>
        <v>0</v>
      </c>
      <c r="F1235" s="1684"/>
      <c r="G1235" s="1684"/>
      <c r="H1235" s="1684"/>
      <c r="I1235" s="1684"/>
      <c r="J1235" s="1684"/>
      <c r="K1235" s="1685" t="str">
        <f t="shared" ref="K1235:K1259" si="240">IFERROR(E1235/$C$6,"")</f>
        <v/>
      </c>
      <c r="L1235" s="1685" t="str">
        <f t="shared" ref="L1235:L1259" si="241">IFERROR(E1235/$C$7,"")</f>
        <v/>
      </c>
      <c r="M1235" s="1686"/>
    </row>
    <row r="1236" spans="1:13">
      <c r="A1236" s="1655">
        <f t="shared" ref="A1236:A1259" si="242">IF(E1236&lt;&gt;0,1,0)</f>
        <v>0</v>
      </c>
      <c r="B1236" s="1409"/>
      <c r="C1236" s="1621" t="s">
        <v>4963</v>
      </c>
      <c r="D1236" s="1683"/>
      <c r="E1236" s="1678">
        <f t="shared" ref="E1236:E1259" si="243">SUM(F1236:J1236)</f>
        <v>0</v>
      </c>
      <c r="F1236" s="1687"/>
      <c r="G1236" s="1684"/>
      <c r="H1236" s="1684"/>
      <c r="I1236" s="1684"/>
      <c r="J1236" s="1684"/>
      <c r="K1236" s="1685" t="str">
        <f t="shared" si="240"/>
        <v/>
      </c>
      <c r="L1236" s="1685" t="str">
        <f t="shared" si="241"/>
        <v/>
      </c>
      <c r="M1236" s="1686"/>
    </row>
    <row r="1237" spans="1:13">
      <c r="A1237" s="1655">
        <f t="shared" si="242"/>
        <v>0</v>
      </c>
      <c r="B1237" s="1409"/>
      <c r="C1237" s="1621" t="s">
        <v>4964</v>
      </c>
      <c r="D1237" s="1683"/>
      <c r="E1237" s="1678">
        <f t="shared" si="243"/>
        <v>0</v>
      </c>
      <c r="F1237" s="1687"/>
      <c r="G1237" s="1684"/>
      <c r="H1237" s="1684"/>
      <c r="I1237" s="1684"/>
      <c r="J1237" s="1684"/>
      <c r="K1237" s="1685" t="str">
        <f t="shared" si="240"/>
        <v/>
      </c>
      <c r="L1237" s="1685" t="str">
        <f t="shared" si="241"/>
        <v/>
      </c>
      <c r="M1237" s="1686"/>
    </row>
    <row r="1238" spans="1:13">
      <c r="A1238" s="1655">
        <f t="shared" si="242"/>
        <v>0</v>
      </c>
      <c r="B1238" s="1409"/>
      <c r="C1238" s="1621" t="s">
        <v>4965</v>
      </c>
      <c r="D1238" s="1683"/>
      <c r="E1238" s="1678">
        <f t="shared" si="243"/>
        <v>0</v>
      </c>
      <c r="F1238" s="1687"/>
      <c r="G1238" s="1684"/>
      <c r="H1238" s="1684"/>
      <c r="I1238" s="1684"/>
      <c r="J1238" s="1684"/>
      <c r="K1238" s="1685" t="str">
        <f t="shared" si="240"/>
        <v/>
      </c>
      <c r="L1238" s="1685" t="str">
        <f t="shared" si="241"/>
        <v/>
      </c>
      <c r="M1238" s="1686"/>
    </row>
    <row r="1239" spans="1:13">
      <c r="A1239" s="1655">
        <f t="shared" si="242"/>
        <v>0</v>
      </c>
      <c r="B1239" s="1409"/>
      <c r="C1239" s="1621" t="s">
        <v>4966</v>
      </c>
      <c r="D1239" s="1683"/>
      <c r="E1239" s="1678">
        <f t="shared" si="243"/>
        <v>0</v>
      </c>
      <c r="F1239" s="1687"/>
      <c r="G1239" s="1684"/>
      <c r="H1239" s="1684"/>
      <c r="I1239" s="1684"/>
      <c r="J1239" s="1684"/>
      <c r="K1239" s="1685" t="str">
        <f t="shared" si="240"/>
        <v/>
      </c>
      <c r="L1239" s="1685" t="str">
        <f t="shared" si="241"/>
        <v/>
      </c>
      <c r="M1239" s="1686"/>
    </row>
    <row r="1240" spans="1:13">
      <c r="A1240" s="1655">
        <f t="shared" si="242"/>
        <v>0</v>
      </c>
      <c r="B1240" s="1409"/>
      <c r="C1240" s="1621" t="s">
        <v>4967</v>
      </c>
      <c r="D1240" s="1683"/>
      <c r="E1240" s="1678">
        <f t="shared" si="243"/>
        <v>0</v>
      </c>
      <c r="F1240" s="1687"/>
      <c r="G1240" s="1684"/>
      <c r="H1240" s="1684"/>
      <c r="I1240" s="1684"/>
      <c r="J1240" s="1684"/>
      <c r="K1240" s="1685" t="str">
        <f t="shared" si="240"/>
        <v/>
      </c>
      <c r="L1240" s="1685" t="str">
        <f t="shared" si="241"/>
        <v/>
      </c>
      <c r="M1240" s="1686"/>
    </row>
    <row r="1241" spans="1:13">
      <c r="A1241" s="1655">
        <f t="shared" si="242"/>
        <v>0</v>
      </c>
      <c r="B1241" s="1409"/>
      <c r="C1241" s="1621" t="s">
        <v>4968</v>
      </c>
      <c r="D1241" s="1683"/>
      <c r="E1241" s="1678">
        <f t="shared" si="243"/>
        <v>0</v>
      </c>
      <c r="F1241" s="1687"/>
      <c r="G1241" s="1684"/>
      <c r="H1241" s="1684"/>
      <c r="I1241" s="1684"/>
      <c r="J1241" s="1684"/>
      <c r="K1241" s="1685" t="str">
        <f t="shared" si="240"/>
        <v/>
      </c>
      <c r="L1241" s="1685" t="str">
        <f t="shared" si="241"/>
        <v/>
      </c>
      <c r="M1241" s="1686"/>
    </row>
    <row r="1242" spans="1:13">
      <c r="A1242" s="1655">
        <f t="shared" si="242"/>
        <v>0</v>
      </c>
      <c r="B1242" s="1409"/>
      <c r="C1242" s="1621" t="s">
        <v>4969</v>
      </c>
      <c r="D1242" s="1683"/>
      <c r="E1242" s="1678">
        <f t="shared" si="243"/>
        <v>0</v>
      </c>
      <c r="F1242" s="1687"/>
      <c r="G1242" s="1684"/>
      <c r="H1242" s="1684"/>
      <c r="I1242" s="1684"/>
      <c r="J1242" s="1684"/>
      <c r="K1242" s="1685" t="str">
        <f t="shared" si="240"/>
        <v/>
      </c>
      <c r="L1242" s="1685" t="str">
        <f t="shared" si="241"/>
        <v/>
      </c>
      <c r="M1242" s="1686"/>
    </row>
    <row r="1243" spans="1:13">
      <c r="A1243" s="1655">
        <f t="shared" si="242"/>
        <v>0</v>
      </c>
      <c r="B1243" s="1409"/>
      <c r="C1243" s="1621" t="s">
        <v>4970</v>
      </c>
      <c r="D1243" s="1683"/>
      <c r="E1243" s="1678">
        <f t="shared" si="243"/>
        <v>0</v>
      </c>
      <c r="F1243" s="1687"/>
      <c r="G1243" s="1684"/>
      <c r="H1243" s="1684"/>
      <c r="I1243" s="1684"/>
      <c r="J1243" s="1684"/>
      <c r="K1243" s="1685" t="str">
        <f t="shared" si="240"/>
        <v/>
      </c>
      <c r="L1243" s="1685" t="str">
        <f t="shared" si="241"/>
        <v/>
      </c>
      <c r="M1243" s="1686"/>
    </row>
    <row r="1244" spans="1:13">
      <c r="A1244" s="1655">
        <f t="shared" si="242"/>
        <v>0</v>
      </c>
      <c r="B1244" s="1409"/>
      <c r="C1244" s="1621" t="s">
        <v>4971</v>
      </c>
      <c r="D1244" s="1683"/>
      <c r="E1244" s="1678">
        <f t="shared" si="243"/>
        <v>0</v>
      </c>
      <c r="F1244" s="1687"/>
      <c r="G1244" s="1684"/>
      <c r="H1244" s="1684"/>
      <c r="I1244" s="1684"/>
      <c r="J1244" s="1684"/>
      <c r="K1244" s="1685" t="str">
        <f t="shared" si="240"/>
        <v/>
      </c>
      <c r="L1244" s="1685" t="str">
        <f t="shared" si="241"/>
        <v/>
      </c>
      <c r="M1244" s="1686"/>
    </row>
    <row r="1245" spans="1:13">
      <c r="A1245" s="1655">
        <f t="shared" si="242"/>
        <v>0</v>
      </c>
      <c r="B1245" s="1409"/>
      <c r="C1245" s="1621" t="s">
        <v>4972</v>
      </c>
      <c r="D1245" s="1683"/>
      <c r="E1245" s="1678">
        <f t="shared" si="243"/>
        <v>0</v>
      </c>
      <c r="F1245" s="1687"/>
      <c r="G1245" s="1684"/>
      <c r="H1245" s="1684"/>
      <c r="I1245" s="1684"/>
      <c r="J1245" s="1684"/>
      <c r="K1245" s="1685" t="str">
        <f t="shared" si="240"/>
        <v/>
      </c>
      <c r="L1245" s="1685" t="str">
        <f t="shared" si="241"/>
        <v/>
      </c>
      <c r="M1245" s="1686"/>
    </row>
    <row r="1246" spans="1:13">
      <c r="A1246" s="1655">
        <f t="shared" si="242"/>
        <v>0</v>
      </c>
      <c r="B1246" s="1412"/>
      <c r="C1246" s="1621" t="s">
        <v>4973</v>
      </c>
      <c r="D1246" s="1683"/>
      <c r="E1246" s="1678">
        <f t="shared" si="243"/>
        <v>0</v>
      </c>
      <c r="F1246" s="1687"/>
      <c r="G1246" s="1684"/>
      <c r="H1246" s="1684"/>
      <c r="I1246" s="1684"/>
      <c r="J1246" s="1684"/>
      <c r="K1246" s="1685" t="str">
        <f t="shared" si="240"/>
        <v/>
      </c>
      <c r="L1246" s="1685" t="str">
        <f t="shared" si="241"/>
        <v/>
      </c>
      <c r="M1246" s="1686"/>
    </row>
    <row r="1247" spans="1:13">
      <c r="A1247" s="1655">
        <f t="shared" si="242"/>
        <v>0</v>
      </c>
      <c r="B1247" s="1412"/>
      <c r="C1247" s="1621" t="s">
        <v>4974</v>
      </c>
      <c r="D1247" s="1683"/>
      <c r="E1247" s="1678">
        <f t="shared" si="243"/>
        <v>0</v>
      </c>
      <c r="F1247" s="1687"/>
      <c r="G1247" s="1684"/>
      <c r="H1247" s="1684"/>
      <c r="I1247" s="1684"/>
      <c r="J1247" s="1684"/>
      <c r="K1247" s="1685" t="str">
        <f t="shared" si="240"/>
        <v/>
      </c>
      <c r="L1247" s="1685" t="str">
        <f t="shared" si="241"/>
        <v/>
      </c>
      <c r="M1247" s="1686"/>
    </row>
    <row r="1248" spans="1:13">
      <c r="A1248" s="1655">
        <f t="shared" si="242"/>
        <v>0</v>
      </c>
      <c r="B1248" s="1409"/>
      <c r="C1248" s="1621" t="s">
        <v>4975</v>
      </c>
      <c r="D1248" s="1683"/>
      <c r="E1248" s="1678">
        <f t="shared" si="243"/>
        <v>0</v>
      </c>
      <c r="F1248" s="1687"/>
      <c r="G1248" s="1684"/>
      <c r="H1248" s="1684"/>
      <c r="I1248" s="1684"/>
      <c r="J1248" s="1684"/>
      <c r="K1248" s="1685" t="str">
        <f t="shared" si="240"/>
        <v/>
      </c>
      <c r="L1248" s="1685" t="str">
        <f t="shared" si="241"/>
        <v/>
      </c>
      <c r="M1248" s="1686"/>
    </row>
    <row r="1249" spans="1:13">
      <c r="A1249" s="1655">
        <f t="shared" si="242"/>
        <v>0</v>
      </c>
      <c r="B1249" s="1409"/>
      <c r="C1249" s="1621" t="s">
        <v>4976</v>
      </c>
      <c r="D1249" s="1683"/>
      <c r="E1249" s="1678">
        <f t="shared" si="243"/>
        <v>0</v>
      </c>
      <c r="F1249" s="1687"/>
      <c r="G1249" s="1684"/>
      <c r="H1249" s="1684"/>
      <c r="I1249" s="1684"/>
      <c r="J1249" s="1684"/>
      <c r="K1249" s="1685" t="str">
        <f t="shared" si="240"/>
        <v/>
      </c>
      <c r="L1249" s="1685" t="str">
        <f t="shared" si="241"/>
        <v/>
      </c>
      <c r="M1249" s="1686"/>
    </row>
    <row r="1250" spans="1:13">
      <c r="A1250" s="1655">
        <f t="shared" si="242"/>
        <v>0</v>
      </c>
      <c r="B1250" s="1409"/>
      <c r="C1250" s="1621" t="s">
        <v>4977</v>
      </c>
      <c r="D1250" s="1683"/>
      <c r="E1250" s="1678">
        <f t="shared" si="243"/>
        <v>0</v>
      </c>
      <c r="F1250" s="1687"/>
      <c r="G1250" s="1684"/>
      <c r="H1250" s="1684"/>
      <c r="I1250" s="1684"/>
      <c r="J1250" s="1684"/>
      <c r="K1250" s="1685" t="str">
        <f t="shared" si="240"/>
        <v/>
      </c>
      <c r="L1250" s="1685" t="str">
        <f t="shared" si="241"/>
        <v/>
      </c>
      <c r="M1250" s="1686"/>
    </row>
    <row r="1251" spans="1:13">
      <c r="A1251" s="1655">
        <f t="shared" si="242"/>
        <v>0</v>
      </c>
      <c r="B1251" s="1409"/>
      <c r="C1251" s="1621" t="s">
        <v>4978</v>
      </c>
      <c r="D1251" s="1683"/>
      <c r="E1251" s="1678">
        <f t="shared" si="243"/>
        <v>0</v>
      </c>
      <c r="F1251" s="1687"/>
      <c r="G1251" s="1684"/>
      <c r="H1251" s="1684"/>
      <c r="I1251" s="1684"/>
      <c r="J1251" s="1684"/>
      <c r="K1251" s="1685" t="str">
        <f t="shared" si="240"/>
        <v/>
      </c>
      <c r="L1251" s="1685" t="str">
        <f t="shared" si="241"/>
        <v/>
      </c>
      <c r="M1251" s="1686"/>
    </row>
    <row r="1252" spans="1:13">
      <c r="A1252" s="1655">
        <f t="shared" si="242"/>
        <v>0</v>
      </c>
      <c r="B1252" s="1409"/>
      <c r="C1252" s="1621" t="s">
        <v>4979</v>
      </c>
      <c r="D1252" s="1683"/>
      <c r="E1252" s="1678">
        <f t="shared" si="243"/>
        <v>0</v>
      </c>
      <c r="F1252" s="1687"/>
      <c r="G1252" s="1684"/>
      <c r="H1252" s="1684"/>
      <c r="I1252" s="1684"/>
      <c r="J1252" s="1684"/>
      <c r="K1252" s="1685" t="str">
        <f t="shared" si="240"/>
        <v/>
      </c>
      <c r="L1252" s="1685" t="str">
        <f t="shared" si="241"/>
        <v/>
      </c>
      <c r="M1252" s="1686"/>
    </row>
    <row r="1253" spans="1:13">
      <c r="A1253" s="1655">
        <f t="shared" si="242"/>
        <v>0</v>
      </c>
      <c r="B1253" s="1409"/>
      <c r="C1253" s="1621" t="s">
        <v>4980</v>
      </c>
      <c r="D1253" s="1683"/>
      <c r="E1253" s="1678">
        <f t="shared" si="243"/>
        <v>0</v>
      </c>
      <c r="F1253" s="1687"/>
      <c r="G1253" s="1684"/>
      <c r="H1253" s="1684"/>
      <c r="I1253" s="1684"/>
      <c r="J1253" s="1684"/>
      <c r="K1253" s="1685" t="str">
        <f t="shared" si="240"/>
        <v/>
      </c>
      <c r="L1253" s="1685" t="str">
        <f t="shared" si="241"/>
        <v/>
      </c>
      <c r="M1253" s="1686"/>
    </row>
    <row r="1254" spans="1:13">
      <c r="A1254" s="1655">
        <f t="shared" si="242"/>
        <v>0</v>
      </c>
      <c r="B1254" s="1409"/>
      <c r="C1254" s="1621" t="s">
        <v>4981</v>
      </c>
      <c r="D1254" s="1683"/>
      <c r="E1254" s="1678">
        <f t="shared" si="243"/>
        <v>0</v>
      </c>
      <c r="F1254" s="1687"/>
      <c r="G1254" s="1684"/>
      <c r="H1254" s="1684"/>
      <c r="I1254" s="1684"/>
      <c r="J1254" s="1684"/>
      <c r="K1254" s="1685" t="str">
        <f t="shared" si="240"/>
        <v/>
      </c>
      <c r="L1254" s="1685" t="str">
        <f t="shared" si="241"/>
        <v/>
      </c>
      <c r="M1254" s="1686"/>
    </row>
    <row r="1255" spans="1:13">
      <c r="A1255" s="1655">
        <f t="shared" si="242"/>
        <v>0</v>
      </c>
      <c r="B1255" s="1409"/>
      <c r="C1255" s="1621" t="s">
        <v>4982</v>
      </c>
      <c r="D1255" s="1683"/>
      <c r="E1255" s="1678">
        <f t="shared" si="243"/>
        <v>0</v>
      </c>
      <c r="F1255" s="1687"/>
      <c r="G1255" s="1684"/>
      <c r="H1255" s="1684"/>
      <c r="I1255" s="1684"/>
      <c r="J1255" s="1684"/>
      <c r="K1255" s="1685" t="str">
        <f t="shared" si="240"/>
        <v/>
      </c>
      <c r="L1255" s="1685" t="str">
        <f t="shared" si="241"/>
        <v/>
      </c>
      <c r="M1255" s="1686"/>
    </row>
    <row r="1256" spans="1:13">
      <c r="A1256" s="1655">
        <f t="shared" si="242"/>
        <v>0</v>
      </c>
      <c r="B1256" s="1409"/>
      <c r="C1256" s="1621" t="s">
        <v>4983</v>
      </c>
      <c r="D1256" s="1683"/>
      <c r="E1256" s="1678">
        <f t="shared" si="243"/>
        <v>0</v>
      </c>
      <c r="F1256" s="1687"/>
      <c r="G1256" s="1684"/>
      <c r="H1256" s="1684"/>
      <c r="I1256" s="1684"/>
      <c r="J1256" s="1684"/>
      <c r="K1256" s="1685" t="str">
        <f t="shared" si="240"/>
        <v/>
      </c>
      <c r="L1256" s="1685" t="str">
        <f t="shared" si="241"/>
        <v/>
      </c>
      <c r="M1256" s="1686"/>
    </row>
    <row r="1257" spans="1:13">
      <c r="A1257" s="1655">
        <f t="shared" si="242"/>
        <v>0</v>
      </c>
      <c r="B1257" s="1409"/>
      <c r="C1257" s="1621" t="s">
        <v>4984</v>
      </c>
      <c r="D1257" s="1683"/>
      <c r="E1257" s="1678">
        <f t="shared" si="243"/>
        <v>0</v>
      </c>
      <c r="F1257" s="1687"/>
      <c r="G1257" s="1684"/>
      <c r="H1257" s="1684"/>
      <c r="I1257" s="1684"/>
      <c r="J1257" s="1684"/>
      <c r="K1257" s="1685" t="str">
        <f t="shared" si="240"/>
        <v/>
      </c>
      <c r="L1257" s="1685" t="str">
        <f t="shared" si="241"/>
        <v/>
      </c>
      <c r="M1257" s="1686"/>
    </row>
    <row r="1258" spans="1:13">
      <c r="A1258" s="1655">
        <f t="shared" si="242"/>
        <v>0</v>
      </c>
      <c r="B1258" s="1409"/>
      <c r="C1258" s="1621" t="s">
        <v>4985</v>
      </c>
      <c r="D1258" s="1683"/>
      <c r="E1258" s="1678">
        <f t="shared" si="243"/>
        <v>0</v>
      </c>
      <c r="F1258" s="1687"/>
      <c r="G1258" s="1684"/>
      <c r="H1258" s="1684"/>
      <c r="I1258" s="1684"/>
      <c r="J1258" s="1684"/>
      <c r="K1258" s="1685" t="str">
        <f t="shared" si="240"/>
        <v/>
      </c>
      <c r="L1258" s="1685" t="str">
        <f t="shared" si="241"/>
        <v/>
      </c>
      <c r="M1258" s="1686"/>
    </row>
    <row r="1259" spans="1:13">
      <c r="A1259" s="1655">
        <f t="shared" si="242"/>
        <v>0</v>
      </c>
      <c r="B1259" s="1688"/>
      <c r="C1259" s="1689" t="s">
        <v>4986</v>
      </c>
      <c r="D1259" s="1690"/>
      <c r="E1259" s="1691">
        <f t="shared" si="243"/>
        <v>0</v>
      </c>
      <c r="F1259" s="1692"/>
      <c r="G1259" s="1693"/>
      <c r="H1259" s="1693"/>
      <c r="I1259" s="1693"/>
      <c r="J1259" s="1693"/>
      <c r="K1259" s="1694" t="str">
        <f t="shared" si="240"/>
        <v/>
      </c>
      <c r="L1259" s="1694" t="str">
        <f t="shared" si="241"/>
        <v/>
      </c>
      <c r="M1259" s="1695"/>
    </row>
    <row r="1260" spans="1:13">
      <c r="A1260" s="1674">
        <f>A1234+1</f>
        <v>49</v>
      </c>
      <c r="B1260" s="1675" t="s">
        <v>5050</v>
      </c>
      <c r="C1260" s="1676"/>
      <c r="D1260" s="1677"/>
      <c r="E1260" s="1679">
        <f t="shared" ref="E1260:I1260" si="244">SUM(E1261:E1285)</f>
        <v>0</v>
      </c>
      <c r="F1260" s="1679">
        <f t="shared" si="244"/>
        <v>0</v>
      </c>
      <c r="G1260" s="1679">
        <f t="shared" si="244"/>
        <v>0</v>
      </c>
      <c r="H1260" s="1679">
        <f t="shared" si="244"/>
        <v>0</v>
      </c>
      <c r="I1260" s="1679">
        <f t="shared" si="244"/>
        <v>0</v>
      </c>
      <c r="J1260" s="1679">
        <f>SUM(J1261:J1285)</f>
        <v>0</v>
      </c>
      <c r="K1260" s="1680" t="str">
        <f>IFERROR(E1260/$C$6,"")</f>
        <v/>
      </c>
      <c r="L1260" s="1680" t="str">
        <f>IFERROR(E1260/$C$7,"")</f>
        <v/>
      </c>
      <c r="M1260" s="1681">
        <f>SUM(M1261:M1285)</f>
        <v>0</v>
      </c>
    </row>
    <row r="1261" spans="1:13">
      <c r="A1261" s="1655">
        <f>IF(E1261&lt;&gt;0,1,0)</f>
        <v>0</v>
      </c>
      <c r="B1261" s="1412"/>
      <c r="C1261" s="1621" t="s">
        <v>4962</v>
      </c>
      <c r="D1261" s="1683"/>
      <c r="E1261" s="1678">
        <f>SUM(F1261:J1261)</f>
        <v>0</v>
      </c>
      <c r="F1261" s="1684"/>
      <c r="G1261" s="1684"/>
      <c r="H1261" s="1684"/>
      <c r="I1261" s="1684"/>
      <c r="J1261" s="1684"/>
      <c r="K1261" s="1685" t="str">
        <f t="shared" ref="K1261:K1285" si="245">IFERROR(E1261/$C$6,"")</f>
        <v/>
      </c>
      <c r="L1261" s="1685" t="str">
        <f t="shared" ref="L1261:L1285" si="246">IFERROR(E1261/$C$7,"")</f>
        <v/>
      </c>
      <c r="M1261" s="1686"/>
    </row>
    <row r="1262" spans="1:13">
      <c r="A1262" s="1655">
        <f t="shared" ref="A1262:A1285" si="247">IF(E1262&lt;&gt;0,1,0)</f>
        <v>0</v>
      </c>
      <c r="B1262" s="1409"/>
      <c r="C1262" s="1621" t="s">
        <v>4963</v>
      </c>
      <c r="D1262" s="1683"/>
      <c r="E1262" s="1678">
        <f t="shared" ref="E1262:E1285" si="248">SUM(F1262:J1262)</f>
        <v>0</v>
      </c>
      <c r="F1262" s="1687"/>
      <c r="G1262" s="1684"/>
      <c r="H1262" s="1684"/>
      <c r="I1262" s="1684"/>
      <c r="J1262" s="1684"/>
      <c r="K1262" s="1685" t="str">
        <f t="shared" si="245"/>
        <v/>
      </c>
      <c r="L1262" s="1685" t="str">
        <f t="shared" si="246"/>
        <v/>
      </c>
      <c r="M1262" s="1686"/>
    </row>
    <row r="1263" spans="1:13">
      <c r="A1263" s="1655">
        <f t="shared" si="247"/>
        <v>0</v>
      </c>
      <c r="B1263" s="1409"/>
      <c r="C1263" s="1621" t="s">
        <v>4964</v>
      </c>
      <c r="D1263" s="1683"/>
      <c r="E1263" s="1678">
        <f t="shared" si="248"/>
        <v>0</v>
      </c>
      <c r="F1263" s="1687"/>
      <c r="G1263" s="1684"/>
      <c r="H1263" s="1684"/>
      <c r="I1263" s="1684"/>
      <c r="J1263" s="1684"/>
      <c r="K1263" s="1685" t="str">
        <f t="shared" si="245"/>
        <v/>
      </c>
      <c r="L1263" s="1685" t="str">
        <f t="shared" si="246"/>
        <v/>
      </c>
      <c r="M1263" s="1686"/>
    </row>
    <row r="1264" spans="1:13">
      <c r="A1264" s="1655">
        <f t="shared" si="247"/>
        <v>0</v>
      </c>
      <c r="B1264" s="1409"/>
      <c r="C1264" s="1621" t="s">
        <v>4965</v>
      </c>
      <c r="D1264" s="1683"/>
      <c r="E1264" s="1678">
        <f t="shared" si="248"/>
        <v>0</v>
      </c>
      <c r="F1264" s="1687"/>
      <c r="G1264" s="1684"/>
      <c r="H1264" s="1684"/>
      <c r="I1264" s="1684"/>
      <c r="J1264" s="1684"/>
      <c r="K1264" s="1685" t="str">
        <f t="shared" si="245"/>
        <v/>
      </c>
      <c r="L1264" s="1685" t="str">
        <f t="shared" si="246"/>
        <v/>
      </c>
      <c r="M1264" s="1686"/>
    </row>
    <row r="1265" spans="1:13">
      <c r="A1265" s="1655">
        <f t="shared" si="247"/>
        <v>0</v>
      </c>
      <c r="B1265" s="1409"/>
      <c r="C1265" s="1621" t="s">
        <v>4966</v>
      </c>
      <c r="D1265" s="1683"/>
      <c r="E1265" s="1678">
        <f t="shared" si="248"/>
        <v>0</v>
      </c>
      <c r="F1265" s="1687"/>
      <c r="G1265" s="1684"/>
      <c r="H1265" s="1684"/>
      <c r="I1265" s="1684"/>
      <c r="J1265" s="1684"/>
      <c r="K1265" s="1685" t="str">
        <f t="shared" si="245"/>
        <v/>
      </c>
      <c r="L1265" s="1685" t="str">
        <f t="shared" si="246"/>
        <v/>
      </c>
      <c r="M1265" s="1686"/>
    </row>
    <row r="1266" spans="1:13">
      <c r="A1266" s="1655">
        <f t="shared" si="247"/>
        <v>0</v>
      </c>
      <c r="B1266" s="1409"/>
      <c r="C1266" s="1621" t="s">
        <v>4967</v>
      </c>
      <c r="D1266" s="1683"/>
      <c r="E1266" s="1678">
        <f t="shared" si="248"/>
        <v>0</v>
      </c>
      <c r="F1266" s="1687"/>
      <c r="G1266" s="1684"/>
      <c r="H1266" s="1684"/>
      <c r="I1266" s="1684"/>
      <c r="J1266" s="1684"/>
      <c r="K1266" s="1685" t="str">
        <f t="shared" si="245"/>
        <v/>
      </c>
      <c r="L1266" s="1685" t="str">
        <f t="shared" si="246"/>
        <v/>
      </c>
      <c r="M1266" s="1686"/>
    </row>
    <row r="1267" spans="1:13">
      <c r="A1267" s="1655">
        <f t="shared" si="247"/>
        <v>0</v>
      </c>
      <c r="B1267" s="1409"/>
      <c r="C1267" s="1621" t="s">
        <v>4968</v>
      </c>
      <c r="D1267" s="1683"/>
      <c r="E1267" s="1678">
        <f t="shared" si="248"/>
        <v>0</v>
      </c>
      <c r="F1267" s="1687"/>
      <c r="G1267" s="1684"/>
      <c r="H1267" s="1684"/>
      <c r="I1267" s="1684"/>
      <c r="J1267" s="1684"/>
      <c r="K1267" s="1685" t="str">
        <f t="shared" si="245"/>
        <v/>
      </c>
      <c r="L1267" s="1685" t="str">
        <f t="shared" si="246"/>
        <v/>
      </c>
      <c r="M1267" s="1686"/>
    </row>
    <row r="1268" spans="1:13">
      <c r="A1268" s="1655">
        <f t="shared" si="247"/>
        <v>0</v>
      </c>
      <c r="B1268" s="1409"/>
      <c r="C1268" s="1621" t="s">
        <v>4969</v>
      </c>
      <c r="D1268" s="1683"/>
      <c r="E1268" s="1678">
        <f t="shared" si="248"/>
        <v>0</v>
      </c>
      <c r="F1268" s="1687"/>
      <c r="G1268" s="1684"/>
      <c r="H1268" s="1684"/>
      <c r="I1268" s="1684"/>
      <c r="J1268" s="1684"/>
      <c r="K1268" s="1685" t="str">
        <f t="shared" si="245"/>
        <v/>
      </c>
      <c r="L1268" s="1685" t="str">
        <f t="shared" si="246"/>
        <v/>
      </c>
      <c r="M1268" s="1686"/>
    </row>
    <row r="1269" spans="1:13">
      <c r="A1269" s="1655">
        <f t="shared" si="247"/>
        <v>0</v>
      </c>
      <c r="B1269" s="1409"/>
      <c r="C1269" s="1621" t="s">
        <v>4970</v>
      </c>
      <c r="D1269" s="1683"/>
      <c r="E1269" s="1678">
        <f t="shared" si="248"/>
        <v>0</v>
      </c>
      <c r="F1269" s="1687"/>
      <c r="G1269" s="1684"/>
      <c r="H1269" s="1684"/>
      <c r="I1269" s="1684"/>
      <c r="J1269" s="1684"/>
      <c r="K1269" s="1685" t="str">
        <f t="shared" si="245"/>
        <v/>
      </c>
      <c r="L1269" s="1685" t="str">
        <f t="shared" si="246"/>
        <v/>
      </c>
      <c r="M1269" s="1686"/>
    </row>
    <row r="1270" spans="1:13">
      <c r="A1270" s="1655">
        <f t="shared" si="247"/>
        <v>0</v>
      </c>
      <c r="B1270" s="1409"/>
      <c r="C1270" s="1621" t="s">
        <v>4971</v>
      </c>
      <c r="D1270" s="1683"/>
      <c r="E1270" s="1678">
        <f t="shared" si="248"/>
        <v>0</v>
      </c>
      <c r="F1270" s="1687"/>
      <c r="G1270" s="1684"/>
      <c r="H1270" s="1684"/>
      <c r="I1270" s="1684"/>
      <c r="J1270" s="1684"/>
      <c r="K1270" s="1685" t="str">
        <f t="shared" si="245"/>
        <v/>
      </c>
      <c r="L1270" s="1685" t="str">
        <f t="shared" si="246"/>
        <v/>
      </c>
      <c r="M1270" s="1686"/>
    </row>
    <row r="1271" spans="1:13">
      <c r="A1271" s="1655">
        <f t="shared" si="247"/>
        <v>0</v>
      </c>
      <c r="B1271" s="1409"/>
      <c r="C1271" s="1621" t="s">
        <v>4972</v>
      </c>
      <c r="D1271" s="1683"/>
      <c r="E1271" s="1678">
        <f t="shared" si="248"/>
        <v>0</v>
      </c>
      <c r="F1271" s="1687"/>
      <c r="G1271" s="1684"/>
      <c r="H1271" s="1684"/>
      <c r="I1271" s="1684"/>
      <c r="J1271" s="1684"/>
      <c r="K1271" s="1685" t="str">
        <f t="shared" si="245"/>
        <v/>
      </c>
      <c r="L1271" s="1685" t="str">
        <f t="shared" si="246"/>
        <v/>
      </c>
      <c r="M1271" s="1686"/>
    </row>
    <row r="1272" spans="1:13">
      <c r="A1272" s="1655">
        <f t="shared" si="247"/>
        <v>0</v>
      </c>
      <c r="B1272" s="1412"/>
      <c r="C1272" s="1621" t="s">
        <v>4973</v>
      </c>
      <c r="D1272" s="1683"/>
      <c r="E1272" s="1678">
        <f t="shared" si="248"/>
        <v>0</v>
      </c>
      <c r="F1272" s="1687"/>
      <c r="G1272" s="1684"/>
      <c r="H1272" s="1684"/>
      <c r="I1272" s="1684"/>
      <c r="J1272" s="1684"/>
      <c r="K1272" s="1685" t="str">
        <f t="shared" si="245"/>
        <v/>
      </c>
      <c r="L1272" s="1685" t="str">
        <f t="shared" si="246"/>
        <v/>
      </c>
      <c r="M1272" s="1686"/>
    </row>
    <row r="1273" spans="1:13">
      <c r="A1273" s="1655">
        <f t="shared" si="247"/>
        <v>0</v>
      </c>
      <c r="B1273" s="1412"/>
      <c r="C1273" s="1621" t="s">
        <v>4974</v>
      </c>
      <c r="D1273" s="1683"/>
      <c r="E1273" s="1678">
        <f t="shared" si="248"/>
        <v>0</v>
      </c>
      <c r="F1273" s="1687"/>
      <c r="G1273" s="1684"/>
      <c r="H1273" s="1684"/>
      <c r="I1273" s="1684"/>
      <c r="J1273" s="1684"/>
      <c r="K1273" s="1685" t="str">
        <f t="shared" si="245"/>
        <v/>
      </c>
      <c r="L1273" s="1685" t="str">
        <f t="shared" si="246"/>
        <v/>
      </c>
      <c r="M1273" s="1686"/>
    </row>
    <row r="1274" spans="1:13">
      <c r="A1274" s="1655">
        <f t="shared" si="247"/>
        <v>0</v>
      </c>
      <c r="B1274" s="1409"/>
      <c r="C1274" s="1621" t="s">
        <v>4975</v>
      </c>
      <c r="D1274" s="1683"/>
      <c r="E1274" s="1678">
        <f t="shared" si="248"/>
        <v>0</v>
      </c>
      <c r="F1274" s="1687"/>
      <c r="G1274" s="1684"/>
      <c r="H1274" s="1684"/>
      <c r="I1274" s="1684"/>
      <c r="J1274" s="1684"/>
      <c r="K1274" s="1685" t="str">
        <f t="shared" si="245"/>
        <v/>
      </c>
      <c r="L1274" s="1685" t="str">
        <f t="shared" si="246"/>
        <v/>
      </c>
      <c r="M1274" s="1686"/>
    </row>
    <row r="1275" spans="1:13">
      <c r="A1275" s="1655">
        <f t="shared" si="247"/>
        <v>0</v>
      </c>
      <c r="B1275" s="1409"/>
      <c r="C1275" s="1621" t="s">
        <v>4976</v>
      </c>
      <c r="D1275" s="1683"/>
      <c r="E1275" s="1678">
        <f t="shared" si="248"/>
        <v>0</v>
      </c>
      <c r="F1275" s="1687"/>
      <c r="G1275" s="1684"/>
      <c r="H1275" s="1684"/>
      <c r="I1275" s="1684"/>
      <c r="J1275" s="1684"/>
      <c r="K1275" s="1685" t="str">
        <f t="shared" si="245"/>
        <v/>
      </c>
      <c r="L1275" s="1685" t="str">
        <f t="shared" si="246"/>
        <v/>
      </c>
      <c r="M1275" s="1686"/>
    </row>
    <row r="1276" spans="1:13">
      <c r="A1276" s="1655">
        <f t="shared" si="247"/>
        <v>0</v>
      </c>
      <c r="B1276" s="1409"/>
      <c r="C1276" s="1621" t="s">
        <v>4977</v>
      </c>
      <c r="D1276" s="1683"/>
      <c r="E1276" s="1678">
        <f t="shared" si="248"/>
        <v>0</v>
      </c>
      <c r="F1276" s="1687"/>
      <c r="G1276" s="1684"/>
      <c r="H1276" s="1684"/>
      <c r="I1276" s="1684"/>
      <c r="J1276" s="1684"/>
      <c r="K1276" s="1685" t="str">
        <f t="shared" si="245"/>
        <v/>
      </c>
      <c r="L1276" s="1685" t="str">
        <f t="shared" si="246"/>
        <v/>
      </c>
      <c r="M1276" s="1686"/>
    </row>
    <row r="1277" spans="1:13">
      <c r="A1277" s="1655">
        <f t="shared" si="247"/>
        <v>0</v>
      </c>
      <c r="B1277" s="1409"/>
      <c r="C1277" s="1621" t="s">
        <v>4978</v>
      </c>
      <c r="D1277" s="1683"/>
      <c r="E1277" s="1678">
        <f t="shared" si="248"/>
        <v>0</v>
      </c>
      <c r="F1277" s="1687"/>
      <c r="G1277" s="1684"/>
      <c r="H1277" s="1684"/>
      <c r="I1277" s="1684"/>
      <c r="J1277" s="1684"/>
      <c r="K1277" s="1685" t="str">
        <f t="shared" si="245"/>
        <v/>
      </c>
      <c r="L1277" s="1685" t="str">
        <f t="shared" si="246"/>
        <v/>
      </c>
      <c r="M1277" s="1686"/>
    </row>
    <row r="1278" spans="1:13">
      <c r="A1278" s="1655">
        <f t="shared" si="247"/>
        <v>0</v>
      </c>
      <c r="B1278" s="1409"/>
      <c r="C1278" s="1621" t="s">
        <v>4979</v>
      </c>
      <c r="D1278" s="1683"/>
      <c r="E1278" s="1678">
        <f t="shared" si="248"/>
        <v>0</v>
      </c>
      <c r="F1278" s="1687"/>
      <c r="G1278" s="1684"/>
      <c r="H1278" s="1684"/>
      <c r="I1278" s="1684"/>
      <c r="J1278" s="1684"/>
      <c r="K1278" s="1685" t="str">
        <f t="shared" si="245"/>
        <v/>
      </c>
      <c r="L1278" s="1685" t="str">
        <f t="shared" si="246"/>
        <v/>
      </c>
      <c r="M1278" s="1686"/>
    </row>
    <row r="1279" spans="1:13">
      <c r="A1279" s="1655">
        <f t="shared" si="247"/>
        <v>0</v>
      </c>
      <c r="B1279" s="1409"/>
      <c r="C1279" s="1621" t="s">
        <v>4980</v>
      </c>
      <c r="D1279" s="1683"/>
      <c r="E1279" s="1678">
        <f t="shared" si="248"/>
        <v>0</v>
      </c>
      <c r="F1279" s="1687"/>
      <c r="G1279" s="1684"/>
      <c r="H1279" s="1684"/>
      <c r="I1279" s="1684"/>
      <c r="J1279" s="1684"/>
      <c r="K1279" s="1685" t="str">
        <f t="shared" si="245"/>
        <v/>
      </c>
      <c r="L1279" s="1685" t="str">
        <f t="shared" si="246"/>
        <v/>
      </c>
      <c r="M1279" s="1686"/>
    </row>
    <row r="1280" spans="1:13">
      <c r="A1280" s="1655">
        <f t="shared" si="247"/>
        <v>0</v>
      </c>
      <c r="B1280" s="1409"/>
      <c r="C1280" s="1621" t="s">
        <v>4981</v>
      </c>
      <c r="D1280" s="1683"/>
      <c r="E1280" s="1678">
        <f t="shared" si="248"/>
        <v>0</v>
      </c>
      <c r="F1280" s="1687"/>
      <c r="G1280" s="1684"/>
      <c r="H1280" s="1684"/>
      <c r="I1280" s="1684"/>
      <c r="J1280" s="1684"/>
      <c r="K1280" s="1685" t="str">
        <f t="shared" si="245"/>
        <v/>
      </c>
      <c r="L1280" s="1685" t="str">
        <f t="shared" si="246"/>
        <v/>
      </c>
      <c r="M1280" s="1686"/>
    </row>
    <row r="1281" spans="1:13">
      <c r="A1281" s="1655">
        <f t="shared" si="247"/>
        <v>0</v>
      </c>
      <c r="B1281" s="1409"/>
      <c r="C1281" s="1621" t="s">
        <v>4982</v>
      </c>
      <c r="D1281" s="1683"/>
      <c r="E1281" s="1678">
        <f t="shared" si="248"/>
        <v>0</v>
      </c>
      <c r="F1281" s="1687"/>
      <c r="G1281" s="1684"/>
      <c r="H1281" s="1684"/>
      <c r="I1281" s="1684"/>
      <c r="J1281" s="1684"/>
      <c r="K1281" s="1685" t="str">
        <f t="shared" si="245"/>
        <v/>
      </c>
      <c r="L1281" s="1685" t="str">
        <f t="shared" si="246"/>
        <v/>
      </c>
      <c r="M1281" s="1686"/>
    </row>
    <row r="1282" spans="1:13">
      <c r="A1282" s="1655">
        <f t="shared" si="247"/>
        <v>0</v>
      </c>
      <c r="B1282" s="1409"/>
      <c r="C1282" s="1621" t="s">
        <v>4983</v>
      </c>
      <c r="D1282" s="1683"/>
      <c r="E1282" s="1678">
        <f t="shared" si="248"/>
        <v>0</v>
      </c>
      <c r="F1282" s="1687"/>
      <c r="G1282" s="1684"/>
      <c r="H1282" s="1684"/>
      <c r="I1282" s="1684"/>
      <c r="J1282" s="1684"/>
      <c r="K1282" s="1685" t="str">
        <f t="shared" si="245"/>
        <v/>
      </c>
      <c r="L1282" s="1685" t="str">
        <f t="shared" si="246"/>
        <v/>
      </c>
      <c r="M1282" s="1686"/>
    </row>
    <row r="1283" spans="1:13">
      <c r="A1283" s="1655">
        <f t="shared" si="247"/>
        <v>0</v>
      </c>
      <c r="B1283" s="1409"/>
      <c r="C1283" s="1621" t="s">
        <v>4984</v>
      </c>
      <c r="D1283" s="1683"/>
      <c r="E1283" s="1678">
        <f t="shared" si="248"/>
        <v>0</v>
      </c>
      <c r="F1283" s="1687"/>
      <c r="G1283" s="1684"/>
      <c r="H1283" s="1684"/>
      <c r="I1283" s="1684"/>
      <c r="J1283" s="1684"/>
      <c r="K1283" s="1685" t="str">
        <f t="shared" si="245"/>
        <v/>
      </c>
      <c r="L1283" s="1685" t="str">
        <f t="shared" si="246"/>
        <v/>
      </c>
      <c r="M1283" s="1686"/>
    </row>
    <row r="1284" spans="1:13">
      <c r="A1284" s="1655">
        <f t="shared" si="247"/>
        <v>0</v>
      </c>
      <c r="B1284" s="1409"/>
      <c r="C1284" s="1621" t="s">
        <v>4985</v>
      </c>
      <c r="D1284" s="1683"/>
      <c r="E1284" s="1678">
        <f t="shared" si="248"/>
        <v>0</v>
      </c>
      <c r="F1284" s="1687"/>
      <c r="G1284" s="1684"/>
      <c r="H1284" s="1684"/>
      <c r="I1284" s="1684"/>
      <c r="J1284" s="1684"/>
      <c r="K1284" s="1685" t="str">
        <f t="shared" si="245"/>
        <v/>
      </c>
      <c r="L1284" s="1685" t="str">
        <f t="shared" si="246"/>
        <v/>
      </c>
      <c r="M1284" s="1686"/>
    </row>
    <row r="1285" spans="1:13">
      <c r="A1285" s="1655">
        <f t="shared" si="247"/>
        <v>0</v>
      </c>
      <c r="B1285" s="1688"/>
      <c r="C1285" s="1689" t="s">
        <v>4986</v>
      </c>
      <c r="D1285" s="1690"/>
      <c r="E1285" s="1691">
        <f t="shared" si="248"/>
        <v>0</v>
      </c>
      <c r="F1285" s="1692"/>
      <c r="G1285" s="1693"/>
      <c r="H1285" s="1693"/>
      <c r="I1285" s="1693"/>
      <c r="J1285" s="1693"/>
      <c r="K1285" s="1694" t="str">
        <f t="shared" si="245"/>
        <v/>
      </c>
      <c r="L1285" s="1694" t="str">
        <f t="shared" si="246"/>
        <v/>
      </c>
      <c r="M1285" s="1695"/>
    </row>
    <row r="1286" spans="1:13">
      <c r="A1286" s="1674">
        <f>A1260+1</f>
        <v>50</v>
      </c>
      <c r="B1286" s="1675" t="s">
        <v>5050</v>
      </c>
      <c r="C1286" s="1676"/>
      <c r="D1286" s="1677"/>
      <c r="E1286" s="1679">
        <f t="shared" ref="E1286:I1286" si="249">SUM(E1287:E1311)</f>
        <v>0</v>
      </c>
      <c r="F1286" s="1679">
        <f t="shared" si="249"/>
        <v>0</v>
      </c>
      <c r="G1286" s="1679">
        <f t="shared" si="249"/>
        <v>0</v>
      </c>
      <c r="H1286" s="1679">
        <f t="shared" si="249"/>
        <v>0</v>
      </c>
      <c r="I1286" s="1679">
        <f t="shared" si="249"/>
        <v>0</v>
      </c>
      <c r="J1286" s="1679">
        <f>SUM(J1287:J1311)</f>
        <v>0</v>
      </c>
      <c r="K1286" s="1680" t="str">
        <f>IFERROR(E1286/$C$6,"")</f>
        <v/>
      </c>
      <c r="L1286" s="1680" t="str">
        <f>IFERROR(E1286/$C$7,"")</f>
        <v/>
      </c>
      <c r="M1286" s="1681">
        <f>SUM(M1287:M1311)</f>
        <v>0</v>
      </c>
    </row>
    <row r="1287" spans="1:13">
      <c r="A1287" s="1655">
        <f>IF(E1287&lt;&gt;0,1,0)</f>
        <v>0</v>
      </c>
      <c r="B1287" s="1412"/>
      <c r="C1287" s="1621" t="s">
        <v>4962</v>
      </c>
      <c r="D1287" s="1683"/>
      <c r="E1287" s="1678">
        <f>SUM(F1287:J1287)</f>
        <v>0</v>
      </c>
      <c r="F1287" s="1684"/>
      <c r="G1287" s="1684"/>
      <c r="H1287" s="1684"/>
      <c r="I1287" s="1684"/>
      <c r="J1287" s="1684"/>
      <c r="K1287" s="1685" t="str">
        <f t="shared" ref="K1287:K1311" si="250">IFERROR(E1287/$C$6,"")</f>
        <v/>
      </c>
      <c r="L1287" s="1685" t="str">
        <f t="shared" ref="L1287:L1311" si="251">IFERROR(E1287/$C$7,"")</f>
        <v/>
      </c>
      <c r="M1287" s="1686"/>
    </row>
    <row r="1288" spans="1:13">
      <c r="A1288" s="1655">
        <f t="shared" ref="A1288:A1311" si="252">IF(E1288&lt;&gt;0,1,0)</f>
        <v>0</v>
      </c>
      <c r="B1288" s="1409"/>
      <c r="C1288" s="1621" t="s">
        <v>4963</v>
      </c>
      <c r="D1288" s="1683"/>
      <c r="E1288" s="1678">
        <f t="shared" ref="E1288:E1311" si="253">SUM(F1288:J1288)</f>
        <v>0</v>
      </c>
      <c r="F1288" s="1687"/>
      <c r="G1288" s="1684"/>
      <c r="H1288" s="1684"/>
      <c r="I1288" s="1684"/>
      <c r="J1288" s="1684"/>
      <c r="K1288" s="1685" t="str">
        <f t="shared" si="250"/>
        <v/>
      </c>
      <c r="L1288" s="1685" t="str">
        <f t="shared" si="251"/>
        <v/>
      </c>
      <c r="M1288" s="1686"/>
    </row>
    <row r="1289" spans="1:13">
      <c r="A1289" s="1655">
        <f t="shared" si="252"/>
        <v>0</v>
      </c>
      <c r="B1289" s="1409"/>
      <c r="C1289" s="1621" t="s">
        <v>4964</v>
      </c>
      <c r="D1289" s="1683"/>
      <c r="E1289" s="1678">
        <f t="shared" si="253"/>
        <v>0</v>
      </c>
      <c r="F1289" s="1687"/>
      <c r="G1289" s="1684"/>
      <c r="H1289" s="1684"/>
      <c r="I1289" s="1684"/>
      <c r="J1289" s="1684"/>
      <c r="K1289" s="1685" t="str">
        <f t="shared" si="250"/>
        <v/>
      </c>
      <c r="L1289" s="1685" t="str">
        <f t="shared" si="251"/>
        <v/>
      </c>
      <c r="M1289" s="1686"/>
    </row>
    <row r="1290" spans="1:13">
      <c r="A1290" s="1655">
        <f t="shared" si="252"/>
        <v>0</v>
      </c>
      <c r="B1290" s="1409"/>
      <c r="C1290" s="1621" t="s">
        <v>4965</v>
      </c>
      <c r="D1290" s="1683"/>
      <c r="E1290" s="1678">
        <f t="shared" si="253"/>
        <v>0</v>
      </c>
      <c r="F1290" s="1687"/>
      <c r="G1290" s="1684"/>
      <c r="H1290" s="1684"/>
      <c r="I1290" s="1684"/>
      <c r="J1290" s="1684"/>
      <c r="K1290" s="1685" t="str">
        <f t="shared" si="250"/>
        <v/>
      </c>
      <c r="L1290" s="1685" t="str">
        <f t="shared" si="251"/>
        <v/>
      </c>
      <c r="M1290" s="1686"/>
    </row>
    <row r="1291" spans="1:13">
      <c r="A1291" s="1655">
        <f t="shared" si="252"/>
        <v>0</v>
      </c>
      <c r="B1291" s="1409"/>
      <c r="C1291" s="1621" t="s">
        <v>4966</v>
      </c>
      <c r="D1291" s="1683"/>
      <c r="E1291" s="1678">
        <f t="shared" si="253"/>
        <v>0</v>
      </c>
      <c r="F1291" s="1687"/>
      <c r="G1291" s="1684"/>
      <c r="H1291" s="1684"/>
      <c r="I1291" s="1684"/>
      <c r="J1291" s="1684"/>
      <c r="K1291" s="1685" t="str">
        <f t="shared" si="250"/>
        <v/>
      </c>
      <c r="L1291" s="1685" t="str">
        <f t="shared" si="251"/>
        <v/>
      </c>
      <c r="M1291" s="1686"/>
    </row>
    <row r="1292" spans="1:13">
      <c r="A1292" s="1655">
        <f t="shared" si="252"/>
        <v>0</v>
      </c>
      <c r="B1292" s="1409"/>
      <c r="C1292" s="1621" t="s">
        <v>4967</v>
      </c>
      <c r="D1292" s="1683"/>
      <c r="E1292" s="1678">
        <f t="shared" si="253"/>
        <v>0</v>
      </c>
      <c r="F1292" s="1687"/>
      <c r="G1292" s="1684"/>
      <c r="H1292" s="1684"/>
      <c r="I1292" s="1684"/>
      <c r="J1292" s="1684"/>
      <c r="K1292" s="1685" t="str">
        <f t="shared" si="250"/>
        <v/>
      </c>
      <c r="L1292" s="1685" t="str">
        <f t="shared" si="251"/>
        <v/>
      </c>
      <c r="M1292" s="1686"/>
    </row>
    <row r="1293" spans="1:13">
      <c r="A1293" s="1655">
        <f t="shared" si="252"/>
        <v>0</v>
      </c>
      <c r="B1293" s="1409"/>
      <c r="C1293" s="1621" t="s">
        <v>4968</v>
      </c>
      <c r="D1293" s="1683"/>
      <c r="E1293" s="1678">
        <f t="shared" si="253"/>
        <v>0</v>
      </c>
      <c r="F1293" s="1687"/>
      <c r="G1293" s="1684"/>
      <c r="H1293" s="1684"/>
      <c r="I1293" s="1684"/>
      <c r="J1293" s="1684"/>
      <c r="K1293" s="1685" t="str">
        <f t="shared" si="250"/>
        <v/>
      </c>
      <c r="L1293" s="1685" t="str">
        <f t="shared" si="251"/>
        <v/>
      </c>
      <c r="M1293" s="1686"/>
    </row>
    <row r="1294" spans="1:13">
      <c r="A1294" s="1655">
        <f t="shared" si="252"/>
        <v>0</v>
      </c>
      <c r="B1294" s="1409"/>
      <c r="C1294" s="1621" t="s">
        <v>4969</v>
      </c>
      <c r="D1294" s="1683"/>
      <c r="E1294" s="1678">
        <f t="shared" si="253"/>
        <v>0</v>
      </c>
      <c r="F1294" s="1687"/>
      <c r="G1294" s="1684"/>
      <c r="H1294" s="1684"/>
      <c r="I1294" s="1684"/>
      <c r="J1294" s="1684"/>
      <c r="K1294" s="1685" t="str">
        <f t="shared" si="250"/>
        <v/>
      </c>
      <c r="L1294" s="1685" t="str">
        <f t="shared" si="251"/>
        <v/>
      </c>
      <c r="M1294" s="1686"/>
    </row>
    <row r="1295" spans="1:13">
      <c r="A1295" s="1655">
        <f t="shared" si="252"/>
        <v>0</v>
      </c>
      <c r="B1295" s="1409"/>
      <c r="C1295" s="1621" t="s">
        <v>4970</v>
      </c>
      <c r="D1295" s="1683"/>
      <c r="E1295" s="1678">
        <f t="shared" si="253"/>
        <v>0</v>
      </c>
      <c r="F1295" s="1687"/>
      <c r="G1295" s="1684"/>
      <c r="H1295" s="1684"/>
      <c r="I1295" s="1684"/>
      <c r="J1295" s="1684"/>
      <c r="K1295" s="1685" t="str">
        <f t="shared" si="250"/>
        <v/>
      </c>
      <c r="L1295" s="1685" t="str">
        <f t="shared" si="251"/>
        <v/>
      </c>
      <c r="M1295" s="1686"/>
    </row>
    <row r="1296" spans="1:13">
      <c r="A1296" s="1655">
        <f t="shared" si="252"/>
        <v>0</v>
      </c>
      <c r="B1296" s="1409"/>
      <c r="C1296" s="1621" t="s">
        <v>4971</v>
      </c>
      <c r="D1296" s="1683"/>
      <c r="E1296" s="1678">
        <f t="shared" si="253"/>
        <v>0</v>
      </c>
      <c r="F1296" s="1687"/>
      <c r="G1296" s="1684"/>
      <c r="H1296" s="1684"/>
      <c r="I1296" s="1684"/>
      <c r="J1296" s="1684"/>
      <c r="K1296" s="1685" t="str">
        <f t="shared" si="250"/>
        <v/>
      </c>
      <c r="L1296" s="1685" t="str">
        <f t="shared" si="251"/>
        <v/>
      </c>
      <c r="M1296" s="1686"/>
    </row>
    <row r="1297" spans="1:13">
      <c r="A1297" s="1655">
        <f t="shared" si="252"/>
        <v>0</v>
      </c>
      <c r="B1297" s="1409"/>
      <c r="C1297" s="1621" t="s">
        <v>4972</v>
      </c>
      <c r="D1297" s="1683"/>
      <c r="E1297" s="1678">
        <f t="shared" si="253"/>
        <v>0</v>
      </c>
      <c r="F1297" s="1687"/>
      <c r="G1297" s="1684"/>
      <c r="H1297" s="1684"/>
      <c r="I1297" s="1684"/>
      <c r="J1297" s="1684"/>
      <c r="K1297" s="1685" t="str">
        <f t="shared" si="250"/>
        <v/>
      </c>
      <c r="L1297" s="1685" t="str">
        <f t="shared" si="251"/>
        <v/>
      </c>
      <c r="M1297" s="1686"/>
    </row>
    <row r="1298" spans="1:13">
      <c r="A1298" s="1655">
        <f t="shared" si="252"/>
        <v>0</v>
      </c>
      <c r="B1298" s="1412"/>
      <c r="C1298" s="1621" t="s">
        <v>4973</v>
      </c>
      <c r="D1298" s="1683"/>
      <c r="E1298" s="1678">
        <f t="shared" si="253"/>
        <v>0</v>
      </c>
      <c r="F1298" s="1687"/>
      <c r="G1298" s="1684"/>
      <c r="H1298" s="1684"/>
      <c r="I1298" s="1684"/>
      <c r="J1298" s="1684"/>
      <c r="K1298" s="1685" t="str">
        <f t="shared" si="250"/>
        <v/>
      </c>
      <c r="L1298" s="1685" t="str">
        <f t="shared" si="251"/>
        <v/>
      </c>
      <c r="M1298" s="1686"/>
    </row>
    <row r="1299" spans="1:13">
      <c r="A1299" s="1655">
        <f t="shared" si="252"/>
        <v>0</v>
      </c>
      <c r="B1299" s="1412"/>
      <c r="C1299" s="1621" t="s">
        <v>4974</v>
      </c>
      <c r="D1299" s="1683"/>
      <c r="E1299" s="1678">
        <f t="shared" si="253"/>
        <v>0</v>
      </c>
      <c r="F1299" s="1687"/>
      <c r="G1299" s="1684"/>
      <c r="H1299" s="1684"/>
      <c r="I1299" s="1684"/>
      <c r="J1299" s="1684"/>
      <c r="K1299" s="1685" t="str">
        <f t="shared" si="250"/>
        <v/>
      </c>
      <c r="L1299" s="1685" t="str">
        <f t="shared" si="251"/>
        <v/>
      </c>
      <c r="M1299" s="1686"/>
    </row>
    <row r="1300" spans="1:13">
      <c r="A1300" s="1655">
        <f t="shared" si="252"/>
        <v>0</v>
      </c>
      <c r="B1300" s="1409"/>
      <c r="C1300" s="1621" t="s">
        <v>4975</v>
      </c>
      <c r="D1300" s="1683"/>
      <c r="E1300" s="1678">
        <f t="shared" si="253"/>
        <v>0</v>
      </c>
      <c r="F1300" s="1687"/>
      <c r="G1300" s="1684"/>
      <c r="H1300" s="1684"/>
      <c r="I1300" s="1684"/>
      <c r="J1300" s="1684"/>
      <c r="K1300" s="1685" t="str">
        <f t="shared" si="250"/>
        <v/>
      </c>
      <c r="L1300" s="1685" t="str">
        <f t="shared" si="251"/>
        <v/>
      </c>
      <c r="M1300" s="1686"/>
    </row>
    <row r="1301" spans="1:13">
      <c r="A1301" s="1655">
        <f t="shared" si="252"/>
        <v>0</v>
      </c>
      <c r="B1301" s="1409"/>
      <c r="C1301" s="1621" t="s">
        <v>4976</v>
      </c>
      <c r="D1301" s="1683"/>
      <c r="E1301" s="1678">
        <f t="shared" si="253"/>
        <v>0</v>
      </c>
      <c r="F1301" s="1687"/>
      <c r="G1301" s="1684"/>
      <c r="H1301" s="1684"/>
      <c r="I1301" s="1684"/>
      <c r="J1301" s="1684"/>
      <c r="K1301" s="1685" t="str">
        <f t="shared" si="250"/>
        <v/>
      </c>
      <c r="L1301" s="1685" t="str">
        <f t="shared" si="251"/>
        <v/>
      </c>
      <c r="M1301" s="1686"/>
    </row>
    <row r="1302" spans="1:13">
      <c r="A1302" s="1655">
        <f t="shared" si="252"/>
        <v>0</v>
      </c>
      <c r="B1302" s="1409"/>
      <c r="C1302" s="1621" t="s">
        <v>4977</v>
      </c>
      <c r="D1302" s="1683"/>
      <c r="E1302" s="1678">
        <f t="shared" si="253"/>
        <v>0</v>
      </c>
      <c r="F1302" s="1687"/>
      <c r="G1302" s="1684"/>
      <c r="H1302" s="1684"/>
      <c r="I1302" s="1684"/>
      <c r="J1302" s="1684"/>
      <c r="K1302" s="1685" t="str">
        <f t="shared" si="250"/>
        <v/>
      </c>
      <c r="L1302" s="1685" t="str">
        <f t="shared" si="251"/>
        <v/>
      </c>
      <c r="M1302" s="1686"/>
    </row>
    <row r="1303" spans="1:13">
      <c r="A1303" s="1655">
        <f t="shared" si="252"/>
        <v>0</v>
      </c>
      <c r="B1303" s="1409"/>
      <c r="C1303" s="1621" t="s">
        <v>4978</v>
      </c>
      <c r="D1303" s="1683"/>
      <c r="E1303" s="1678">
        <f t="shared" si="253"/>
        <v>0</v>
      </c>
      <c r="F1303" s="1687"/>
      <c r="G1303" s="1684"/>
      <c r="H1303" s="1684"/>
      <c r="I1303" s="1684"/>
      <c r="J1303" s="1684"/>
      <c r="K1303" s="1685" t="str">
        <f t="shared" si="250"/>
        <v/>
      </c>
      <c r="L1303" s="1685" t="str">
        <f t="shared" si="251"/>
        <v/>
      </c>
      <c r="M1303" s="1686"/>
    </row>
    <row r="1304" spans="1:13">
      <c r="A1304" s="1655">
        <f t="shared" si="252"/>
        <v>0</v>
      </c>
      <c r="B1304" s="1409"/>
      <c r="C1304" s="1621" t="s">
        <v>4979</v>
      </c>
      <c r="D1304" s="1683"/>
      <c r="E1304" s="1678">
        <f t="shared" si="253"/>
        <v>0</v>
      </c>
      <c r="F1304" s="1687"/>
      <c r="G1304" s="1684"/>
      <c r="H1304" s="1684"/>
      <c r="I1304" s="1684"/>
      <c r="J1304" s="1684"/>
      <c r="K1304" s="1685" t="str">
        <f t="shared" si="250"/>
        <v/>
      </c>
      <c r="L1304" s="1685" t="str">
        <f t="shared" si="251"/>
        <v/>
      </c>
      <c r="M1304" s="1686"/>
    </row>
    <row r="1305" spans="1:13">
      <c r="A1305" s="1655">
        <f t="shared" si="252"/>
        <v>0</v>
      </c>
      <c r="B1305" s="1409"/>
      <c r="C1305" s="1621" t="s">
        <v>4980</v>
      </c>
      <c r="D1305" s="1683"/>
      <c r="E1305" s="1678">
        <f t="shared" si="253"/>
        <v>0</v>
      </c>
      <c r="F1305" s="1687"/>
      <c r="G1305" s="1684"/>
      <c r="H1305" s="1684"/>
      <c r="I1305" s="1684"/>
      <c r="J1305" s="1684"/>
      <c r="K1305" s="1685" t="str">
        <f t="shared" si="250"/>
        <v/>
      </c>
      <c r="L1305" s="1685" t="str">
        <f t="shared" si="251"/>
        <v/>
      </c>
      <c r="M1305" s="1686"/>
    </row>
    <row r="1306" spans="1:13">
      <c r="A1306" s="1655">
        <f t="shared" si="252"/>
        <v>0</v>
      </c>
      <c r="B1306" s="1409"/>
      <c r="C1306" s="1621" t="s">
        <v>4981</v>
      </c>
      <c r="D1306" s="1683"/>
      <c r="E1306" s="1678">
        <f t="shared" si="253"/>
        <v>0</v>
      </c>
      <c r="F1306" s="1687"/>
      <c r="G1306" s="1684"/>
      <c r="H1306" s="1684"/>
      <c r="I1306" s="1684"/>
      <c r="J1306" s="1684"/>
      <c r="K1306" s="1685" t="str">
        <f t="shared" si="250"/>
        <v/>
      </c>
      <c r="L1306" s="1685" t="str">
        <f t="shared" si="251"/>
        <v/>
      </c>
      <c r="M1306" s="1686"/>
    </row>
    <row r="1307" spans="1:13">
      <c r="A1307" s="1655">
        <f t="shared" si="252"/>
        <v>0</v>
      </c>
      <c r="B1307" s="1409"/>
      <c r="C1307" s="1621" t="s">
        <v>4982</v>
      </c>
      <c r="D1307" s="1683"/>
      <c r="E1307" s="1678">
        <f t="shared" si="253"/>
        <v>0</v>
      </c>
      <c r="F1307" s="1687"/>
      <c r="G1307" s="1684"/>
      <c r="H1307" s="1684"/>
      <c r="I1307" s="1684"/>
      <c r="J1307" s="1684"/>
      <c r="K1307" s="1685" t="str">
        <f t="shared" si="250"/>
        <v/>
      </c>
      <c r="L1307" s="1685" t="str">
        <f t="shared" si="251"/>
        <v/>
      </c>
      <c r="M1307" s="1686"/>
    </row>
    <row r="1308" spans="1:13">
      <c r="A1308" s="1655">
        <f t="shared" si="252"/>
        <v>0</v>
      </c>
      <c r="B1308" s="1409"/>
      <c r="C1308" s="1621" t="s">
        <v>4983</v>
      </c>
      <c r="D1308" s="1683"/>
      <c r="E1308" s="1678">
        <f t="shared" si="253"/>
        <v>0</v>
      </c>
      <c r="F1308" s="1687"/>
      <c r="G1308" s="1684"/>
      <c r="H1308" s="1684"/>
      <c r="I1308" s="1684"/>
      <c r="J1308" s="1684"/>
      <c r="K1308" s="1685" t="str">
        <f t="shared" si="250"/>
        <v/>
      </c>
      <c r="L1308" s="1685" t="str">
        <f t="shared" si="251"/>
        <v/>
      </c>
      <c r="M1308" s="1686"/>
    </row>
    <row r="1309" spans="1:13">
      <c r="A1309" s="1655">
        <f t="shared" si="252"/>
        <v>0</v>
      </c>
      <c r="B1309" s="1409"/>
      <c r="C1309" s="1621" t="s">
        <v>4984</v>
      </c>
      <c r="D1309" s="1683"/>
      <c r="E1309" s="1678">
        <f t="shared" si="253"/>
        <v>0</v>
      </c>
      <c r="F1309" s="1687"/>
      <c r="G1309" s="1684"/>
      <c r="H1309" s="1684"/>
      <c r="I1309" s="1684"/>
      <c r="J1309" s="1684"/>
      <c r="K1309" s="1685" t="str">
        <f t="shared" si="250"/>
        <v/>
      </c>
      <c r="L1309" s="1685" t="str">
        <f t="shared" si="251"/>
        <v/>
      </c>
      <c r="M1309" s="1686"/>
    </row>
    <row r="1310" spans="1:13">
      <c r="A1310" s="1655">
        <f t="shared" si="252"/>
        <v>0</v>
      </c>
      <c r="B1310" s="1409"/>
      <c r="C1310" s="1621" t="s">
        <v>4985</v>
      </c>
      <c r="D1310" s="1683"/>
      <c r="E1310" s="1678">
        <f t="shared" si="253"/>
        <v>0</v>
      </c>
      <c r="F1310" s="1687"/>
      <c r="G1310" s="1684"/>
      <c r="H1310" s="1684"/>
      <c r="I1310" s="1684"/>
      <c r="J1310" s="1684"/>
      <c r="K1310" s="1685" t="str">
        <f t="shared" si="250"/>
        <v/>
      </c>
      <c r="L1310" s="1685" t="str">
        <f t="shared" si="251"/>
        <v/>
      </c>
      <c r="M1310" s="1686"/>
    </row>
    <row r="1311" spans="1:13">
      <c r="A1311" s="1655">
        <f t="shared" si="252"/>
        <v>0</v>
      </c>
      <c r="B1311" s="1688"/>
      <c r="C1311" s="1689" t="s">
        <v>4986</v>
      </c>
      <c r="D1311" s="1690"/>
      <c r="E1311" s="1691">
        <f t="shared" si="253"/>
        <v>0</v>
      </c>
      <c r="F1311" s="1692"/>
      <c r="G1311" s="1693"/>
      <c r="H1311" s="1693"/>
      <c r="I1311" s="1693"/>
      <c r="J1311" s="1693"/>
      <c r="K1311" s="1694" t="str">
        <f t="shared" si="250"/>
        <v/>
      </c>
      <c r="L1311" s="1694" t="str">
        <f t="shared" si="251"/>
        <v/>
      </c>
      <c r="M1311" s="1695"/>
    </row>
    <row r="1312" spans="1:13">
      <c r="A1312" s="1674">
        <f>A1286+1</f>
        <v>51</v>
      </c>
      <c r="B1312" s="1675" t="s">
        <v>5050</v>
      </c>
      <c r="C1312" s="1676"/>
      <c r="D1312" s="1677"/>
      <c r="E1312" s="1679">
        <f t="shared" ref="E1312:I1312" si="254">SUM(E1313:E1337)</f>
        <v>0</v>
      </c>
      <c r="F1312" s="1679">
        <f t="shared" si="254"/>
        <v>0</v>
      </c>
      <c r="G1312" s="1679">
        <f t="shared" si="254"/>
        <v>0</v>
      </c>
      <c r="H1312" s="1679">
        <f t="shared" si="254"/>
        <v>0</v>
      </c>
      <c r="I1312" s="1679">
        <f t="shared" si="254"/>
        <v>0</v>
      </c>
      <c r="J1312" s="1679">
        <f>SUM(J1313:J1337)</f>
        <v>0</v>
      </c>
      <c r="K1312" s="1680" t="str">
        <f>IFERROR(E1312/$C$6,"")</f>
        <v/>
      </c>
      <c r="L1312" s="1680" t="str">
        <f>IFERROR(E1312/$C$7,"")</f>
        <v/>
      </c>
      <c r="M1312" s="1681">
        <f>SUM(M1313:M1337)</f>
        <v>0</v>
      </c>
    </row>
    <row r="1313" spans="1:13">
      <c r="A1313" s="1655">
        <f>IF(E1313&lt;&gt;0,1,0)</f>
        <v>0</v>
      </c>
      <c r="B1313" s="1412"/>
      <c r="C1313" s="1621" t="s">
        <v>4962</v>
      </c>
      <c r="D1313" s="1683"/>
      <c r="E1313" s="1678">
        <f>SUM(F1313:J1313)</f>
        <v>0</v>
      </c>
      <c r="F1313" s="1684"/>
      <c r="G1313" s="1684"/>
      <c r="H1313" s="1684"/>
      <c r="I1313" s="1684"/>
      <c r="J1313" s="1684"/>
      <c r="K1313" s="1685" t="str">
        <f t="shared" ref="K1313:K1337" si="255">IFERROR(E1313/$C$6,"")</f>
        <v/>
      </c>
      <c r="L1313" s="1685" t="str">
        <f t="shared" ref="L1313:L1337" si="256">IFERROR(E1313/$C$7,"")</f>
        <v/>
      </c>
      <c r="M1313" s="1686"/>
    </row>
    <row r="1314" spans="1:13">
      <c r="A1314" s="1655">
        <f t="shared" ref="A1314:A1337" si="257">IF(E1314&lt;&gt;0,1,0)</f>
        <v>0</v>
      </c>
      <c r="B1314" s="1409"/>
      <c r="C1314" s="1621" t="s">
        <v>4963</v>
      </c>
      <c r="D1314" s="1683"/>
      <c r="E1314" s="1678">
        <f t="shared" ref="E1314:E1337" si="258">SUM(F1314:J1314)</f>
        <v>0</v>
      </c>
      <c r="F1314" s="1687"/>
      <c r="G1314" s="1684"/>
      <c r="H1314" s="1684"/>
      <c r="I1314" s="1684"/>
      <c r="J1314" s="1684"/>
      <c r="K1314" s="1685" t="str">
        <f t="shared" si="255"/>
        <v/>
      </c>
      <c r="L1314" s="1685" t="str">
        <f t="shared" si="256"/>
        <v/>
      </c>
      <c r="M1314" s="1686"/>
    </row>
    <row r="1315" spans="1:13">
      <c r="A1315" s="1655">
        <f t="shared" si="257"/>
        <v>0</v>
      </c>
      <c r="B1315" s="1409"/>
      <c r="C1315" s="1621" t="s">
        <v>4964</v>
      </c>
      <c r="D1315" s="1683"/>
      <c r="E1315" s="1678">
        <f t="shared" si="258"/>
        <v>0</v>
      </c>
      <c r="F1315" s="1687"/>
      <c r="G1315" s="1684"/>
      <c r="H1315" s="1684"/>
      <c r="I1315" s="1684"/>
      <c r="J1315" s="1684"/>
      <c r="K1315" s="1685" t="str">
        <f t="shared" si="255"/>
        <v/>
      </c>
      <c r="L1315" s="1685" t="str">
        <f t="shared" si="256"/>
        <v/>
      </c>
      <c r="M1315" s="1686"/>
    </row>
    <row r="1316" spans="1:13">
      <c r="A1316" s="1655">
        <f t="shared" si="257"/>
        <v>0</v>
      </c>
      <c r="B1316" s="1409"/>
      <c r="C1316" s="1621" t="s">
        <v>4965</v>
      </c>
      <c r="D1316" s="1683"/>
      <c r="E1316" s="1678">
        <f t="shared" si="258"/>
        <v>0</v>
      </c>
      <c r="F1316" s="1687"/>
      <c r="G1316" s="1684"/>
      <c r="H1316" s="1684"/>
      <c r="I1316" s="1684"/>
      <c r="J1316" s="1684"/>
      <c r="K1316" s="1685" t="str">
        <f t="shared" si="255"/>
        <v/>
      </c>
      <c r="L1316" s="1685" t="str">
        <f t="shared" si="256"/>
        <v/>
      </c>
      <c r="M1316" s="1686"/>
    </row>
    <row r="1317" spans="1:13">
      <c r="A1317" s="1655">
        <f t="shared" si="257"/>
        <v>0</v>
      </c>
      <c r="B1317" s="1409"/>
      <c r="C1317" s="1621" t="s">
        <v>4966</v>
      </c>
      <c r="D1317" s="1683"/>
      <c r="E1317" s="1678">
        <f t="shared" si="258"/>
        <v>0</v>
      </c>
      <c r="F1317" s="1687"/>
      <c r="G1317" s="1684"/>
      <c r="H1317" s="1684"/>
      <c r="I1317" s="1684"/>
      <c r="J1317" s="1684"/>
      <c r="K1317" s="1685" t="str">
        <f t="shared" si="255"/>
        <v/>
      </c>
      <c r="L1317" s="1685" t="str">
        <f t="shared" si="256"/>
        <v/>
      </c>
      <c r="M1317" s="1686"/>
    </row>
    <row r="1318" spans="1:13">
      <c r="A1318" s="1655">
        <f t="shared" si="257"/>
        <v>0</v>
      </c>
      <c r="B1318" s="1409"/>
      <c r="C1318" s="1621" t="s">
        <v>4967</v>
      </c>
      <c r="D1318" s="1683"/>
      <c r="E1318" s="1678">
        <f t="shared" si="258"/>
        <v>0</v>
      </c>
      <c r="F1318" s="1687"/>
      <c r="G1318" s="1684"/>
      <c r="H1318" s="1684"/>
      <c r="I1318" s="1684"/>
      <c r="J1318" s="1684"/>
      <c r="K1318" s="1685" t="str">
        <f t="shared" si="255"/>
        <v/>
      </c>
      <c r="L1318" s="1685" t="str">
        <f t="shared" si="256"/>
        <v/>
      </c>
      <c r="M1318" s="1686"/>
    </row>
    <row r="1319" spans="1:13">
      <c r="A1319" s="1655">
        <f t="shared" si="257"/>
        <v>0</v>
      </c>
      <c r="B1319" s="1409"/>
      <c r="C1319" s="1621" t="s">
        <v>4968</v>
      </c>
      <c r="D1319" s="1683"/>
      <c r="E1319" s="1678">
        <f t="shared" si="258"/>
        <v>0</v>
      </c>
      <c r="F1319" s="1687"/>
      <c r="G1319" s="1684"/>
      <c r="H1319" s="1684"/>
      <c r="I1319" s="1684"/>
      <c r="J1319" s="1684"/>
      <c r="K1319" s="1685" t="str">
        <f t="shared" si="255"/>
        <v/>
      </c>
      <c r="L1319" s="1685" t="str">
        <f t="shared" si="256"/>
        <v/>
      </c>
      <c r="M1319" s="1686"/>
    </row>
    <row r="1320" spans="1:13">
      <c r="A1320" s="1655">
        <f t="shared" si="257"/>
        <v>0</v>
      </c>
      <c r="B1320" s="1409"/>
      <c r="C1320" s="1621" t="s">
        <v>4969</v>
      </c>
      <c r="D1320" s="1683"/>
      <c r="E1320" s="1678">
        <f t="shared" si="258"/>
        <v>0</v>
      </c>
      <c r="F1320" s="1687"/>
      <c r="G1320" s="1684"/>
      <c r="H1320" s="1684"/>
      <c r="I1320" s="1684"/>
      <c r="J1320" s="1684"/>
      <c r="K1320" s="1685" t="str">
        <f t="shared" si="255"/>
        <v/>
      </c>
      <c r="L1320" s="1685" t="str">
        <f t="shared" si="256"/>
        <v/>
      </c>
      <c r="M1320" s="1686"/>
    </row>
    <row r="1321" spans="1:13">
      <c r="A1321" s="1655">
        <f t="shared" si="257"/>
        <v>0</v>
      </c>
      <c r="B1321" s="1409"/>
      <c r="C1321" s="1621" t="s">
        <v>4970</v>
      </c>
      <c r="D1321" s="1683"/>
      <c r="E1321" s="1678">
        <f t="shared" si="258"/>
        <v>0</v>
      </c>
      <c r="F1321" s="1687"/>
      <c r="G1321" s="1684"/>
      <c r="H1321" s="1684"/>
      <c r="I1321" s="1684"/>
      <c r="J1321" s="1684"/>
      <c r="K1321" s="1685" t="str">
        <f t="shared" si="255"/>
        <v/>
      </c>
      <c r="L1321" s="1685" t="str">
        <f t="shared" si="256"/>
        <v/>
      </c>
      <c r="M1321" s="1686"/>
    </row>
    <row r="1322" spans="1:13">
      <c r="A1322" s="1655">
        <f t="shared" si="257"/>
        <v>0</v>
      </c>
      <c r="B1322" s="1409"/>
      <c r="C1322" s="1621" t="s">
        <v>4971</v>
      </c>
      <c r="D1322" s="1683"/>
      <c r="E1322" s="1678">
        <f t="shared" si="258"/>
        <v>0</v>
      </c>
      <c r="F1322" s="1687"/>
      <c r="G1322" s="1684"/>
      <c r="H1322" s="1684"/>
      <c r="I1322" s="1684"/>
      <c r="J1322" s="1684"/>
      <c r="K1322" s="1685" t="str">
        <f t="shared" si="255"/>
        <v/>
      </c>
      <c r="L1322" s="1685" t="str">
        <f t="shared" si="256"/>
        <v/>
      </c>
      <c r="M1322" s="1686"/>
    </row>
    <row r="1323" spans="1:13">
      <c r="A1323" s="1655">
        <f t="shared" si="257"/>
        <v>0</v>
      </c>
      <c r="B1323" s="1409"/>
      <c r="C1323" s="1621" t="s">
        <v>4972</v>
      </c>
      <c r="D1323" s="1683"/>
      <c r="E1323" s="1678">
        <f t="shared" si="258"/>
        <v>0</v>
      </c>
      <c r="F1323" s="1687"/>
      <c r="G1323" s="1684"/>
      <c r="H1323" s="1684"/>
      <c r="I1323" s="1684"/>
      <c r="J1323" s="1684"/>
      <c r="K1323" s="1685" t="str">
        <f t="shared" si="255"/>
        <v/>
      </c>
      <c r="L1323" s="1685" t="str">
        <f t="shared" si="256"/>
        <v/>
      </c>
      <c r="M1323" s="1686"/>
    </row>
    <row r="1324" spans="1:13">
      <c r="A1324" s="1655">
        <f t="shared" si="257"/>
        <v>0</v>
      </c>
      <c r="B1324" s="1412"/>
      <c r="C1324" s="1621" t="s">
        <v>4973</v>
      </c>
      <c r="D1324" s="1683"/>
      <c r="E1324" s="1678">
        <f t="shared" si="258"/>
        <v>0</v>
      </c>
      <c r="F1324" s="1687"/>
      <c r="G1324" s="1684"/>
      <c r="H1324" s="1684"/>
      <c r="I1324" s="1684"/>
      <c r="J1324" s="1684"/>
      <c r="K1324" s="1685" t="str">
        <f t="shared" si="255"/>
        <v/>
      </c>
      <c r="L1324" s="1685" t="str">
        <f t="shared" si="256"/>
        <v/>
      </c>
      <c r="M1324" s="1686"/>
    </row>
    <row r="1325" spans="1:13">
      <c r="A1325" s="1655">
        <f t="shared" si="257"/>
        <v>0</v>
      </c>
      <c r="B1325" s="1412"/>
      <c r="C1325" s="1621" t="s">
        <v>4974</v>
      </c>
      <c r="D1325" s="1683"/>
      <c r="E1325" s="1678">
        <f t="shared" si="258"/>
        <v>0</v>
      </c>
      <c r="F1325" s="1687"/>
      <c r="G1325" s="1684"/>
      <c r="H1325" s="1684"/>
      <c r="I1325" s="1684"/>
      <c r="J1325" s="1684"/>
      <c r="K1325" s="1685" t="str">
        <f t="shared" si="255"/>
        <v/>
      </c>
      <c r="L1325" s="1685" t="str">
        <f t="shared" si="256"/>
        <v/>
      </c>
      <c r="M1325" s="1686"/>
    </row>
    <row r="1326" spans="1:13">
      <c r="A1326" s="1655">
        <f t="shared" si="257"/>
        <v>0</v>
      </c>
      <c r="B1326" s="1409"/>
      <c r="C1326" s="1621" t="s">
        <v>4975</v>
      </c>
      <c r="D1326" s="1683"/>
      <c r="E1326" s="1678">
        <f t="shared" si="258"/>
        <v>0</v>
      </c>
      <c r="F1326" s="1687"/>
      <c r="G1326" s="1684"/>
      <c r="H1326" s="1684"/>
      <c r="I1326" s="1684"/>
      <c r="J1326" s="1684"/>
      <c r="K1326" s="1685" t="str">
        <f t="shared" si="255"/>
        <v/>
      </c>
      <c r="L1326" s="1685" t="str">
        <f t="shared" si="256"/>
        <v/>
      </c>
      <c r="M1326" s="1686"/>
    </row>
    <row r="1327" spans="1:13">
      <c r="A1327" s="1655">
        <f t="shared" si="257"/>
        <v>0</v>
      </c>
      <c r="B1327" s="1409"/>
      <c r="C1327" s="1621" t="s">
        <v>4976</v>
      </c>
      <c r="D1327" s="1683"/>
      <c r="E1327" s="1678">
        <f t="shared" si="258"/>
        <v>0</v>
      </c>
      <c r="F1327" s="1687"/>
      <c r="G1327" s="1684"/>
      <c r="H1327" s="1684"/>
      <c r="I1327" s="1684"/>
      <c r="J1327" s="1684"/>
      <c r="K1327" s="1685" t="str">
        <f t="shared" si="255"/>
        <v/>
      </c>
      <c r="L1327" s="1685" t="str">
        <f t="shared" si="256"/>
        <v/>
      </c>
      <c r="M1327" s="1686"/>
    </row>
    <row r="1328" spans="1:13">
      <c r="A1328" s="1655">
        <f t="shared" si="257"/>
        <v>0</v>
      </c>
      <c r="B1328" s="1409"/>
      <c r="C1328" s="1621" t="s">
        <v>4977</v>
      </c>
      <c r="D1328" s="1683"/>
      <c r="E1328" s="1678">
        <f t="shared" si="258"/>
        <v>0</v>
      </c>
      <c r="F1328" s="1687"/>
      <c r="G1328" s="1684"/>
      <c r="H1328" s="1684"/>
      <c r="I1328" s="1684"/>
      <c r="J1328" s="1684"/>
      <c r="K1328" s="1685" t="str">
        <f t="shared" si="255"/>
        <v/>
      </c>
      <c r="L1328" s="1685" t="str">
        <f t="shared" si="256"/>
        <v/>
      </c>
      <c r="M1328" s="1686"/>
    </row>
    <row r="1329" spans="1:13">
      <c r="A1329" s="1655">
        <f t="shared" si="257"/>
        <v>0</v>
      </c>
      <c r="B1329" s="1409"/>
      <c r="C1329" s="1621" t="s">
        <v>4978</v>
      </c>
      <c r="D1329" s="1683"/>
      <c r="E1329" s="1678">
        <f t="shared" si="258"/>
        <v>0</v>
      </c>
      <c r="F1329" s="1687"/>
      <c r="G1329" s="1684"/>
      <c r="H1329" s="1684"/>
      <c r="I1329" s="1684"/>
      <c r="J1329" s="1684"/>
      <c r="K1329" s="1685" t="str">
        <f t="shared" si="255"/>
        <v/>
      </c>
      <c r="L1329" s="1685" t="str">
        <f t="shared" si="256"/>
        <v/>
      </c>
      <c r="M1329" s="1686"/>
    </row>
    <row r="1330" spans="1:13">
      <c r="A1330" s="1655">
        <f t="shared" si="257"/>
        <v>0</v>
      </c>
      <c r="B1330" s="1409"/>
      <c r="C1330" s="1621" t="s">
        <v>4979</v>
      </c>
      <c r="D1330" s="1683"/>
      <c r="E1330" s="1678">
        <f t="shared" si="258"/>
        <v>0</v>
      </c>
      <c r="F1330" s="1687"/>
      <c r="G1330" s="1684"/>
      <c r="H1330" s="1684"/>
      <c r="I1330" s="1684"/>
      <c r="J1330" s="1684"/>
      <c r="K1330" s="1685" t="str">
        <f t="shared" si="255"/>
        <v/>
      </c>
      <c r="L1330" s="1685" t="str">
        <f t="shared" si="256"/>
        <v/>
      </c>
      <c r="M1330" s="1686"/>
    </row>
    <row r="1331" spans="1:13">
      <c r="A1331" s="1655">
        <f t="shared" si="257"/>
        <v>0</v>
      </c>
      <c r="B1331" s="1409"/>
      <c r="C1331" s="1621" t="s">
        <v>4980</v>
      </c>
      <c r="D1331" s="1683"/>
      <c r="E1331" s="1678">
        <f t="shared" si="258"/>
        <v>0</v>
      </c>
      <c r="F1331" s="1687"/>
      <c r="G1331" s="1684"/>
      <c r="H1331" s="1684"/>
      <c r="I1331" s="1684"/>
      <c r="J1331" s="1684"/>
      <c r="K1331" s="1685" t="str">
        <f t="shared" si="255"/>
        <v/>
      </c>
      <c r="L1331" s="1685" t="str">
        <f t="shared" si="256"/>
        <v/>
      </c>
      <c r="M1331" s="1686"/>
    </row>
    <row r="1332" spans="1:13">
      <c r="A1332" s="1655">
        <f t="shared" si="257"/>
        <v>0</v>
      </c>
      <c r="B1332" s="1409"/>
      <c r="C1332" s="1621" t="s">
        <v>4981</v>
      </c>
      <c r="D1332" s="1683"/>
      <c r="E1332" s="1678">
        <f t="shared" si="258"/>
        <v>0</v>
      </c>
      <c r="F1332" s="1687"/>
      <c r="G1332" s="1684"/>
      <c r="H1332" s="1684"/>
      <c r="I1332" s="1684"/>
      <c r="J1332" s="1684"/>
      <c r="K1332" s="1685" t="str">
        <f t="shared" si="255"/>
        <v/>
      </c>
      <c r="L1332" s="1685" t="str">
        <f t="shared" si="256"/>
        <v/>
      </c>
      <c r="M1332" s="1686"/>
    </row>
    <row r="1333" spans="1:13">
      <c r="A1333" s="1655">
        <f t="shared" si="257"/>
        <v>0</v>
      </c>
      <c r="B1333" s="1409"/>
      <c r="C1333" s="1621" t="s">
        <v>4982</v>
      </c>
      <c r="D1333" s="1683"/>
      <c r="E1333" s="1678">
        <f t="shared" si="258"/>
        <v>0</v>
      </c>
      <c r="F1333" s="1687"/>
      <c r="G1333" s="1684"/>
      <c r="H1333" s="1684"/>
      <c r="I1333" s="1684"/>
      <c r="J1333" s="1684"/>
      <c r="K1333" s="1685" t="str">
        <f t="shared" si="255"/>
        <v/>
      </c>
      <c r="L1333" s="1685" t="str">
        <f t="shared" si="256"/>
        <v/>
      </c>
      <c r="M1333" s="1686"/>
    </row>
    <row r="1334" spans="1:13">
      <c r="A1334" s="1655">
        <f t="shared" si="257"/>
        <v>0</v>
      </c>
      <c r="B1334" s="1409"/>
      <c r="C1334" s="1621" t="s">
        <v>4983</v>
      </c>
      <c r="D1334" s="1683"/>
      <c r="E1334" s="1678">
        <f t="shared" si="258"/>
        <v>0</v>
      </c>
      <c r="F1334" s="1687"/>
      <c r="G1334" s="1684"/>
      <c r="H1334" s="1684"/>
      <c r="I1334" s="1684"/>
      <c r="J1334" s="1684"/>
      <c r="K1334" s="1685" t="str">
        <f t="shared" si="255"/>
        <v/>
      </c>
      <c r="L1334" s="1685" t="str">
        <f t="shared" si="256"/>
        <v/>
      </c>
      <c r="M1334" s="1686"/>
    </row>
    <row r="1335" spans="1:13">
      <c r="A1335" s="1655">
        <f t="shared" si="257"/>
        <v>0</v>
      </c>
      <c r="B1335" s="1409"/>
      <c r="C1335" s="1621" t="s">
        <v>4984</v>
      </c>
      <c r="D1335" s="1683"/>
      <c r="E1335" s="1678">
        <f t="shared" si="258"/>
        <v>0</v>
      </c>
      <c r="F1335" s="1687"/>
      <c r="G1335" s="1684"/>
      <c r="H1335" s="1684"/>
      <c r="I1335" s="1684"/>
      <c r="J1335" s="1684"/>
      <c r="K1335" s="1685" t="str">
        <f t="shared" si="255"/>
        <v/>
      </c>
      <c r="L1335" s="1685" t="str">
        <f t="shared" si="256"/>
        <v/>
      </c>
      <c r="M1335" s="1686"/>
    </row>
    <row r="1336" spans="1:13">
      <c r="A1336" s="1655">
        <f t="shared" si="257"/>
        <v>0</v>
      </c>
      <c r="B1336" s="1409"/>
      <c r="C1336" s="1621" t="s">
        <v>4985</v>
      </c>
      <c r="D1336" s="1683"/>
      <c r="E1336" s="1678">
        <f t="shared" si="258"/>
        <v>0</v>
      </c>
      <c r="F1336" s="1687"/>
      <c r="G1336" s="1684"/>
      <c r="H1336" s="1684"/>
      <c r="I1336" s="1684"/>
      <c r="J1336" s="1684"/>
      <c r="K1336" s="1685" t="str">
        <f t="shared" si="255"/>
        <v/>
      </c>
      <c r="L1336" s="1685" t="str">
        <f t="shared" si="256"/>
        <v/>
      </c>
      <c r="M1336" s="1686"/>
    </row>
    <row r="1337" spans="1:13">
      <c r="A1337" s="1655">
        <f t="shared" si="257"/>
        <v>0</v>
      </c>
      <c r="B1337" s="1688"/>
      <c r="C1337" s="1689" t="s">
        <v>4986</v>
      </c>
      <c r="D1337" s="1690"/>
      <c r="E1337" s="1691">
        <f t="shared" si="258"/>
        <v>0</v>
      </c>
      <c r="F1337" s="1692"/>
      <c r="G1337" s="1693"/>
      <c r="H1337" s="1693"/>
      <c r="I1337" s="1693"/>
      <c r="J1337" s="1693"/>
      <c r="K1337" s="1694" t="str">
        <f t="shared" si="255"/>
        <v/>
      </c>
      <c r="L1337" s="1694" t="str">
        <f t="shared" si="256"/>
        <v/>
      </c>
      <c r="M1337" s="1695"/>
    </row>
    <row r="1338" spans="1:13">
      <c r="A1338" s="1674">
        <f>A1312+1</f>
        <v>52</v>
      </c>
      <c r="B1338" s="1675" t="s">
        <v>5050</v>
      </c>
      <c r="C1338" s="1676"/>
      <c r="D1338" s="1677"/>
      <c r="E1338" s="1679">
        <f t="shared" ref="E1338:I1338" si="259">SUM(E1339:E1363)</f>
        <v>0</v>
      </c>
      <c r="F1338" s="1679">
        <f t="shared" si="259"/>
        <v>0</v>
      </c>
      <c r="G1338" s="1679">
        <f t="shared" si="259"/>
        <v>0</v>
      </c>
      <c r="H1338" s="1679">
        <f t="shared" si="259"/>
        <v>0</v>
      </c>
      <c r="I1338" s="1679">
        <f t="shared" si="259"/>
        <v>0</v>
      </c>
      <c r="J1338" s="1679">
        <f>SUM(J1339:J1363)</f>
        <v>0</v>
      </c>
      <c r="K1338" s="1680" t="str">
        <f>IFERROR(E1338/$C$6,"")</f>
        <v/>
      </c>
      <c r="L1338" s="1680" t="str">
        <f>IFERROR(E1338/$C$7,"")</f>
        <v/>
      </c>
      <c r="M1338" s="1681">
        <f>SUM(M1339:M1363)</f>
        <v>0</v>
      </c>
    </row>
    <row r="1339" spans="1:13">
      <c r="A1339" s="1655">
        <f>IF(E1339&lt;&gt;0,1,0)</f>
        <v>0</v>
      </c>
      <c r="B1339" s="1412"/>
      <c r="C1339" s="1621" t="s">
        <v>4962</v>
      </c>
      <c r="D1339" s="1683"/>
      <c r="E1339" s="1678">
        <f>SUM(F1339:J1339)</f>
        <v>0</v>
      </c>
      <c r="F1339" s="1684"/>
      <c r="G1339" s="1684"/>
      <c r="H1339" s="1684"/>
      <c r="I1339" s="1684"/>
      <c r="J1339" s="1684"/>
      <c r="K1339" s="1685" t="str">
        <f t="shared" ref="K1339:K1363" si="260">IFERROR(E1339/$C$6,"")</f>
        <v/>
      </c>
      <c r="L1339" s="1685" t="str">
        <f t="shared" ref="L1339:L1363" si="261">IFERROR(E1339/$C$7,"")</f>
        <v/>
      </c>
      <c r="M1339" s="1686"/>
    </row>
    <row r="1340" spans="1:13">
      <c r="A1340" s="1655">
        <f t="shared" ref="A1340:A1363" si="262">IF(E1340&lt;&gt;0,1,0)</f>
        <v>0</v>
      </c>
      <c r="B1340" s="1409"/>
      <c r="C1340" s="1621" t="s">
        <v>4963</v>
      </c>
      <c r="D1340" s="1683"/>
      <c r="E1340" s="1678">
        <f t="shared" ref="E1340:E1363" si="263">SUM(F1340:J1340)</f>
        <v>0</v>
      </c>
      <c r="F1340" s="1687"/>
      <c r="G1340" s="1684"/>
      <c r="H1340" s="1684"/>
      <c r="I1340" s="1684"/>
      <c r="J1340" s="1684"/>
      <c r="K1340" s="1685" t="str">
        <f t="shared" si="260"/>
        <v/>
      </c>
      <c r="L1340" s="1685" t="str">
        <f t="shared" si="261"/>
        <v/>
      </c>
      <c r="M1340" s="1686"/>
    </row>
    <row r="1341" spans="1:13">
      <c r="A1341" s="1655">
        <f t="shared" si="262"/>
        <v>0</v>
      </c>
      <c r="B1341" s="1409"/>
      <c r="C1341" s="1621" t="s">
        <v>4964</v>
      </c>
      <c r="D1341" s="1683"/>
      <c r="E1341" s="1678">
        <f t="shared" si="263"/>
        <v>0</v>
      </c>
      <c r="F1341" s="1687"/>
      <c r="G1341" s="1684"/>
      <c r="H1341" s="1684"/>
      <c r="I1341" s="1684"/>
      <c r="J1341" s="1684"/>
      <c r="K1341" s="1685" t="str">
        <f t="shared" si="260"/>
        <v/>
      </c>
      <c r="L1341" s="1685" t="str">
        <f t="shared" si="261"/>
        <v/>
      </c>
      <c r="M1341" s="1686"/>
    </row>
    <row r="1342" spans="1:13">
      <c r="A1342" s="1655">
        <f t="shared" si="262"/>
        <v>0</v>
      </c>
      <c r="B1342" s="1409"/>
      <c r="C1342" s="1621" t="s">
        <v>4965</v>
      </c>
      <c r="D1342" s="1683"/>
      <c r="E1342" s="1678">
        <f t="shared" si="263"/>
        <v>0</v>
      </c>
      <c r="F1342" s="1687"/>
      <c r="G1342" s="1684"/>
      <c r="H1342" s="1684"/>
      <c r="I1342" s="1684"/>
      <c r="J1342" s="1684"/>
      <c r="K1342" s="1685" t="str">
        <f t="shared" si="260"/>
        <v/>
      </c>
      <c r="L1342" s="1685" t="str">
        <f t="shared" si="261"/>
        <v/>
      </c>
      <c r="M1342" s="1686"/>
    </row>
    <row r="1343" spans="1:13">
      <c r="A1343" s="1655">
        <f t="shared" si="262"/>
        <v>0</v>
      </c>
      <c r="B1343" s="1409"/>
      <c r="C1343" s="1621" t="s">
        <v>4966</v>
      </c>
      <c r="D1343" s="1683"/>
      <c r="E1343" s="1678">
        <f t="shared" si="263"/>
        <v>0</v>
      </c>
      <c r="F1343" s="1687"/>
      <c r="G1343" s="1684"/>
      <c r="H1343" s="1684"/>
      <c r="I1343" s="1684"/>
      <c r="J1343" s="1684"/>
      <c r="K1343" s="1685" t="str">
        <f t="shared" si="260"/>
        <v/>
      </c>
      <c r="L1343" s="1685" t="str">
        <f t="shared" si="261"/>
        <v/>
      </c>
      <c r="M1343" s="1686"/>
    </row>
    <row r="1344" spans="1:13">
      <c r="A1344" s="1655">
        <f t="shared" si="262"/>
        <v>0</v>
      </c>
      <c r="B1344" s="1409"/>
      <c r="C1344" s="1621" t="s">
        <v>4967</v>
      </c>
      <c r="D1344" s="1683"/>
      <c r="E1344" s="1678">
        <f t="shared" si="263"/>
        <v>0</v>
      </c>
      <c r="F1344" s="1687"/>
      <c r="G1344" s="1684"/>
      <c r="H1344" s="1684"/>
      <c r="I1344" s="1684"/>
      <c r="J1344" s="1684"/>
      <c r="K1344" s="1685" t="str">
        <f t="shared" si="260"/>
        <v/>
      </c>
      <c r="L1344" s="1685" t="str">
        <f t="shared" si="261"/>
        <v/>
      </c>
      <c r="M1344" s="1686"/>
    </row>
    <row r="1345" spans="1:13">
      <c r="A1345" s="1655">
        <f t="shared" si="262"/>
        <v>0</v>
      </c>
      <c r="B1345" s="1409"/>
      <c r="C1345" s="1621" t="s">
        <v>4968</v>
      </c>
      <c r="D1345" s="1683"/>
      <c r="E1345" s="1678">
        <f t="shared" si="263"/>
        <v>0</v>
      </c>
      <c r="F1345" s="1687"/>
      <c r="G1345" s="1684"/>
      <c r="H1345" s="1684"/>
      <c r="I1345" s="1684"/>
      <c r="J1345" s="1684"/>
      <c r="K1345" s="1685" t="str">
        <f t="shared" si="260"/>
        <v/>
      </c>
      <c r="L1345" s="1685" t="str">
        <f t="shared" si="261"/>
        <v/>
      </c>
      <c r="M1345" s="1686"/>
    </row>
    <row r="1346" spans="1:13">
      <c r="A1346" s="1655">
        <f t="shared" si="262"/>
        <v>0</v>
      </c>
      <c r="B1346" s="1409"/>
      <c r="C1346" s="1621" t="s">
        <v>4969</v>
      </c>
      <c r="D1346" s="1683"/>
      <c r="E1346" s="1678">
        <f t="shared" si="263"/>
        <v>0</v>
      </c>
      <c r="F1346" s="1687"/>
      <c r="G1346" s="1684"/>
      <c r="H1346" s="1684"/>
      <c r="I1346" s="1684"/>
      <c r="J1346" s="1684"/>
      <c r="K1346" s="1685" t="str">
        <f t="shared" si="260"/>
        <v/>
      </c>
      <c r="L1346" s="1685" t="str">
        <f t="shared" si="261"/>
        <v/>
      </c>
      <c r="M1346" s="1686"/>
    </row>
    <row r="1347" spans="1:13">
      <c r="A1347" s="1655">
        <f t="shared" si="262"/>
        <v>0</v>
      </c>
      <c r="B1347" s="1409"/>
      <c r="C1347" s="1621" t="s">
        <v>4970</v>
      </c>
      <c r="D1347" s="1683"/>
      <c r="E1347" s="1678">
        <f t="shared" si="263"/>
        <v>0</v>
      </c>
      <c r="F1347" s="1687"/>
      <c r="G1347" s="1684"/>
      <c r="H1347" s="1684"/>
      <c r="I1347" s="1684"/>
      <c r="J1347" s="1684"/>
      <c r="K1347" s="1685" t="str">
        <f t="shared" si="260"/>
        <v/>
      </c>
      <c r="L1347" s="1685" t="str">
        <f t="shared" si="261"/>
        <v/>
      </c>
      <c r="M1347" s="1686"/>
    </row>
    <row r="1348" spans="1:13">
      <c r="A1348" s="1655">
        <f t="shared" si="262"/>
        <v>0</v>
      </c>
      <c r="B1348" s="1409"/>
      <c r="C1348" s="1621" t="s">
        <v>4971</v>
      </c>
      <c r="D1348" s="1683"/>
      <c r="E1348" s="1678">
        <f t="shared" si="263"/>
        <v>0</v>
      </c>
      <c r="F1348" s="1687"/>
      <c r="G1348" s="1684"/>
      <c r="H1348" s="1684"/>
      <c r="I1348" s="1684"/>
      <c r="J1348" s="1684"/>
      <c r="K1348" s="1685" t="str">
        <f t="shared" si="260"/>
        <v/>
      </c>
      <c r="L1348" s="1685" t="str">
        <f t="shared" si="261"/>
        <v/>
      </c>
      <c r="M1348" s="1686"/>
    </row>
    <row r="1349" spans="1:13">
      <c r="A1349" s="1655">
        <f t="shared" si="262"/>
        <v>0</v>
      </c>
      <c r="B1349" s="1409"/>
      <c r="C1349" s="1621" t="s">
        <v>4972</v>
      </c>
      <c r="D1349" s="1683"/>
      <c r="E1349" s="1678">
        <f t="shared" si="263"/>
        <v>0</v>
      </c>
      <c r="F1349" s="1687"/>
      <c r="G1349" s="1684"/>
      <c r="H1349" s="1684"/>
      <c r="I1349" s="1684"/>
      <c r="J1349" s="1684"/>
      <c r="K1349" s="1685" t="str">
        <f t="shared" si="260"/>
        <v/>
      </c>
      <c r="L1349" s="1685" t="str">
        <f t="shared" si="261"/>
        <v/>
      </c>
      <c r="M1349" s="1686"/>
    </row>
    <row r="1350" spans="1:13">
      <c r="A1350" s="1655">
        <f t="shared" si="262"/>
        <v>0</v>
      </c>
      <c r="B1350" s="1412"/>
      <c r="C1350" s="1621" t="s">
        <v>4973</v>
      </c>
      <c r="D1350" s="1683"/>
      <c r="E1350" s="1678">
        <f t="shared" si="263"/>
        <v>0</v>
      </c>
      <c r="F1350" s="1687"/>
      <c r="G1350" s="1684"/>
      <c r="H1350" s="1684"/>
      <c r="I1350" s="1684"/>
      <c r="J1350" s="1684"/>
      <c r="K1350" s="1685" t="str">
        <f t="shared" si="260"/>
        <v/>
      </c>
      <c r="L1350" s="1685" t="str">
        <f t="shared" si="261"/>
        <v/>
      </c>
      <c r="M1350" s="1686"/>
    </row>
    <row r="1351" spans="1:13">
      <c r="A1351" s="1655">
        <f t="shared" si="262"/>
        <v>0</v>
      </c>
      <c r="B1351" s="1412"/>
      <c r="C1351" s="1621" t="s">
        <v>4974</v>
      </c>
      <c r="D1351" s="1683"/>
      <c r="E1351" s="1678">
        <f t="shared" si="263"/>
        <v>0</v>
      </c>
      <c r="F1351" s="1687"/>
      <c r="G1351" s="1684"/>
      <c r="H1351" s="1684"/>
      <c r="I1351" s="1684"/>
      <c r="J1351" s="1684"/>
      <c r="K1351" s="1685" t="str">
        <f t="shared" si="260"/>
        <v/>
      </c>
      <c r="L1351" s="1685" t="str">
        <f t="shared" si="261"/>
        <v/>
      </c>
      <c r="M1351" s="1686"/>
    </row>
    <row r="1352" spans="1:13">
      <c r="A1352" s="1655">
        <f t="shared" si="262"/>
        <v>0</v>
      </c>
      <c r="B1352" s="1409"/>
      <c r="C1352" s="1621" t="s">
        <v>4975</v>
      </c>
      <c r="D1352" s="1683"/>
      <c r="E1352" s="1678">
        <f t="shared" si="263"/>
        <v>0</v>
      </c>
      <c r="F1352" s="1687"/>
      <c r="G1352" s="1684"/>
      <c r="H1352" s="1684"/>
      <c r="I1352" s="1684"/>
      <c r="J1352" s="1684"/>
      <c r="K1352" s="1685" t="str">
        <f t="shared" si="260"/>
        <v/>
      </c>
      <c r="L1352" s="1685" t="str">
        <f t="shared" si="261"/>
        <v/>
      </c>
      <c r="M1352" s="1686"/>
    </row>
    <row r="1353" spans="1:13">
      <c r="A1353" s="1655">
        <f t="shared" si="262"/>
        <v>0</v>
      </c>
      <c r="B1353" s="1409"/>
      <c r="C1353" s="1621" t="s">
        <v>4976</v>
      </c>
      <c r="D1353" s="1683"/>
      <c r="E1353" s="1678">
        <f t="shared" si="263"/>
        <v>0</v>
      </c>
      <c r="F1353" s="1687"/>
      <c r="G1353" s="1684"/>
      <c r="H1353" s="1684"/>
      <c r="I1353" s="1684"/>
      <c r="J1353" s="1684"/>
      <c r="K1353" s="1685" t="str">
        <f t="shared" si="260"/>
        <v/>
      </c>
      <c r="L1353" s="1685" t="str">
        <f t="shared" si="261"/>
        <v/>
      </c>
      <c r="M1353" s="1686"/>
    </row>
    <row r="1354" spans="1:13">
      <c r="A1354" s="1655">
        <f t="shared" si="262"/>
        <v>0</v>
      </c>
      <c r="B1354" s="1409"/>
      <c r="C1354" s="1621" t="s">
        <v>4977</v>
      </c>
      <c r="D1354" s="1683"/>
      <c r="E1354" s="1678">
        <f t="shared" si="263"/>
        <v>0</v>
      </c>
      <c r="F1354" s="1687"/>
      <c r="G1354" s="1684"/>
      <c r="H1354" s="1684"/>
      <c r="I1354" s="1684"/>
      <c r="J1354" s="1684"/>
      <c r="K1354" s="1685" t="str">
        <f t="shared" si="260"/>
        <v/>
      </c>
      <c r="L1354" s="1685" t="str">
        <f t="shared" si="261"/>
        <v/>
      </c>
      <c r="M1354" s="1686"/>
    </row>
    <row r="1355" spans="1:13">
      <c r="A1355" s="1655">
        <f t="shared" si="262"/>
        <v>0</v>
      </c>
      <c r="B1355" s="1409"/>
      <c r="C1355" s="1621" t="s">
        <v>4978</v>
      </c>
      <c r="D1355" s="1683"/>
      <c r="E1355" s="1678">
        <f t="shared" si="263"/>
        <v>0</v>
      </c>
      <c r="F1355" s="1687"/>
      <c r="G1355" s="1684"/>
      <c r="H1355" s="1684"/>
      <c r="I1355" s="1684"/>
      <c r="J1355" s="1684"/>
      <c r="K1355" s="1685" t="str">
        <f t="shared" si="260"/>
        <v/>
      </c>
      <c r="L1355" s="1685" t="str">
        <f t="shared" si="261"/>
        <v/>
      </c>
      <c r="M1355" s="1686"/>
    </row>
    <row r="1356" spans="1:13">
      <c r="A1356" s="1655">
        <f t="shared" si="262"/>
        <v>0</v>
      </c>
      <c r="B1356" s="1409"/>
      <c r="C1356" s="1621" t="s">
        <v>4979</v>
      </c>
      <c r="D1356" s="1683"/>
      <c r="E1356" s="1678">
        <f t="shared" si="263"/>
        <v>0</v>
      </c>
      <c r="F1356" s="1687"/>
      <c r="G1356" s="1684"/>
      <c r="H1356" s="1684"/>
      <c r="I1356" s="1684"/>
      <c r="J1356" s="1684"/>
      <c r="K1356" s="1685" t="str">
        <f t="shared" si="260"/>
        <v/>
      </c>
      <c r="L1356" s="1685" t="str">
        <f t="shared" si="261"/>
        <v/>
      </c>
      <c r="M1356" s="1686"/>
    </row>
    <row r="1357" spans="1:13">
      <c r="A1357" s="1655">
        <f t="shared" si="262"/>
        <v>0</v>
      </c>
      <c r="B1357" s="1409"/>
      <c r="C1357" s="1621" t="s">
        <v>4980</v>
      </c>
      <c r="D1357" s="1683"/>
      <c r="E1357" s="1678">
        <f t="shared" si="263"/>
        <v>0</v>
      </c>
      <c r="F1357" s="1687"/>
      <c r="G1357" s="1684"/>
      <c r="H1357" s="1684"/>
      <c r="I1357" s="1684"/>
      <c r="J1357" s="1684"/>
      <c r="K1357" s="1685" t="str">
        <f t="shared" si="260"/>
        <v/>
      </c>
      <c r="L1357" s="1685" t="str">
        <f t="shared" si="261"/>
        <v/>
      </c>
      <c r="M1357" s="1686"/>
    </row>
    <row r="1358" spans="1:13">
      <c r="A1358" s="1655">
        <f t="shared" si="262"/>
        <v>0</v>
      </c>
      <c r="B1358" s="1409"/>
      <c r="C1358" s="1621" t="s">
        <v>4981</v>
      </c>
      <c r="D1358" s="1683"/>
      <c r="E1358" s="1678">
        <f t="shared" si="263"/>
        <v>0</v>
      </c>
      <c r="F1358" s="1687"/>
      <c r="G1358" s="1684"/>
      <c r="H1358" s="1684"/>
      <c r="I1358" s="1684"/>
      <c r="J1358" s="1684"/>
      <c r="K1358" s="1685" t="str">
        <f t="shared" si="260"/>
        <v/>
      </c>
      <c r="L1358" s="1685" t="str">
        <f t="shared" si="261"/>
        <v/>
      </c>
      <c r="M1358" s="1686"/>
    </row>
    <row r="1359" spans="1:13">
      <c r="A1359" s="1655">
        <f t="shared" si="262"/>
        <v>0</v>
      </c>
      <c r="B1359" s="1409"/>
      <c r="C1359" s="1621" t="s">
        <v>4982</v>
      </c>
      <c r="D1359" s="1683"/>
      <c r="E1359" s="1678">
        <f t="shared" si="263"/>
        <v>0</v>
      </c>
      <c r="F1359" s="1687"/>
      <c r="G1359" s="1684"/>
      <c r="H1359" s="1684"/>
      <c r="I1359" s="1684"/>
      <c r="J1359" s="1684"/>
      <c r="K1359" s="1685" t="str">
        <f t="shared" si="260"/>
        <v/>
      </c>
      <c r="L1359" s="1685" t="str">
        <f t="shared" si="261"/>
        <v/>
      </c>
      <c r="M1359" s="1686"/>
    </row>
    <row r="1360" spans="1:13">
      <c r="A1360" s="1655">
        <f t="shared" si="262"/>
        <v>0</v>
      </c>
      <c r="B1360" s="1409"/>
      <c r="C1360" s="1621" t="s">
        <v>4983</v>
      </c>
      <c r="D1360" s="1683"/>
      <c r="E1360" s="1678">
        <f t="shared" si="263"/>
        <v>0</v>
      </c>
      <c r="F1360" s="1687"/>
      <c r="G1360" s="1684"/>
      <c r="H1360" s="1684"/>
      <c r="I1360" s="1684"/>
      <c r="J1360" s="1684"/>
      <c r="K1360" s="1685" t="str">
        <f t="shared" si="260"/>
        <v/>
      </c>
      <c r="L1360" s="1685" t="str">
        <f t="shared" si="261"/>
        <v/>
      </c>
      <c r="M1360" s="1686"/>
    </row>
    <row r="1361" spans="1:13">
      <c r="A1361" s="1655">
        <f t="shared" si="262"/>
        <v>0</v>
      </c>
      <c r="B1361" s="1409"/>
      <c r="C1361" s="1621" t="s">
        <v>4984</v>
      </c>
      <c r="D1361" s="1683"/>
      <c r="E1361" s="1678">
        <f t="shared" si="263"/>
        <v>0</v>
      </c>
      <c r="F1361" s="1687"/>
      <c r="G1361" s="1684"/>
      <c r="H1361" s="1684"/>
      <c r="I1361" s="1684"/>
      <c r="J1361" s="1684"/>
      <c r="K1361" s="1685" t="str">
        <f t="shared" si="260"/>
        <v/>
      </c>
      <c r="L1361" s="1685" t="str">
        <f t="shared" si="261"/>
        <v/>
      </c>
      <c r="M1361" s="1686"/>
    </row>
    <row r="1362" spans="1:13">
      <c r="A1362" s="1655">
        <f t="shared" si="262"/>
        <v>0</v>
      </c>
      <c r="B1362" s="1409"/>
      <c r="C1362" s="1621" t="s">
        <v>4985</v>
      </c>
      <c r="D1362" s="1683"/>
      <c r="E1362" s="1678">
        <f t="shared" si="263"/>
        <v>0</v>
      </c>
      <c r="F1362" s="1687"/>
      <c r="G1362" s="1684"/>
      <c r="H1362" s="1684"/>
      <c r="I1362" s="1684"/>
      <c r="J1362" s="1684"/>
      <c r="K1362" s="1685" t="str">
        <f t="shared" si="260"/>
        <v/>
      </c>
      <c r="L1362" s="1685" t="str">
        <f t="shared" si="261"/>
        <v/>
      </c>
      <c r="M1362" s="1686"/>
    </row>
    <row r="1363" spans="1:13">
      <c r="A1363" s="1655">
        <f t="shared" si="262"/>
        <v>0</v>
      </c>
      <c r="B1363" s="1688"/>
      <c r="C1363" s="1689" t="s">
        <v>4986</v>
      </c>
      <c r="D1363" s="1690"/>
      <c r="E1363" s="1691">
        <f t="shared" si="263"/>
        <v>0</v>
      </c>
      <c r="F1363" s="1692"/>
      <c r="G1363" s="1693"/>
      <c r="H1363" s="1693"/>
      <c r="I1363" s="1693"/>
      <c r="J1363" s="1693"/>
      <c r="K1363" s="1694" t="str">
        <f t="shared" si="260"/>
        <v/>
      </c>
      <c r="L1363" s="1694" t="str">
        <f t="shared" si="261"/>
        <v/>
      </c>
      <c r="M1363" s="1695"/>
    </row>
    <row r="1364" spans="1:13">
      <c r="A1364" s="1674">
        <f>A1338+1</f>
        <v>53</v>
      </c>
      <c r="B1364" s="1675" t="s">
        <v>5050</v>
      </c>
      <c r="C1364" s="1676"/>
      <c r="D1364" s="1677"/>
      <c r="E1364" s="1679">
        <f t="shared" ref="E1364:I1364" si="264">SUM(E1365:E1389)</f>
        <v>0</v>
      </c>
      <c r="F1364" s="1679">
        <f t="shared" si="264"/>
        <v>0</v>
      </c>
      <c r="G1364" s="1679">
        <f t="shared" si="264"/>
        <v>0</v>
      </c>
      <c r="H1364" s="1679">
        <f t="shared" si="264"/>
        <v>0</v>
      </c>
      <c r="I1364" s="1679">
        <f t="shared" si="264"/>
        <v>0</v>
      </c>
      <c r="J1364" s="1679">
        <f>SUM(J1365:J1389)</f>
        <v>0</v>
      </c>
      <c r="K1364" s="1680" t="str">
        <f>IFERROR(E1364/$C$6,"")</f>
        <v/>
      </c>
      <c r="L1364" s="1680" t="str">
        <f>IFERROR(E1364/$C$7,"")</f>
        <v/>
      </c>
      <c r="M1364" s="1681">
        <f>SUM(M1365:M1389)</f>
        <v>0</v>
      </c>
    </row>
    <row r="1365" spans="1:13">
      <c r="A1365" s="1655">
        <f>IF(E1365&lt;&gt;0,1,0)</f>
        <v>0</v>
      </c>
      <c r="B1365" s="1412"/>
      <c r="C1365" s="1621" t="s">
        <v>4962</v>
      </c>
      <c r="D1365" s="1683"/>
      <c r="E1365" s="1678">
        <f>SUM(F1365:J1365)</f>
        <v>0</v>
      </c>
      <c r="F1365" s="1684"/>
      <c r="G1365" s="1684"/>
      <c r="H1365" s="1684"/>
      <c r="I1365" s="1684"/>
      <c r="J1365" s="1684"/>
      <c r="K1365" s="1685" t="str">
        <f t="shared" ref="K1365:K1389" si="265">IFERROR(E1365/$C$6,"")</f>
        <v/>
      </c>
      <c r="L1365" s="1685" t="str">
        <f t="shared" ref="L1365:L1389" si="266">IFERROR(E1365/$C$7,"")</f>
        <v/>
      </c>
      <c r="M1365" s="1686"/>
    </row>
    <row r="1366" spans="1:13">
      <c r="A1366" s="1655">
        <f t="shared" ref="A1366:A1389" si="267">IF(E1366&lt;&gt;0,1,0)</f>
        <v>0</v>
      </c>
      <c r="B1366" s="1409"/>
      <c r="C1366" s="1621" t="s">
        <v>4963</v>
      </c>
      <c r="D1366" s="1683"/>
      <c r="E1366" s="1678">
        <f t="shared" ref="E1366:E1389" si="268">SUM(F1366:J1366)</f>
        <v>0</v>
      </c>
      <c r="F1366" s="1687"/>
      <c r="G1366" s="1684"/>
      <c r="H1366" s="1684"/>
      <c r="I1366" s="1684"/>
      <c r="J1366" s="1684"/>
      <c r="K1366" s="1685" t="str">
        <f t="shared" si="265"/>
        <v/>
      </c>
      <c r="L1366" s="1685" t="str">
        <f t="shared" si="266"/>
        <v/>
      </c>
      <c r="M1366" s="1686"/>
    </row>
    <row r="1367" spans="1:13">
      <c r="A1367" s="1655">
        <f t="shared" si="267"/>
        <v>0</v>
      </c>
      <c r="B1367" s="1409"/>
      <c r="C1367" s="1621" t="s">
        <v>4964</v>
      </c>
      <c r="D1367" s="1683"/>
      <c r="E1367" s="1678">
        <f t="shared" si="268"/>
        <v>0</v>
      </c>
      <c r="F1367" s="1687"/>
      <c r="G1367" s="1684"/>
      <c r="H1367" s="1684"/>
      <c r="I1367" s="1684"/>
      <c r="J1367" s="1684"/>
      <c r="K1367" s="1685" t="str">
        <f t="shared" si="265"/>
        <v/>
      </c>
      <c r="L1367" s="1685" t="str">
        <f t="shared" si="266"/>
        <v/>
      </c>
      <c r="M1367" s="1686"/>
    </row>
    <row r="1368" spans="1:13">
      <c r="A1368" s="1655">
        <f t="shared" si="267"/>
        <v>0</v>
      </c>
      <c r="B1368" s="1409"/>
      <c r="C1368" s="1621" t="s">
        <v>4965</v>
      </c>
      <c r="D1368" s="1683"/>
      <c r="E1368" s="1678">
        <f t="shared" si="268"/>
        <v>0</v>
      </c>
      <c r="F1368" s="1687"/>
      <c r="G1368" s="1684"/>
      <c r="H1368" s="1684"/>
      <c r="I1368" s="1684"/>
      <c r="J1368" s="1684"/>
      <c r="K1368" s="1685" t="str">
        <f t="shared" si="265"/>
        <v/>
      </c>
      <c r="L1368" s="1685" t="str">
        <f t="shared" si="266"/>
        <v/>
      </c>
      <c r="M1368" s="1686"/>
    </row>
    <row r="1369" spans="1:13">
      <c r="A1369" s="1655">
        <f t="shared" si="267"/>
        <v>0</v>
      </c>
      <c r="B1369" s="1409"/>
      <c r="C1369" s="1621" t="s">
        <v>4966</v>
      </c>
      <c r="D1369" s="1683"/>
      <c r="E1369" s="1678">
        <f t="shared" si="268"/>
        <v>0</v>
      </c>
      <c r="F1369" s="1687"/>
      <c r="G1369" s="1684"/>
      <c r="H1369" s="1684"/>
      <c r="I1369" s="1684"/>
      <c r="J1369" s="1684"/>
      <c r="K1369" s="1685" t="str">
        <f t="shared" si="265"/>
        <v/>
      </c>
      <c r="L1369" s="1685" t="str">
        <f t="shared" si="266"/>
        <v/>
      </c>
      <c r="M1369" s="1686"/>
    </row>
    <row r="1370" spans="1:13">
      <c r="A1370" s="1655">
        <f t="shared" si="267"/>
        <v>0</v>
      </c>
      <c r="B1370" s="1409"/>
      <c r="C1370" s="1621" t="s">
        <v>4967</v>
      </c>
      <c r="D1370" s="1683"/>
      <c r="E1370" s="1678">
        <f t="shared" si="268"/>
        <v>0</v>
      </c>
      <c r="F1370" s="1687"/>
      <c r="G1370" s="1684"/>
      <c r="H1370" s="1684"/>
      <c r="I1370" s="1684"/>
      <c r="J1370" s="1684"/>
      <c r="K1370" s="1685" t="str">
        <f t="shared" si="265"/>
        <v/>
      </c>
      <c r="L1370" s="1685" t="str">
        <f t="shared" si="266"/>
        <v/>
      </c>
      <c r="M1370" s="1686"/>
    </row>
    <row r="1371" spans="1:13">
      <c r="A1371" s="1655">
        <f t="shared" si="267"/>
        <v>0</v>
      </c>
      <c r="B1371" s="1409"/>
      <c r="C1371" s="1621" t="s">
        <v>4968</v>
      </c>
      <c r="D1371" s="1683"/>
      <c r="E1371" s="1678">
        <f t="shared" si="268"/>
        <v>0</v>
      </c>
      <c r="F1371" s="1687"/>
      <c r="G1371" s="1684"/>
      <c r="H1371" s="1684"/>
      <c r="I1371" s="1684"/>
      <c r="J1371" s="1684"/>
      <c r="K1371" s="1685" t="str">
        <f t="shared" si="265"/>
        <v/>
      </c>
      <c r="L1371" s="1685" t="str">
        <f t="shared" si="266"/>
        <v/>
      </c>
      <c r="M1371" s="1686"/>
    </row>
    <row r="1372" spans="1:13">
      <c r="A1372" s="1655">
        <f t="shared" si="267"/>
        <v>0</v>
      </c>
      <c r="B1372" s="1409"/>
      <c r="C1372" s="1621" t="s">
        <v>4969</v>
      </c>
      <c r="D1372" s="1683"/>
      <c r="E1372" s="1678">
        <f t="shared" si="268"/>
        <v>0</v>
      </c>
      <c r="F1372" s="1687"/>
      <c r="G1372" s="1684"/>
      <c r="H1372" s="1684"/>
      <c r="I1372" s="1684"/>
      <c r="J1372" s="1684"/>
      <c r="K1372" s="1685" t="str">
        <f t="shared" si="265"/>
        <v/>
      </c>
      <c r="L1372" s="1685" t="str">
        <f t="shared" si="266"/>
        <v/>
      </c>
      <c r="M1372" s="1686"/>
    </row>
    <row r="1373" spans="1:13">
      <c r="A1373" s="1655">
        <f t="shared" si="267"/>
        <v>0</v>
      </c>
      <c r="B1373" s="1409"/>
      <c r="C1373" s="1621" t="s">
        <v>4970</v>
      </c>
      <c r="D1373" s="1683"/>
      <c r="E1373" s="1678">
        <f t="shared" si="268"/>
        <v>0</v>
      </c>
      <c r="F1373" s="1687"/>
      <c r="G1373" s="1684"/>
      <c r="H1373" s="1684"/>
      <c r="I1373" s="1684"/>
      <c r="J1373" s="1684"/>
      <c r="K1373" s="1685" t="str">
        <f t="shared" si="265"/>
        <v/>
      </c>
      <c r="L1373" s="1685" t="str">
        <f t="shared" si="266"/>
        <v/>
      </c>
      <c r="M1373" s="1686"/>
    </row>
    <row r="1374" spans="1:13">
      <c r="A1374" s="1655">
        <f t="shared" si="267"/>
        <v>0</v>
      </c>
      <c r="B1374" s="1409"/>
      <c r="C1374" s="1621" t="s">
        <v>4971</v>
      </c>
      <c r="D1374" s="1683"/>
      <c r="E1374" s="1678">
        <f t="shared" si="268"/>
        <v>0</v>
      </c>
      <c r="F1374" s="1687"/>
      <c r="G1374" s="1684"/>
      <c r="H1374" s="1684"/>
      <c r="I1374" s="1684"/>
      <c r="J1374" s="1684"/>
      <c r="K1374" s="1685" t="str">
        <f t="shared" si="265"/>
        <v/>
      </c>
      <c r="L1374" s="1685" t="str">
        <f t="shared" si="266"/>
        <v/>
      </c>
      <c r="M1374" s="1686"/>
    </row>
    <row r="1375" spans="1:13">
      <c r="A1375" s="1655">
        <f t="shared" si="267"/>
        <v>0</v>
      </c>
      <c r="B1375" s="1409"/>
      <c r="C1375" s="1621" t="s">
        <v>4972</v>
      </c>
      <c r="D1375" s="1683"/>
      <c r="E1375" s="1678">
        <f t="shared" si="268"/>
        <v>0</v>
      </c>
      <c r="F1375" s="1687"/>
      <c r="G1375" s="1684"/>
      <c r="H1375" s="1684"/>
      <c r="I1375" s="1684"/>
      <c r="J1375" s="1684"/>
      <c r="K1375" s="1685" t="str">
        <f t="shared" si="265"/>
        <v/>
      </c>
      <c r="L1375" s="1685" t="str">
        <f t="shared" si="266"/>
        <v/>
      </c>
      <c r="M1375" s="1686"/>
    </row>
    <row r="1376" spans="1:13">
      <c r="A1376" s="1655">
        <f t="shared" si="267"/>
        <v>0</v>
      </c>
      <c r="B1376" s="1412"/>
      <c r="C1376" s="1621" t="s">
        <v>4973</v>
      </c>
      <c r="D1376" s="1683"/>
      <c r="E1376" s="1678">
        <f t="shared" si="268"/>
        <v>0</v>
      </c>
      <c r="F1376" s="1687"/>
      <c r="G1376" s="1684"/>
      <c r="H1376" s="1684"/>
      <c r="I1376" s="1684"/>
      <c r="J1376" s="1684"/>
      <c r="K1376" s="1685" t="str">
        <f t="shared" si="265"/>
        <v/>
      </c>
      <c r="L1376" s="1685" t="str">
        <f t="shared" si="266"/>
        <v/>
      </c>
      <c r="M1376" s="1686"/>
    </row>
    <row r="1377" spans="1:13">
      <c r="A1377" s="1655">
        <f t="shared" si="267"/>
        <v>0</v>
      </c>
      <c r="B1377" s="1412"/>
      <c r="C1377" s="1621" t="s">
        <v>4974</v>
      </c>
      <c r="D1377" s="1683"/>
      <c r="E1377" s="1678">
        <f t="shared" si="268"/>
        <v>0</v>
      </c>
      <c r="F1377" s="1687"/>
      <c r="G1377" s="1684"/>
      <c r="H1377" s="1684"/>
      <c r="I1377" s="1684"/>
      <c r="J1377" s="1684"/>
      <c r="K1377" s="1685" t="str">
        <f t="shared" si="265"/>
        <v/>
      </c>
      <c r="L1377" s="1685" t="str">
        <f t="shared" si="266"/>
        <v/>
      </c>
      <c r="M1377" s="1686"/>
    </row>
    <row r="1378" spans="1:13">
      <c r="A1378" s="1655">
        <f t="shared" si="267"/>
        <v>0</v>
      </c>
      <c r="B1378" s="1409"/>
      <c r="C1378" s="1621" t="s">
        <v>4975</v>
      </c>
      <c r="D1378" s="1683"/>
      <c r="E1378" s="1678">
        <f t="shared" si="268"/>
        <v>0</v>
      </c>
      <c r="F1378" s="1687"/>
      <c r="G1378" s="1684"/>
      <c r="H1378" s="1684"/>
      <c r="I1378" s="1684"/>
      <c r="J1378" s="1684"/>
      <c r="K1378" s="1685" t="str">
        <f t="shared" si="265"/>
        <v/>
      </c>
      <c r="L1378" s="1685" t="str">
        <f t="shared" si="266"/>
        <v/>
      </c>
      <c r="M1378" s="1686"/>
    </row>
    <row r="1379" spans="1:13">
      <c r="A1379" s="1655">
        <f t="shared" si="267"/>
        <v>0</v>
      </c>
      <c r="B1379" s="1409"/>
      <c r="C1379" s="1621" t="s">
        <v>4976</v>
      </c>
      <c r="D1379" s="1683"/>
      <c r="E1379" s="1678">
        <f t="shared" si="268"/>
        <v>0</v>
      </c>
      <c r="F1379" s="1687"/>
      <c r="G1379" s="1684"/>
      <c r="H1379" s="1684"/>
      <c r="I1379" s="1684"/>
      <c r="J1379" s="1684"/>
      <c r="K1379" s="1685" t="str">
        <f t="shared" si="265"/>
        <v/>
      </c>
      <c r="L1379" s="1685" t="str">
        <f t="shared" si="266"/>
        <v/>
      </c>
      <c r="M1379" s="1686"/>
    </row>
    <row r="1380" spans="1:13">
      <c r="A1380" s="1655">
        <f t="shared" si="267"/>
        <v>0</v>
      </c>
      <c r="B1380" s="1409"/>
      <c r="C1380" s="1621" t="s">
        <v>4977</v>
      </c>
      <c r="D1380" s="1683"/>
      <c r="E1380" s="1678">
        <f t="shared" si="268"/>
        <v>0</v>
      </c>
      <c r="F1380" s="1687"/>
      <c r="G1380" s="1684"/>
      <c r="H1380" s="1684"/>
      <c r="I1380" s="1684"/>
      <c r="J1380" s="1684"/>
      <c r="K1380" s="1685" t="str">
        <f t="shared" si="265"/>
        <v/>
      </c>
      <c r="L1380" s="1685" t="str">
        <f t="shared" si="266"/>
        <v/>
      </c>
      <c r="M1380" s="1686"/>
    </row>
    <row r="1381" spans="1:13">
      <c r="A1381" s="1655">
        <f t="shared" si="267"/>
        <v>0</v>
      </c>
      <c r="B1381" s="1409"/>
      <c r="C1381" s="1621" t="s">
        <v>4978</v>
      </c>
      <c r="D1381" s="1683"/>
      <c r="E1381" s="1678">
        <f t="shared" si="268"/>
        <v>0</v>
      </c>
      <c r="F1381" s="1687"/>
      <c r="G1381" s="1684"/>
      <c r="H1381" s="1684"/>
      <c r="I1381" s="1684"/>
      <c r="J1381" s="1684"/>
      <c r="K1381" s="1685" t="str">
        <f t="shared" si="265"/>
        <v/>
      </c>
      <c r="L1381" s="1685" t="str">
        <f t="shared" si="266"/>
        <v/>
      </c>
      <c r="M1381" s="1686"/>
    </row>
    <row r="1382" spans="1:13">
      <c r="A1382" s="1655">
        <f t="shared" si="267"/>
        <v>0</v>
      </c>
      <c r="B1382" s="1409"/>
      <c r="C1382" s="1621" t="s">
        <v>4979</v>
      </c>
      <c r="D1382" s="1683"/>
      <c r="E1382" s="1678">
        <f t="shared" si="268"/>
        <v>0</v>
      </c>
      <c r="F1382" s="1687"/>
      <c r="G1382" s="1684"/>
      <c r="H1382" s="1684"/>
      <c r="I1382" s="1684"/>
      <c r="J1382" s="1684"/>
      <c r="K1382" s="1685" t="str">
        <f t="shared" si="265"/>
        <v/>
      </c>
      <c r="L1382" s="1685" t="str">
        <f t="shared" si="266"/>
        <v/>
      </c>
      <c r="M1382" s="1686"/>
    </row>
    <row r="1383" spans="1:13">
      <c r="A1383" s="1655">
        <f t="shared" si="267"/>
        <v>0</v>
      </c>
      <c r="B1383" s="1409"/>
      <c r="C1383" s="1621" t="s">
        <v>4980</v>
      </c>
      <c r="D1383" s="1683"/>
      <c r="E1383" s="1678">
        <f t="shared" si="268"/>
        <v>0</v>
      </c>
      <c r="F1383" s="1687"/>
      <c r="G1383" s="1684"/>
      <c r="H1383" s="1684"/>
      <c r="I1383" s="1684"/>
      <c r="J1383" s="1684"/>
      <c r="K1383" s="1685" t="str">
        <f t="shared" si="265"/>
        <v/>
      </c>
      <c r="L1383" s="1685" t="str">
        <f t="shared" si="266"/>
        <v/>
      </c>
      <c r="M1383" s="1686"/>
    </row>
    <row r="1384" spans="1:13">
      <c r="A1384" s="1655">
        <f t="shared" si="267"/>
        <v>0</v>
      </c>
      <c r="B1384" s="1409"/>
      <c r="C1384" s="1621" t="s">
        <v>4981</v>
      </c>
      <c r="D1384" s="1683"/>
      <c r="E1384" s="1678">
        <f t="shared" si="268"/>
        <v>0</v>
      </c>
      <c r="F1384" s="1687"/>
      <c r="G1384" s="1684"/>
      <c r="H1384" s="1684"/>
      <c r="I1384" s="1684"/>
      <c r="J1384" s="1684"/>
      <c r="K1384" s="1685" t="str">
        <f t="shared" si="265"/>
        <v/>
      </c>
      <c r="L1384" s="1685" t="str">
        <f t="shared" si="266"/>
        <v/>
      </c>
      <c r="M1384" s="1686"/>
    </row>
    <row r="1385" spans="1:13">
      <c r="A1385" s="1655">
        <f t="shared" si="267"/>
        <v>0</v>
      </c>
      <c r="B1385" s="1409"/>
      <c r="C1385" s="1621" t="s">
        <v>4982</v>
      </c>
      <c r="D1385" s="1683"/>
      <c r="E1385" s="1678">
        <f t="shared" si="268"/>
        <v>0</v>
      </c>
      <c r="F1385" s="1687"/>
      <c r="G1385" s="1684"/>
      <c r="H1385" s="1684"/>
      <c r="I1385" s="1684"/>
      <c r="J1385" s="1684"/>
      <c r="K1385" s="1685" t="str">
        <f t="shared" si="265"/>
        <v/>
      </c>
      <c r="L1385" s="1685" t="str">
        <f t="shared" si="266"/>
        <v/>
      </c>
      <c r="M1385" s="1686"/>
    </row>
    <row r="1386" spans="1:13">
      <c r="A1386" s="1655">
        <f t="shared" si="267"/>
        <v>0</v>
      </c>
      <c r="B1386" s="1409"/>
      <c r="C1386" s="1621" t="s">
        <v>4983</v>
      </c>
      <c r="D1386" s="1683"/>
      <c r="E1386" s="1678">
        <f t="shared" si="268"/>
        <v>0</v>
      </c>
      <c r="F1386" s="1687"/>
      <c r="G1386" s="1684"/>
      <c r="H1386" s="1684"/>
      <c r="I1386" s="1684"/>
      <c r="J1386" s="1684"/>
      <c r="K1386" s="1685" t="str">
        <f t="shared" si="265"/>
        <v/>
      </c>
      <c r="L1386" s="1685" t="str">
        <f t="shared" si="266"/>
        <v/>
      </c>
      <c r="M1386" s="1686"/>
    </row>
    <row r="1387" spans="1:13">
      <c r="A1387" s="1655">
        <f t="shared" si="267"/>
        <v>0</v>
      </c>
      <c r="B1387" s="1409"/>
      <c r="C1387" s="1621" t="s">
        <v>4984</v>
      </c>
      <c r="D1387" s="1683"/>
      <c r="E1387" s="1678">
        <f t="shared" si="268"/>
        <v>0</v>
      </c>
      <c r="F1387" s="1687"/>
      <c r="G1387" s="1684"/>
      <c r="H1387" s="1684"/>
      <c r="I1387" s="1684"/>
      <c r="J1387" s="1684"/>
      <c r="K1387" s="1685" t="str">
        <f t="shared" si="265"/>
        <v/>
      </c>
      <c r="L1387" s="1685" t="str">
        <f t="shared" si="266"/>
        <v/>
      </c>
      <c r="M1387" s="1686"/>
    </row>
    <row r="1388" spans="1:13">
      <c r="A1388" s="1655">
        <f t="shared" si="267"/>
        <v>0</v>
      </c>
      <c r="B1388" s="1409"/>
      <c r="C1388" s="1621" t="s">
        <v>4985</v>
      </c>
      <c r="D1388" s="1683"/>
      <c r="E1388" s="1678">
        <f t="shared" si="268"/>
        <v>0</v>
      </c>
      <c r="F1388" s="1687"/>
      <c r="G1388" s="1684"/>
      <c r="H1388" s="1684"/>
      <c r="I1388" s="1684"/>
      <c r="J1388" s="1684"/>
      <c r="K1388" s="1685" t="str">
        <f t="shared" si="265"/>
        <v/>
      </c>
      <c r="L1388" s="1685" t="str">
        <f t="shared" si="266"/>
        <v/>
      </c>
      <c r="M1388" s="1686"/>
    </row>
    <row r="1389" spans="1:13">
      <c r="A1389" s="1655">
        <f t="shared" si="267"/>
        <v>0</v>
      </c>
      <c r="B1389" s="1688"/>
      <c r="C1389" s="1689" t="s">
        <v>4986</v>
      </c>
      <c r="D1389" s="1690"/>
      <c r="E1389" s="1691">
        <f t="shared" si="268"/>
        <v>0</v>
      </c>
      <c r="F1389" s="1692"/>
      <c r="G1389" s="1693"/>
      <c r="H1389" s="1693"/>
      <c r="I1389" s="1693"/>
      <c r="J1389" s="1693"/>
      <c r="K1389" s="1694" t="str">
        <f t="shared" si="265"/>
        <v/>
      </c>
      <c r="L1389" s="1694" t="str">
        <f t="shared" si="266"/>
        <v/>
      </c>
      <c r="M1389" s="1695"/>
    </row>
  </sheetData>
  <sheetProtection password="D5D5" sheet="1" objects="1" scenarios="1" formatCells="0" formatColumns="0" formatRows="0" autoFilter="0"/>
  <autoFilter ref="A11:B661"/>
  <mergeCells count="7">
    <mergeCell ref="L10:L11"/>
    <mergeCell ref="M10:M11"/>
    <mergeCell ref="C10:C11"/>
    <mergeCell ref="D10:D11"/>
    <mergeCell ref="E10:E11"/>
    <mergeCell ref="F10:J10"/>
    <mergeCell ref="K10:K11"/>
  </mergeCells>
  <conditionalFormatting sqref="B8:D8">
    <cfRule type="expression" dxfId="711" priority="1">
      <formula>$P$11&gt;0</formula>
    </cfRule>
  </conditionalFormatting>
  <dataValidations count="1">
    <dataValidation type="list" allowBlank="1" showInputMessage="1" showErrorMessage="1" sqref="B194 B12 B220 B246 B38 B168 B64 B90 B116 B142 B272 B298 B324 B350 B376 B402 B428 B454 B480 B506 B532 B558 B584 B610 B636 B662 B688 B714 B740 B766 B792 B818 B844 B870 B896 B922 B948 B974 B1000 B1026 B1052 B1078 B1104 B1130 B1156 B1182 B1208 B1234 B1260 B1286 B1312 B1338 B1364">
      <formula1>Groups</formula1>
    </dataValidation>
  </dataValidations>
  <hyperlinks>
    <hyperlink ref="C5" r:id="rId1" display="חוזר 2015-9-19-דיווח לממונה אודות הסדרי חוב בהם נטל חלק גוף מוסדי"/>
    <hyperlink ref="E2" location="Information!A1" display="חזרה"/>
  </hyperlinks>
  <pageMargins left="0.7" right="0.7" top="0.75" bottom="0.75" header="0.3" footer="0.3"/>
  <pageSetup orientation="portrait" horizontalDpi="0" verticalDpi="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FF00"/>
  </sheetPr>
  <dimension ref="A1:C103"/>
  <sheetViews>
    <sheetView rightToLeft="1" topLeftCell="B1" zoomScale="115" zoomScaleNormal="115" workbookViewId="0">
      <selection activeCell="H14" sqref="H14"/>
    </sheetView>
  </sheetViews>
  <sheetFormatPr defaultColWidth="8.81640625" defaultRowHeight="12.5"/>
  <cols>
    <col min="1" max="1" width="8.81640625" style="1705"/>
    <col min="2" max="2" width="76.1796875" style="1705" customWidth="1"/>
    <col min="3" max="3" width="120.54296875" style="1715" customWidth="1"/>
    <col min="4" max="16384" width="8.81640625" style="529"/>
  </cols>
  <sheetData>
    <row r="1" spans="1:3" ht="13">
      <c r="A1" s="1699" t="s">
        <v>5058</v>
      </c>
      <c r="B1" s="1699"/>
      <c r="C1" s="1700"/>
    </row>
    <row r="2" spans="1:3" ht="13">
      <c r="A2" s="1701" t="s">
        <v>5059</v>
      </c>
      <c r="B2" s="1702"/>
      <c r="C2" s="1703"/>
    </row>
    <row r="4" spans="1:3" ht="13">
      <c r="A4" s="1835" t="s">
        <v>5033</v>
      </c>
      <c r="B4" s="1836"/>
      <c r="C4" s="1704" t="s">
        <v>5034</v>
      </c>
    </row>
    <row r="5" spans="1:3">
      <c r="B5" s="1706" t="s">
        <v>5060</v>
      </c>
      <c r="C5" s="1707" t="s">
        <v>5061</v>
      </c>
    </row>
    <row r="6" spans="1:3" ht="37.5">
      <c r="A6" s="1708" t="s">
        <v>29</v>
      </c>
      <c r="B6" s="1709" t="s">
        <v>3806</v>
      </c>
      <c r="C6" s="1710" t="s">
        <v>5062</v>
      </c>
    </row>
    <row r="7" spans="1:3">
      <c r="A7" s="1708" t="s">
        <v>41</v>
      </c>
      <c r="B7" s="1709" t="s">
        <v>3807</v>
      </c>
      <c r="C7" s="1710" t="s">
        <v>5063</v>
      </c>
    </row>
    <row r="8" spans="1:3">
      <c r="A8" s="1708" t="s">
        <v>63</v>
      </c>
      <c r="B8" s="1709" t="s">
        <v>5064</v>
      </c>
      <c r="C8" s="1710" t="s">
        <v>5065</v>
      </c>
    </row>
    <row r="9" spans="1:3">
      <c r="A9" s="1708" t="s">
        <v>65</v>
      </c>
      <c r="B9" s="1709" t="s">
        <v>5066</v>
      </c>
      <c r="C9" s="1710" t="s">
        <v>5067</v>
      </c>
    </row>
    <row r="10" spans="1:3" ht="25">
      <c r="A10" s="1708" t="s">
        <v>86</v>
      </c>
      <c r="B10" s="1709" t="s">
        <v>5068</v>
      </c>
      <c r="C10" s="1710" t="s">
        <v>5069</v>
      </c>
    </row>
    <row r="11" spans="1:3" ht="25">
      <c r="A11" s="1708" t="s">
        <v>88</v>
      </c>
      <c r="B11" s="1709" t="s">
        <v>5070</v>
      </c>
      <c r="C11" s="1710" t="s">
        <v>5071</v>
      </c>
    </row>
    <row r="12" spans="1:3">
      <c r="A12" s="1708" t="s">
        <v>195</v>
      </c>
      <c r="B12" s="1709" t="s">
        <v>5072</v>
      </c>
      <c r="C12" s="1710" t="s">
        <v>5073</v>
      </c>
    </row>
    <row r="13" spans="1:3" ht="25">
      <c r="A13" s="1708" t="s">
        <v>197</v>
      </c>
      <c r="B13" s="1709" t="s">
        <v>3808</v>
      </c>
      <c r="C13" s="1710" t="s">
        <v>5074</v>
      </c>
    </row>
    <row r="14" spans="1:3">
      <c r="A14" s="1708" t="s">
        <v>199</v>
      </c>
      <c r="B14" s="1709" t="s">
        <v>3809</v>
      </c>
      <c r="C14" s="1710" t="s">
        <v>5075</v>
      </c>
    </row>
    <row r="15" spans="1:3">
      <c r="A15" s="1708" t="s">
        <v>3811</v>
      </c>
      <c r="B15" s="1709" t="s">
        <v>5076</v>
      </c>
      <c r="C15" s="1710" t="s">
        <v>5077</v>
      </c>
    </row>
    <row r="16" spans="1:3" ht="25">
      <c r="A16" s="1708" t="s">
        <v>3812</v>
      </c>
      <c r="B16" s="1709" t="s">
        <v>5078</v>
      </c>
      <c r="C16" s="1710" t="s">
        <v>5079</v>
      </c>
    </row>
    <row r="17" spans="1:3">
      <c r="A17" s="1708" t="s">
        <v>3813</v>
      </c>
      <c r="B17" s="1709" t="s">
        <v>5080</v>
      </c>
      <c r="C17" s="1710" t="s">
        <v>5081</v>
      </c>
    </row>
    <row r="18" spans="1:3">
      <c r="A18" s="1708" t="s">
        <v>3814</v>
      </c>
      <c r="B18" s="1709" t="s">
        <v>5082</v>
      </c>
      <c r="C18" s="1710" t="s">
        <v>5081</v>
      </c>
    </row>
    <row r="19" spans="1:3">
      <c r="A19" s="1708" t="s">
        <v>3815</v>
      </c>
      <c r="B19" s="1709" t="s">
        <v>5083</v>
      </c>
      <c r="C19" s="1710" t="s">
        <v>5084</v>
      </c>
    </row>
    <row r="20" spans="1:3">
      <c r="A20" s="1708" t="s">
        <v>3816</v>
      </c>
      <c r="B20" s="1709" t="s">
        <v>5085</v>
      </c>
      <c r="C20" s="1710" t="s">
        <v>5086</v>
      </c>
    </row>
    <row r="21" spans="1:3">
      <c r="A21" s="1708" t="s">
        <v>3817</v>
      </c>
      <c r="B21" s="1709" t="s">
        <v>5087</v>
      </c>
      <c r="C21" s="1710" t="s">
        <v>5088</v>
      </c>
    </row>
    <row r="22" spans="1:3">
      <c r="A22" s="1708" t="s">
        <v>3818</v>
      </c>
      <c r="B22" s="1709" t="s">
        <v>5089</v>
      </c>
      <c r="C22" s="1710" t="s">
        <v>5090</v>
      </c>
    </row>
    <row r="23" spans="1:3">
      <c r="A23" s="1708" t="s">
        <v>3819</v>
      </c>
      <c r="B23" s="1709" t="s">
        <v>5091</v>
      </c>
      <c r="C23" s="1710" t="s">
        <v>5092</v>
      </c>
    </row>
    <row r="24" spans="1:3">
      <c r="A24" s="1708" t="s">
        <v>3820</v>
      </c>
      <c r="B24" s="1709" t="s">
        <v>5093</v>
      </c>
      <c r="C24" s="1710" t="s">
        <v>5092</v>
      </c>
    </row>
    <row r="25" spans="1:3">
      <c r="A25" s="1708" t="s">
        <v>3821</v>
      </c>
      <c r="B25" s="1709" t="s">
        <v>5094</v>
      </c>
      <c r="C25" s="1710" t="s">
        <v>5092</v>
      </c>
    </row>
    <row r="26" spans="1:3">
      <c r="A26" s="1708" t="s">
        <v>3822</v>
      </c>
      <c r="B26" s="1709" t="s">
        <v>5095</v>
      </c>
      <c r="C26" s="1710" t="s">
        <v>5092</v>
      </c>
    </row>
    <row r="27" spans="1:3">
      <c r="A27" s="1708" t="s">
        <v>3823</v>
      </c>
      <c r="B27" s="1709" t="s">
        <v>5096</v>
      </c>
      <c r="C27" s="1710" t="s">
        <v>5097</v>
      </c>
    </row>
    <row r="28" spans="1:3">
      <c r="A28" s="1708" t="s">
        <v>3824</v>
      </c>
      <c r="B28" s="1709" t="s">
        <v>5098</v>
      </c>
      <c r="C28" s="1710" t="s">
        <v>5099</v>
      </c>
    </row>
    <row r="29" spans="1:3">
      <c r="A29" s="1708" t="s">
        <v>3825</v>
      </c>
      <c r="B29" s="1709" t="s">
        <v>5100</v>
      </c>
      <c r="C29" s="1710" t="s">
        <v>5101</v>
      </c>
    </row>
    <row r="30" spans="1:3">
      <c r="A30" s="1708" t="s">
        <v>3826</v>
      </c>
      <c r="B30" s="1709" t="s">
        <v>5102</v>
      </c>
      <c r="C30" s="1710" t="s">
        <v>5103</v>
      </c>
    </row>
    <row r="31" spans="1:3">
      <c r="A31" s="1708" t="s">
        <v>3827</v>
      </c>
      <c r="B31" s="1709" t="s">
        <v>3810</v>
      </c>
      <c r="C31" s="1710" t="s">
        <v>5104</v>
      </c>
    </row>
    <row r="32" spans="1:3">
      <c r="A32" s="1708" t="s">
        <v>3828</v>
      </c>
      <c r="B32" s="1709" t="s">
        <v>5105</v>
      </c>
      <c r="C32" s="1710" t="s">
        <v>5106</v>
      </c>
    </row>
    <row r="33" spans="1:3">
      <c r="A33" s="1708" t="s">
        <v>3862</v>
      </c>
      <c r="B33" s="1709" t="s">
        <v>5107</v>
      </c>
      <c r="C33" s="1710" t="s">
        <v>5106</v>
      </c>
    </row>
    <row r="34" spans="1:3">
      <c r="A34" s="1708" t="s">
        <v>5108</v>
      </c>
      <c r="B34" s="1709" t="s">
        <v>5109</v>
      </c>
      <c r="C34" s="1710" t="s">
        <v>5106</v>
      </c>
    </row>
    <row r="35" spans="1:3">
      <c r="A35" s="1708" t="s">
        <v>5110</v>
      </c>
      <c r="B35" s="1709" t="s">
        <v>5111</v>
      </c>
      <c r="C35" s="1710" t="s">
        <v>5106</v>
      </c>
    </row>
    <row r="36" spans="1:3">
      <c r="A36" s="1708" t="s">
        <v>5112</v>
      </c>
      <c r="B36" s="1709" t="s">
        <v>5113</v>
      </c>
      <c r="C36" s="1710" t="s">
        <v>5114</v>
      </c>
    </row>
    <row r="37" spans="1:3">
      <c r="A37" s="1711"/>
      <c r="B37" s="1712"/>
      <c r="C37" s="1713"/>
    </row>
    <row r="38" spans="1:3">
      <c r="A38" s="1711"/>
      <c r="B38" s="1712"/>
      <c r="C38" s="1713"/>
    </row>
    <row r="39" spans="1:3">
      <c r="B39" s="1714" t="s">
        <v>8</v>
      </c>
    </row>
    <row r="40" spans="1:3">
      <c r="B40" s="1716" t="s">
        <v>5115</v>
      </c>
    </row>
    <row r="41" spans="1:3">
      <c r="B41" s="1716" t="s">
        <v>5116</v>
      </c>
    </row>
    <row r="42" spans="1:3">
      <c r="B42" s="1716" t="s">
        <v>5117</v>
      </c>
    </row>
    <row r="43" spans="1:3">
      <c r="B43" s="1716" t="s">
        <v>5118</v>
      </c>
    </row>
    <row r="44" spans="1:3">
      <c r="B44" s="1716" t="s">
        <v>5119</v>
      </c>
    </row>
    <row r="45" spans="1:3">
      <c r="B45" s="1716" t="s">
        <v>5120</v>
      </c>
    </row>
    <row r="46" spans="1:3">
      <c r="B46" s="1716" t="s">
        <v>5121</v>
      </c>
    </row>
    <row r="47" spans="1:3">
      <c r="B47" s="1716" t="s">
        <v>5122</v>
      </c>
    </row>
    <row r="48" spans="1:3">
      <c r="B48" s="1716" t="s">
        <v>5123</v>
      </c>
    </row>
    <row r="49" spans="2:2">
      <c r="B49" s="1716" t="s">
        <v>5124</v>
      </c>
    </row>
    <row r="50" spans="2:2">
      <c r="B50" s="1716" t="s">
        <v>5125</v>
      </c>
    </row>
    <row r="51" spans="2:2">
      <c r="B51" s="1716" t="s">
        <v>5126</v>
      </c>
    </row>
    <row r="52" spans="2:2">
      <c r="B52" s="1716" t="s">
        <v>5127</v>
      </c>
    </row>
    <row r="53" spans="2:2">
      <c r="B53" s="1716" t="s">
        <v>5128</v>
      </c>
    </row>
    <row r="54" spans="2:2">
      <c r="B54" s="1716" t="s">
        <v>5129</v>
      </c>
    </row>
    <row r="55" spans="2:2">
      <c r="B55" s="1716" t="s">
        <v>5130</v>
      </c>
    </row>
    <row r="56" spans="2:2">
      <c r="B56" s="1716" t="s">
        <v>5131</v>
      </c>
    </row>
    <row r="57" spans="2:2">
      <c r="B57" s="1716" t="s">
        <v>5132</v>
      </c>
    </row>
    <row r="58" spans="2:2">
      <c r="B58" s="1716" t="s">
        <v>5133</v>
      </c>
    </row>
    <row r="59" spans="2:2">
      <c r="B59" s="1716" t="s">
        <v>5134</v>
      </c>
    </row>
    <row r="60" spans="2:2">
      <c r="B60" s="1716" t="s">
        <v>5135</v>
      </c>
    </row>
    <row r="61" spans="2:2">
      <c r="B61" s="1716" t="s">
        <v>5136</v>
      </c>
    </row>
    <row r="62" spans="2:2">
      <c r="B62" s="1716" t="s">
        <v>5137</v>
      </c>
    </row>
    <row r="63" spans="2:2">
      <c r="B63" s="1716" t="s">
        <v>5138</v>
      </c>
    </row>
    <row r="64" spans="2:2">
      <c r="B64" s="1716" t="s">
        <v>5139</v>
      </c>
    </row>
    <row r="65" spans="2:2">
      <c r="B65" s="1716" t="s">
        <v>5140</v>
      </c>
    </row>
    <row r="66" spans="2:2">
      <c r="B66" s="1716" t="s">
        <v>5141</v>
      </c>
    </row>
    <row r="67" spans="2:2">
      <c r="B67" s="1716" t="s">
        <v>5142</v>
      </c>
    </row>
    <row r="68" spans="2:2">
      <c r="B68" s="1716" t="s">
        <v>5143</v>
      </c>
    </row>
    <row r="69" spans="2:2">
      <c r="B69" s="1716" t="s">
        <v>5144</v>
      </c>
    </row>
    <row r="70" spans="2:2">
      <c r="B70" s="1716" t="s">
        <v>5145</v>
      </c>
    </row>
    <row r="71" spans="2:2">
      <c r="B71" s="1716" t="s">
        <v>5146</v>
      </c>
    </row>
    <row r="72" spans="2:2">
      <c r="B72" s="1716" t="s">
        <v>5147</v>
      </c>
    </row>
    <row r="73" spans="2:2">
      <c r="B73" s="1716" t="s">
        <v>5148</v>
      </c>
    </row>
    <row r="74" spans="2:2">
      <c r="B74" s="1716" t="s">
        <v>5149</v>
      </c>
    </row>
    <row r="75" spans="2:2">
      <c r="B75" s="1716" t="s">
        <v>5150</v>
      </c>
    </row>
    <row r="76" spans="2:2">
      <c r="B76" s="1716" t="s">
        <v>5151</v>
      </c>
    </row>
    <row r="77" spans="2:2">
      <c r="B77" s="1714" t="s">
        <v>24</v>
      </c>
    </row>
    <row r="78" spans="2:2">
      <c r="B78" s="1717" t="s">
        <v>5152</v>
      </c>
    </row>
    <row r="79" spans="2:2">
      <c r="B79" s="1717" t="s">
        <v>5153</v>
      </c>
    </row>
    <row r="80" spans="2:2">
      <c r="B80" s="1717" t="s">
        <v>5154</v>
      </c>
    </row>
    <row r="81" spans="2:2">
      <c r="B81" s="1717" t="s">
        <v>5155</v>
      </c>
    </row>
    <row r="82" spans="2:2">
      <c r="B82" s="1717" t="s">
        <v>5156</v>
      </c>
    </row>
    <row r="83" spans="2:2">
      <c r="B83" s="1717" t="s">
        <v>5157</v>
      </c>
    </row>
    <row r="84" spans="2:2">
      <c r="B84" s="1717" t="s">
        <v>5158</v>
      </c>
    </row>
    <row r="85" spans="2:2">
      <c r="B85" s="1717" t="s">
        <v>5159</v>
      </c>
    </row>
    <row r="86" spans="2:2">
      <c r="B86" s="1717" t="s">
        <v>5160</v>
      </c>
    </row>
    <row r="87" spans="2:2">
      <c r="B87" s="1717" t="s">
        <v>5161</v>
      </c>
    </row>
    <row r="88" spans="2:2">
      <c r="B88" s="1717" t="s">
        <v>5162</v>
      </c>
    </row>
    <row r="89" spans="2:2">
      <c r="B89" s="1717" t="s">
        <v>5163</v>
      </c>
    </row>
    <row r="90" spans="2:2">
      <c r="B90" s="1717" t="s">
        <v>5164</v>
      </c>
    </row>
    <row r="91" spans="2:2">
      <c r="B91" s="1717" t="s">
        <v>5165</v>
      </c>
    </row>
    <row r="92" spans="2:2">
      <c r="B92" s="1717" t="s">
        <v>5166</v>
      </c>
    </row>
    <row r="93" spans="2:2">
      <c r="B93" s="1717" t="s">
        <v>5167</v>
      </c>
    </row>
    <row r="94" spans="2:2">
      <c r="B94" s="1717" t="s">
        <v>5168</v>
      </c>
    </row>
    <row r="95" spans="2:2">
      <c r="B95" s="1717" t="s">
        <v>5169</v>
      </c>
    </row>
    <row r="96" spans="2:2">
      <c r="B96" s="1717" t="s">
        <v>5170</v>
      </c>
    </row>
    <row r="97" spans="2:2">
      <c r="B97" s="1717" t="s">
        <v>5171</v>
      </c>
    </row>
    <row r="98" spans="2:2">
      <c r="B98" s="1717" t="s">
        <v>5172</v>
      </c>
    </row>
    <row r="99" spans="2:2">
      <c r="B99" s="1717" t="s">
        <v>5173</v>
      </c>
    </row>
    <row r="100" spans="2:2">
      <c r="B100" s="1717" t="s">
        <v>5174</v>
      </c>
    </row>
    <row r="101" spans="2:2">
      <c r="B101" s="1717" t="s">
        <v>5175</v>
      </c>
    </row>
    <row r="102" spans="2:2">
      <c r="B102" s="1717" t="s">
        <v>5176</v>
      </c>
    </row>
    <row r="103" spans="2:2">
      <c r="B103" s="1717"/>
    </row>
  </sheetData>
  <mergeCells count="1">
    <mergeCell ref="A4:B4"/>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3">
    <tabColor rgb="FFFFFF00"/>
    <pageSetUpPr fitToPage="1"/>
  </sheetPr>
  <dimension ref="A1:AY314"/>
  <sheetViews>
    <sheetView showGridLines="0" rightToLeft="1" zoomScaleNormal="100" workbookViewId="0">
      <pane xSplit="5" ySplit="13" topLeftCell="AJ14" activePane="bottomRight" state="frozen"/>
      <selection activeCell="H14" sqref="H14"/>
      <selection pane="topRight" activeCell="H14" sqref="H14"/>
      <selection pane="bottomLeft" activeCell="H14" sqref="H14"/>
      <selection pane="bottomRight" activeCell="AS12" sqref="AS12"/>
    </sheetView>
  </sheetViews>
  <sheetFormatPr defaultColWidth="8.81640625" defaultRowHeight="13"/>
  <cols>
    <col min="1" max="1" width="2.453125" style="1718" customWidth="1"/>
    <col min="2" max="2" width="3.54296875" style="1718" customWidth="1"/>
    <col min="3" max="3" width="12.54296875" style="1718" customWidth="1"/>
    <col min="4" max="4" width="18.1796875" style="1718" customWidth="1"/>
    <col min="5" max="5" width="19.453125" style="1718" customWidth="1"/>
    <col min="6" max="7" width="12.54296875" style="1718" customWidth="1"/>
    <col min="8" max="8" width="21.453125" style="1718" customWidth="1"/>
    <col min="9" max="12" width="12.54296875" style="1718" customWidth="1"/>
    <col min="13" max="14" width="10.54296875" style="1718" customWidth="1"/>
    <col min="15" max="15" width="10.1796875" style="1718" customWidth="1"/>
    <col min="16" max="17" width="8.54296875" style="1718" customWidth="1"/>
    <col min="18" max="23" width="12.54296875" style="1718" customWidth="1"/>
    <col min="24" max="24" width="10.54296875" style="1718" customWidth="1"/>
    <col min="25" max="27" width="12.54296875" style="1718" customWidth="1"/>
    <col min="28" max="28" width="10.81640625" style="1718" customWidth="1"/>
    <col min="29" max="29" width="8.81640625" style="1718" customWidth="1"/>
    <col min="30" max="30" width="9.1796875" style="1718" customWidth="1"/>
    <col min="31" max="31" width="8.81640625" style="1718" customWidth="1"/>
    <col min="32" max="32" width="7.453125" style="1718" customWidth="1"/>
    <col min="33" max="33" width="48.1796875" style="1718" customWidth="1"/>
    <col min="34" max="34" width="14.453125" style="1718" customWidth="1"/>
    <col min="35" max="38" width="8.81640625" style="1718"/>
    <col min="39" max="39" width="11.81640625" style="1718" customWidth="1"/>
    <col min="40" max="40" width="17.54296875" style="1718" bestFit="1" customWidth="1"/>
    <col min="41" max="41" width="10.81640625" style="1718" bestFit="1" customWidth="1"/>
    <col min="42" max="43" width="8.81640625" style="1718"/>
    <col min="44" max="44" width="13.1796875" style="1718" customWidth="1"/>
    <col min="45" max="45" width="33.453125" style="1718" customWidth="1"/>
    <col min="46" max="16384" width="8.81640625" style="1718"/>
  </cols>
  <sheetData>
    <row r="1" spans="1:51" ht="18">
      <c r="A1" s="1718">
        <v>1</v>
      </c>
      <c r="B1" s="1454">
        <f>SUM(D5:AJ11)</f>
        <v>0</v>
      </c>
      <c r="C1" s="15" t="str">
        <f>company</f>
        <v>_____חברה מנהלת</v>
      </c>
      <c r="D1" s="1455"/>
      <c r="E1" s="1455"/>
      <c r="F1" s="1455"/>
      <c r="G1" s="1455"/>
      <c r="H1" s="1455"/>
      <c r="I1" s="1455"/>
      <c r="J1" s="1455"/>
      <c r="K1" s="642" t="s">
        <v>263</v>
      </c>
      <c r="L1" s="1455"/>
      <c r="M1" s="1455"/>
      <c r="N1" s="1455"/>
      <c r="O1" s="1455"/>
      <c r="P1" s="1455"/>
      <c r="Q1" s="1455"/>
      <c r="R1" s="1455"/>
      <c r="S1" s="1455"/>
      <c r="T1" s="1455"/>
      <c r="U1" s="1455"/>
      <c r="V1" s="1455"/>
      <c r="W1" s="1455"/>
      <c r="X1" s="1455"/>
      <c r="Y1" s="1455"/>
      <c r="Z1" s="1455"/>
      <c r="AA1" s="1455"/>
      <c r="AB1" s="1455"/>
      <c r="AC1" s="1455"/>
      <c r="AD1" s="1455"/>
      <c r="AE1" s="1455"/>
    </row>
    <row r="2" spans="1:51" ht="18">
      <c r="A2" s="1718">
        <v>1</v>
      </c>
      <c r="B2" s="1456"/>
      <c r="C2" s="23" t="s">
        <v>5192</v>
      </c>
      <c r="D2" s="1455"/>
      <c r="E2" s="1455"/>
      <c r="F2" s="1457" t="s">
        <v>5045</v>
      </c>
      <c r="G2" s="1666" t="str">
        <f>Date1</f>
        <v>31.12.2021</v>
      </c>
      <c r="H2" s="1455"/>
      <c r="I2" s="1455"/>
      <c r="J2" s="1455"/>
      <c r="K2" s="1719"/>
      <c r="L2" s="1455"/>
      <c r="M2" s="1455"/>
      <c r="N2" s="1455"/>
      <c r="O2" s="1455"/>
      <c r="P2" s="1455"/>
      <c r="Q2" s="1455"/>
      <c r="R2" s="1455"/>
      <c r="S2" s="1455"/>
      <c r="T2" s="1455"/>
      <c r="U2" s="1455"/>
      <c r="V2" s="1455"/>
      <c r="W2" s="1455"/>
      <c r="X2" s="1455"/>
      <c r="Y2" s="1455"/>
      <c r="Z2" s="1455"/>
      <c r="AA2" s="1455"/>
      <c r="AB2" s="1455"/>
      <c r="AC2" s="1455"/>
      <c r="AD2" s="1455"/>
      <c r="AE2" s="1455"/>
    </row>
    <row r="3" spans="1:51" ht="18">
      <c r="A3" s="1718">
        <v>1</v>
      </c>
      <c r="B3" s="1456"/>
      <c r="C3" s="1841" t="s">
        <v>940</v>
      </c>
      <c r="D3" s="1841"/>
      <c r="E3" s="1455"/>
      <c r="F3" s="1455"/>
      <c r="G3" s="1455"/>
      <c r="H3" s="1455"/>
      <c r="I3" s="1455"/>
      <c r="J3" s="1455"/>
      <c r="K3" s="1455"/>
      <c r="L3" s="1455"/>
      <c r="M3" s="1455"/>
      <c r="N3" s="1455"/>
      <c r="O3" s="1455"/>
      <c r="P3" s="1455"/>
      <c r="Q3" s="1455"/>
      <c r="R3" s="1455"/>
      <c r="S3" s="1455"/>
      <c r="T3" s="1455"/>
      <c r="U3" s="1455"/>
      <c r="V3" s="1455"/>
      <c r="W3" s="1455"/>
      <c r="X3" s="1455"/>
      <c r="Y3" s="1455"/>
      <c r="Z3" s="1455"/>
      <c r="AA3" s="1455"/>
      <c r="AB3" s="1455"/>
      <c r="AC3" s="1455"/>
      <c r="AD3" s="1455"/>
      <c r="AE3" s="1455"/>
    </row>
    <row r="4" spans="1:51" ht="17.5">
      <c r="A4" s="1718">
        <v>1</v>
      </c>
      <c r="B4" s="1456"/>
      <c r="C4" s="1842" t="s">
        <v>5193</v>
      </c>
      <c r="D4" s="1842"/>
      <c r="E4" s="1842"/>
      <c r="F4" s="1455"/>
      <c r="G4" s="1745" t="s">
        <v>5047</v>
      </c>
      <c r="H4" s="1455"/>
      <c r="I4" s="1455"/>
      <c r="J4" s="1455"/>
      <c r="K4" s="1455"/>
      <c r="L4" s="1455"/>
      <c r="M4" s="1455"/>
      <c r="N4" s="1455"/>
      <c r="O4" s="1455"/>
      <c r="P4" s="1455"/>
      <c r="Q4" s="1455"/>
      <c r="R4" s="1455"/>
      <c r="S4" s="1455"/>
      <c r="T4" s="1455"/>
      <c r="U4" s="1455"/>
      <c r="V4" s="1455"/>
      <c r="W4" s="1455"/>
      <c r="X4" s="1455"/>
      <c r="Y4" s="1455"/>
      <c r="Z4" s="1455"/>
      <c r="AA4" s="1455"/>
      <c r="AB4" s="1455"/>
      <c r="AC4" s="1455"/>
      <c r="AD4" s="1455"/>
      <c r="AE4" s="1455"/>
    </row>
    <row r="5" spans="1:51" ht="18">
      <c r="A5" s="1718">
        <v>1</v>
      </c>
      <c r="B5" s="1456"/>
      <c r="C5" s="1843" t="s">
        <v>5177</v>
      </c>
      <c r="D5" s="1844"/>
      <c r="E5" s="1720"/>
      <c r="T5" s="1458"/>
      <c r="U5" s="1458"/>
    </row>
    <row r="6" spans="1:51" ht="18">
      <c r="A6" s="1718">
        <v>1</v>
      </c>
      <c r="B6" s="1456"/>
      <c r="C6" s="1843" t="s">
        <v>5178</v>
      </c>
      <c r="D6" s="1844"/>
      <c r="E6" s="1720"/>
      <c r="K6" s="1458"/>
      <c r="T6" s="1458"/>
      <c r="U6" s="1458"/>
    </row>
    <row r="7" spans="1:51" ht="18">
      <c r="A7" s="1718">
        <v>1</v>
      </c>
      <c r="B7" s="1456"/>
      <c r="C7" s="1721" t="s">
        <v>5179</v>
      </c>
      <c r="D7" s="1722"/>
      <c r="E7" s="1720"/>
      <c r="G7" s="1842" t="s">
        <v>5194</v>
      </c>
      <c r="H7" s="1842"/>
      <c r="I7" s="1842"/>
      <c r="K7" s="1458"/>
      <c r="T7" s="1458"/>
      <c r="U7" s="1458"/>
    </row>
    <row r="8" spans="1:51" ht="18">
      <c r="A8" s="1718">
        <v>1</v>
      </c>
      <c r="B8" s="1456"/>
      <c r="C8" s="1837" t="s">
        <v>5180</v>
      </c>
      <c r="D8" s="1838"/>
      <c r="E8" s="1723">
        <f>SUM(E5:E7)</f>
        <v>0</v>
      </c>
      <c r="G8" s="1837" t="s">
        <v>5181</v>
      </c>
      <c r="H8" s="1838"/>
      <c r="I8" s="1720"/>
      <c r="K8" s="1458"/>
    </row>
    <row r="9" spans="1:51" ht="18">
      <c r="A9" s="1718">
        <v>1</v>
      </c>
      <c r="B9" s="1456"/>
      <c r="C9" s="1837" t="s">
        <v>5182</v>
      </c>
      <c r="D9" s="1838"/>
      <c r="E9" s="1720"/>
      <c r="G9" s="1837" t="s">
        <v>5182</v>
      </c>
      <c r="H9" s="1838"/>
      <c r="I9" s="1720"/>
      <c r="AC9" s="1839" t="s">
        <v>5183</v>
      </c>
      <c r="AD9" s="1839"/>
      <c r="AE9" s="1839"/>
      <c r="AF9" s="1839"/>
    </row>
    <row r="10" spans="1:51" ht="18">
      <c r="A10" s="1718">
        <v>1</v>
      </c>
      <c r="C10" s="1840" t="s">
        <v>5195</v>
      </c>
      <c r="D10" s="1840"/>
      <c r="E10" s="1840"/>
      <c r="S10" s="1753">
        <f>SUBTOTAL(9,S14:S314)</f>
        <v>0</v>
      </c>
      <c r="AC10" s="1724"/>
      <c r="AD10" s="1724"/>
      <c r="AE10" s="1724"/>
      <c r="AF10" s="1724"/>
    </row>
    <row r="11" spans="1:51" s="1725" customFormat="1" ht="65">
      <c r="A11" s="1725">
        <v>1</v>
      </c>
      <c r="B11" s="1726"/>
      <c r="C11" s="1727" t="s">
        <v>3806</v>
      </c>
      <c r="D11" s="1727" t="s">
        <v>3807</v>
      </c>
      <c r="E11" s="1727" t="s">
        <v>5064</v>
      </c>
      <c r="F11" s="1728" t="s">
        <v>5184</v>
      </c>
      <c r="G11" s="1727" t="s">
        <v>5068</v>
      </c>
      <c r="H11" s="1727" t="s">
        <v>5185</v>
      </c>
      <c r="I11" s="1728" t="s">
        <v>5186</v>
      </c>
      <c r="J11" s="1727" t="s">
        <v>3808</v>
      </c>
      <c r="K11" s="1727" t="s">
        <v>3809</v>
      </c>
      <c r="L11" s="1727" t="s">
        <v>5076</v>
      </c>
      <c r="M11" s="1727" t="s">
        <v>5078</v>
      </c>
      <c r="N11" s="1729" t="s">
        <v>5080</v>
      </c>
      <c r="O11" s="1729" t="s">
        <v>5082</v>
      </c>
      <c r="P11" s="1729" t="s">
        <v>5083</v>
      </c>
      <c r="Q11" s="1729" t="s">
        <v>5085</v>
      </c>
      <c r="R11" s="1727" t="s">
        <v>5087</v>
      </c>
      <c r="S11" s="1727" t="s">
        <v>5089</v>
      </c>
      <c r="T11" s="1727" t="s">
        <v>5091</v>
      </c>
      <c r="U11" s="1727" t="s">
        <v>5093</v>
      </c>
      <c r="V11" s="1727" t="s">
        <v>5094</v>
      </c>
      <c r="W11" s="1727" t="s">
        <v>5095</v>
      </c>
      <c r="X11" s="1727" t="s">
        <v>5096</v>
      </c>
      <c r="Y11" s="1727" t="s">
        <v>5098</v>
      </c>
      <c r="Z11" s="1727" t="s">
        <v>5100</v>
      </c>
      <c r="AA11" s="1727" t="s">
        <v>5102</v>
      </c>
      <c r="AB11" s="1727" t="s">
        <v>3810</v>
      </c>
      <c r="AC11" s="1727" t="s">
        <v>5187</v>
      </c>
      <c r="AD11" s="1727" t="s">
        <v>5188</v>
      </c>
      <c r="AE11" s="1727" t="s">
        <v>5189</v>
      </c>
      <c r="AF11" s="1727" t="s">
        <v>5190</v>
      </c>
      <c r="AG11" s="1727" t="s">
        <v>5113</v>
      </c>
    </row>
    <row r="12" spans="1:51" ht="14">
      <c r="A12" s="1718">
        <v>1</v>
      </c>
      <c r="B12" s="1459"/>
      <c r="C12" s="1730" t="s">
        <v>29</v>
      </c>
      <c r="D12" s="1731" t="s">
        <v>41</v>
      </c>
      <c r="E12" s="1731" t="s">
        <v>63</v>
      </c>
      <c r="F12" s="1731" t="s">
        <v>65</v>
      </c>
      <c r="G12" s="1731" t="s">
        <v>86</v>
      </c>
      <c r="H12" s="1731" t="s">
        <v>88</v>
      </c>
      <c r="I12" s="1731" t="s">
        <v>195</v>
      </c>
      <c r="J12" s="1731" t="s">
        <v>197</v>
      </c>
      <c r="K12" s="1731" t="s">
        <v>199</v>
      </c>
      <c r="L12" s="1731" t="s">
        <v>3811</v>
      </c>
      <c r="M12" s="1731" t="s">
        <v>3812</v>
      </c>
      <c r="N12" s="1731" t="s">
        <v>3813</v>
      </c>
      <c r="O12" s="1731" t="s">
        <v>3814</v>
      </c>
      <c r="P12" s="1731" t="s">
        <v>3815</v>
      </c>
      <c r="Q12" s="1731" t="s">
        <v>3816</v>
      </c>
      <c r="R12" s="1731" t="s">
        <v>3817</v>
      </c>
      <c r="S12" s="1731" t="s">
        <v>3818</v>
      </c>
      <c r="T12" s="1731" t="s">
        <v>3819</v>
      </c>
      <c r="U12" s="1731" t="s">
        <v>3820</v>
      </c>
      <c r="V12" s="1731" t="s">
        <v>3821</v>
      </c>
      <c r="W12" s="1731" t="s">
        <v>3822</v>
      </c>
      <c r="X12" s="1731" t="s">
        <v>3823</v>
      </c>
      <c r="Y12" s="1731" t="s">
        <v>3824</v>
      </c>
      <c r="Z12" s="1731" t="s">
        <v>3825</v>
      </c>
      <c r="AA12" s="1731" t="s">
        <v>3826</v>
      </c>
      <c r="AB12" s="1731" t="s">
        <v>3827</v>
      </c>
      <c r="AC12" s="1731" t="s">
        <v>3828</v>
      </c>
      <c r="AD12" s="1731" t="s">
        <v>3862</v>
      </c>
      <c r="AE12" s="1731" t="s">
        <v>5108</v>
      </c>
      <c r="AF12" s="1731" t="s">
        <v>5110</v>
      </c>
      <c r="AG12" s="1731" t="s">
        <v>5112</v>
      </c>
      <c r="AJ12" s="1732"/>
      <c r="AK12" s="1732"/>
      <c r="AL12" s="1732"/>
      <c r="AM12" s="1732"/>
      <c r="AN12" s="1732" t="s">
        <v>3829</v>
      </c>
      <c r="AO12" s="1732" t="s">
        <v>5196</v>
      </c>
      <c r="AP12" s="1732" t="s">
        <v>5197</v>
      </c>
      <c r="AQ12" s="1732" t="s">
        <v>3830</v>
      </c>
      <c r="AR12" s="1732" t="s">
        <v>5198</v>
      </c>
      <c r="AS12" s="1732" t="s">
        <v>5199</v>
      </c>
      <c r="AT12" s="1718" t="s">
        <v>5200</v>
      </c>
      <c r="AU12" s="1718" t="s">
        <v>5201</v>
      </c>
      <c r="AV12" s="1718" t="s">
        <v>5202</v>
      </c>
      <c r="AW12" s="1718" t="s">
        <v>4961</v>
      </c>
      <c r="AX12" s="1718" t="s">
        <v>5203</v>
      </c>
      <c r="AY12" s="1718" t="s">
        <v>5204</v>
      </c>
    </row>
    <row r="13" spans="1:51" ht="14">
      <c r="A13" s="1718">
        <v>1</v>
      </c>
      <c r="B13" s="1459"/>
      <c r="C13" s="1730"/>
      <c r="D13" s="1731" t="s">
        <v>272</v>
      </c>
      <c r="E13" s="1731"/>
      <c r="F13" s="1731"/>
      <c r="G13" s="1733" t="s">
        <v>5191</v>
      </c>
      <c r="H13" s="1731"/>
      <c r="I13" s="1731"/>
      <c r="J13" s="1731"/>
      <c r="K13" s="1731"/>
      <c r="L13" s="1733" t="s">
        <v>5191</v>
      </c>
      <c r="M13" s="1734">
        <f>SUM(M14:M501)</f>
        <v>0</v>
      </c>
      <c r="N13" s="1731"/>
      <c r="O13" s="1731"/>
      <c r="P13" s="1731"/>
      <c r="Q13" s="1731"/>
      <c r="R13" s="1731"/>
      <c r="S13" s="1734">
        <f>SUM(S14:S501)</f>
        <v>0</v>
      </c>
      <c r="T13" s="1734"/>
      <c r="U13" s="1734"/>
      <c r="V13" s="1731"/>
      <c r="W13" s="1731"/>
      <c r="X13" s="1731"/>
      <c r="Y13" s="1731"/>
      <c r="Z13" s="1731"/>
      <c r="AA13" s="1734"/>
      <c r="AB13" s="1733" t="s">
        <v>5191</v>
      </c>
      <c r="AC13" s="1734"/>
      <c r="AD13" s="1734"/>
      <c r="AE13" s="1734"/>
      <c r="AF13" s="1731"/>
      <c r="AG13" s="1731"/>
      <c r="AH13" s="1732"/>
      <c r="AI13" s="1732"/>
      <c r="AJ13" s="1732"/>
      <c r="AK13" s="1732"/>
      <c r="AL13" s="1732"/>
      <c r="AM13" s="1732"/>
      <c r="AN13" s="1735" t="s">
        <v>5205</v>
      </c>
      <c r="AO13" s="1735" t="s">
        <v>5206</v>
      </c>
      <c r="AP13" s="1735" t="s">
        <v>5207</v>
      </c>
      <c r="AQ13" s="1732" t="s">
        <v>3831</v>
      </c>
      <c r="AR13" s="1718" t="s">
        <v>5208</v>
      </c>
      <c r="AS13" s="1718" t="s">
        <v>5209</v>
      </c>
      <c r="AT13" s="1718" t="s">
        <v>2682</v>
      </c>
      <c r="AU13" s="1718" t="s">
        <v>5210</v>
      </c>
      <c r="AV13" s="1718" t="s">
        <v>5211</v>
      </c>
      <c r="AW13" s="1718" t="str">
        <f>'T18'!Q12</f>
        <v>אדלסברג</v>
      </c>
      <c r="AX13" s="1718" t="s">
        <v>3672</v>
      </c>
      <c r="AY13" s="1718" t="s">
        <v>5212</v>
      </c>
    </row>
    <row r="14" spans="1:51">
      <c r="A14" s="1718">
        <v>1</v>
      </c>
      <c r="B14" s="1736">
        <v>1</v>
      </c>
      <c r="C14" s="1737"/>
      <c r="D14" s="1736"/>
      <c r="E14" s="1736"/>
      <c r="F14" s="1736"/>
      <c r="G14" s="1738"/>
      <c r="H14" s="1739"/>
      <c r="I14" s="1736"/>
      <c r="J14" s="1736"/>
      <c r="K14" s="1736"/>
      <c r="L14" s="1738"/>
      <c r="M14" s="1736"/>
      <c r="N14" s="1740"/>
      <c r="O14" s="1740"/>
      <c r="P14" s="1741"/>
      <c r="Q14" s="1741"/>
      <c r="R14" s="1736"/>
      <c r="S14" s="1742"/>
      <c r="T14" s="1742"/>
      <c r="U14" s="1742"/>
      <c r="V14" s="1736"/>
      <c r="W14" s="1736"/>
      <c r="X14" s="1736"/>
      <c r="Y14" s="1736"/>
      <c r="Z14" s="1736"/>
      <c r="AA14" s="1742"/>
      <c r="AB14" s="1738"/>
      <c r="AC14" s="1742"/>
      <c r="AD14" s="1742"/>
      <c r="AE14" s="1742"/>
      <c r="AF14" s="1742"/>
      <c r="AG14" s="1736"/>
      <c r="AH14" s="1732"/>
      <c r="AI14" s="1732"/>
      <c r="AN14" s="1735" t="s">
        <v>5213</v>
      </c>
      <c r="AO14" s="1735" t="s">
        <v>5214</v>
      </c>
      <c r="AP14" s="1735" t="s">
        <v>5215</v>
      </c>
      <c r="AQ14" s="1732" t="s">
        <v>3832</v>
      </c>
      <c r="AR14" s="1718" t="s">
        <v>1653</v>
      </c>
      <c r="AS14" s="1718" t="s">
        <v>5216</v>
      </c>
      <c r="AT14" s="1718" t="s">
        <v>2683</v>
      </c>
      <c r="AU14" s="1718" t="s">
        <v>5217</v>
      </c>
      <c r="AV14" s="1718" t="s">
        <v>5218</v>
      </c>
      <c r="AW14" s="1718" t="str">
        <f>'T18'!Q13</f>
        <v>אורמת</v>
      </c>
      <c r="AX14" s="1718" t="s">
        <v>1948</v>
      </c>
      <c r="AY14" s="1718" t="s">
        <v>5219</v>
      </c>
    </row>
    <row r="15" spans="1:51">
      <c r="A15" s="1718">
        <v>1</v>
      </c>
      <c r="B15" s="1736">
        <f t="shared" ref="B15:B78" si="0">B14+1</f>
        <v>2</v>
      </c>
      <c r="C15" s="1737"/>
      <c r="D15" s="1736"/>
      <c r="E15" s="1736"/>
      <c r="F15" s="1736"/>
      <c r="G15" s="1738"/>
      <c r="H15" s="1739"/>
      <c r="I15" s="1736"/>
      <c r="J15" s="1736"/>
      <c r="K15" s="1736"/>
      <c r="L15" s="1738"/>
      <c r="M15" s="1736"/>
      <c r="N15" s="1740"/>
      <c r="O15" s="1740"/>
      <c r="P15" s="1741"/>
      <c r="Q15" s="1741"/>
      <c r="R15" s="1736"/>
      <c r="S15" s="1742"/>
      <c r="T15" s="1742"/>
      <c r="U15" s="1742"/>
      <c r="V15" s="1736"/>
      <c r="W15" s="1736"/>
      <c r="X15" s="1736"/>
      <c r="Y15" s="1736"/>
      <c r="Z15" s="1736"/>
      <c r="AA15" s="1742"/>
      <c r="AB15" s="1738"/>
      <c r="AC15" s="1742"/>
      <c r="AD15" s="1742"/>
      <c r="AE15" s="1742"/>
      <c r="AF15" s="1742"/>
      <c r="AG15" s="1736"/>
      <c r="AH15" s="1732"/>
      <c r="AI15" s="1732"/>
      <c r="AJ15" s="1732"/>
      <c r="AK15" s="1732"/>
      <c r="AL15" s="1732"/>
      <c r="AM15" s="1732"/>
      <c r="AN15" s="1735" t="s">
        <v>5220</v>
      </c>
      <c r="AO15" s="1735" t="s">
        <v>3834</v>
      </c>
      <c r="AP15" s="1735" t="s">
        <v>53</v>
      </c>
      <c r="AQ15" s="1732" t="s">
        <v>3833</v>
      </c>
      <c r="AR15" s="1735" t="s">
        <v>4913</v>
      </c>
      <c r="AS15" s="1718" t="s">
        <v>5221</v>
      </c>
      <c r="AU15" s="1718" t="s">
        <v>5222</v>
      </c>
      <c r="AV15" s="1718" t="s">
        <v>1948</v>
      </c>
      <c r="AW15" s="1718" t="str">
        <f>'T18'!Q14</f>
        <v>איזנברג שלמה</v>
      </c>
      <c r="AX15" s="1718" t="s">
        <v>5223</v>
      </c>
      <c r="AY15" s="1718" t="s">
        <v>5224</v>
      </c>
    </row>
    <row r="16" spans="1:51">
      <c r="A16" s="1718">
        <v>1</v>
      </c>
      <c r="B16" s="1736">
        <f t="shared" si="0"/>
        <v>3</v>
      </c>
      <c r="C16" s="1737"/>
      <c r="D16" s="1736"/>
      <c r="E16" s="1736"/>
      <c r="F16" s="1736"/>
      <c r="G16" s="1738"/>
      <c r="H16" s="1739"/>
      <c r="I16" s="1736"/>
      <c r="J16" s="1736"/>
      <c r="K16" s="1736"/>
      <c r="L16" s="1738"/>
      <c r="M16" s="1736"/>
      <c r="N16" s="1740"/>
      <c r="O16" s="1740"/>
      <c r="P16" s="1741"/>
      <c r="Q16" s="1741"/>
      <c r="R16" s="1736"/>
      <c r="S16" s="1742"/>
      <c r="T16" s="1742"/>
      <c r="U16" s="1742"/>
      <c r="V16" s="1736"/>
      <c r="W16" s="1736"/>
      <c r="X16" s="1736"/>
      <c r="Y16" s="1736"/>
      <c r="Z16" s="1736"/>
      <c r="AA16" s="1742"/>
      <c r="AB16" s="1738"/>
      <c r="AC16" s="1742"/>
      <c r="AD16" s="1742"/>
      <c r="AE16" s="1742"/>
      <c r="AF16" s="1742"/>
      <c r="AG16" s="1736"/>
      <c r="AH16" s="1732"/>
      <c r="AN16" s="1735" t="s">
        <v>5225</v>
      </c>
      <c r="AO16" s="1735" t="s">
        <v>3837</v>
      </c>
      <c r="AP16" s="1735" t="s">
        <v>5226</v>
      </c>
      <c r="AQ16" s="1732" t="s">
        <v>3835</v>
      </c>
      <c r="AR16" s="1735" t="s">
        <v>75</v>
      </c>
      <c r="AS16" s="1718" t="s">
        <v>5227</v>
      </c>
      <c r="AW16" s="1718" t="str">
        <f>'T18'!Q15</f>
        <v>איסתא</v>
      </c>
      <c r="AY16" s="1718" t="s">
        <v>5228</v>
      </c>
    </row>
    <row r="17" spans="1:51">
      <c r="A17" s="1718">
        <v>1</v>
      </c>
      <c r="B17" s="1736">
        <f t="shared" si="0"/>
        <v>4</v>
      </c>
      <c r="C17" s="1737"/>
      <c r="D17" s="1736"/>
      <c r="E17" s="1736"/>
      <c r="F17" s="1736"/>
      <c r="G17" s="1738"/>
      <c r="H17" s="1739"/>
      <c r="I17" s="1736"/>
      <c r="J17" s="1736"/>
      <c r="K17" s="1736"/>
      <c r="L17" s="1738"/>
      <c r="M17" s="1736"/>
      <c r="N17" s="1740"/>
      <c r="O17" s="1740"/>
      <c r="P17" s="1741"/>
      <c r="Q17" s="1741"/>
      <c r="R17" s="1736"/>
      <c r="S17" s="1742"/>
      <c r="T17" s="1742"/>
      <c r="U17" s="1742"/>
      <c r="V17" s="1736"/>
      <c r="W17" s="1736"/>
      <c r="X17" s="1736"/>
      <c r="Y17" s="1736"/>
      <c r="Z17" s="1736"/>
      <c r="AA17" s="1742"/>
      <c r="AB17" s="1738"/>
      <c r="AC17" s="1742"/>
      <c r="AD17" s="1742"/>
      <c r="AE17" s="1742"/>
      <c r="AF17" s="1742"/>
      <c r="AG17" s="1736"/>
      <c r="AI17" s="1732"/>
      <c r="AN17" s="1735" t="s">
        <v>5229</v>
      </c>
      <c r="AQ17" s="1732" t="s">
        <v>3838</v>
      </c>
      <c r="AR17" s="1735" t="s">
        <v>70</v>
      </c>
      <c r="AS17" s="1718" t="s">
        <v>70</v>
      </c>
      <c r="AW17" s="1718" t="str">
        <f>'T18'!Q16</f>
        <v>אלביט מערכות</v>
      </c>
      <c r="AY17" s="1718" t="s">
        <v>5230</v>
      </c>
    </row>
    <row r="18" spans="1:51">
      <c r="A18" s="1718">
        <v>1</v>
      </c>
      <c r="B18" s="1736">
        <f t="shared" si="0"/>
        <v>5</v>
      </c>
      <c r="C18" s="1737"/>
      <c r="D18" s="1736"/>
      <c r="E18" s="1736"/>
      <c r="F18" s="1736"/>
      <c r="G18" s="1738"/>
      <c r="H18" s="1739"/>
      <c r="I18" s="1736"/>
      <c r="J18" s="1736"/>
      <c r="K18" s="1736"/>
      <c r="L18" s="1738"/>
      <c r="M18" s="1736"/>
      <c r="N18" s="1740"/>
      <c r="O18" s="1740"/>
      <c r="P18" s="1741"/>
      <c r="Q18" s="1741"/>
      <c r="R18" s="1736"/>
      <c r="S18" s="1742"/>
      <c r="T18" s="1742"/>
      <c r="U18" s="1742"/>
      <c r="V18" s="1736"/>
      <c r="W18" s="1736"/>
      <c r="X18" s="1736"/>
      <c r="Y18" s="1736"/>
      <c r="Z18" s="1736"/>
      <c r="AA18" s="1742"/>
      <c r="AB18" s="1738"/>
      <c r="AC18" s="1742"/>
      <c r="AD18" s="1742"/>
      <c r="AE18" s="1742"/>
      <c r="AF18" s="1742"/>
      <c r="AG18" s="1736"/>
      <c r="AH18" s="1732"/>
      <c r="AN18" s="1735" t="s">
        <v>5231</v>
      </c>
      <c r="AP18" s="1735"/>
      <c r="AQ18" s="1732" t="s">
        <v>3839</v>
      </c>
      <c r="AR18" s="1718" t="s">
        <v>5232</v>
      </c>
      <c r="AW18" s="1718" t="str">
        <f>'T18'!Q17</f>
        <v>אלוביץ'</v>
      </c>
      <c r="AY18" s="1718" t="s">
        <v>5233</v>
      </c>
    </row>
    <row r="19" spans="1:51">
      <c r="A19" s="1718">
        <v>1</v>
      </c>
      <c r="B19" s="1736">
        <f t="shared" si="0"/>
        <v>6</v>
      </c>
      <c r="C19" s="1737"/>
      <c r="D19" s="1736"/>
      <c r="E19" s="1736"/>
      <c r="F19" s="1736"/>
      <c r="G19" s="1738"/>
      <c r="H19" s="1739"/>
      <c r="I19" s="1736"/>
      <c r="J19" s="1736"/>
      <c r="K19" s="1736"/>
      <c r="L19" s="1738"/>
      <c r="M19" s="1736"/>
      <c r="N19" s="1740"/>
      <c r="O19" s="1740"/>
      <c r="P19" s="1741"/>
      <c r="Q19" s="1741"/>
      <c r="R19" s="1736"/>
      <c r="S19" s="1742"/>
      <c r="T19" s="1742"/>
      <c r="U19" s="1742"/>
      <c r="V19" s="1736"/>
      <c r="W19" s="1736"/>
      <c r="X19" s="1736"/>
      <c r="Y19" s="1736"/>
      <c r="Z19" s="1736"/>
      <c r="AA19" s="1742"/>
      <c r="AB19" s="1738"/>
      <c r="AC19" s="1742"/>
      <c r="AD19" s="1742"/>
      <c r="AE19" s="1742"/>
      <c r="AF19" s="1742"/>
      <c r="AG19" s="1736"/>
      <c r="AN19" s="1735" t="s">
        <v>5234</v>
      </c>
      <c r="AO19" s="1735"/>
      <c r="AP19" s="1735"/>
      <c r="AQ19" s="1732" t="s">
        <v>3840</v>
      </c>
      <c r="AW19" s="1718" t="str">
        <f>'T18'!Q18</f>
        <v>אליהו</v>
      </c>
    </row>
    <row r="20" spans="1:51">
      <c r="A20" s="1718">
        <v>1</v>
      </c>
      <c r="B20" s="1736">
        <f t="shared" si="0"/>
        <v>7</v>
      </c>
      <c r="C20" s="1737"/>
      <c r="D20" s="1736"/>
      <c r="E20" s="1736"/>
      <c r="F20" s="1736"/>
      <c r="G20" s="1738"/>
      <c r="H20" s="1739"/>
      <c r="I20" s="1736"/>
      <c r="J20" s="1736"/>
      <c r="K20" s="1736"/>
      <c r="L20" s="1738"/>
      <c r="M20" s="1736"/>
      <c r="N20" s="1740"/>
      <c r="O20" s="1740"/>
      <c r="P20" s="1741"/>
      <c r="Q20" s="1741"/>
      <c r="R20" s="1736"/>
      <c r="S20" s="1742"/>
      <c r="T20" s="1742"/>
      <c r="U20" s="1742"/>
      <c r="V20" s="1736"/>
      <c r="W20" s="1736"/>
      <c r="X20" s="1736"/>
      <c r="Y20" s="1736"/>
      <c r="Z20" s="1736"/>
      <c r="AA20" s="1742"/>
      <c r="AB20" s="1738"/>
      <c r="AC20" s="1742"/>
      <c r="AD20" s="1742"/>
      <c r="AE20" s="1742"/>
      <c r="AF20" s="1742"/>
      <c r="AG20" s="1736"/>
      <c r="AN20" s="1735" t="s">
        <v>5235</v>
      </c>
      <c r="AO20" s="1735"/>
      <c r="AP20" s="1735"/>
      <c r="AQ20" s="1732" t="s">
        <v>3841</v>
      </c>
      <c r="AW20" s="1718" t="str">
        <f>'T18'!Q19</f>
        <v>אלייד</v>
      </c>
    </row>
    <row r="21" spans="1:51">
      <c r="A21" s="1718">
        <v>1</v>
      </c>
      <c r="B21" s="1736">
        <f t="shared" si="0"/>
        <v>8</v>
      </c>
      <c r="C21" s="1737"/>
      <c r="D21" s="1736"/>
      <c r="E21" s="1736"/>
      <c r="F21" s="1736"/>
      <c r="G21" s="1738"/>
      <c r="H21" s="1739"/>
      <c r="I21" s="1736"/>
      <c r="J21" s="1736"/>
      <c r="K21" s="1736"/>
      <c r="L21" s="1738"/>
      <c r="M21" s="1736"/>
      <c r="N21" s="1740"/>
      <c r="O21" s="1740"/>
      <c r="P21" s="1741"/>
      <c r="Q21" s="1741"/>
      <c r="R21" s="1736"/>
      <c r="S21" s="1742"/>
      <c r="T21" s="1742"/>
      <c r="U21" s="1742"/>
      <c r="V21" s="1736"/>
      <c r="W21" s="1736"/>
      <c r="X21" s="1736"/>
      <c r="Y21" s="1736"/>
      <c r="Z21" s="1736"/>
      <c r="AA21" s="1742"/>
      <c r="AB21" s="1738"/>
      <c r="AC21" s="1742"/>
      <c r="AD21" s="1742"/>
      <c r="AE21" s="1742"/>
      <c r="AF21" s="1742"/>
      <c r="AG21" s="1736"/>
      <c r="AN21" s="1735" t="s">
        <v>5236</v>
      </c>
      <c r="AO21" s="1735"/>
      <c r="AP21" s="1735"/>
      <c r="AQ21" s="1732" t="s">
        <v>3843</v>
      </c>
      <c r="AW21" s="1718" t="str">
        <f>'T18'!Q20</f>
        <v>אלעזרא</v>
      </c>
    </row>
    <row r="22" spans="1:51">
      <c r="A22" s="1718">
        <v>1</v>
      </c>
      <c r="B22" s="1736">
        <f t="shared" si="0"/>
        <v>9</v>
      </c>
      <c r="C22" s="1737"/>
      <c r="D22" s="1736"/>
      <c r="E22" s="1736"/>
      <c r="F22" s="1736"/>
      <c r="G22" s="1738"/>
      <c r="H22" s="1739"/>
      <c r="I22" s="1736"/>
      <c r="J22" s="1736"/>
      <c r="K22" s="1736"/>
      <c r="L22" s="1738"/>
      <c r="M22" s="1736"/>
      <c r="N22" s="1740"/>
      <c r="O22" s="1740"/>
      <c r="P22" s="1741"/>
      <c r="Q22" s="1741"/>
      <c r="R22" s="1736"/>
      <c r="S22" s="1742"/>
      <c r="T22" s="1742"/>
      <c r="U22" s="1742"/>
      <c r="V22" s="1736"/>
      <c r="W22" s="1736"/>
      <c r="X22" s="1736"/>
      <c r="Y22" s="1736"/>
      <c r="Z22" s="1736"/>
      <c r="AA22" s="1742"/>
      <c r="AB22" s="1738"/>
      <c r="AC22" s="1742"/>
      <c r="AD22" s="1742"/>
      <c r="AE22" s="1742"/>
      <c r="AF22" s="1742"/>
      <c r="AG22" s="1736"/>
      <c r="AN22" s="1735" t="s">
        <v>5237</v>
      </c>
      <c r="AO22" s="1735"/>
      <c r="AP22" s="1735"/>
      <c r="AQ22" s="1732" t="s">
        <v>3844</v>
      </c>
      <c r="AW22" s="1718" t="str">
        <f>'T18'!Q21</f>
        <v>אלפא מים השקעות</v>
      </c>
    </row>
    <row r="23" spans="1:51">
      <c r="A23" s="1718">
        <v>1</v>
      </c>
      <c r="B23" s="1736">
        <f t="shared" si="0"/>
        <v>10</v>
      </c>
      <c r="C23" s="1737"/>
      <c r="D23" s="1736"/>
      <c r="E23" s="1736"/>
      <c r="F23" s="1736"/>
      <c r="G23" s="1738"/>
      <c r="H23" s="1739"/>
      <c r="I23" s="1736"/>
      <c r="J23" s="1736"/>
      <c r="K23" s="1736"/>
      <c r="L23" s="1738"/>
      <c r="M23" s="1736"/>
      <c r="N23" s="1740"/>
      <c r="O23" s="1740"/>
      <c r="P23" s="1741"/>
      <c r="Q23" s="1741"/>
      <c r="R23" s="1736"/>
      <c r="S23" s="1742"/>
      <c r="T23" s="1742"/>
      <c r="U23" s="1742"/>
      <c r="V23" s="1736"/>
      <c r="W23" s="1736"/>
      <c r="X23" s="1736"/>
      <c r="Y23" s="1736"/>
      <c r="Z23" s="1736"/>
      <c r="AA23" s="1742"/>
      <c r="AB23" s="1738"/>
      <c r="AC23" s="1742"/>
      <c r="AD23" s="1742"/>
      <c r="AE23" s="1742"/>
      <c r="AF23" s="1742"/>
      <c r="AG23" s="1736"/>
      <c r="AN23" s="1735" t="s">
        <v>5238</v>
      </c>
      <c r="AO23" s="1735"/>
      <c r="AP23" s="1735"/>
      <c r="AQ23" s="1732" t="s">
        <v>3845</v>
      </c>
      <c r="AW23" s="1718" t="str">
        <f>'T18'!Q22</f>
        <v>אלשטיין</v>
      </c>
    </row>
    <row r="24" spans="1:51">
      <c r="A24" s="1718">
        <v>1</v>
      </c>
      <c r="B24" s="1736">
        <f t="shared" si="0"/>
        <v>11</v>
      </c>
      <c r="C24" s="1737"/>
      <c r="D24" s="1736"/>
      <c r="E24" s="1736"/>
      <c r="F24" s="1736"/>
      <c r="G24" s="1738"/>
      <c r="H24" s="1739"/>
      <c r="I24" s="1736"/>
      <c r="J24" s="1736"/>
      <c r="K24" s="1736"/>
      <c r="L24" s="1738"/>
      <c r="M24" s="1736"/>
      <c r="N24" s="1740"/>
      <c r="O24" s="1740"/>
      <c r="P24" s="1741"/>
      <c r="Q24" s="1741"/>
      <c r="R24" s="1736"/>
      <c r="S24" s="1742"/>
      <c r="T24" s="1742"/>
      <c r="U24" s="1742"/>
      <c r="V24" s="1736"/>
      <c r="W24" s="1736"/>
      <c r="X24" s="1736"/>
      <c r="Y24" s="1736"/>
      <c r="Z24" s="1736"/>
      <c r="AA24" s="1742"/>
      <c r="AB24" s="1738"/>
      <c r="AC24" s="1742"/>
      <c r="AD24" s="1742"/>
      <c r="AE24" s="1742"/>
      <c r="AF24" s="1742"/>
      <c r="AG24" s="1736"/>
      <c r="AN24" s="1735" t="s">
        <v>5239</v>
      </c>
      <c r="AO24" s="1735"/>
      <c r="AP24" s="1735"/>
      <c r="AQ24" s="1732" t="s">
        <v>3846</v>
      </c>
      <c r="AW24" s="1718" t="str">
        <f>'T18'!Q23</f>
        <v>אנלייט</v>
      </c>
    </row>
    <row r="25" spans="1:51">
      <c r="A25" s="1718">
        <v>1</v>
      </c>
      <c r="B25" s="1736">
        <f t="shared" si="0"/>
        <v>12</v>
      </c>
      <c r="C25" s="1737"/>
      <c r="D25" s="1736"/>
      <c r="E25" s="1736"/>
      <c r="F25" s="1736"/>
      <c r="G25" s="1738"/>
      <c r="H25" s="1739"/>
      <c r="I25" s="1736"/>
      <c r="J25" s="1736"/>
      <c r="K25" s="1736"/>
      <c r="L25" s="1738"/>
      <c r="M25" s="1736"/>
      <c r="N25" s="1740"/>
      <c r="O25" s="1740"/>
      <c r="P25" s="1741"/>
      <c r="Q25" s="1741"/>
      <c r="R25" s="1736"/>
      <c r="S25" s="1742"/>
      <c r="T25" s="1742"/>
      <c r="U25" s="1742"/>
      <c r="V25" s="1736"/>
      <c r="W25" s="1736"/>
      <c r="X25" s="1736"/>
      <c r="Y25" s="1736"/>
      <c r="Z25" s="1736"/>
      <c r="AA25" s="1742"/>
      <c r="AB25" s="1738"/>
      <c r="AC25" s="1742"/>
      <c r="AD25" s="1742"/>
      <c r="AE25" s="1742"/>
      <c r="AF25" s="1742"/>
      <c r="AG25" s="1736"/>
      <c r="AN25" s="1735" t="s">
        <v>5240</v>
      </c>
      <c r="AO25" s="1735"/>
      <c r="AP25" s="1735"/>
      <c r="AQ25" s="1732" t="s">
        <v>3847</v>
      </c>
      <c r="AW25" s="1718" t="str">
        <f>'T18'!Q24</f>
        <v>אנרגיאן</v>
      </c>
    </row>
    <row r="26" spans="1:51">
      <c r="A26" s="1718">
        <v>1</v>
      </c>
      <c r="B26" s="1736">
        <f t="shared" si="0"/>
        <v>13</v>
      </c>
      <c r="C26" s="1737"/>
      <c r="D26" s="1736"/>
      <c r="E26" s="1736"/>
      <c r="F26" s="1736"/>
      <c r="G26" s="1738"/>
      <c r="H26" s="1739"/>
      <c r="I26" s="1736"/>
      <c r="J26" s="1736"/>
      <c r="K26" s="1736"/>
      <c r="L26" s="1738"/>
      <c r="M26" s="1736"/>
      <c r="N26" s="1740"/>
      <c r="O26" s="1740"/>
      <c r="P26" s="1741"/>
      <c r="Q26" s="1741"/>
      <c r="R26" s="1736"/>
      <c r="S26" s="1742"/>
      <c r="T26" s="1742"/>
      <c r="U26" s="1742"/>
      <c r="V26" s="1736"/>
      <c r="W26" s="1736"/>
      <c r="X26" s="1736"/>
      <c r="Y26" s="1736"/>
      <c r="Z26" s="1736"/>
      <c r="AA26" s="1742"/>
      <c r="AB26" s="1738"/>
      <c r="AC26" s="1742"/>
      <c r="AD26" s="1742"/>
      <c r="AE26" s="1742"/>
      <c r="AF26" s="1742"/>
      <c r="AG26" s="1736"/>
      <c r="AN26" s="1735" t="s">
        <v>1400</v>
      </c>
      <c r="AO26" s="1735"/>
      <c r="AP26" s="1735"/>
      <c r="AQ26" s="1732" t="s">
        <v>3848</v>
      </c>
      <c r="AW26" s="1718" t="str">
        <f>'T18'!Q25</f>
        <v>אקירוב</v>
      </c>
    </row>
    <row r="27" spans="1:51">
      <c r="A27" s="1718">
        <v>1</v>
      </c>
      <c r="B27" s="1736">
        <f t="shared" si="0"/>
        <v>14</v>
      </c>
      <c r="C27" s="1737"/>
      <c r="D27" s="1736"/>
      <c r="E27" s="1736"/>
      <c r="F27" s="1736"/>
      <c r="G27" s="1738"/>
      <c r="H27" s="1739"/>
      <c r="I27" s="1736"/>
      <c r="J27" s="1736"/>
      <c r="K27" s="1736"/>
      <c r="L27" s="1738"/>
      <c r="M27" s="1736"/>
      <c r="N27" s="1740"/>
      <c r="O27" s="1740"/>
      <c r="P27" s="1741"/>
      <c r="Q27" s="1741"/>
      <c r="R27" s="1736"/>
      <c r="S27" s="1742"/>
      <c r="T27" s="1742"/>
      <c r="U27" s="1742"/>
      <c r="V27" s="1736"/>
      <c r="W27" s="1736"/>
      <c r="X27" s="1736"/>
      <c r="Y27" s="1736"/>
      <c r="Z27" s="1736"/>
      <c r="AA27" s="1742"/>
      <c r="AB27" s="1738"/>
      <c r="AC27" s="1742"/>
      <c r="AD27" s="1742"/>
      <c r="AE27" s="1742"/>
      <c r="AF27" s="1742"/>
      <c r="AG27" s="1736"/>
      <c r="AN27" s="1735" t="s">
        <v>3842</v>
      </c>
      <c r="AO27" s="1735"/>
      <c r="AP27" s="1735"/>
      <c r="AQ27" s="1732" t="s">
        <v>3849</v>
      </c>
      <c r="AW27" s="1718" t="str">
        <f>'T18'!Q26</f>
        <v>אריסון</v>
      </c>
    </row>
    <row r="28" spans="1:51">
      <c r="A28" s="1718">
        <v>1</v>
      </c>
      <c r="B28" s="1736">
        <f t="shared" si="0"/>
        <v>15</v>
      </c>
      <c r="C28" s="1737"/>
      <c r="D28" s="1736"/>
      <c r="E28" s="1736"/>
      <c r="F28" s="1736"/>
      <c r="G28" s="1738"/>
      <c r="H28" s="1739"/>
      <c r="I28" s="1736"/>
      <c r="J28" s="1736"/>
      <c r="K28" s="1736"/>
      <c r="L28" s="1738"/>
      <c r="M28" s="1736"/>
      <c r="N28" s="1740"/>
      <c r="O28" s="1740"/>
      <c r="P28" s="1741"/>
      <c r="Q28" s="1741"/>
      <c r="R28" s="1736"/>
      <c r="S28" s="1742"/>
      <c r="T28" s="1742"/>
      <c r="U28" s="1742"/>
      <c r="V28" s="1736"/>
      <c r="W28" s="1736"/>
      <c r="X28" s="1736"/>
      <c r="Y28" s="1736"/>
      <c r="Z28" s="1736"/>
      <c r="AA28" s="1742"/>
      <c r="AB28" s="1738"/>
      <c r="AC28" s="1742"/>
      <c r="AD28" s="1742"/>
      <c r="AE28" s="1742"/>
      <c r="AF28" s="1742"/>
      <c r="AG28" s="1736"/>
      <c r="AN28" s="1735" t="s">
        <v>1401</v>
      </c>
      <c r="AO28" s="1735"/>
      <c r="AP28" s="1735"/>
      <c r="AQ28" s="1732" t="s">
        <v>3850</v>
      </c>
      <c r="AW28" s="1718" t="str">
        <f>'T18'!Q27</f>
        <v>בוימלגרין קפיטל</v>
      </c>
    </row>
    <row r="29" spans="1:51">
      <c r="A29" s="1718">
        <v>1</v>
      </c>
      <c r="B29" s="1736">
        <f t="shared" si="0"/>
        <v>16</v>
      </c>
      <c r="C29" s="1737"/>
      <c r="D29" s="1736"/>
      <c r="E29" s="1736"/>
      <c r="F29" s="1736"/>
      <c r="G29" s="1738"/>
      <c r="H29" s="1739"/>
      <c r="I29" s="1736"/>
      <c r="J29" s="1736"/>
      <c r="K29" s="1736"/>
      <c r="L29" s="1738"/>
      <c r="M29" s="1736"/>
      <c r="N29" s="1740"/>
      <c r="O29" s="1740"/>
      <c r="P29" s="1741"/>
      <c r="Q29" s="1741"/>
      <c r="R29" s="1736"/>
      <c r="S29" s="1742"/>
      <c r="T29" s="1742"/>
      <c r="U29" s="1742"/>
      <c r="V29" s="1736"/>
      <c r="W29" s="1736"/>
      <c r="X29" s="1736"/>
      <c r="Y29" s="1736"/>
      <c r="Z29" s="1736"/>
      <c r="AA29" s="1742"/>
      <c r="AB29" s="1738"/>
      <c r="AC29" s="1742"/>
      <c r="AD29" s="1742"/>
      <c r="AE29" s="1742"/>
      <c r="AF29" s="1742"/>
      <c r="AG29" s="1736"/>
      <c r="AN29" s="1735" t="s">
        <v>1396</v>
      </c>
      <c r="AQ29" s="1732" t="s">
        <v>3851</v>
      </c>
      <c r="AW29" s="1718" t="str">
        <f>'T18'!Q28</f>
        <v>בינו</v>
      </c>
    </row>
    <row r="30" spans="1:51">
      <c r="A30" s="1718">
        <v>1</v>
      </c>
      <c r="B30" s="1736">
        <f t="shared" si="0"/>
        <v>17</v>
      </c>
      <c r="C30" s="1737"/>
      <c r="D30" s="1736"/>
      <c r="E30" s="1736"/>
      <c r="F30" s="1736"/>
      <c r="G30" s="1738"/>
      <c r="H30" s="1739"/>
      <c r="I30" s="1736"/>
      <c r="J30" s="1736"/>
      <c r="K30" s="1736"/>
      <c r="L30" s="1738"/>
      <c r="M30" s="1736"/>
      <c r="N30" s="1740"/>
      <c r="O30" s="1740"/>
      <c r="P30" s="1741"/>
      <c r="Q30" s="1741"/>
      <c r="R30" s="1736"/>
      <c r="S30" s="1742"/>
      <c r="T30" s="1742"/>
      <c r="U30" s="1742"/>
      <c r="V30" s="1736"/>
      <c r="W30" s="1736"/>
      <c r="X30" s="1736"/>
      <c r="Y30" s="1736"/>
      <c r="Z30" s="1736"/>
      <c r="AA30" s="1742"/>
      <c r="AB30" s="1738"/>
      <c r="AC30" s="1742"/>
      <c r="AD30" s="1742"/>
      <c r="AE30" s="1742"/>
      <c r="AF30" s="1742"/>
      <c r="AG30" s="1736"/>
      <c r="AN30" s="1735" t="s">
        <v>5241</v>
      </c>
      <c r="AQ30" s="1732" t="s">
        <v>3852</v>
      </c>
      <c r="AW30" s="1718" t="str">
        <f>'T18'!Q29</f>
        <v>בלווטניק</v>
      </c>
    </row>
    <row r="31" spans="1:51">
      <c r="A31" s="1718">
        <v>1</v>
      </c>
      <c r="B31" s="1736">
        <f t="shared" si="0"/>
        <v>18</v>
      </c>
      <c r="C31" s="1737"/>
      <c r="D31" s="1736"/>
      <c r="E31" s="1736"/>
      <c r="F31" s="1736"/>
      <c r="G31" s="1738"/>
      <c r="H31" s="1739"/>
      <c r="I31" s="1736"/>
      <c r="J31" s="1736"/>
      <c r="K31" s="1736"/>
      <c r="L31" s="1738"/>
      <c r="M31" s="1736"/>
      <c r="N31" s="1740"/>
      <c r="O31" s="1740"/>
      <c r="P31" s="1741"/>
      <c r="Q31" s="1741"/>
      <c r="R31" s="1736"/>
      <c r="S31" s="1742"/>
      <c r="T31" s="1742"/>
      <c r="U31" s="1742"/>
      <c r="V31" s="1736"/>
      <c r="W31" s="1736"/>
      <c r="X31" s="1736"/>
      <c r="Y31" s="1736"/>
      <c r="Z31" s="1736"/>
      <c r="AA31" s="1742"/>
      <c r="AB31" s="1738"/>
      <c r="AC31" s="1742"/>
      <c r="AD31" s="1742"/>
      <c r="AE31" s="1742"/>
      <c r="AF31" s="1742"/>
      <c r="AG31" s="1736"/>
      <c r="AN31" s="1735" t="s">
        <v>3836</v>
      </c>
      <c r="AQ31" s="1732" t="s">
        <v>3853</v>
      </c>
      <c r="AW31" s="1718" t="str">
        <f>'T18'!Q30</f>
        <v>בן משה</v>
      </c>
    </row>
    <row r="32" spans="1:51">
      <c r="A32" s="1718">
        <v>1</v>
      </c>
      <c r="B32" s="1736">
        <f t="shared" si="0"/>
        <v>19</v>
      </c>
      <c r="C32" s="1737"/>
      <c r="D32" s="1736"/>
      <c r="E32" s="1736"/>
      <c r="F32" s="1736"/>
      <c r="G32" s="1738"/>
      <c r="H32" s="1739"/>
      <c r="I32" s="1736"/>
      <c r="J32" s="1736"/>
      <c r="K32" s="1736"/>
      <c r="L32" s="1738"/>
      <c r="M32" s="1736"/>
      <c r="N32" s="1740"/>
      <c r="O32" s="1740"/>
      <c r="P32" s="1741"/>
      <c r="Q32" s="1741"/>
      <c r="R32" s="1736"/>
      <c r="S32" s="1742"/>
      <c r="T32" s="1742"/>
      <c r="U32" s="1742"/>
      <c r="V32" s="1736"/>
      <c r="W32" s="1736"/>
      <c r="X32" s="1736"/>
      <c r="Y32" s="1736"/>
      <c r="Z32" s="1736"/>
      <c r="AA32" s="1742"/>
      <c r="AB32" s="1738"/>
      <c r="AC32" s="1742"/>
      <c r="AD32" s="1742"/>
      <c r="AE32" s="1742"/>
      <c r="AF32" s="1742"/>
      <c r="AG32" s="1736"/>
      <c r="AN32" s="1735" t="s">
        <v>5242</v>
      </c>
      <c r="AQ32" s="1732" t="s">
        <v>3854</v>
      </c>
      <c r="AW32" s="1718" t="str">
        <f>'T18'!Q31</f>
        <v>בנק אגוד</v>
      </c>
    </row>
    <row r="33" spans="1:49">
      <c r="A33" s="1718">
        <v>1</v>
      </c>
      <c r="B33" s="1736">
        <f t="shared" si="0"/>
        <v>20</v>
      </c>
      <c r="C33" s="1737"/>
      <c r="D33" s="1736"/>
      <c r="E33" s="1736"/>
      <c r="F33" s="1736"/>
      <c r="G33" s="1738"/>
      <c r="H33" s="1739"/>
      <c r="I33" s="1736"/>
      <c r="J33" s="1736"/>
      <c r="K33" s="1736"/>
      <c r="L33" s="1738"/>
      <c r="M33" s="1736"/>
      <c r="N33" s="1740"/>
      <c r="O33" s="1740"/>
      <c r="P33" s="1741"/>
      <c r="Q33" s="1741"/>
      <c r="R33" s="1736"/>
      <c r="S33" s="1742"/>
      <c r="T33" s="1742"/>
      <c r="U33" s="1742"/>
      <c r="V33" s="1736"/>
      <c r="W33" s="1736"/>
      <c r="X33" s="1736"/>
      <c r="Y33" s="1736"/>
      <c r="Z33" s="1736"/>
      <c r="AA33" s="1742"/>
      <c r="AB33" s="1738"/>
      <c r="AC33" s="1742"/>
      <c r="AD33" s="1742"/>
      <c r="AE33" s="1742"/>
      <c r="AF33" s="1742"/>
      <c r="AG33" s="1736"/>
      <c r="AN33" s="1735" t="s">
        <v>5243</v>
      </c>
      <c r="AQ33" s="1732" t="s">
        <v>3855</v>
      </c>
      <c r="AW33" s="1718" t="str">
        <f>'T18'!Q32</f>
        <v>ברונפמן</v>
      </c>
    </row>
    <row r="34" spans="1:49">
      <c r="A34" s="1718">
        <v>1</v>
      </c>
      <c r="B34" s="1736">
        <f t="shared" si="0"/>
        <v>21</v>
      </c>
      <c r="C34" s="1737"/>
      <c r="D34" s="1736"/>
      <c r="E34" s="1736"/>
      <c r="F34" s="1736"/>
      <c r="G34" s="1738"/>
      <c r="H34" s="1739"/>
      <c r="I34" s="1736"/>
      <c r="J34" s="1736"/>
      <c r="K34" s="1736"/>
      <c r="L34" s="1738"/>
      <c r="M34" s="1736"/>
      <c r="N34" s="1740"/>
      <c r="O34" s="1740"/>
      <c r="P34" s="1741"/>
      <c r="Q34" s="1741"/>
      <c r="R34" s="1736"/>
      <c r="S34" s="1742"/>
      <c r="T34" s="1742"/>
      <c r="U34" s="1742"/>
      <c r="V34" s="1736"/>
      <c r="W34" s="1736"/>
      <c r="X34" s="1736"/>
      <c r="Y34" s="1736"/>
      <c r="Z34" s="1736"/>
      <c r="AA34" s="1742"/>
      <c r="AB34" s="1738"/>
      <c r="AC34" s="1742"/>
      <c r="AD34" s="1742"/>
      <c r="AE34" s="1742"/>
      <c r="AF34" s="1742"/>
      <c r="AG34" s="1736"/>
      <c r="AN34" s="1735" t="s">
        <v>5244</v>
      </c>
      <c r="AQ34" s="1732" t="s">
        <v>3856</v>
      </c>
      <c r="AW34" s="1718" t="str">
        <f>'T18'!Q33</f>
        <v xml:space="preserve">ג'נריישן קפיטל </v>
      </c>
    </row>
    <row r="35" spans="1:49">
      <c r="A35" s="1718">
        <v>1</v>
      </c>
      <c r="B35" s="1736">
        <f t="shared" si="0"/>
        <v>22</v>
      </c>
      <c r="C35" s="1737"/>
      <c r="D35" s="1736"/>
      <c r="E35" s="1736"/>
      <c r="F35" s="1736"/>
      <c r="G35" s="1738"/>
      <c r="H35" s="1739"/>
      <c r="I35" s="1736"/>
      <c r="J35" s="1736"/>
      <c r="K35" s="1736"/>
      <c r="L35" s="1738"/>
      <c r="M35" s="1736"/>
      <c r="N35" s="1740"/>
      <c r="O35" s="1740"/>
      <c r="P35" s="1741"/>
      <c r="Q35" s="1741"/>
      <c r="R35" s="1736"/>
      <c r="S35" s="1742"/>
      <c r="T35" s="1742"/>
      <c r="U35" s="1742"/>
      <c r="V35" s="1736"/>
      <c r="W35" s="1736"/>
      <c r="X35" s="1736"/>
      <c r="Y35" s="1736"/>
      <c r="Z35" s="1736"/>
      <c r="AA35" s="1742"/>
      <c r="AB35" s="1738"/>
      <c r="AC35" s="1742"/>
      <c r="AD35" s="1742"/>
      <c r="AE35" s="1742"/>
      <c r="AF35" s="1742"/>
      <c r="AG35" s="1736"/>
      <c r="AN35" s="1735" t="s">
        <v>5245</v>
      </c>
      <c r="AQ35" s="1732" t="s">
        <v>5246</v>
      </c>
      <c r="AW35" s="1718" t="str">
        <f>'T18'!Q34</f>
        <v>גלטין</v>
      </c>
    </row>
    <row r="36" spans="1:49">
      <c r="A36" s="1718">
        <v>1</v>
      </c>
      <c r="B36" s="1736">
        <f t="shared" si="0"/>
        <v>23</v>
      </c>
      <c r="C36" s="1737"/>
      <c r="D36" s="1736"/>
      <c r="E36" s="1736"/>
      <c r="F36" s="1736"/>
      <c r="G36" s="1738"/>
      <c r="H36" s="1739"/>
      <c r="I36" s="1736"/>
      <c r="J36" s="1736"/>
      <c r="K36" s="1736"/>
      <c r="L36" s="1738"/>
      <c r="M36" s="1736"/>
      <c r="N36" s="1740"/>
      <c r="O36" s="1740"/>
      <c r="P36" s="1741"/>
      <c r="Q36" s="1741"/>
      <c r="R36" s="1736"/>
      <c r="S36" s="1742"/>
      <c r="T36" s="1742"/>
      <c r="U36" s="1742"/>
      <c r="V36" s="1736"/>
      <c r="W36" s="1736"/>
      <c r="X36" s="1736"/>
      <c r="Y36" s="1736"/>
      <c r="Z36" s="1736"/>
      <c r="AA36" s="1742"/>
      <c r="AB36" s="1738"/>
      <c r="AC36" s="1742"/>
      <c r="AD36" s="1742"/>
      <c r="AE36" s="1742"/>
      <c r="AF36" s="1742"/>
      <c r="AG36" s="1736"/>
      <c r="AN36" s="1735" t="s">
        <v>5247</v>
      </c>
      <c r="AW36" s="1718" t="str">
        <f>'T18'!Q35</f>
        <v>דבח</v>
      </c>
    </row>
    <row r="37" spans="1:49">
      <c r="A37" s="1718">
        <v>1</v>
      </c>
      <c r="B37" s="1736">
        <f t="shared" si="0"/>
        <v>24</v>
      </c>
      <c r="C37" s="1737"/>
      <c r="D37" s="1736"/>
      <c r="E37" s="1736"/>
      <c r="F37" s="1736"/>
      <c r="G37" s="1738"/>
      <c r="H37" s="1739"/>
      <c r="I37" s="1736"/>
      <c r="J37" s="1736"/>
      <c r="K37" s="1736"/>
      <c r="L37" s="1738"/>
      <c r="M37" s="1736"/>
      <c r="N37" s="1740"/>
      <c r="O37" s="1740"/>
      <c r="P37" s="1741"/>
      <c r="Q37" s="1741"/>
      <c r="R37" s="1736"/>
      <c r="S37" s="1742"/>
      <c r="T37" s="1742"/>
      <c r="U37" s="1742"/>
      <c r="V37" s="1736"/>
      <c r="W37" s="1736"/>
      <c r="X37" s="1736"/>
      <c r="Y37" s="1736"/>
      <c r="Z37" s="1736"/>
      <c r="AA37" s="1742"/>
      <c r="AB37" s="1738"/>
      <c r="AC37" s="1742"/>
      <c r="AD37" s="1742"/>
      <c r="AE37" s="1742"/>
      <c r="AF37" s="1742"/>
      <c r="AG37" s="1736"/>
      <c r="AN37" s="1735" t="s">
        <v>5248</v>
      </c>
      <c r="AW37" s="1718" t="str">
        <f>'T18'!Q36</f>
        <v>דהן</v>
      </c>
    </row>
    <row r="38" spans="1:49">
      <c r="A38" s="1718">
        <v>1</v>
      </c>
      <c r="B38" s="1736">
        <f t="shared" si="0"/>
        <v>25</v>
      </c>
      <c r="C38" s="1737"/>
      <c r="D38" s="1736"/>
      <c r="E38" s="1736"/>
      <c r="F38" s="1736"/>
      <c r="G38" s="1738"/>
      <c r="H38" s="1739"/>
      <c r="I38" s="1736"/>
      <c r="J38" s="1736"/>
      <c r="K38" s="1736"/>
      <c r="L38" s="1738"/>
      <c r="M38" s="1736"/>
      <c r="N38" s="1740"/>
      <c r="O38" s="1740"/>
      <c r="P38" s="1741"/>
      <c r="Q38" s="1741"/>
      <c r="R38" s="1736"/>
      <c r="S38" s="1742"/>
      <c r="T38" s="1742"/>
      <c r="U38" s="1742"/>
      <c r="V38" s="1736"/>
      <c r="W38" s="1736"/>
      <c r="X38" s="1736"/>
      <c r="Y38" s="1736"/>
      <c r="Z38" s="1736"/>
      <c r="AA38" s="1742"/>
      <c r="AB38" s="1738"/>
      <c r="AC38" s="1742"/>
      <c r="AD38" s="1742"/>
      <c r="AE38" s="1742"/>
      <c r="AF38" s="1742"/>
      <c r="AG38" s="1736"/>
      <c r="AN38" s="1735" t="s">
        <v>5249</v>
      </c>
      <c r="AW38" s="1718" t="str">
        <f>'T18'!Q37</f>
        <v>דיין</v>
      </c>
    </row>
    <row r="39" spans="1:49">
      <c r="A39" s="1718">
        <v>1</v>
      </c>
      <c r="B39" s="1736">
        <f t="shared" si="0"/>
        <v>26</v>
      </c>
      <c r="C39" s="1737"/>
      <c r="D39" s="1736"/>
      <c r="E39" s="1736"/>
      <c r="F39" s="1736"/>
      <c r="G39" s="1738"/>
      <c r="H39" s="1739"/>
      <c r="I39" s="1736"/>
      <c r="J39" s="1736"/>
      <c r="K39" s="1736"/>
      <c r="L39" s="1738"/>
      <c r="M39" s="1736"/>
      <c r="N39" s="1740"/>
      <c r="O39" s="1740"/>
      <c r="P39" s="1741"/>
      <c r="Q39" s="1741"/>
      <c r="R39" s="1736"/>
      <c r="S39" s="1742"/>
      <c r="T39" s="1742"/>
      <c r="U39" s="1742"/>
      <c r="V39" s="1736"/>
      <c r="W39" s="1736"/>
      <c r="X39" s="1736"/>
      <c r="Y39" s="1736"/>
      <c r="Z39" s="1736"/>
      <c r="AA39" s="1742"/>
      <c r="AB39" s="1738"/>
      <c r="AC39" s="1742"/>
      <c r="AD39" s="1742"/>
      <c r="AE39" s="1742"/>
      <c r="AF39" s="1742"/>
      <c r="AG39" s="1736"/>
      <c r="AN39" s="1735" t="s">
        <v>5250</v>
      </c>
      <c r="AW39" s="1718" t="str">
        <f>'T18'!Q38</f>
        <v>דיסקונט</v>
      </c>
    </row>
    <row r="40" spans="1:49">
      <c r="A40" s="1718">
        <v>1</v>
      </c>
      <c r="B40" s="1736">
        <f t="shared" si="0"/>
        <v>27</v>
      </c>
      <c r="C40" s="1737"/>
      <c r="D40" s="1736"/>
      <c r="E40" s="1736"/>
      <c r="F40" s="1736"/>
      <c r="G40" s="1738"/>
      <c r="H40" s="1739"/>
      <c r="I40" s="1736"/>
      <c r="J40" s="1736"/>
      <c r="K40" s="1736"/>
      <c r="L40" s="1738"/>
      <c r="M40" s="1736"/>
      <c r="N40" s="1740"/>
      <c r="O40" s="1740"/>
      <c r="P40" s="1741"/>
      <c r="Q40" s="1741"/>
      <c r="R40" s="1736"/>
      <c r="S40" s="1742"/>
      <c r="T40" s="1742"/>
      <c r="U40" s="1742"/>
      <c r="V40" s="1736"/>
      <c r="W40" s="1736"/>
      <c r="X40" s="1736"/>
      <c r="Y40" s="1736"/>
      <c r="Z40" s="1736"/>
      <c r="AA40" s="1742"/>
      <c r="AB40" s="1738"/>
      <c r="AC40" s="1742"/>
      <c r="AD40" s="1742"/>
      <c r="AE40" s="1742"/>
      <c r="AF40" s="1742"/>
      <c r="AG40" s="1736"/>
      <c r="AN40" s="1735" t="s">
        <v>5251</v>
      </c>
      <c r="AW40" s="1718" t="str">
        <f>'T18'!Q39</f>
        <v xml:space="preserve">דנון </v>
      </c>
    </row>
    <row r="41" spans="1:49">
      <c r="A41" s="1718">
        <v>1</v>
      </c>
      <c r="B41" s="1736">
        <f t="shared" si="0"/>
        <v>28</v>
      </c>
      <c r="C41" s="1737"/>
      <c r="D41" s="1736"/>
      <c r="E41" s="1736"/>
      <c r="F41" s="1736"/>
      <c r="G41" s="1738"/>
      <c r="H41" s="1739"/>
      <c r="I41" s="1736"/>
      <c r="J41" s="1736"/>
      <c r="K41" s="1736"/>
      <c r="L41" s="1738"/>
      <c r="M41" s="1736"/>
      <c r="N41" s="1740"/>
      <c r="O41" s="1740"/>
      <c r="P41" s="1741"/>
      <c r="Q41" s="1741"/>
      <c r="R41" s="1736"/>
      <c r="S41" s="1742"/>
      <c r="T41" s="1742"/>
      <c r="U41" s="1742"/>
      <c r="V41" s="1736"/>
      <c r="W41" s="1736"/>
      <c r="X41" s="1736"/>
      <c r="Y41" s="1736"/>
      <c r="Z41" s="1736"/>
      <c r="AA41" s="1742"/>
      <c r="AB41" s="1738"/>
      <c r="AC41" s="1742"/>
      <c r="AD41" s="1742"/>
      <c r="AE41" s="1742"/>
      <c r="AF41" s="1742"/>
      <c r="AG41" s="1736"/>
      <c r="AN41" s="1735" t="s">
        <v>5252</v>
      </c>
      <c r="AW41" s="1718" t="str">
        <f>'T18'!Q40</f>
        <v>דנירקו</v>
      </c>
    </row>
    <row r="42" spans="1:49">
      <c r="A42" s="1718">
        <v>1</v>
      </c>
      <c r="B42" s="1736">
        <f t="shared" si="0"/>
        <v>29</v>
      </c>
      <c r="C42" s="1737"/>
      <c r="D42" s="1736"/>
      <c r="E42" s="1736"/>
      <c r="F42" s="1736"/>
      <c r="G42" s="1738"/>
      <c r="H42" s="1739"/>
      <c r="I42" s="1736"/>
      <c r="J42" s="1736"/>
      <c r="K42" s="1736"/>
      <c r="L42" s="1738"/>
      <c r="M42" s="1736"/>
      <c r="N42" s="1740"/>
      <c r="O42" s="1740"/>
      <c r="P42" s="1741"/>
      <c r="Q42" s="1741"/>
      <c r="R42" s="1736"/>
      <c r="S42" s="1742"/>
      <c r="T42" s="1742"/>
      <c r="U42" s="1742"/>
      <c r="V42" s="1736"/>
      <c r="W42" s="1736"/>
      <c r="X42" s="1736"/>
      <c r="Y42" s="1736"/>
      <c r="Z42" s="1736"/>
      <c r="AA42" s="1742"/>
      <c r="AB42" s="1738"/>
      <c r="AC42" s="1742"/>
      <c r="AD42" s="1742"/>
      <c r="AE42" s="1742"/>
      <c r="AF42" s="1742"/>
      <c r="AG42" s="1736"/>
      <c r="AN42" s="1735" t="s">
        <v>5253</v>
      </c>
      <c r="AW42" s="1718" t="str">
        <f>'T18'!Q41</f>
        <v>דנקנר</v>
      </c>
    </row>
    <row r="43" spans="1:49">
      <c r="A43" s="1718">
        <v>1</v>
      </c>
      <c r="B43" s="1736">
        <f t="shared" si="0"/>
        <v>30</v>
      </c>
      <c r="C43" s="1737"/>
      <c r="D43" s="1736"/>
      <c r="E43" s="1736"/>
      <c r="F43" s="1736"/>
      <c r="G43" s="1738"/>
      <c r="H43" s="1739"/>
      <c r="I43" s="1736"/>
      <c r="J43" s="1736"/>
      <c r="K43" s="1736"/>
      <c r="L43" s="1738"/>
      <c r="M43" s="1736"/>
      <c r="N43" s="1740"/>
      <c r="O43" s="1740"/>
      <c r="P43" s="1741"/>
      <c r="Q43" s="1741"/>
      <c r="R43" s="1736"/>
      <c r="S43" s="1742"/>
      <c r="T43" s="1742"/>
      <c r="U43" s="1742"/>
      <c r="V43" s="1736"/>
      <c r="W43" s="1736"/>
      <c r="X43" s="1736"/>
      <c r="Y43" s="1736"/>
      <c r="Z43" s="1736"/>
      <c r="AA43" s="1742"/>
      <c r="AB43" s="1738"/>
      <c r="AC43" s="1742"/>
      <c r="AD43" s="1742"/>
      <c r="AE43" s="1742"/>
      <c r="AF43" s="1742"/>
      <c r="AG43" s="1736"/>
      <c r="AN43" s="1735" t="s">
        <v>5254</v>
      </c>
      <c r="AW43" s="1718" t="str">
        <f>'T18'!Q42</f>
        <v>דסק"ש</v>
      </c>
    </row>
    <row r="44" spans="1:49">
      <c r="A44" s="1718">
        <v>1</v>
      </c>
      <c r="B44" s="1736">
        <f t="shared" si="0"/>
        <v>31</v>
      </c>
      <c r="C44" s="1737"/>
      <c r="D44" s="1736"/>
      <c r="E44" s="1736"/>
      <c r="F44" s="1736"/>
      <c r="G44" s="1738"/>
      <c r="H44" s="1739"/>
      <c r="I44" s="1736"/>
      <c r="J44" s="1736"/>
      <c r="K44" s="1736"/>
      <c r="L44" s="1738"/>
      <c r="M44" s="1736"/>
      <c r="N44" s="1740"/>
      <c r="O44" s="1740"/>
      <c r="P44" s="1741"/>
      <c r="Q44" s="1741"/>
      <c r="R44" s="1736"/>
      <c r="S44" s="1742"/>
      <c r="T44" s="1742"/>
      <c r="U44" s="1742"/>
      <c r="V44" s="1736"/>
      <c r="W44" s="1736"/>
      <c r="X44" s="1736"/>
      <c r="Y44" s="1736"/>
      <c r="Z44" s="1736"/>
      <c r="AA44" s="1742"/>
      <c r="AB44" s="1738"/>
      <c r="AC44" s="1742"/>
      <c r="AD44" s="1742"/>
      <c r="AE44" s="1742"/>
      <c r="AF44" s="1742"/>
      <c r="AG44" s="1736"/>
      <c r="AN44" s="1735" t="s">
        <v>5255</v>
      </c>
      <c r="AW44" s="1718" t="str">
        <f>'T18'!Q43</f>
        <v>המבורגר</v>
      </c>
    </row>
    <row r="45" spans="1:49">
      <c r="A45" s="1718">
        <v>1</v>
      </c>
      <c r="B45" s="1736">
        <f t="shared" si="0"/>
        <v>32</v>
      </c>
      <c r="C45" s="1737"/>
      <c r="D45" s="1736"/>
      <c r="E45" s="1736"/>
      <c r="F45" s="1736"/>
      <c r="G45" s="1738"/>
      <c r="H45" s="1739"/>
      <c r="I45" s="1736"/>
      <c r="J45" s="1736"/>
      <c r="K45" s="1736"/>
      <c r="L45" s="1738"/>
      <c r="M45" s="1736"/>
      <c r="N45" s="1740"/>
      <c r="O45" s="1740"/>
      <c r="P45" s="1741"/>
      <c r="Q45" s="1741"/>
      <c r="R45" s="1736"/>
      <c r="S45" s="1742"/>
      <c r="T45" s="1742"/>
      <c r="U45" s="1742"/>
      <c r="V45" s="1736"/>
      <c r="W45" s="1736"/>
      <c r="X45" s="1736"/>
      <c r="Y45" s="1736"/>
      <c r="Z45" s="1736"/>
      <c r="AA45" s="1742"/>
      <c r="AB45" s="1738"/>
      <c r="AC45" s="1742"/>
      <c r="AD45" s="1742"/>
      <c r="AE45" s="1742"/>
      <c r="AF45" s="1742"/>
      <c r="AG45" s="1736"/>
      <c r="AN45" s="1735" t="s">
        <v>5256</v>
      </c>
      <c r="AW45" s="1718" t="str">
        <f>'T18'!Q44</f>
        <v>הפועלים</v>
      </c>
    </row>
    <row r="46" spans="1:49">
      <c r="A46" s="1718">
        <v>1</v>
      </c>
      <c r="B46" s="1736">
        <f t="shared" si="0"/>
        <v>33</v>
      </c>
      <c r="C46" s="1737"/>
      <c r="D46" s="1736"/>
      <c r="E46" s="1736"/>
      <c r="F46" s="1736"/>
      <c r="G46" s="1738"/>
      <c r="H46" s="1739"/>
      <c r="I46" s="1736"/>
      <c r="J46" s="1736"/>
      <c r="K46" s="1736"/>
      <c r="L46" s="1738"/>
      <c r="M46" s="1736"/>
      <c r="N46" s="1740"/>
      <c r="O46" s="1740"/>
      <c r="P46" s="1741"/>
      <c r="Q46" s="1741"/>
      <c r="R46" s="1736"/>
      <c r="S46" s="1742"/>
      <c r="T46" s="1742"/>
      <c r="U46" s="1742"/>
      <c r="V46" s="1736"/>
      <c r="W46" s="1736"/>
      <c r="X46" s="1736"/>
      <c r="Y46" s="1736"/>
      <c r="Z46" s="1736"/>
      <c r="AA46" s="1742"/>
      <c r="AB46" s="1738"/>
      <c r="AC46" s="1742"/>
      <c r="AD46" s="1742"/>
      <c r="AE46" s="1742"/>
      <c r="AF46" s="1742"/>
      <c r="AG46" s="1736"/>
      <c r="AN46" s="1735" t="s">
        <v>5257</v>
      </c>
      <c r="AW46" s="1718" t="str">
        <f>'T18'!Q45</f>
        <v>וינר</v>
      </c>
    </row>
    <row r="47" spans="1:49">
      <c r="A47" s="1718">
        <v>1</v>
      </c>
      <c r="B47" s="1736">
        <f t="shared" si="0"/>
        <v>34</v>
      </c>
      <c r="C47" s="1737"/>
      <c r="D47" s="1736"/>
      <c r="E47" s="1736"/>
      <c r="F47" s="1736"/>
      <c r="G47" s="1738"/>
      <c r="H47" s="1739"/>
      <c r="I47" s="1736"/>
      <c r="J47" s="1736"/>
      <c r="K47" s="1736"/>
      <c r="L47" s="1738"/>
      <c r="M47" s="1736"/>
      <c r="N47" s="1740"/>
      <c r="O47" s="1740"/>
      <c r="P47" s="1741"/>
      <c r="Q47" s="1741"/>
      <c r="R47" s="1736"/>
      <c r="S47" s="1742"/>
      <c r="T47" s="1742"/>
      <c r="U47" s="1742"/>
      <c r="V47" s="1736"/>
      <c r="W47" s="1736"/>
      <c r="X47" s="1736"/>
      <c r="Y47" s="1736"/>
      <c r="Z47" s="1736"/>
      <c r="AA47" s="1742"/>
      <c r="AB47" s="1738"/>
      <c r="AC47" s="1742"/>
      <c r="AD47" s="1742"/>
      <c r="AE47" s="1742"/>
      <c r="AF47" s="1742"/>
      <c r="AG47" s="1736"/>
      <c r="AN47" s="1735" t="s">
        <v>5258</v>
      </c>
      <c r="AW47" s="1718" t="str">
        <f>'T18'!Q46</f>
        <v>ויצמן</v>
      </c>
    </row>
    <row r="48" spans="1:49">
      <c r="A48" s="1718">
        <v>1</v>
      </c>
      <c r="B48" s="1736">
        <f t="shared" si="0"/>
        <v>35</v>
      </c>
      <c r="C48" s="1737"/>
      <c r="D48" s="1736"/>
      <c r="E48" s="1736"/>
      <c r="F48" s="1736"/>
      <c r="G48" s="1738"/>
      <c r="H48" s="1739"/>
      <c r="I48" s="1736"/>
      <c r="J48" s="1736"/>
      <c r="K48" s="1736"/>
      <c r="L48" s="1738"/>
      <c r="M48" s="1736"/>
      <c r="N48" s="1740"/>
      <c r="O48" s="1740"/>
      <c r="P48" s="1741"/>
      <c r="Q48" s="1741"/>
      <c r="R48" s="1736"/>
      <c r="S48" s="1742"/>
      <c r="T48" s="1742"/>
      <c r="U48" s="1742"/>
      <c r="V48" s="1736"/>
      <c r="W48" s="1736"/>
      <c r="X48" s="1736"/>
      <c r="Y48" s="1736"/>
      <c r="Z48" s="1736"/>
      <c r="AA48" s="1742"/>
      <c r="AB48" s="1738"/>
      <c r="AC48" s="1742"/>
      <c r="AD48" s="1742"/>
      <c r="AE48" s="1742"/>
      <c r="AF48" s="1742"/>
      <c r="AG48" s="1736"/>
      <c r="AN48" s="1735" t="s">
        <v>70</v>
      </c>
      <c r="AW48" s="1718" t="str">
        <f>'T18'!Q47</f>
        <v>ורטהיים, דוד</v>
      </c>
    </row>
    <row r="49" spans="1:49">
      <c r="A49" s="1718">
        <v>1</v>
      </c>
      <c r="B49" s="1736">
        <f t="shared" si="0"/>
        <v>36</v>
      </c>
      <c r="C49" s="1737"/>
      <c r="D49" s="1736"/>
      <c r="E49" s="1736"/>
      <c r="F49" s="1736"/>
      <c r="G49" s="1738"/>
      <c r="H49" s="1739"/>
      <c r="I49" s="1736"/>
      <c r="J49" s="1736"/>
      <c r="K49" s="1736"/>
      <c r="L49" s="1738"/>
      <c r="M49" s="1736"/>
      <c r="N49" s="1740"/>
      <c r="O49" s="1740"/>
      <c r="P49" s="1741"/>
      <c r="Q49" s="1741"/>
      <c r="R49" s="1736"/>
      <c r="S49" s="1742"/>
      <c r="T49" s="1742"/>
      <c r="U49" s="1742"/>
      <c r="V49" s="1736"/>
      <c r="W49" s="1736"/>
      <c r="X49" s="1736"/>
      <c r="Y49" s="1736"/>
      <c r="Z49" s="1736"/>
      <c r="AA49" s="1742"/>
      <c r="AB49" s="1738"/>
      <c r="AC49" s="1742"/>
      <c r="AD49" s="1742"/>
      <c r="AE49" s="1742"/>
      <c r="AF49" s="1742"/>
      <c r="AG49" s="1736"/>
      <c r="AN49" s="1735" t="s">
        <v>5259</v>
      </c>
      <c r="AW49" s="1718" t="str">
        <f>'T18'!Q48</f>
        <v>ורטהיים, דרורית</v>
      </c>
    </row>
    <row r="50" spans="1:49">
      <c r="A50" s="1718">
        <v>1</v>
      </c>
      <c r="B50" s="1736">
        <f t="shared" si="0"/>
        <v>37</v>
      </c>
      <c r="C50" s="1737"/>
      <c r="D50" s="1736"/>
      <c r="E50" s="1736"/>
      <c r="F50" s="1736"/>
      <c r="G50" s="1738"/>
      <c r="H50" s="1739"/>
      <c r="I50" s="1736"/>
      <c r="J50" s="1736"/>
      <c r="K50" s="1736"/>
      <c r="L50" s="1738"/>
      <c r="M50" s="1736"/>
      <c r="N50" s="1740"/>
      <c r="O50" s="1740"/>
      <c r="P50" s="1741"/>
      <c r="Q50" s="1741"/>
      <c r="R50" s="1736"/>
      <c r="S50" s="1742"/>
      <c r="T50" s="1742"/>
      <c r="U50" s="1742"/>
      <c r="V50" s="1736"/>
      <c r="W50" s="1736"/>
      <c r="X50" s="1736"/>
      <c r="Y50" s="1736"/>
      <c r="Z50" s="1736"/>
      <c r="AA50" s="1742"/>
      <c r="AB50" s="1738"/>
      <c r="AC50" s="1742"/>
      <c r="AD50" s="1742"/>
      <c r="AE50" s="1742"/>
      <c r="AF50" s="1742"/>
      <c r="AG50" s="1736"/>
      <c r="AN50" s="1743" t="s">
        <v>5260</v>
      </c>
      <c r="AW50" s="1718" t="str">
        <f>'T18'!Q49</f>
        <v>זורולו</v>
      </c>
    </row>
    <row r="51" spans="1:49">
      <c r="A51" s="1718">
        <v>1</v>
      </c>
      <c r="B51" s="1736">
        <f t="shared" si="0"/>
        <v>38</v>
      </c>
      <c r="C51" s="1737"/>
      <c r="D51" s="1736"/>
      <c r="E51" s="1736"/>
      <c r="F51" s="1736"/>
      <c r="G51" s="1738"/>
      <c r="H51" s="1739"/>
      <c r="I51" s="1736"/>
      <c r="J51" s="1736"/>
      <c r="K51" s="1736"/>
      <c r="L51" s="1738"/>
      <c r="M51" s="1736"/>
      <c r="N51" s="1740"/>
      <c r="O51" s="1740"/>
      <c r="P51" s="1741"/>
      <c r="Q51" s="1741"/>
      <c r="R51" s="1736"/>
      <c r="S51" s="1742"/>
      <c r="T51" s="1742"/>
      <c r="U51" s="1742"/>
      <c r="V51" s="1736"/>
      <c r="W51" s="1736"/>
      <c r="X51" s="1736"/>
      <c r="Y51" s="1736"/>
      <c r="Z51" s="1736"/>
      <c r="AA51" s="1742"/>
      <c r="AB51" s="1738"/>
      <c r="AC51" s="1742"/>
      <c r="AD51" s="1742"/>
      <c r="AE51" s="1742"/>
      <c r="AF51" s="1742"/>
      <c r="AG51" s="1736"/>
      <c r="AN51" s="1743" t="s">
        <v>5261</v>
      </c>
      <c r="AW51" s="1718" t="str">
        <f>'T18'!Q50</f>
        <v>זלקינד</v>
      </c>
    </row>
    <row r="52" spans="1:49">
      <c r="A52" s="1718">
        <v>1</v>
      </c>
      <c r="B52" s="1736">
        <f t="shared" si="0"/>
        <v>39</v>
      </c>
      <c r="C52" s="1737"/>
      <c r="D52" s="1736"/>
      <c r="E52" s="1736"/>
      <c r="F52" s="1736"/>
      <c r="G52" s="1738"/>
      <c r="H52" s="1739"/>
      <c r="I52" s="1736"/>
      <c r="J52" s="1736"/>
      <c r="K52" s="1736"/>
      <c r="L52" s="1738"/>
      <c r="M52" s="1736"/>
      <c r="N52" s="1740"/>
      <c r="O52" s="1740"/>
      <c r="P52" s="1741"/>
      <c r="Q52" s="1741"/>
      <c r="R52" s="1736"/>
      <c r="S52" s="1742"/>
      <c r="T52" s="1742"/>
      <c r="U52" s="1742"/>
      <c r="V52" s="1736"/>
      <c r="W52" s="1736"/>
      <c r="X52" s="1736"/>
      <c r="Y52" s="1736"/>
      <c r="Z52" s="1736"/>
      <c r="AA52" s="1742"/>
      <c r="AB52" s="1738"/>
      <c r="AC52" s="1742"/>
      <c r="AD52" s="1742"/>
      <c r="AE52" s="1742"/>
      <c r="AF52" s="1742"/>
      <c r="AG52" s="1736"/>
      <c r="AN52" s="1743" t="s">
        <v>5262</v>
      </c>
      <c r="AW52" s="1718" t="str">
        <f>'T18'!Q51</f>
        <v>חברות ממשלתיות</v>
      </c>
    </row>
    <row r="53" spans="1:49">
      <c r="A53" s="1718">
        <v>1</v>
      </c>
      <c r="B53" s="1736">
        <f t="shared" si="0"/>
        <v>40</v>
      </c>
      <c r="C53" s="1737"/>
      <c r="D53" s="1736"/>
      <c r="E53" s="1736"/>
      <c r="F53" s="1736"/>
      <c r="G53" s="1738"/>
      <c r="H53" s="1739"/>
      <c r="I53" s="1736"/>
      <c r="J53" s="1736"/>
      <c r="K53" s="1736"/>
      <c r="L53" s="1738"/>
      <c r="M53" s="1736"/>
      <c r="N53" s="1740"/>
      <c r="O53" s="1740"/>
      <c r="P53" s="1741"/>
      <c r="Q53" s="1741"/>
      <c r="R53" s="1736"/>
      <c r="S53" s="1742"/>
      <c r="T53" s="1742"/>
      <c r="U53" s="1742"/>
      <c r="V53" s="1736"/>
      <c r="W53" s="1736"/>
      <c r="X53" s="1736"/>
      <c r="Y53" s="1736"/>
      <c r="Z53" s="1736"/>
      <c r="AA53" s="1742"/>
      <c r="AB53" s="1738"/>
      <c r="AC53" s="1742"/>
      <c r="AD53" s="1742"/>
      <c r="AE53" s="1742"/>
      <c r="AF53" s="1742"/>
      <c r="AG53" s="1736"/>
      <c r="AN53" s="1743" t="s">
        <v>5263</v>
      </c>
      <c r="AW53" s="1718" t="str">
        <f>'T18'!Q52</f>
        <v>חץ</v>
      </c>
    </row>
    <row r="54" spans="1:49">
      <c r="A54" s="1718">
        <v>1</v>
      </c>
      <c r="B54" s="1736">
        <f t="shared" si="0"/>
        <v>41</v>
      </c>
      <c r="C54" s="1737"/>
      <c r="D54" s="1736"/>
      <c r="E54" s="1736"/>
      <c r="F54" s="1736"/>
      <c r="G54" s="1738"/>
      <c r="H54" s="1739"/>
      <c r="I54" s="1736"/>
      <c r="J54" s="1736"/>
      <c r="K54" s="1736"/>
      <c r="L54" s="1738"/>
      <c r="M54" s="1736"/>
      <c r="N54" s="1740"/>
      <c r="O54" s="1740"/>
      <c r="P54" s="1741"/>
      <c r="Q54" s="1741"/>
      <c r="R54" s="1736"/>
      <c r="S54" s="1742"/>
      <c r="T54" s="1742"/>
      <c r="U54" s="1742"/>
      <c r="V54" s="1736"/>
      <c r="W54" s="1736"/>
      <c r="X54" s="1736"/>
      <c r="Y54" s="1736"/>
      <c r="Z54" s="1736"/>
      <c r="AA54" s="1742"/>
      <c r="AB54" s="1738"/>
      <c r="AC54" s="1742"/>
      <c r="AD54" s="1742"/>
      <c r="AE54" s="1742"/>
      <c r="AF54" s="1742"/>
      <c r="AG54" s="1736"/>
      <c r="AN54" s="1743" t="s">
        <v>5264</v>
      </c>
      <c r="AW54" s="1718" t="str">
        <f>'T18'!Q53</f>
        <v xml:space="preserve">טאואר סמיקונדקטור </v>
      </c>
    </row>
    <row r="55" spans="1:49">
      <c r="A55" s="1718">
        <v>1</v>
      </c>
      <c r="B55" s="1736">
        <f t="shared" si="0"/>
        <v>42</v>
      </c>
      <c r="C55" s="1737"/>
      <c r="D55" s="1736"/>
      <c r="E55" s="1736"/>
      <c r="F55" s="1736"/>
      <c r="G55" s="1738"/>
      <c r="H55" s="1739"/>
      <c r="I55" s="1736"/>
      <c r="J55" s="1736"/>
      <c r="K55" s="1736"/>
      <c r="L55" s="1738"/>
      <c r="M55" s="1736"/>
      <c r="N55" s="1740"/>
      <c r="O55" s="1740"/>
      <c r="P55" s="1741"/>
      <c r="Q55" s="1741"/>
      <c r="R55" s="1736"/>
      <c r="S55" s="1742"/>
      <c r="T55" s="1742"/>
      <c r="U55" s="1742"/>
      <c r="V55" s="1736"/>
      <c r="W55" s="1736"/>
      <c r="X55" s="1736"/>
      <c r="Y55" s="1736"/>
      <c r="Z55" s="1736"/>
      <c r="AA55" s="1742"/>
      <c r="AB55" s="1738"/>
      <c r="AC55" s="1742"/>
      <c r="AD55" s="1742"/>
      <c r="AE55" s="1742"/>
      <c r="AF55" s="1742"/>
      <c r="AG55" s="1736"/>
      <c r="AN55" s="1743" t="s">
        <v>5265</v>
      </c>
      <c r="AW55" s="1718" t="str">
        <f>'T18'!Q54</f>
        <v>טבע</v>
      </c>
    </row>
    <row r="56" spans="1:49">
      <c r="A56" s="1718">
        <v>1</v>
      </c>
      <c r="B56" s="1736">
        <f t="shared" si="0"/>
        <v>43</v>
      </c>
      <c r="C56" s="1737"/>
      <c r="D56" s="1736"/>
      <c r="E56" s="1736"/>
      <c r="F56" s="1736"/>
      <c r="G56" s="1738"/>
      <c r="H56" s="1739"/>
      <c r="I56" s="1736"/>
      <c r="J56" s="1736"/>
      <c r="K56" s="1736"/>
      <c r="L56" s="1738"/>
      <c r="M56" s="1736"/>
      <c r="N56" s="1740"/>
      <c r="O56" s="1740"/>
      <c r="P56" s="1741"/>
      <c r="Q56" s="1741"/>
      <c r="R56" s="1736"/>
      <c r="S56" s="1742"/>
      <c r="T56" s="1742"/>
      <c r="U56" s="1742"/>
      <c r="V56" s="1736"/>
      <c r="W56" s="1736"/>
      <c r="X56" s="1736"/>
      <c r="Y56" s="1736"/>
      <c r="Z56" s="1736"/>
      <c r="AA56" s="1742"/>
      <c r="AB56" s="1738"/>
      <c r="AC56" s="1742"/>
      <c r="AD56" s="1742"/>
      <c r="AE56" s="1742"/>
      <c r="AF56" s="1742"/>
      <c r="AG56" s="1736"/>
      <c r="AN56" s="1743" t="s">
        <v>5266</v>
      </c>
      <c r="AW56" s="1718" t="str">
        <f>'T18'!Q55</f>
        <v>יונדקאו</v>
      </c>
    </row>
    <row r="57" spans="1:49">
      <c r="A57" s="1718">
        <v>1</v>
      </c>
      <c r="B57" s="1736">
        <f t="shared" si="0"/>
        <v>44</v>
      </c>
      <c r="C57" s="1737"/>
      <c r="D57" s="1736"/>
      <c r="E57" s="1736"/>
      <c r="F57" s="1736"/>
      <c r="G57" s="1738"/>
      <c r="H57" s="1739"/>
      <c r="I57" s="1736"/>
      <c r="J57" s="1736"/>
      <c r="K57" s="1736"/>
      <c r="L57" s="1738"/>
      <c r="M57" s="1736"/>
      <c r="N57" s="1740"/>
      <c r="O57" s="1740"/>
      <c r="P57" s="1741"/>
      <c r="Q57" s="1741"/>
      <c r="R57" s="1736"/>
      <c r="S57" s="1742"/>
      <c r="T57" s="1742"/>
      <c r="U57" s="1742"/>
      <c r="V57" s="1736"/>
      <c r="W57" s="1736"/>
      <c r="X57" s="1736"/>
      <c r="Y57" s="1736"/>
      <c r="Z57" s="1736"/>
      <c r="AA57" s="1742"/>
      <c r="AB57" s="1738"/>
      <c r="AC57" s="1742"/>
      <c r="AD57" s="1742"/>
      <c r="AE57" s="1742"/>
      <c r="AF57" s="1742"/>
      <c r="AG57" s="1736"/>
      <c r="AN57" s="1743" t="s">
        <v>5267</v>
      </c>
      <c r="AW57" s="1718" t="str">
        <f>'T18'!Q56</f>
        <v>יורוקום</v>
      </c>
    </row>
    <row r="58" spans="1:49">
      <c r="A58" s="1718">
        <v>1</v>
      </c>
      <c r="B58" s="1736">
        <f t="shared" si="0"/>
        <v>45</v>
      </c>
      <c r="C58" s="1737"/>
      <c r="D58" s="1736"/>
      <c r="E58" s="1736"/>
      <c r="F58" s="1736"/>
      <c r="G58" s="1738"/>
      <c r="H58" s="1739"/>
      <c r="I58" s="1736"/>
      <c r="J58" s="1736"/>
      <c r="K58" s="1736"/>
      <c r="L58" s="1738"/>
      <c r="M58" s="1736"/>
      <c r="N58" s="1740"/>
      <c r="O58" s="1740"/>
      <c r="P58" s="1741"/>
      <c r="Q58" s="1741"/>
      <c r="R58" s="1736"/>
      <c r="S58" s="1742"/>
      <c r="T58" s="1742"/>
      <c r="U58" s="1742"/>
      <c r="V58" s="1736"/>
      <c r="W58" s="1736"/>
      <c r="X58" s="1736"/>
      <c r="Y58" s="1736"/>
      <c r="Z58" s="1736"/>
      <c r="AA58" s="1742"/>
      <c r="AB58" s="1738"/>
      <c r="AC58" s="1742"/>
      <c r="AD58" s="1742"/>
      <c r="AE58" s="1742"/>
      <c r="AF58" s="1742"/>
      <c r="AG58" s="1736"/>
      <c r="AN58" s="1743" t="s">
        <v>5268</v>
      </c>
      <c r="AW58" s="1718" t="str">
        <f>'T18'!Q57</f>
        <v>ירדן, רמי</v>
      </c>
    </row>
    <row r="59" spans="1:49">
      <c r="A59" s="1718">
        <v>1</v>
      </c>
      <c r="B59" s="1736">
        <f t="shared" si="0"/>
        <v>46</v>
      </c>
      <c r="C59" s="1737"/>
      <c r="D59" s="1736"/>
      <c r="E59" s="1736"/>
      <c r="F59" s="1736"/>
      <c r="G59" s="1738"/>
      <c r="H59" s="1739"/>
      <c r="I59" s="1736"/>
      <c r="J59" s="1736"/>
      <c r="K59" s="1736"/>
      <c r="L59" s="1738"/>
      <c r="M59" s="1736"/>
      <c r="N59" s="1740"/>
      <c r="O59" s="1740"/>
      <c r="P59" s="1741"/>
      <c r="Q59" s="1741"/>
      <c r="R59" s="1736"/>
      <c r="S59" s="1742"/>
      <c r="T59" s="1742"/>
      <c r="U59" s="1742"/>
      <c r="V59" s="1736"/>
      <c r="W59" s="1736"/>
      <c r="X59" s="1736"/>
      <c r="Y59" s="1736"/>
      <c r="Z59" s="1736"/>
      <c r="AA59" s="1742"/>
      <c r="AB59" s="1738"/>
      <c r="AC59" s="1742"/>
      <c r="AD59" s="1742"/>
      <c r="AE59" s="1742"/>
      <c r="AF59" s="1742"/>
      <c r="AG59" s="1736"/>
      <c r="AN59" s="1743" t="s">
        <v>5269</v>
      </c>
      <c r="AW59" s="1718" t="str">
        <f>'T18'!Q58</f>
        <v>ישראכרט</v>
      </c>
    </row>
    <row r="60" spans="1:49">
      <c r="A60" s="1718">
        <v>1</v>
      </c>
      <c r="B60" s="1736">
        <f t="shared" si="0"/>
        <v>47</v>
      </c>
      <c r="C60" s="1737"/>
      <c r="D60" s="1736"/>
      <c r="E60" s="1736"/>
      <c r="F60" s="1736"/>
      <c r="G60" s="1738"/>
      <c r="H60" s="1739"/>
      <c r="I60" s="1736"/>
      <c r="J60" s="1736"/>
      <c r="K60" s="1736"/>
      <c r="L60" s="1738"/>
      <c r="M60" s="1736"/>
      <c r="N60" s="1740"/>
      <c r="O60" s="1740"/>
      <c r="P60" s="1741"/>
      <c r="Q60" s="1741"/>
      <c r="R60" s="1736"/>
      <c r="S60" s="1742"/>
      <c r="T60" s="1742"/>
      <c r="U60" s="1742"/>
      <c r="V60" s="1736"/>
      <c r="W60" s="1736"/>
      <c r="X60" s="1736"/>
      <c r="Y60" s="1736"/>
      <c r="Z60" s="1736"/>
      <c r="AA60" s="1742"/>
      <c r="AB60" s="1738"/>
      <c r="AC60" s="1742"/>
      <c r="AD60" s="1742"/>
      <c r="AE60" s="1742"/>
      <c r="AF60" s="1742"/>
      <c r="AG60" s="1736"/>
      <c r="AN60" s="1743" t="s">
        <v>5270</v>
      </c>
      <c r="AW60" s="1718" t="str">
        <f>'T18'!Q59</f>
        <v>כצמן</v>
      </c>
    </row>
    <row r="61" spans="1:49">
      <c r="A61" s="1718">
        <v>1</v>
      </c>
      <c r="B61" s="1736">
        <f t="shared" si="0"/>
        <v>48</v>
      </c>
      <c r="C61" s="1737"/>
      <c r="D61" s="1736"/>
      <c r="E61" s="1736"/>
      <c r="F61" s="1736"/>
      <c r="G61" s="1738"/>
      <c r="H61" s="1739"/>
      <c r="I61" s="1736"/>
      <c r="J61" s="1736"/>
      <c r="K61" s="1736"/>
      <c r="L61" s="1738"/>
      <c r="M61" s="1736"/>
      <c r="N61" s="1740"/>
      <c r="O61" s="1740"/>
      <c r="P61" s="1741"/>
      <c r="Q61" s="1741"/>
      <c r="R61" s="1736"/>
      <c r="S61" s="1742"/>
      <c r="T61" s="1742"/>
      <c r="U61" s="1742"/>
      <c r="V61" s="1736"/>
      <c r="W61" s="1736"/>
      <c r="X61" s="1736"/>
      <c r="Y61" s="1736"/>
      <c r="Z61" s="1736"/>
      <c r="AA61" s="1742"/>
      <c r="AB61" s="1738"/>
      <c r="AC61" s="1742"/>
      <c r="AD61" s="1742"/>
      <c r="AE61" s="1742"/>
      <c r="AF61" s="1742"/>
      <c r="AG61" s="1736"/>
      <c r="AN61" s="1743" t="s">
        <v>5271</v>
      </c>
      <c r="AW61" s="1718" t="str">
        <f>'T18'!Q60</f>
        <v>לאומי</v>
      </c>
    </row>
    <row r="62" spans="1:49">
      <c r="A62" s="1718">
        <v>1</v>
      </c>
      <c r="B62" s="1736">
        <f t="shared" si="0"/>
        <v>49</v>
      </c>
      <c r="C62" s="1737"/>
      <c r="D62" s="1736"/>
      <c r="E62" s="1736"/>
      <c r="F62" s="1736"/>
      <c r="G62" s="1738"/>
      <c r="H62" s="1739"/>
      <c r="I62" s="1736"/>
      <c r="J62" s="1736"/>
      <c r="K62" s="1736"/>
      <c r="L62" s="1738"/>
      <c r="M62" s="1736"/>
      <c r="N62" s="1740"/>
      <c r="O62" s="1740"/>
      <c r="P62" s="1741"/>
      <c r="Q62" s="1741"/>
      <c r="R62" s="1736"/>
      <c r="S62" s="1742"/>
      <c r="T62" s="1742"/>
      <c r="U62" s="1742"/>
      <c r="V62" s="1736"/>
      <c r="W62" s="1736"/>
      <c r="X62" s="1736"/>
      <c r="Y62" s="1736"/>
      <c r="Z62" s="1736"/>
      <c r="AA62" s="1742"/>
      <c r="AB62" s="1738"/>
      <c r="AC62" s="1742"/>
      <c r="AD62" s="1742"/>
      <c r="AE62" s="1742"/>
      <c r="AF62" s="1742"/>
      <c r="AG62" s="1736"/>
      <c r="AN62" s="1743" t="s">
        <v>5272</v>
      </c>
      <c r="AW62" s="1718" t="str">
        <f>'T18'!Q61</f>
        <v>לבייב</v>
      </c>
    </row>
    <row r="63" spans="1:49">
      <c r="A63" s="1718">
        <v>1</v>
      </c>
      <c r="B63" s="1736">
        <f t="shared" si="0"/>
        <v>50</v>
      </c>
      <c r="C63" s="1737"/>
      <c r="D63" s="1736"/>
      <c r="E63" s="1736"/>
      <c r="F63" s="1736"/>
      <c r="G63" s="1738"/>
      <c r="H63" s="1739"/>
      <c r="I63" s="1736"/>
      <c r="J63" s="1736"/>
      <c r="K63" s="1736"/>
      <c r="L63" s="1738"/>
      <c r="M63" s="1736"/>
      <c r="N63" s="1740"/>
      <c r="O63" s="1740"/>
      <c r="P63" s="1741"/>
      <c r="Q63" s="1741"/>
      <c r="R63" s="1736"/>
      <c r="S63" s="1742"/>
      <c r="T63" s="1742"/>
      <c r="U63" s="1742"/>
      <c r="V63" s="1736"/>
      <c r="W63" s="1736"/>
      <c r="X63" s="1736"/>
      <c r="Y63" s="1736"/>
      <c r="Z63" s="1736"/>
      <c r="AA63" s="1742"/>
      <c r="AB63" s="1738"/>
      <c r="AC63" s="1742"/>
      <c r="AD63" s="1742"/>
      <c r="AE63" s="1742"/>
      <c r="AF63" s="1742"/>
      <c r="AG63" s="1736"/>
      <c r="AN63" s="1743" t="s">
        <v>5273</v>
      </c>
      <c r="AW63" s="1718" t="str">
        <f>'T18'!Q62</f>
        <v>לנדאו</v>
      </c>
    </row>
    <row r="64" spans="1:49">
      <c r="A64" s="1718">
        <f>IF(M64&gt;0,1,0)</f>
        <v>0</v>
      </c>
      <c r="B64" s="1744">
        <f t="shared" si="0"/>
        <v>51</v>
      </c>
      <c r="C64" s="1737"/>
      <c r="D64" s="1736"/>
      <c r="E64" s="1736"/>
      <c r="F64" s="1736"/>
      <c r="G64" s="1738"/>
      <c r="H64" s="1739"/>
      <c r="I64" s="1736"/>
      <c r="J64" s="1736"/>
      <c r="K64" s="1736"/>
      <c r="L64" s="1738"/>
      <c r="M64" s="1736"/>
      <c r="N64" s="1740"/>
      <c r="O64" s="1740"/>
      <c r="P64" s="1741"/>
      <c r="Q64" s="1741"/>
      <c r="R64" s="1736"/>
      <c r="S64" s="1742"/>
      <c r="T64" s="1742"/>
      <c r="U64" s="1742"/>
      <c r="V64" s="1736"/>
      <c r="W64" s="1736"/>
      <c r="X64" s="1736"/>
      <c r="Y64" s="1736"/>
      <c r="Z64" s="1736"/>
      <c r="AA64" s="1742"/>
      <c r="AB64" s="1738"/>
      <c r="AC64" s="1742"/>
      <c r="AD64" s="1742"/>
      <c r="AE64" s="1742"/>
      <c r="AF64" s="1742"/>
      <c r="AG64" s="1736"/>
      <c r="AN64" s="1743" t="s">
        <v>5274</v>
      </c>
      <c r="AW64" s="1718" t="str">
        <f>'T18'!Q63</f>
        <v>לסר</v>
      </c>
    </row>
    <row r="65" spans="1:49">
      <c r="A65" s="1718">
        <f t="shared" ref="A65:A128" si="1">IF(M65&gt;0,1,0)</f>
        <v>0</v>
      </c>
      <c r="B65" s="1744">
        <f t="shared" si="0"/>
        <v>52</v>
      </c>
      <c r="C65" s="1737"/>
      <c r="D65" s="1736"/>
      <c r="E65" s="1736"/>
      <c r="F65" s="1736"/>
      <c r="G65" s="1738"/>
      <c r="H65" s="1739"/>
      <c r="I65" s="1736"/>
      <c r="J65" s="1736"/>
      <c r="K65" s="1736"/>
      <c r="L65" s="1738"/>
      <c r="M65" s="1736"/>
      <c r="N65" s="1740"/>
      <c r="O65" s="1740"/>
      <c r="P65" s="1741"/>
      <c r="Q65" s="1741"/>
      <c r="R65" s="1736"/>
      <c r="S65" s="1742"/>
      <c r="T65" s="1742"/>
      <c r="U65" s="1742"/>
      <c r="V65" s="1736"/>
      <c r="W65" s="1736"/>
      <c r="X65" s="1736"/>
      <c r="Y65" s="1736"/>
      <c r="Z65" s="1736"/>
      <c r="AA65" s="1742"/>
      <c r="AB65" s="1738"/>
      <c r="AC65" s="1742"/>
      <c r="AD65" s="1742"/>
      <c r="AE65" s="1742"/>
      <c r="AF65" s="1742"/>
      <c r="AG65" s="1736"/>
      <c r="AN65" s="1743" t="s">
        <v>5275</v>
      </c>
      <c r="AW65" s="1718" t="str">
        <f>'T18'!Q64</f>
        <v>מבנה</v>
      </c>
    </row>
    <row r="66" spans="1:49">
      <c r="A66" s="1718">
        <f t="shared" si="1"/>
        <v>0</v>
      </c>
      <c r="B66" s="1744">
        <f t="shared" si="0"/>
        <v>53</v>
      </c>
      <c r="C66" s="1737"/>
      <c r="D66" s="1736"/>
      <c r="E66" s="1736"/>
      <c r="F66" s="1736"/>
      <c r="G66" s="1738"/>
      <c r="H66" s="1739"/>
      <c r="I66" s="1736"/>
      <c r="J66" s="1736"/>
      <c r="K66" s="1736"/>
      <c r="L66" s="1738"/>
      <c r="M66" s="1736"/>
      <c r="N66" s="1740"/>
      <c r="O66" s="1740"/>
      <c r="P66" s="1741"/>
      <c r="Q66" s="1741"/>
      <c r="R66" s="1736"/>
      <c r="S66" s="1742"/>
      <c r="T66" s="1742"/>
      <c r="U66" s="1742"/>
      <c r="V66" s="1736"/>
      <c r="W66" s="1736"/>
      <c r="X66" s="1736"/>
      <c r="Y66" s="1736"/>
      <c r="Z66" s="1736"/>
      <c r="AA66" s="1742"/>
      <c r="AB66" s="1738"/>
      <c r="AC66" s="1742"/>
      <c r="AD66" s="1742"/>
      <c r="AE66" s="1742"/>
      <c r="AF66" s="1742"/>
      <c r="AG66" s="1736"/>
      <c r="AN66" s="1743" t="s">
        <v>5276</v>
      </c>
      <c r="AW66" s="1718" t="str">
        <f>'T18'!Q65</f>
        <v>מויניאן</v>
      </c>
    </row>
    <row r="67" spans="1:49">
      <c r="A67" s="1718">
        <f t="shared" si="1"/>
        <v>0</v>
      </c>
      <c r="B67" s="1744">
        <f t="shared" si="0"/>
        <v>54</v>
      </c>
      <c r="C67" s="1737"/>
      <c r="D67" s="1736"/>
      <c r="E67" s="1736"/>
      <c r="F67" s="1736"/>
      <c r="G67" s="1738"/>
      <c r="H67" s="1739"/>
      <c r="I67" s="1736"/>
      <c r="J67" s="1736"/>
      <c r="K67" s="1736"/>
      <c r="L67" s="1738"/>
      <c r="M67" s="1736"/>
      <c r="N67" s="1740"/>
      <c r="O67" s="1740"/>
      <c r="P67" s="1741"/>
      <c r="Q67" s="1741"/>
      <c r="R67" s="1736"/>
      <c r="S67" s="1742"/>
      <c r="T67" s="1742"/>
      <c r="U67" s="1742"/>
      <c r="V67" s="1736"/>
      <c r="W67" s="1736"/>
      <c r="X67" s="1736"/>
      <c r="Y67" s="1736"/>
      <c r="Z67" s="1736"/>
      <c r="AA67" s="1742"/>
      <c r="AB67" s="1738"/>
      <c r="AC67" s="1742"/>
      <c r="AD67" s="1742"/>
      <c r="AE67" s="1742"/>
      <c r="AF67" s="1742"/>
      <c r="AG67" s="1736"/>
      <c r="AN67" s="1743" t="s">
        <v>5277</v>
      </c>
      <c r="AW67" s="1718" t="str">
        <f>'T18'!Q66</f>
        <v>מזרחי</v>
      </c>
    </row>
    <row r="68" spans="1:49">
      <c r="A68" s="1718">
        <f t="shared" si="1"/>
        <v>0</v>
      </c>
      <c r="B68" s="1744">
        <f t="shared" si="0"/>
        <v>55</v>
      </c>
      <c r="C68" s="1737"/>
      <c r="D68" s="1736"/>
      <c r="E68" s="1736"/>
      <c r="F68" s="1736"/>
      <c r="G68" s="1738"/>
      <c r="H68" s="1739"/>
      <c r="I68" s="1736"/>
      <c r="J68" s="1736"/>
      <c r="K68" s="1736"/>
      <c r="L68" s="1738"/>
      <c r="M68" s="1736"/>
      <c r="N68" s="1740"/>
      <c r="O68" s="1740"/>
      <c r="P68" s="1741"/>
      <c r="Q68" s="1741"/>
      <c r="R68" s="1736"/>
      <c r="S68" s="1742"/>
      <c r="T68" s="1742"/>
      <c r="U68" s="1742"/>
      <c r="V68" s="1736"/>
      <c r="W68" s="1736"/>
      <c r="X68" s="1736"/>
      <c r="Y68" s="1736"/>
      <c r="Z68" s="1736"/>
      <c r="AA68" s="1742"/>
      <c r="AB68" s="1738"/>
      <c r="AC68" s="1742"/>
      <c r="AD68" s="1742"/>
      <c r="AE68" s="1742"/>
      <c r="AF68" s="1742"/>
      <c r="AG68" s="1736"/>
      <c r="AN68" s="1743" t="s">
        <v>5278</v>
      </c>
      <c r="AW68" s="1718" t="str">
        <f>'T18'!Q67</f>
        <v>מימון</v>
      </c>
    </row>
    <row r="69" spans="1:49">
      <c r="A69" s="1718">
        <f t="shared" si="1"/>
        <v>0</v>
      </c>
      <c r="B69" s="1744">
        <f t="shared" si="0"/>
        <v>56</v>
      </c>
      <c r="C69" s="1737"/>
      <c r="D69" s="1736"/>
      <c r="E69" s="1736"/>
      <c r="F69" s="1736"/>
      <c r="G69" s="1738"/>
      <c r="H69" s="1739"/>
      <c r="I69" s="1736"/>
      <c r="J69" s="1736"/>
      <c r="K69" s="1736"/>
      <c r="L69" s="1738"/>
      <c r="M69" s="1736"/>
      <c r="N69" s="1740"/>
      <c r="O69" s="1740"/>
      <c r="P69" s="1741"/>
      <c r="Q69" s="1741"/>
      <c r="R69" s="1736"/>
      <c r="S69" s="1742"/>
      <c r="T69" s="1742"/>
      <c r="U69" s="1742"/>
      <c r="V69" s="1736"/>
      <c r="W69" s="1736"/>
      <c r="X69" s="1736"/>
      <c r="Y69" s="1736"/>
      <c r="Z69" s="1736"/>
      <c r="AA69" s="1742"/>
      <c r="AB69" s="1738"/>
      <c r="AC69" s="1742"/>
      <c r="AD69" s="1742"/>
      <c r="AE69" s="1742"/>
      <c r="AF69" s="1742"/>
      <c r="AG69" s="1736"/>
      <c r="AN69" s="1743" t="s">
        <v>5279</v>
      </c>
      <c r="AW69" s="1718" t="str">
        <f>'T18'!Q68</f>
        <v>מניבים קרן הריט החדשה</v>
      </c>
    </row>
    <row r="70" spans="1:49">
      <c r="A70" s="1718">
        <f t="shared" si="1"/>
        <v>0</v>
      </c>
      <c r="B70" s="1744">
        <f t="shared" si="0"/>
        <v>57</v>
      </c>
      <c r="C70" s="1737"/>
      <c r="D70" s="1736"/>
      <c r="E70" s="1736"/>
      <c r="F70" s="1736"/>
      <c r="G70" s="1738"/>
      <c r="H70" s="1739"/>
      <c r="I70" s="1736"/>
      <c r="J70" s="1736"/>
      <c r="K70" s="1736"/>
      <c r="L70" s="1738"/>
      <c r="M70" s="1736"/>
      <c r="N70" s="1740"/>
      <c r="O70" s="1740"/>
      <c r="P70" s="1741"/>
      <c r="Q70" s="1741"/>
      <c r="R70" s="1736"/>
      <c r="S70" s="1742"/>
      <c r="T70" s="1742"/>
      <c r="U70" s="1742"/>
      <c r="V70" s="1736"/>
      <c r="W70" s="1736"/>
      <c r="X70" s="1736"/>
      <c r="Y70" s="1736"/>
      <c r="Z70" s="1736"/>
      <c r="AA70" s="1742"/>
      <c r="AB70" s="1738"/>
      <c r="AC70" s="1742"/>
      <c r="AD70" s="1742"/>
      <c r="AE70" s="1742"/>
      <c r="AF70" s="1742"/>
      <c r="AG70" s="1736"/>
      <c r="AN70" s="1743" t="s">
        <v>5280</v>
      </c>
      <c r="AW70" s="1718" t="str">
        <f>'T18'!Q69</f>
        <v>נוסבאום</v>
      </c>
    </row>
    <row r="71" spans="1:49">
      <c r="A71" s="1718">
        <f t="shared" si="1"/>
        <v>0</v>
      </c>
      <c r="B71" s="1744">
        <f t="shared" si="0"/>
        <v>58</v>
      </c>
      <c r="C71" s="1737"/>
      <c r="D71" s="1736"/>
      <c r="E71" s="1736"/>
      <c r="F71" s="1736"/>
      <c r="G71" s="1738"/>
      <c r="H71" s="1739"/>
      <c r="I71" s="1736"/>
      <c r="J71" s="1736"/>
      <c r="K71" s="1736"/>
      <c r="L71" s="1738"/>
      <c r="M71" s="1736"/>
      <c r="N71" s="1740"/>
      <c r="O71" s="1740"/>
      <c r="P71" s="1741"/>
      <c r="Q71" s="1741"/>
      <c r="R71" s="1736"/>
      <c r="S71" s="1742"/>
      <c r="T71" s="1742"/>
      <c r="U71" s="1742"/>
      <c r="V71" s="1736"/>
      <c r="W71" s="1736"/>
      <c r="X71" s="1736"/>
      <c r="Y71" s="1736"/>
      <c r="Z71" s="1736"/>
      <c r="AA71" s="1742"/>
      <c r="AB71" s="1738"/>
      <c r="AC71" s="1742"/>
      <c r="AD71" s="1742"/>
      <c r="AE71" s="1742"/>
      <c r="AF71" s="1742"/>
      <c r="AG71" s="1736"/>
      <c r="AN71" s="1743" t="s">
        <v>5281</v>
      </c>
      <c r="AW71" s="1718" t="str">
        <f>'T18'!Q70</f>
        <v>נחמיאס</v>
      </c>
    </row>
    <row r="72" spans="1:49">
      <c r="A72" s="1718">
        <f t="shared" si="1"/>
        <v>0</v>
      </c>
      <c r="B72" s="1744">
        <f t="shared" si="0"/>
        <v>59</v>
      </c>
      <c r="C72" s="1737"/>
      <c r="D72" s="1736"/>
      <c r="E72" s="1736"/>
      <c r="F72" s="1736"/>
      <c r="G72" s="1738"/>
      <c r="H72" s="1739"/>
      <c r="I72" s="1736"/>
      <c r="J72" s="1736"/>
      <c r="K72" s="1736"/>
      <c r="L72" s="1738"/>
      <c r="M72" s="1736"/>
      <c r="N72" s="1740"/>
      <c r="O72" s="1740"/>
      <c r="P72" s="1741"/>
      <c r="Q72" s="1741"/>
      <c r="R72" s="1736"/>
      <c r="S72" s="1742"/>
      <c r="T72" s="1742"/>
      <c r="U72" s="1742"/>
      <c r="V72" s="1736"/>
      <c r="W72" s="1736"/>
      <c r="X72" s="1736"/>
      <c r="Y72" s="1736"/>
      <c r="Z72" s="1736"/>
      <c r="AA72" s="1742"/>
      <c r="AB72" s="1738"/>
      <c r="AC72" s="1742"/>
      <c r="AD72" s="1742"/>
      <c r="AE72" s="1742"/>
      <c r="AF72" s="1742"/>
      <c r="AG72" s="1736"/>
      <c r="AN72" s="1743" t="s">
        <v>5282</v>
      </c>
      <c r="AW72" s="1718" t="str">
        <f>'T18'!Q71</f>
        <v>נייס</v>
      </c>
    </row>
    <row r="73" spans="1:49">
      <c r="A73" s="1718">
        <f t="shared" si="1"/>
        <v>0</v>
      </c>
      <c r="B73" s="1744">
        <f t="shared" si="0"/>
        <v>60</v>
      </c>
      <c r="C73" s="1737"/>
      <c r="D73" s="1736"/>
      <c r="E73" s="1736"/>
      <c r="F73" s="1736"/>
      <c r="G73" s="1738"/>
      <c r="H73" s="1739"/>
      <c r="I73" s="1736"/>
      <c r="J73" s="1736"/>
      <c r="K73" s="1736"/>
      <c r="L73" s="1738"/>
      <c r="M73" s="1736"/>
      <c r="N73" s="1740"/>
      <c r="O73" s="1740"/>
      <c r="P73" s="1741"/>
      <c r="Q73" s="1741"/>
      <c r="R73" s="1736"/>
      <c r="S73" s="1742"/>
      <c r="T73" s="1742"/>
      <c r="U73" s="1742"/>
      <c r="V73" s="1736"/>
      <c r="W73" s="1736"/>
      <c r="X73" s="1736"/>
      <c r="Y73" s="1736"/>
      <c r="Z73" s="1736"/>
      <c r="AA73" s="1742"/>
      <c r="AB73" s="1738"/>
      <c r="AC73" s="1742"/>
      <c r="AD73" s="1742"/>
      <c r="AE73" s="1742"/>
      <c r="AF73" s="1742"/>
      <c r="AG73" s="1736"/>
      <c r="AN73" s="1743" t="s">
        <v>5283</v>
      </c>
      <c r="AW73" s="1718" t="str">
        <f>'T18'!Q72</f>
        <v>נפתלי</v>
      </c>
    </row>
    <row r="74" spans="1:49">
      <c r="A74" s="1718">
        <f t="shared" si="1"/>
        <v>0</v>
      </c>
      <c r="B74" s="1744">
        <f t="shared" si="0"/>
        <v>61</v>
      </c>
      <c r="C74" s="1737"/>
      <c r="D74" s="1736"/>
      <c r="E74" s="1736"/>
      <c r="F74" s="1736"/>
      <c r="G74" s="1738"/>
      <c r="H74" s="1739"/>
      <c r="I74" s="1736"/>
      <c r="J74" s="1736"/>
      <c r="K74" s="1736"/>
      <c r="L74" s="1738"/>
      <c r="M74" s="1736"/>
      <c r="N74" s="1740"/>
      <c r="O74" s="1740"/>
      <c r="P74" s="1741"/>
      <c r="Q74" s="1741"/>
      <c r="R74" s="1736"/>
      <c r="S74" s="1742"/>
      <c r="T74" s="1742"/>
      <c r="U74" s="1742"/>
      <c r="V74" s="1736"/>
      <c r="W74" s="1736"/>
      <c r="X74" s="1736"/>
      <c r="Y74" s="1736"/>
      <c r="Z74" s="1736"/>
      <c r="AA74" s="1742"/>
      <c r="AB74" s="1738"/>
      <c r="AC74" s="1742"/>
      <c r="AD74" s="1742"/>
      <c r="AE74" s="1742"/>
      <c r="AF74" s="1742"/>
      <c r="AG74" s="1736"/>
      <c r="AN74" s="1743" t="s">
        <v>5284</v>
      </c>
      <c r="AW74" s="1718" t="str">
        <f>'T18'!Q73</f>
        <v>נקש</v>
      </c>
    </row>
    <row r="75" spans="1:49">
      <c r="A75" s="1718">
        <f t="shared" si="1"/>
        <v>0</v>
      </c>
      <c r="B75" s="1744">
        <f t="shared" si="0"/>
        <v>62</v>
      </c>
      <c r="C75" s="1737"/>
      <c r="D75" s="1736"/>
      <c r="E75" s="1736"/>
      <c r="F75" s="1736"/>
      <c r="G75" s="1738"/>
      <c r="H75" s="1739"/>
      <c r="I75" s="1736"/>
      <c r="J75" s="1736"/>
      <c r="K75" s="1736"/>
      <c r="L75" s="1738"/>
      <c r="M75" s="1736"/>
      <c r="N75" s="1740"/>
      <c r="O75" s="1740"/>
      <c r="P75" s="1741"/>
      <c r="Q75" s="1741"/>
      <c r="R75" s="1736"/>
      <c r="S75" s="1742"/>
      <c r="T75" s="1742"/>
      <c r="U75" s="1742"/>
      <c r="V75" s="1736"/>
      <c r="W75" s="1736"/>
      <c r="X75" s="1736"/>
      <c r="Y75" s="1736"/>
      <c r="Z75" s="1736"/>
      <c r="AA75" s="1742"/>
      <c r="AB75" s="1738"/>
      <c r="AC75" s="1742"/>
      <c r="AD75" s="1742"/>
      <c r="AE75" s="1742"/>
      <c r="AF75" s="1742"/>
      <c r="AG75" s="1736"/>
      <c r="AW75" s="1718" t="str">
        <f>'T18'!Q74</f>
        <v>סבן</v>
      </c>
    </row>
    <row r="76" spans="1:49">
      <c r="A76" s="1718">
        <f t="shared" si="1"/>
        <v>0</v>
      </c>
      <c r="B76" s="1744">
        <f t="shared" si="0"/>
        <v>63</v>
      </c>
      <c r="C76" s="1737"/>
      <c r="D76" s="1736"/>
      <c r="E76" s="1736"/>
      <c r="F76" s="1736"/>
      <c r="G76" s="1738"/>
      <c r="H76" s="1739"/>
      <c r="I76" s="1736"/>
      <c r="J76" s="1736"/>
      <c r="K76" s="1736"/>
      <c r="L76" s="1738"/>
      <c r="M76" s="1736"/>
      <c r="N76" s="1740"/>
      <c r="O76" s="1740"/>
      <c r="P76" s="1741"/>
      <c r="Q76" s="1741"/>
      <c r="R76" s="1736"/>
      <c r="S76" s="1742"/>
      <c r="T76" s="1742"/>
      <c r="U76" s="1742"/>
      <c r="V76" s="1736"/>
      <c r="W76" s="1736"/>
      <c r="X76" s="1736"/>
      <c r="Y76" s="1736"/>
      <c r="Z76" s="1736"/>
      <c r="AA76" s="1742"/>
      <c r="AB76" s="1738"/>
      <c r="AC76" s="1742"/>
      <c r="AD76" s="1742"/>
      <c r="AE76" s="1742"/>
      <c r="AF76" s="1742"/>
      <c r="AG76" s="1736"/>
      <c r="AW76" s="1718" t="str">
        <f>'T18'!Q75</f>
        <v>סופטוייל</v>
      </c>
    </row>
    <row r="77" spans="1:49">
      <c r="A77" s="1718">
        <f t="shared" si="1"/>
        <v>0</v>
      </c>
      <c r="B77" s="1744">
        <f t="shared" si="0"/>
        <v>64</v>
      </c>
      <c r="C77" s="1737"/>
      <c r="D77" s="1736"/>
      <c r="E77" s="1736"/>
      <c r="F77" s="1736"/>
      <c r="G77" s="1738"/>
      <c r="H77" s="1739"/>
      <c r="I77" s="1736"/>
      <c r="J77" s="1736"/>
      <c r="K77" s="1736"/>
      <c r="L77" s="1738"/>
      <c r="M77" s="1736"/>
      <c r="N77" s="1740"/>
      <c r="O77" s="1740"/>
      <c r="P77" s="1741"/>
      <c r="Q77" s="1741"/>
      <c r="R77" s="1736"/>
      <c r="S77" s="1742"/>
      <c r="T77" s="1742"/>
      <c r="U77" s="1742"/>
      <c r="V77" s="1736"/>
      <c r="W77" s="1736"/>
      <c r="X77" s="1736"/>
      <c r="Y77" s="1736"/>
      <c r="Z77" s="1736"/>
      <c r="AA77" s="1742"/>
      <c r="AB77" s="1738"/>
      <c r="AC77" s="1742"/>
      <c r="AD77" s="1742"/>
      <c r="AE77" s="1742"/>
      <c r="AF77" s="1742"/>
      <c r="AG77" s="1736"/>
    </row>
    <row r="78" spans="1:49">
      <c r="A78" s="1718">
        <f t="shared" si="1"/>
        <v>0</v>
      </c>
      <c r="B78" s="1744">
        <f t="shared" si="0"/>
        <v>65</v>
      </c>
      <c r="C78" s="1737"/>
      <c r="D78" s="1736"/>
      <c r="E78" s="1736"/>
      <c r="F78" s="1736"/>
      <c r="G78" s="1738"/>
      <c r="H78" s="1739"/>
      <c r="I78" s="1736"/>
      <c r="J78" s="1736"/>
      <c r="K78" s="1736"/>
      <c r="L78" s="1738"/>
      <c r="M78" s="1736"/>
      <c r="N78" s="1740"/>
      <c r="O78" s="1740"/>
      <c r="P78" s="1741"/>
      <c r="Q78" s="1741"/>
      <c r="R78" s="1736"/>
      <c r="S78" s="1742"/>
      <c r="T78" s="1742"/>
      <c r="U78" s="1742"/>
      <c r="V78" s="1736"/>
      <c r="W78" s="1736"/>
      <c r="X78" s="1736"/>
      <c r="Y78" s="1736"/>
      <c r="Z78" s="1736"/>
      <c r="AA78" s="1742"/>
      <c r="AB78" s="1738"/>
      <c r="AC78" s="1742"/>
      <c r="AD78" s="1742"/>
      <c r="AE78" s="1742"/>
      <c r="AF78" s="1742"/>
      <c r="AG78" s="1736"/>
    </row>
    <row r="79" spans="1:49">
      <c r="A79" s="1718">
        <f t="shared" si="1"/>
        <v>0</v>
      </c>
      <c r="B79" s="1744">
        <f t="shared" ref="B79:B142" si="2">B78+1</f>
        <v>66</v>
      </c>
      <c r="C79" s="1737"/>
      <c r="D79" s="1736"/>
      <c r="E79" s="1736"/>
      <c r="F79" s="1736"/>
      <c r="G79" s="1738"/>
      <c r="H79" s="1739"/>
      <c r="I79" s="1736"/>
      <c r="J79" s="1736"/>
      <c r="K79" s="1736"/>
      <c r="L79" s="1738"/>
      <c r="M79" s="1736"/>
      <c r="N79" s="1740"/>
      <c r="O79" s="1740"/>
      <c r="P79" s="1741"/>
      <c r="Q79" s="1741"/>
      <c r="R79" s="1736"/>
      <c r="S79" s="1742"/>
      <c r="T79" s="1742"/>
      <c r="U79" s="1742"/>
      <c r="V79" s="1736"/>
      <c r="W79" s="1736"/>
      <c r="X79" s="1736"/>
      <c r="Y79" s="1736"/>
      <c r="Z79" s="1736"/>
      <c r="AA79" s="1742"/>
      <c r="AB79" s="1738"/>
      <c r="AC79" s="1742"/>
      <c r="AD79" s="1742"/>
      <c r="AE79" s="1742"/>
      <c r="AF79" s="1742"/>
      <c r="AG79" s="1736"/>
    </row>
    <row r="80" spans="1:49">
      <c r="A80" s="1718">
        <f t="shared" si="1"/>
        <v>0</v>
      </c>
      <c r="B80" s="1744">
        <f t="shared" si="2"/>
        <v>67</v>
      </c>
      <c r="C80" s="1737"/>
      <c r="D80" s="1736"/>
      <c r="E80" s="1736"/>
      <c r="F80" s="1736"/>
      <c r="G80" s="1738"/>
      <c r="H80" s="1739"/>
      <c r="I80" s="1736"/>
      <c r="J80" s="1736"/>
      <c r="K80" s="1736"/>
      <c r="L80" s="1738"/>
      <c r="M80" s="1736"/>
      <c r="N80" s="1740"/>
      <c r="O80" s="1740"/>
      <c r="P80" s="1741"/>
      <c r="Q80" s="1741"/>
      <c r="R80" s="1736"/>
      <c r="S80" s="1742"/>
      <c r="T80" s="1742"/>
      <c r="U80" s="1742"/>
      <c r="V80" s="1736"/>
      <c r="W80" s="1736"/>
      <c r="X80" s="1736"/>
      <c r="Y80" s="1736"/>
      <c r="Z80" s="1736"/>
      <c r="AA80" s="1742"/>
      <c r="AB80" s="1738"/>
      <c r="AC80" s="1742"/>
      <c r="AD80" s="1742"/>
      <c r="AE80" s="1742"/>
      <c r="AF80" s="1742"/>
      <c r="AG80" s="1736"/>
    </row>
    <row r="81" spans="1:33">
      <c r="A81" s="1718">
        <f t="shared" si="1"/>
        <v>0</v>
      </c>
      <c r="B81" s="1744">
        <f t="shared" si="2"/>
        <v>68</v>
      </c>
      <c r="C81" s="1737"/>
      <c r="D81" s="1736"/>
      <c r="E81" s="1736"/>
      <c r="F81" s="1736"/>
      <c r="G81" s="1738"/>
      <c r="H81" s="1739"/>
      <c r="I81" s="1736"/>
      <c r="J81" s="1736"/>
      <c r="K81" s="1736"/>
      <c r="L81" s="1738"/>
      <c r="M81" s="1736"/>
      <c r="N81" s="1740"/>
      <c r="O81" s="1740"/>
      <c r="P81" s="1741"/>
      <c r="Q81" s="1741"/>
      <c r="R81" s="1736"/>
      <c r="S81" s="1742"/>
      <c r="T81" s="1742"/>
      <c r="U81" s="1742"/>
      <c r="V81" s="1736"/>
      <c r="W81" s="1736"/>
      <c r="X81" s="1736"/>
      <c r="Y81" s="1736"/>
      <c r="Z81" s="1736"/>
      <c r="AA81" s="1742"/>
      <c r="AB81" s="1738"/>
      <c r="AC81" s="1742"/>
      <c r="AD81" s="1742"/>
      <c r="AE81" s="1742"/>
      <c r="AF81" s="1742"/>
      <c r="AG81" s="1736"/>
    </row>
    <row r="82" spans="1:33">
      <c r="A82" s="1718">
        <f t="shared" si="1"/>
        <v>0</v>
      </c>
      <c r="B82" s="1744">
        <f t="shared" si="2"/>
        <v>69</v>
      </c>
      <c r="C82" s="1737"/>
      <c r="D82" s="1736"/>
      <c r="E82" s="1736"/>
      <c r="F82" s="1736"/>
      <c r="G82" s="1738"/>
      <c r="H82" s="1739"/>
      <c r="I82" s="1736"/>
      <c r="J82" s="1736"/>
      <c r="K82" s="1736"/>
      <c r="L82" s="1738"/>
      <c r="M82" s="1736"/>
      <c r="N82" s="1740"/>
      <c r="O82" s="1740"/>
      <c r="P82" s="1741"/>
      <c r="Q82" s="1741"/>
      <c r="R82" s="1736"/>
      <c r="S82" s="1742"/>
      <c r="T82" s="1742"/>
      <c r="U82" s="1742"/>
      <c r="V82" s="1736"/>
      <c r="W82" s="1736"/>
      <c r="X82" s="1736"/>
      <c r="Y82" s="1736"/>
      <c r="Z82" s="1736"/>
      <c r="AA82" s="1742"/>
      <c r="AB82" s="1738"/>
      <c r="AC82" s="1742"/>
      <c r="AD82" s="1742"/>
      <c r="AE82" s="1742"/>
      <c r="AF82" s="1742"/>
      <c r="AG82" s="1736"/>
    </row>
    <row r="83" spans="1:33">
      <c r="A83" s="1718">
        <f t="shared" si="1"/>
        <v>0</v>
      </c>
      <c r="B83" s="1744">
        <f t="shared" si="2"/>
        <v>70</v>
      </c>
      <c r="C83" s="1737"/>
      <c r="D83" s="1736"/>
      <c r="E83" s="1736"/>
      <c r="F83" s="1736"/>
      <c r="G83" s="1738"/>
      <c r="H83" s="1739"/>
      <c r="I83" s="1736"/>
      <c r="J83" s="1736"/>
      <c r="K83" s="1736"/>
      <c r="L83" s="1738"/>
      <c r="M83" s="1736"/>
      <c r="N83" s="1740"/>
      <c r="O83" s="1740"/>
      <c r="P83" s="1741"/>
      <c r="Q83" s="1741"/>
      <c r="R83" s="1736"/>
      <c r="S83" s="1742"/>
      <c r="T83" s="1742"/>
      <c r="U83" s="1742"/>
      <c r="V83" s="1736"/>
      <c r="W83" s="1736"/>
      <c r="X83" s="1736"/>
      <c r="Y83" s="1736"/>
      <c r="Z83" s="1736"/>
      <c r="AA83" s="1742"/>
      <c r="AB83" s="1738"/>
      <c r="AC83" s="1742"/>
      <c r="AD83" s="1742"/>
      <c r="AE83" s="1742"/>
      <c r="AF83" s="1742"/>
      <c r="AG83" s="1736"/>
    </row>
    <row r="84" spans="1:33">
      <c r="A84" s="1718">
        <f t="shared" si="1"/>
        <v>0</v>
      </c>
      <c r="B84" s="1744">
        <f t="shared" si="2"/>
        <v>71</v>
      </c>
      <c r="C84" s="1737"/>
      <c r="D84" s="1736"/>
      <c r="E84" s="1736"/>
      <c r="F84" s="1736"/>
      <c r="G84" s="1738"/>
      <c r="H84" s="1739"/>
      <c r="I84" s="1736"/>
      <c r="J84" s="1736"/>
      <c r="K84" s="1736"/>
      <c r="L84" s="1738"/>
      <c r="M84" s="1736"/>
      <c r="N84" s="1740"/>
      <c r="O84" s="1740"/>
      <c r="P84" s="1741"/>
      <c r="Q84" s="1741"/>
      <c r="R84" s="1736"/>
      <c r="S84" s="1742"/>
      <c r="T84" s="1742"/>
      <c r="U84" s="1742"/>
      <c r="V84" s="1736"/>
      <c r="W84" s="1736"/>
      <c r="X84" s="1736"/>
      <c r="Y84" s="1736"/>
      <c r="Z84" s="1736"/>
      <c r="AA84" s="1742"/>
      <c r="AB84" s="1738"/>
      <c r="AC84" s="1742"/>
      <c r="AD84" s="1742"/>
      <c r="AE84" s="1742"/>
      <c r="AF84" s="1742"/>
      <c r="AG84" s="1736"/>
    </row>
    <row r="85" spans="1:33">
      <c r="A85" s="1718">
        <f t="shared" si="1"/>
        <v>0</v>
      </c>
      <c r="B85" s="1744">
        <f t="shared" si="2"/>
        <v>72</v>
      </c>
      <c r="C85" s="1737"/>
      <c r="D85" s="1736"/>
      <c r="E85" s="1736"/>
      <c r="F85" s="1736"/>
      <c r="G85" s="1738"/>
      <c r="H85" s="1739"/>
      <c r="I85" s="1736"/>
      <c r="J85" s="1736"/>
      <c r="K85" s="1736"/>
      <c r="L85" s="1738"/>
      <c r="M85" s="1736"/>
      <c r="N85" s="1740"/>
      <c r="O85" s="1740"/>
      <c r="P85" s="1741"/>
      <c r="Q85" s="1741"/>
      <c r="R85" s="1736"/>
      <c r="S85" s="1742"/>
      <c r="T85" s="1742"/>
      <c r="U85" s="1742"/>
      <c r="V85" s="1736"/>
      <c r="W85" s="1736"/>
      <c r="X85" s="1736"/>
      <c r="Y85" s="1736"/>
      <c r="Z85" s="1736"/>
      <c r="AA85" s="1742"/>
      <c r="AB85" s="1738"/>
      <c r="AC85" s="1742"/>
      <c r="AD85" s="1742"/>
      <c r="AE85" s="1742"/>
      <c r="AF85" s="1742"/>
      <c r="AG85" s="1736"/>
    </row>
    <row r="86" spans="1:33">
      <c r="A86" s="1718">
        <f t="shared" si="1"/>
        <v>0</v>
      </c>
      <c r="B86" s="1744">
        <f t="shared" si="2"/>
        <v>73</v>
      </c>
      <c r="C86" s="1737"/>
      <c r="D86" s="1736"/>
      <c r="E86" s="1736"/>
      <c r="F86" s="1736"/>
      <c r="G86" s="1738"/>
      <c r="H86" s="1739"/>
      <c r="I86" s="1736"/>
      <c r="J86" s="1736"/>
      <c r="K86" s="1736"/>
      <c r="L86" s="1738"/>
      <c r="M86" s="1736"/>
      <c r="N86" s="1740"/>
      <c r="O86" s="1740"/>
      <c r="P86" s="1741"/>
      <c r="Q86" s="1741"/>
      <c r="R86" s="1736"/>
      <c r="S86" s="1742"/>
      <c r="T86" s="1742"/>
      <c r="U86" s="1742"/>
      <c r="V86" s="1736"/>
      <c r="W86" s="1736"/>
      <c r="X86" s="1736"/>
      <c r="Y86" s="1736"/>
      <c r="Z86" s="1736"/>
      <c r="AA86" s="1742"/>
      <c r="AB86" s="1738"/>
      <c r="AC86" s="1742"/>
      <c r="AD86" s="1742"/>
      <c r="AE86" s="1742"/>
      <c r="AF86" s="1742"/>
      <c r="AG86" s="1736"/>
    </row>
    <row r="87" spans="1:33">
      <c r="A87" s="1718">
        <f t="shared" si="1"/>
        <v>0</v>
      </c>
      <c r="B87" s="1744">
        <f t="shared" si="2"/>
        <v>74</v>
      </c>
      <c r="C87" s="1737"/>
      <c r="D87" s="1736"/>
      <c r="E87" s="1736"/>
      <c r="F87" s="1736"/>
      <c r="G87" s="1738"/>
      <c r="H87" s="1739"/>
      <c r="I87" s="1736"/>
      <c r="J87" s="1736"/>
      <c r="K87" s="1736"/>
      <c r="L87" s="1738"/>
      <c r="M87" s="1736"/>
      <c r="N87" s="1740"/>
      <c r="O87" s="1740"/>
      <c r="P87" s="1741"/>
      <c r="Q87" s="1741"/>
      <c r="R87" s="1736"/>
      <c r="S87" s="1742"/>
      <c r="T87" s="1742"/>
      <c r="U87" s="1742"/>
      <c r="V87" s="1736"/>
      <c r="W87" s="1736"/>
      <c r="X87" s="1736"/>
      <c r="Y87" s="1736"/>
      <c r="Z87" s="1736"/>
      <c r="AA87" s="1742"/>
      <c r="AB87" s="1738"/>
      <c r="AC87" s="1742"/>
      <c r="AD87" s="1742"/>
      <c r="AE87" s="1742"/>
      <c r="AF87" s="1742"/>
      <c r="AG87" s="1736"/>
    </row>
    <row r="88" spans="1:33">
      <c r="A88" s="1718">
        <f t="shared" si="1"/>
        <v>0</v>
      </c>
      <c r="B88" s="1744">
        <f t="shared" si="2"/>
        <v>75</v>
      </c>
      <c r="C88" s="1737"/>
      <c r="D88" s="1736"/>
      <c r="E88" s="1736"/>
      <c r="F88" s="1736"/>
      <c r="G88" s="1738"/>
      <c r="H88" s="1739"/>
      <c r="I88" s="1736"/>
      <c r="J88" s="1736"/>
      <c r="K88" s="1736"/>
      <c r="L88" s="1738"/>
      <c r="M88" s="1736"/>
      <c r="N88" s="1740"/>
      <c r="O88" s="1740"/>
      <c r="P88" s="1741"/>
      <c r="Q88" s="1741"/>
      <c r="R88" s="1736"/>
      <c r="S88" s="1742"/>
      <c r="T88" s="1742"/>
      <c r="U88" s="1742"/>
      <c r="V88" s="1736"/>
      <c r="W88" s="1736"/>
      <c r="X88" s="1736"/>
      <c r="Y88" s="1736"/>
      <c r="Z88" s="1736"/>
      <c r="AA88" s="1742"/>
      <c r="AB88" s="1738"/>
      <c r="AC88" s="1742"/>
      <c r="AD88" s="1742"/>
      <c r="AE88" s="1742"/>
      <c r="AF88" s="1742"/>
      <c r="AG88" s="1736"/>
    </row>
    <row r="89" spans="1:33">
      <c r="A89" s="1718">
        <f t="shared" si="1"/>
        <v>0</v>
      </c>
      <c r="B89" s="1744">
        <f t="shared" si="2"/>
        <v>76</v>
      </c>
      <c r="C89" s="1737"/>
      <c r="D89" s="1736"/>
      <c r="E89" s="1736"/>
      <c r="F89" s="1736"/>
      <c r="G89" s="1738"/>
      <c r="H89" s="1739"/>
      <c r="I89" s="1736"/>
      <c r="J89" s="1736"/>
      <c r="K89" s="1736"/>
      <c r="L89" s="1738"/>
      <c r="M89" s="1736"/>
      <c r="N89" s="1740"/>
      <c r="O89" s="1740"/>
      <c r="P89" s="1741"/>
      <c r="Q89" s="1741"/>
      <c r="R89" s="1736"/>
      <c r="S89" s="1742"/>
      <c r="T89" s="1742"/>
      <c r="U89" s="1742"/>
      <c r="V89" s="1736"/>
      <c r="W89" s="1736"/>
      <c r="X89" s="1736"/>
      <c r="Y89" s="1736"/>
      <c r="Z89" s="1736"/>
      <c r="AA89" s="1742"/>
      <c r="AB89" s="1738"/>
      <c r="AC89" s="1742"/>
      <c r="AD89" s="1742"/>
      <c r="AE89" s="1742"/>
      <c r="AF89" s="1742"/>
      <c r="AG89" s="1736"/>
    </row>
    <row r="90" spans="1:33">
      <c r="A90" s="1718">
        <f t="shared" si="1"/>
        <v>0</v>
      </c>
      <c r="B90" s="1744">
        <f t="shared" si="2"/>
        <v>77</v>
      </c>
      <c r="C90" s="1737"/>
      <c r="D90" s="1736"/>
      <c r="E90" s="1736"/>
      <c r="F90" s="1736"/>
      <c r="G90" s="1738"/>
      <c r="H90" s="1739"/>
      <c r="I90" s="1736"/>
      <c r="J90" s="1736"/>
      <c r="K90" s="1736"/>
      <c r="L90" s="1738"/>
      <c r="M90" s="1736"/>
      <c r="N90" s="1740"/>
      <c r="O90" s="1740"/>
      <c r="P90" s="1741"/>
      <c r="Q90" s="1741"/>
      <c r="R90" s="1736"/>
      <c r="S90" s="1742"/>
      <c r="T90" s="1742"/>
      <c r="U90" s="1742"/>
      <c r="V90" s="1736"/>
      <c r="W90" s="1736"/>
      <c r="X90" s="1736"/>
      <c r="Y90" s="1736"/>
      <c r="Z90" s="1736"/>
      <c r="AA90" s="1742"/>
      <c r="AB90" s="1738"/>
      <c r="AC90" s="1742"/>
      <c r="AD90" s="1742"/>
      <c r="AE90" s="1742"/>
      <c r="AF90" s="1742"/>
      <c r="AG90" s="1736"/>
    </row>
    <row r="91" spans="1:33">
      <c r="A91" s="1718">
        <f t="shared" si="1"/>
        <v>0</v>
      </c>
      <c r="B91" s="1744">
        <f t="shared" si="2"/>
        <v>78</v>
      </c>
      <c r="C91" s="1737"/>
      <c r="D91" s="1736"/>
      <c r="E91" s="1736"/>
      <c r="F91" s="1736"/>
      <c r="G91" s="1738"/>
      <c r="H91" s="1739"/>
      <c r="I91" s="1736"/>
      <c r="J91" s="1736"/>
      <c r="K91" s="1736"/>
      <c r="L91" s="1738"/>
      <c r="M91" s="1736"/>
      <c r="N91" s="1740"/>
      <c r="O91" s="1740"/>
      <c r="P91" s="1741"/>
      <c r="Q91" s="1741"/>
      <c r="R91" s="1736"/>
      <c r="S91" s="1742"/>
      <c r="T91" s="1742"/>
      <c r="U91" s="1742"/>
      <c r="V91" s="1736"/>
      <c r="W91" s="1736"/>
      <c r="X91" s="1736"/>
      <c r="Y91" s="1736"/>
      <c r="Z91" s="1736"/>
      <c r="AA91" s="1742"/>
      <c r="AB91" s="1738"/>
      <c r="AC91" s="1742"/>
      <c r="AD91" s="1742"/>
      <c r="AE91" s="1742"/>
      <c r="AF91" s="1742"/>
      <c r="AG91" s="1736"/>
    </row>
    <row r="92" spans="1:33">
      <c r="A92" s="1718">
        <f t="shared" si="1"/>
        <v>0</v>
      </c>
      <c r="B92" s="1744">
        <f t="shared" si="2"/>
        <v>79</v>
      </c>
      <c r="C92" s="1737"/>
      <c r="D92" s="1736"/>
      <c r="E92" s="1736"/>
      <c r="F92" s="1736"/>
      <c r="G92" s="1738"/>
      <c r="H92" s="1739"/>
      <c r="I92" s="1736"/>
      <c r="J92" s="1736"/>
      <c r="K92" s="1736"/>
      <c r="L92" s="1738"/>
      <c r="M92" s="1736"/>
      <c r="N92" s="1740"/>
      <c r="O92" s="1740"/>
      <c r="P92" s="1741"/>
      <c r="Q92" s="1741"/>
      <c r="R92" s="1736"/>
      <c r="S92" s="1742"/>
      <c r="T92" s="1742"/>
      <c r="U92" s="1742"/>
      <c r="V92" s="1736"/>
      <c r="W92" s="1736"/>
      <c r="X92" s="1736"/>
      <c r="Y92" s="1736"/>
      <c r="Z92" s="1736"/>
      <c r="AA92" s="1742"/>
      <c r="AB92" s="1738"/>
      <c r="AC92" s="1742"/>
      <c r="AD92" s="1742"/>
      <c r="AE92" s="1742"/>
      <c r="AF92" s="1742"/>
      <c r="AG92" s="1736"/>
    </row>
    <row r="93" spans="1:33">
      <c r="A93" s="1718">
        <f t="shared" si="1"/>
        <v>0</v>
      </c>
      <c r="B93" s="1744">
        <f t="shared" si="2"/>
        <v>80</v>
      </c>
      <c r="C93" s="1737"/>
      <c r="D93" s="1736"/>
      <c r="E93" s="1736"/>
      <c r="F93" s="1736"/>
      <c r="G93" s="1738"/>
      <c r="H93" s="1739"/>
      <c r="I93" s="1736"/>
      <c r="J93" s="1736"/>
      <c r="K93" s="1736"/>
      <c r="L93" s="1738"/>
      <c r="M93" s="1736"/>
      <c r="N93" s="1740"/>
      <c r="O93" s="1740"/>
      <c r="P93" s="1741"/>
      <c r="Q93" s="1741"/>
      <c r="R93" s="1736"/>
      <c r="S93" s="1742"/>
      <c r="T93" s="1742"/>
      <c r="U93" s="1742"/>
      <c r="V93" s="1736"/>
      <c r="W93" s="1736"/>
      <c r="X93" s="1736"/>
      <c r="Y93" s="1736"/>
      <c r="Z93" s="1736"/>
      <c r="AA93" s="1742"/>
      <c r="AB93" s="1738"/>
      <c r="AC93" s="1742"/>
      <c r="AD93" s="1742"/>
      <c r="AE93" s="1742"/>
      <c r="AF93" s="1742"/>
      <c r="AG93" s="1736"/>
    </row>
    <row r="94" spans="1:33">
      <c r="A94" s="1718">
        <f t="shared" si="1"/>
        <v>0</v>
      </c>
      <c r="B94" s="1744">
        <f t="shared" si="2"/>
        <v>81</v>
      </c>
      <c r="C94" s="1737"/>
      <c r="D94" s="1736"/>
      <c r="E94" s="1736"/>
      <c r="F94" s="1736"/>
      <c r="G94" s="1738"/>
      <c r="H94" s="1739"/>
      <c r="I94" s="1736"/>
      <c r="J94" s="1736"/>
      <c r="K94" s="1736"/>
      <c r="L94" s="1738"/>
      <c r="M94" s="1736"/>
      <c r="N94" s="1740"/>
      <c r="O94" s="1740"/>
      <c r="P94" s="1741"/>
      <c r="Q94" s="1741"/>
      <c r="R94" s="1736"/>
      <c r="S94" s="1742"/>
      <c r="T94" s="1742"/>
      <c r="U94" s="1742"/>
      <c r="V94" s="1736"/>
      <c r="W94" s="1736"/>
      <c r="X94" s="1736"/>
      <c r="Y94" s="1736"/>
      <c r="Z94" s="1736"/>
      <c r="AA94" s="1742"/>
      <c r="AB94" s="1738"/>
      <c r="AC94" s="1742"/>
      <c r="AD94" s="1742"/>
      <c r="AE94" s="1742"/>
      <c r="AF94" s="1742"/>
      <c r="AG94" s="1736"/>
    </row>
    <row r="95" spans="1:33">
      <c r="A95" s="1718">
        <f t="shared" si="1"/>
        <v>0</v>
      </c>
      <c r="B95" s="1744">
        <f t="shared" si="2"/>
        <v>82</v>
      </c>
      <c r="C95" s="1737"/>
      <c r="D95" s="1736"/>
      <c r="E95" s="1736"/>
      <c r="F95" s="1736"/>
      <c r="G95" s="1738"/>
      <c r="H95" s="1739"/>
      <c r="I95" s="1736"/>
      <c r="J95" s="1736"/>
      <c r="K95" s="1736"/>
      <c r="L95" s="1738"/>
      <c r="M95" s="1736"/>
      <c r="N95" s="1740"/>
      <c r="O95" s="1740"/>
      <c r="P95" s="1741"/>
      <c r="Q95" s="1741"/>
      <c r="R95" s="1736"/>
      <c r="S95" s="1742"/>
      <c r="T95" s="1742"/>
      <c r="U95" s="1742"/>
      <c r="V95" s="1736"/>
      <c r="W95" s="1736"/>
      <c r="X95" s="1736"/>
      <c r="Y95" s="1736"/>
      <c r="Z95" s="1736"/>
      <c r="AA95" s="1742"/>
      <c r="AB95" s="1738"/>
      <c r="AC95" s="1742"/>
      <c r="AD95" s="1742"/>
      <c r="AE95" s="1742"/>
      <c r="AF95" s="1742"/>
      <c r="AG95" s="1736"/>
    </row>
    <row r="96" spans="1:33">
      <c r="A96" s="1718">
        <f t="shared" si="1"/>
        <v>0</v>
      </c>
      <c r="B96" s="1744">
        <f t="shared" si="2"/>
        <v>83</v>
      </c>
      <c r="C96" s="1737"/>
      <c r="D96" s="1736"/>
      <c r="E96" s="1736"/>
      <c r="F96" s="1736"/>
      <c r="G96" s="1738"/>
      <c r="H96" s="1739"/>
      <c r="I96" s="1736"/>
      <c r="J96" s="1736"/>
      <c r="K96" s="1736"/>
      <c r="L96" s="1738"/>
      <c r="M96" s="1736"/>
      <c r="N96" s="1740"/>
      <c r="O96" s="1740"/>
      <c r="P96" s="1741"/>
      <c r="Q96" s="1741"/>
      <c r="R96" s="1736"/>
      <c r="S96" s="1742"/>
      <c r="T96" s="1742"/>
      <c r="U96" s="1742"/>
      <c r="V96" s="1736"/>
      <c r="W96" s="1736"/>
      <c r="X96" s="1736"/>
      <c r="Y96" s="1736"/>
      <c r="Z96" s="1736"/>
      <c r="AA96" s="1742"/>
      <c r="AB96" s="1738"/>
      <c r="AC96" s="1742"/>
      <c r="AD96" s="1742"/>
      <c r="AE96" s="1742"/>
      <c r="AF96" s="1742"/>
      <c r="AG96" s="1736"/>
    </row>
    <row r="97" spans="1:35">
      <c r="A97" s="1718">
        <f t="shared" si="1"/>
        <v>0</v>
      </c>
      <c r="B97" s="1744">
        <f t="shared" si="2"/>
        <v>84</v>
      </c>
      <c r="C97" s="1737"/>
      <c r="D97" s="1736"/>
      <c r="E97" s="1736"/>
      <c r="F97" s="1736"/>
      <c r="G97" s="1738"/>
      <c r="H97" s="1739"/>
      <c r="I97" s="1736"/>
      <c r="J97" s="1736"/>
      <c r="K97" s="1736"/>
      <c r="L97" s="1738"/>
      <c r="M97" s="1736"/>
      <c r="N97" s="1740"/>
      <c r="O97" s="1740"/>
      <c r="P97" s="1741"/>
      <c r="Q97" s="1741"/>
      <c r="R97" s="1736"/>
      <c r="S97" s="1742"/>
      <c r="T97" s="1742"/>
      <c r="U97" s="1742"/>
      <c r="V97" s="1736"/>
      <c r="W97" s="1736"/>
      <c r="X97" s="1736"/>
      <c r="Y97" s="1736"/>
      <c r="Z97" s="1736"/>
      <c r="AA97" s="1742"/>
      <c r="AB97" s="1738"/>
      <c r="AC97" s="1742"/>
      <c r="AD97" s="1742"/>
      <c r="AE97" s="1742"/>
      <c r="AF97" s="1742"/>
      <c r="AG97" s="1736"/>
    </row>
    <row r="98" spans="1:35">
      <c r="A98" s="1718">
        <f t="shared" si="1"/>
        <v>0</v>
      </c>
      <c r="B98" s="1744">
        <f t="shared" si="2"/>
        <v>85</v>
      </c>
      <c r="C98" s="1737"/>
      <c r="D98" s="1736"/>
      <c r="E98" s="1736"/>
      <c r="F98" s="1736"/>
      <c r="G98" s="1738"/>
      <c r="H98" s="1739"/>
      <c r="I98" s="1736"/>
      <c r="J98" s="1736"/>
      <c r="K98" s="1736"/>
      <c r="L98" s="1738"/>
      <c r="M98" s="1736"/>
      <c r="N98" s="1740"/>
      <c r="O98" s="1740"/>
      <c r="P98" s="1741"/>
      <c r="Q98" s="1741"/>
      <c r="R98" s="1736"/>
      <c r="S98" s="1742"/>
      <c r="T98" s="1742"/>
      <c r="U98" s="1742"/>
      <c r="V98" s="1736"/>
      <c r="W98" s="1736"/>
      <c r="X98" s="1736"/>
      <c r="Y98" s="1736"/>
      <c r="Z98" s="1736"/>
      <c r="AA98" s="1742"/>
      <c r="AB98" s="1738"/>
      <c r="AC98" s="1742"/>
      <c r="AD98" s="1742"/>
      <c r="AE98" s="1742"/>
      <c r="AF98" s="1742"/>
      <c r="AG98" s="1736"/>
    </row>
    <row r="99" spans="1:35">
      <c r="A99" s="1718">
        <f t="shared" si="1"/>
        <v>0</v>
      </c>
      <c r="B99" s="1744">
        <f t="shared" si="2"/>
        <v>86</v>
      </c>
      <c r="C99" s="1737"/>
      <c r="D99" s="1736"/>
      <c r="E99" s="1736"/>
      <c r="F99" s="1736"/>
      <c r="G99" s="1738"/>
      <c r="H99" s="1739"/>
      <c r="I99" s="1736"/>
      <c r="J99" s="1736"/>
      <c r="K99" s="1736"/>
      <c r="L99" s="1738"/>
      <c r="M99" s="1736"/>
      <c r="N99" s="1740"/>
      <c r="O99" s="1740"/>
      <c r="P99" s="1741"/>
      <c r="Q99" s="1741"/>
      <c r="R99" s="1736"/>
      <c r="S99" s="1742"/>
      <c r="T99" s="1742"/>
      <c r="U99" s="1742"/>
      <c r="V99" s="1736"/>
      <c r="W99" s="1736"/>
      <c r="X99" s="1736"/>
      <c r="Y99" s="1736"/>
      <c r="Z99" s="1736"/>
      <c r="AA99" s="1742"/>
      <c r="AB99" s="1738"/>
      <c r="AC99" s="1742"/>
      <c r="AD99" s="1742"/>
      <c r="AE99" s="1742"/>
      <c r="AF99" s="1742"/>
      <c r="AG99" s="1736"/>
    </row>
    <row r="100" spans="1:35">
      <c r="A100" s="1718">
        <f t="shared" si="1"/>
        <v>0</v>
      </c>
      <c r="B100" s="1744">
        <f t="shared" si="2"/>
        <v>87</v>
      </c>
      <c r="C100" s="1737"/>
      <c r="D100" s="1736"/>
      <c r="E100" s="1736"/>
      <c r="F100" s="1736"/>
      <c r="G100" s="1738"/>
      <c r="H100" s="1739"/>
      <c r="I100" s="1736"/>
      <c r="J100" s="1736"/>
      <c r="K100" s="1736"/>
      <c r="L100" s="1738"/>
      <c r="M100" s="1736"/>
      <c r="N100" s="1740"/>
      <c r="O100" s="1740"/>
      <c r="P100" s="1741"/>
      <c r="Q100" s="1741"/>
      <c r="R100" s="1736"/>
      <c r="S100" s="1742"/>
      <c r="T100" s="1742"/>
      <c r="U100" s="1742"/>
      <c r="V100" s="1736"/>
      <c r="W100" s="1736"/>
      <c r="X100" s="1736"/>
      <c r="Y100" s="1736"/>
      <c r="Z100" s="1736"/>
      <c r="AA100" s="1742"/>
      <c r="AB100" s="1738"/>
      <c r="AC100" s="1742"/>
      <c r="AD100" s="1742"/>
      <c r="AE100" s="1742"/>
      <c r="AF100" s="1742"/>
      <c r="AG100" s="1736"/>
    </row>
    <row r="101" spans="1:35">
      <c r="A101" s="1718">
        <f t="shared" si="1"/>
        <v>0</v>
      </c>
      <c r="B101" s="1744">
        <f t="shared" si="2"/>
        <v>88</v>
      </c>
      <c r="C101" s="1737"/>
      <c r="D101" s="1736"/>
      <c r="E101" s="1736"/>
      <c r="F101" s="1736"/>
      <c r="G101" s="1738"/>
      <c r="H101" s="1739"/>
      <c r="I101" s="1736"/>
      <c r="J101" s="1736"/>
      <c r="K101" s="1736"/>
      <c r="L101" s="1738"/>
      <c r="M101" s="1736"/>
      <c r="N101" s="1740"/>
      <c r="O101" s="1740"/>
      <c r="P101" s="1741"/>
      <c r="Q101" s="1741"/>
      <c r="R101" s="1736"/>
      <c r="S101" s="1742"/>
      <c r="T101" s="1742"/>
      <c r="U101" s="1742"/>
      <c r="V101" s="1736"/>
      <c r="W101" s="1736"/>
      <c r="X101" s="1736"/>
      <c r="Y101" s="1736"/>
      <c r="Z101" s="1736"/>
      <c r="AA101" s="1742"/>
      <c r="AB101" s="1738"/>
      <c r="AC101" s="1742"/>
      <c r="AD101" s="1742"/>
      <c r="AE101" s="1742"/>
      <c r="AF101" s="1742"/>
      <c r="AG101" s="1736"/>
    </row>
    <row r="102" spans="1:35">
      <c r="A102" s="1718">
        <f t="shared" si="1"/>
        <v>0</v>
      </c>
      <c r="B102" s="1744">
        <f t="shared" si="2"/>
        <v>89</v>
      </c>
      <c r="C102" s="1737"/>
      <c r="D102" s="1736"/>
      <c r="E102" s="1736"/>
      <c r="F102" s="1736"/>
      <c r="G102" s="1738"/>
      <c r="H102" s="1739"/>
      <c r="I102" s="1736"/>
      <c r="J102" s="1736"/>
      <c r="K102" s="1736"/>
      <c r="L102" s="1738"/>
      <c r="M102" s="1736"/>
      <c r="N102" s="1740"/>
      <c r="O102" s="1740"/>
      <c r="P102" s="1741"/>
      <c r="Q102" s="1741"/>
      <c r="R102" s="1736"/>
      <c r="S102" s="1742"/>
      <c r="T102" s="1742"/>
      <c r="U102" s="1742"/>
      <c r="V102" s="1736"/>
      <c r="W102" s="1736"/>
      <c r="X102" s="1736"/>
      <c r="Y102" s="1736"/>
      <c r="Z102" s="1736"/>
      <c r="AA102" s="1742"/>
      <c r="AB102" s="1738"/>
      <c r="AC102" s="1742"/>
      <c r="AD102" s="1742"/>
      <c r="AE102" s="1742"/>
      <c r="AF102" s="1742"/>
      <c r="AG102" s="1736"/>
    </row>
    <row r="103" spans="1:35">
      <c r="A103" s="1718">
        <f t="shared" si="1"/>
        <v>0</v>
      </c>
      <c r="B103" s="1744">
        <f t="shared" si="2"/>
        <v>90</v>
      </c>
      <c r="C103" s="1737"/>
      <c r="D103" s="1736"/>
      <c r="E103" s="1736"/>
      <c r="F103" s="1736"/>
      <c r="G103" s="1738"/>
      <c r="H103" s="1739"/>
      <c r="I103" s="1736"/>
      <c r="J103" s="1736"/>
      <c r="K103" s="1736"/>
      <c r="L103" s="1738"/>
      <c r="M103" s="1736"/>
      <c r="N103" s="1740"/>
      <c r="O103" s="1740"/>
      <c r="P103" s="1741"/>
      <c r="Q103" s="1741"/>
      <c r="R103" s="1736"/>
      <c r="S103" s="1742"/>
      <c r="T103" s="1742"/>
      <c r="U103" s="1742"/>
      <c r="V103" s="1736"/>
      <c r="W103" s="1736"/>
      <c r="X103" s="1736"/>
      <c r="Y103" s="1736"/>
      <c r="Z103" s="1736"/>
      <c r="AA103" s="1742"/>
      <c r="AB103" s="1738"/>
      <c r="AC103" s="1742"/>
      <c r="AD103" s="1742"/>
      <c r="AE103" s="1742"/>
      <c r="AF103" s="1742"/>
      <c r="AG103" s="1736"/>
    </row>
    <row r="104" spans="1:35">
      <c r="A104" s="1718">
        <f t="shared" si="1"/>
        <v>0</v>
      </c>
      <c r="B104" s="1744">
        <f t="shared" si="2"/>
        <v>91</v>
      </c>
      <c r="C104" s="1737"/>
      <c r="D104" s="1736"/>
      <c r="E104" s="1736"/>
      <c r="F104" s="1736"/>
      <c r="G104" s="1738"/>
      <c r="H104" s="1739"/>
      <c r="I104" s="1736"/>
      <c r="J104" s="1736"/>
      <c r="K104" s="1736"/>
      <c r="L104" s="1738"/>
      <c r="M104" s="1736"/>
      <c r="N104" s="1740"/>
      <c r="O104" s="1740"/>
      <c r="P104" s="1741"/>
      <c r="Q104" s="1741"/>
      <c r="R104" s="1736"/>
      <c r="S104" s="1742"/>
      <c r="T104" s="1742"/>
      <c r="U104" s="1742"/>
      <c r="V104" s="1736"/>
      <c r="W104" s="1736"/>
      <c r="X104" s="1736"/>
      <c r="Y104" s="1736"/>
      <c r="Z104" s="1736"/>
      <c r="AA104" s="1742"/>
      <c r="AB104" s="1738"/>
      <c r="AC104" s="1742"/>
      <c r="AD104" s="1742"/>
      <c r="AE104" s="1742"/>
      <c r="AF104" s="1742"/>
      <c r="AG104" s="1736"/>
    </row>
    <row r="105" spans="1:35">
      <c r="A105" s="1718">
        <f t="shared" si="1"/>
        <v>0</v>
      </c>
      <c r="B105" s="1744">
        <f t="shared" si="2"/>
        <v>92</v>
      </c>
      <c r="C105" s="1737"/>
      <c r="D105" s="1736"/>
      <c r="E105" s="1736"/>
      <c r="F105" s="1736"/>
      <c r="G105" s="1738"/>
      <c r="H105" s="1739"/>
      <c r="I105" s="1736"/>
      <c r="J105" s="1736"/>
      <c r="K105" s="1736"/>
      <c r="L105" s="1738"/>
      <c r="M105" s="1736"/>
      <c r="N105" s="1740"/>
      <c r="O105" s="1740"/>
      <c r="P105" s="1741"/>
      <c r="Q105" s="1741"/>
      <c r="R105" s="1736"/>
      <c r="S105" s="1742"/>
      <c r="T105" s="1742"/>
      <c r="U105" s="1742"/>
      <c r="V105" s="1736"/>
      <c r="W105" s="1736"/>
      <c r="X105" s="1736"/>
      <c r="Y105" s="1736"/>
      <c r="Z105" s="1736"/>
      <c r="AA105" s="1742"/>
      <c r="AB105" s="1738"/>
      <c r="AC105" s="1742"/>
      <c r="AD105" s="1742"/>
      <c r="AE105" s="1742"/>
      <c r="AF105" s="1742"/>
      <c r="AG105" s="1736"/>
    </row>
    <row r="106" spans="1:35">
      <c r="A106" s="1718">
        <f t="shared" si="1"/>
        <v>0</v>
      </c>
      <c r="B106" s="1744">
        <f t="shared" si="2"/>
        <v>93</v>
      </c>
      <c r="C106" s="1737"/>
      <c r="D106" s="1736"/>
      <c r="E106" s="1736"/>
      <c r="F106" s="1736"/>
      <c r="G106" s="1738"/>
      <c r="H106" s="1739"/>
      <c r="I106" s="1736"/>
      <c r="J106" s="1736"/>
      <c r="K106" s="1736"/>
      <c r="L106" s="1738"/>
      <c r="M106" s="1736"/>
      <c r="N106" s="1740"/>
      <c r="O106" s="1740"/>
      <c r="P106" s="1741"/>
      <c r="Q106" s="1741"/>
      <c r="R106" s="1736"/>
      <c r="S106" s="1742"/>
      <c r="T106" s="1742"/>
      <c r="U106" s="1742"/>
      <c r="V106" s="1736"/>
      <c r="W106" s="1736"/>
      <c r="X106" s="1736"/>
      <c r="Y106" s="1736"/>
      <c r="Z106" s="1736"/>
      <c r="AA106" s="1742"/>
      <c r="AB106" s="1738"/>
      <c r="AC106" s="1742"/>
      <c r="AD106" s="1742"/>
      <c r="AE106" s="1742"/>
      <c r="AF106" s="1742"/>
      <c r="AG106" s="1736"/>
    </row>
    <row r="107" spans="1:35">
      <c r="A107" s="1718">
        <f t="shared" si="1"/>
        <v>0</v>
      </c>
      <c r="B107" s="1744">
        <f t="shared" si="2"/>
        <v>94</v>
      </c>
      <c r="C107" s="1737"/>
      <c r="D107" s="1736"/>
      <c r="E107" s="1736"/>
      <c r="F107" s="1736"/>
      <c r="G107" s="1738"/>
      <c r="H107" s="1739"/>
      <c r="I107" s="1736"/>
      <c r="J107" s="1736"/>
      <c r="K107" s="1736"/>
      <c r="L107" s="1738"/>
      <c r="M107" s="1736"/>
      <c r="N107" s="1740"/>
      <c r="O107" s="1740"/>
      <c r="P107" s="1741"/>
      <c r="Q107" s="1741"/>
      <c r="R107" s="1736"/>
      <c r="S107" s="1742"/>
      <c r="T107" s="1742"/>
      <c r="U107" s="1742"/>
      <c r="V107" s="1736"/>
      <c r="W107" s="1736"/>
      <c r="X107" s="1736"/>
      <c r="Y107" s="1736"/>
      <c r="Z107" s="1736"/>
      <c r="AA107" s="1742"/>
      <c r="AB107" s="1738"/>
      <c r="AC107" s="1742"/>
      <c r="AD107" s="1742"/>
      <c r="AE107" s="1742"/>
      <c r="AF107" s="1742"/>
      <c r="AG107" s="1736"/>
    </row>
    <row r="108" spans="1:35">
      <c r="A108" s="1718">
        <f t="shared" si="1"/>
        <v>0</v>
      </c>
      <c r="B108" s="1744">
        <f t="shared" si="2"/>
        <v>95</v>
      </c>
      <c r="C108" s="1737"/>
      <c r="D108" s="1736"/>
      <c r="E108" s="1736"/>
      <c r="F108" s="1736"/>
      <c r="G108" s="1738"/>
      <c r="H108" s="1739"/>
      <c r="I108" s="1736"/>
      <c r="J108" s="1736"/>
      <c r="K108" s="1736"/>
      <c r="L108" s="1738"/>
      <c r="M108" s="1736"/>
      <c r="N108" s="1740"/>
      <c r="O108" s="1740"/>
      <c r="P108" s="1741"/>
      <c r="Q108" s="1741"/>
      <c r="R108" s="1736"/>
      <c r="S108" s="1742"/>
      <c r="T108" s="1742"/>
      <c r="U108" s="1742"/>
      <c r="V108" s="1736"/>
      <c r="W108" s="1736"/>
      <c r="X108" s="1736"/>
      <c r="Y108" s="1736"/>
      <c r="Z108" s="1736"/>
      <c r="AA108" s="1742"/>
      <c r="AB108" s="1738"/>
      <c r="AC108" s="1742"/>
      <c r="AD108" s="1742"/>
      <c r="AE108" s="1742"/>
      <c r="AF108" s="1742"/>
      <c r="AG108" s="1736"/>
    </row>
    <row r="109" spans="1:35">
      <c r="A109" s="1718">
        <f t="shared" si="1"/>
        <v>0</v>
      </c>
      <c r="B109" s="1744">
        <f t="shared" si="2"/>
        <v>96</v>
      </c>
      <c r="C109" s="1737"/>
      <c r="D109" s="1736"/>
      <c r="E109" s="1736"/>
      <c r="F109" s="1736"/>
      <c r="G109" s="1738"/>
      <c r="H109" s="1739"/>
      <c r="I109" s="1736"/>
      <c r="J109" s="1736"/>
      <c r="K109" s="1736"/>
      <c r="L109" s="1738"/>
      <c r="M109" s="1736"/>
      <c r="N109" s="1740"/>
      <c r="O109" s="1740"/>
      <c r="P109" s="1741"/>
      <c r="Q109" s="1741"/>
      <c r="R109" s="1736"/>
      <c r="S109" s="1742"/>
      <c r="T109" s="1742"/>
      <c r="U109" s="1742"/>
      <c r="V109" s="1736"/>
      <c r="W109" s="1736"/>
      <c r="X109" s="1736"/>
      <c r="Y109" s="1736"/>
      <c r="Z109" s="1736"/>
      <c r="AA109" s="1742"/>
      <c r="AB109" s="1738"/>
      <c r="AC109" s="1742"/>
      <c r="AD109" s="1742"/>
      <c r="AE109" s="1742"/>
      <c r="AF109" s="1742"/>
      <c r="AG109" s="1736" t="s">
        <v>0</v>
      </c>
      <c r="AH109" s="1718" t="s">
        <v>0</v>
      </c>
      <c r="AI109" s="1718" t="s">
        <v>0</v>
      </c>
    </row>
    <row r="110" spans="1:35">
      <c r="A110" s="1718">
        <f t="shared" si="1"/>
        <v>0</v>
      </c>
      <c r="B110" s="1744">
        <f t="shared" si="2"/>
        <v>97</v>
      </c>
      <c r="C110" s="1737"/>
      <c r="D110" s="1736"/>
      <c r="E110" s="1736"/>
      <c r="F110" s="1736"/>
      <c r="G110" s="1738"/>
      <c r="H110" s="1739"/>
      <c r="I110" s="1736"/>
      <c r="J110" s="1736"/>
      <c r="K110" s="1736"/>
      <c r="L110" s="1738"/>
      <c r="M110" s="1736"/>
      <c r="N110" s="1740"/>
      <c r="O110" s="1740"/>
      <c r="P110" s="1741"/>
      <c r="Q110" s="1741"/>
      <c r="R110" s="1736"/>
      <c r="S110" s="1742"/>
      <c r="T110" s="1742"/>
      <c r="U110" s="1742"/>
      <c r="V110" s="1736"/>
      <c r="W110" s="1736"/>
      <c r="X110" s="1736"/>
      <c r="Y110" s="1736"/>
      <c r="Z110" s="1736"/>
      <c r="AA110" s="1742"/>
      <c r="AB110" s="1738"/>
      <c r="AC110" s="1742"/>
      <c r="AD110" s="1742"/>
      <c r="AE110" s="1742"/>
      <c r="AF110" s="1742"/>
      <c r="AG110" s="1736"/>
    </row>
    <row r="111" spans="1:35">
      <c r="A111" s="1718">
        <f t="shared" si="1"/>
        <v>0</v>
      </c>
      <c r="B111" s="1744">
        <f t="shared" si="2"/>
        <v>98</v>
      </c>
      <c r="C111" s="1737"/>
      <c r="D111" s="1736"/>
      <c r="E111" s="1736"/>
      <c r="F111" s="1736"/>
      <c r="G111" s="1738"/>
      <c r="H111" s="1739"/>
      <c r="I111" s="1736"/>
      <c r="J111" s="1736"/>
      <c r="K111" s="1736"/>
      <c r="L111" s="1738"/>
      <c r="M111" s="1736"/>
      <c r="N111" s="1740"/>
      <c r="O111" s="1740"/>
      <c r="P111" s="1741"/>
      <c r="Q111" s="1741"/>
      <c r="R111" s="1736"/>
      <c r="S111" s="1742"/>
      <c r="T111" s="1742"/>
      <c r="U111" s="1742"/>
      <c r="V111" s="1736"/>
      <c r="W111" s="1736"/>
      <c r="X111" s="1736"/>
      <c r="Y111" s="1736"/>
      <c r="Z111" s="1736"/>
      <c r="AA111" s="1742"/>
      <c r="AB111" s="1738"/>
      <c r="AC111" s="1742"/>
      <c r="AD111" s="1742"/>
      <c r="AE111" s="1742"/>
      <c r="AF111" s="1742"/>
      <c r="AG111" s="1736"/>
    </row>
    <row r="112" spans="1:35">
      <c r="A112" s="1718">
        <f t="shared" si="1"/>
        <v>0</v>
      </c>
      <c r="B112" s="1744">
        <f t="shared" si="2"/>
        <v>99</v>
      </c>
      <c r="C112" s="1737"/>
      <c r="D112" s="1736"/>
      <c r="E112" s="1736"/>
      <c r="F112" s="1736"/>
      <c r="G112" s="1738"/>
      <c r="H112" s="1739"/>
      <c r="I112" s="1736"/>
      <c r="J112" s="1736"/>
      <c r="K112" s="1736"/>
      <c r="L112" s="1738"/>
      <c r="M112" s="1736"/>
      <c r="N112" s="1740"/>
      <c r="O112" s="1740"/>
      <c r="P112" s="1741"/>
      <c r="Q112" s="1741"/>
      <c r="R112" s="1736"/>
      <c r="S112" s="1742"/>
      <c r="T112" s="1742"/>
      <c r="U112" s="1742"/>
      <c r="V112" s="1736"/>
      <c r="W112" s="1736"/>
      <c r="X112" s="1736"/>
      <c r="Y112" s="1736"/>
      <c r="Z112" s="1736"/>
      <c r="AA112" s="1742"/>
      <c r="AB112" s="1738"/>
      <c r="AC112" s="1742"/>
      <c r="AD112" s="1742"/>
      <c r="AE112" s="1742"/>
      <c r="AF112" s="1742"/>
      <c r="AG112" s="1736"/>
    </row>
    <row r="113" spans="1:35">
      <c r="A113" s="1718">
        <f t="shared" si="1"/>
        <v>0</v>
      </c>
      <c r="B113" s="1744">
        <f t="shared" si="2"/>
        <v>100</v>
      </c>
      <c r="C113" s="1737"/>
      <c r="D113" s="1736"/>
      <c r="E113" s="1736"/>
      <c r="F113" s="1736"/>
      <c r="G113" s="1738"/>
      <c r="H113" s="1739"/>
      <c r="I113" s="1736"/>
      <c r="J113" s="1736"/>
      <c r="K113" s="1736"/>
      <c r="L113" s="1738"/>
      <c r="M113" s="1736"/>
      <c r="N113" s="1740"/>
      <c r="O113" s="1740"/>
      <c r="P113" s="1741"/>
      <c r="Q113" s="1741"/>
      <c r="R113" s="1736"/>
      <c r="S113" s="1742"/>
      <c r="T113" s="1742"/>
      <c r="U113" s="1742"/>
      <c r="V113" s="1736"/>
      <c r="W113" s="1736"/>
      <c r="X113" s="1736"/>
      <c r="Y113" s="1736"/>
      <c r="Z113" s="1736"/>
      <c r="AA113" s="1742"/>
      <c r="AB113" s="1738"/>
      <c r="AC113" s="1742"/>
      <c r="AD113" s="1742"/>
      <c r="AE113" s="1742"/>
      <c r="AF113" s="1742"/>
      <c r="AG113" s="1736"/>
    </row>
    <row r="114" spans="1:35">
      <c r="A114" s="1718">
        <f t="shared" si="1"/>
        <v>0</v>
      </c>
      <c r="B114" s="1744">
        <f t="shared" si="2"/>
        <v>101</v>
      </c>
      <c r="C114" s="1737"/>
      <c r="D114" s="1736"/>
      <c r="E114" s="1736"/>
      <c r="F114" s="1736"/>
      <c r="G114" s="1738"/>
      <c r="H114" s="1739"/>
      <c r="I114" s="1736"/>
      <c r="J114" s="1736"/>
      <c r="K114" s="1736"/>
      <c r="L114" s="1738"/>
      <c r="M114" s="1736"/>
      <c r="N114" s="1740"/>
      <c r="O114" s="1740"/>
      <c r="P114" s="1741"/>
      <c r="Q114" s="1741"/>
      <c r="R114" s="1736"/>
      <c r="S114" s="1742"/>
      <c r="T114" s="1742"/>
      <c r="U114" s="1742"/>
      <c r="V114" s="1736"/>
      <c r="W114" s="1736"/>
      <c r="X114" s="1736"/>
      <c r="Y114" s="1736"/>
      <c r="Z114" s="1736"/>
      <c r="AA114" s="1742"/>
      <c r="AB114" s="1738"/>
      <c r="AC114" s="1742"/>
      <c r="AD114" s="1742"/>
      <c r="AE114" s="1742"/>
      <c r="AF114" s="1742"/>
      <c r="AG114" s="1736"/>
      <c r="AH114" s="1718" t="s">
        <v>0</v>
      </c>
      <c r="AI114" s="1718" t="s">
        <v>0</v>
      </c>
    </row>
    <row r="115" spans="1:35">
      <c r="A115" s="1718">
        <f t="shared" si="1"/>
        <v>0</v>
      </c>
      <c r="B115" s="1744">
        <f t="shared" si="2"/>
        <v>102</v>
      </c>
      <c r="C115" s="1737"/>
      <c r="D115" s="1736"/>
      <c r="E115" s="1736"/>
      <c r="F115" s="1736"/>
      <c r="G115" s="1738"/>
      <c r="H115" s="1739"/>
      <c r="I115" s="1736"/>
      <c r="J115" s="1736"/>
      <c r="K115" s="1736"/>
      <c r="L115" s="1738"/>
      <c r="M115" s="1736"/>
      <c r="N115" s="1740"/>
      <c r="O115" s="1740"/>
      <c r="P115" s="1741"/>
      <c r="Q115" s="1741"/>
      <c r="R115" s="1736"/>
      <c r="S115" s="1742"/>
      <c r="T115" s="1742"/>
      <c r="U115" s="1742"/>
      <c r="V115" s="1736"/>
      <c r="W115" s="1736"/>
      <c r="X115" s="1736"/>
      <c r="Y115" s="1736"/>
      <c r="Z115" s="1736"/>
      <c r="AA115" s="1742"/>
      <c r="AB115" s="1738"/>
      <c r="AC115" s="1742"/>
      <c r="AD115" s="1742"/>
      <c r="AE115" s="1742"/>
      <c r="AF115" s="1742"/>
      <c r="AG115" s="1736"/>
    </row>
    <row r="116" spans="1:35">
      <c r="A116" s="1718">
        <f t="shared" si="1"/>
        <v>0</v>
      </c>
      <c r="B116" s="1744">
        <f t="shared" si="2"/>
        <v>103</v>
      </c>
      <c r="C116" s="1737"/>
      <c r="D116" s="1736"/>
      <c r="E116" s="1736"/>
      <c r="F116" s="1736"/>
      <c r="G116" s="1738"/>
      <c r="H116" s="1739"/>
      <c r="I116" s="1736"/>
      <c r="J116" s="1736"/>
      <c r="K116" s="1736"/>
      <c r="L116" s="1738"/>
      <c r="M116" s="1736"/>
      <c r="N116" s="1740"/>
      <c r="O116" s="1740"/>
      <c r="P116" s="1741"/>
      <c r="Q116" s="1741"/>
      <c r="R116" s="1736"/>
      <c r="S116" s="1742"/>
      <c r="T116" s="1742"/>
      <c r="U116" s="1742"/>
      <c r="V116" s="1736"/>
      <c r="W116" s="1736"/>
      <c r="X116" s="1736"/>
      <c r="Y116" s="1736"/>
      <c r="Z116" s="1736"/>
      <c r="AA116" s="1742"/>
      <c r="AB116" s="1738"/>
      <c r="AC116" s="1742"/>
      <c r="AD116" s="1742"/>
      <c r="AE116" s="1742"/>
      <c r="AF116" s="1742"/>
      <c r="AG116" s="1736"/>
    </row>
    <row r="117" spans="1:35">
      <c r="A117" s="1718">
        <f t="shared" si="1"/>
        <v>0</v>
      </c>
      <c r="B117" s="1744">
        <f t="shared" si="2"/>
        <v>104</v>
      </c>
      <c r="C117" s="1737"/>
      <c r="D117" s="1736"/>
      <c r="E117" s="1736"/>
      <c r="F117" s="1736"/>
      <c r="G117" s="1738"/>
      <c r="H117" s="1739"/>
      <c r="I117" s="1736"/>
      <c r="J117" s="1736"/>
      <c r="K117" s="1736"/>
      <c r="L117" s="1738"/>
      <c r="M117" s="1736"/>
      <c r="N117" s="1740"/>
      <c r="O117" s="1740"/>
      <c r="P117" s="1741"/>
      <c r="Q117" s="1741"/>
      <c r="R117" s="1736"/>
      <c r="S117" s="1742"/>
      <c r="T117" s="1742"/>
      <c r="U117" s="1742"/>
      <c r="V117" s="1736"/>
      <c r="W117" s="1736"/>
      <c r="X117" s="1736"/>
      <c r="Y117" s="1736"/>
      <c r="Z117" s="1736"/>
      <c r="AA117" s="1742"/>
      <c r="AB117" s="1738"/>
      <c r="AC117" s="1742"/>
      <c r="AD117" s="1742"/>
      <c r="AE117" s="1742"/>
      <c r="AF117" s="1742"/>
      <c r="AG117" s="1736"/>
    </row>
    <row r="118" spans="1:35">
      <c r="A118" s="1718">
        <f t="shared" si="1"/>
        <v>0</v>
      </c>
      <c r="B118" s="1744">
        <f t="shared" si="2"/>
        <v>105</v>
      </c>
      <c r="C118" s="1737"/>
      <c r="D118" s="1736"/>
      <c r="E118" s="1736"/>
      <c r="F118" s="1736"/>
      <c r="G118" s="1738"/>
      <c r="H118" s="1739"/>
      <c r="I118" s="1736"/>
      <c r="J118" s="1736"/>
      <c r="K118" s="1736"/>
      <c r="L118" s="1738"/>
      <c r="M118" s="1736"/>
      <c r="N118" s="1740"/>
      <c r="O118" s="1740"/>
      <c r="P118" s="1741"/>
      <c r="Q118" s="1741"/>
      <c r="R118" s="1736"/>
      <c r="S118" s="1742"/>
      <c r="T118" s="1742"/>
      <c r="U118" s="1742"/>
      <c r="V118" s="1736"/>
      <c r="W118" s="1736"/>
      <c r="X118" s="1736"/>
      <c r="Y118" s="1736"/>
      <c r="Z118" s="1736"/>
      <c r="AA118" s="1742"/>
      <c r="AB118" s="1738"/>
      <c r="AC118" s="1742"/>
      <c r="AD118" s="1742"/>
      <c r="AE118" s="1742"/>
      <c r="AF118" s="1742"/>
      <c r="AG118" s="1736"/>
    </row>
    <row r="119" spans="1:35">
      <c r="A119" s="1718">
        <f t="shared" si="1"/>
        <v>0</v>
      </c>
      <c r="B119" s="1744">
        <f t="shared" si="2"/>
        <v>106</v>
      </c>
      <c r="C119" s="1737"/>
      <c r="D119" s="1736"/>
      <c r="E119" s="1736"/>
      <c r="F119" s="1736"/>
      <c r="G119" s="1738"/>
      <c r="H119" s="1739"/>
      <c r="I119" s="1736"/>
      <c r="J119" s="1736"/>
      <c r="K119" s="1736"/>
      <c r="L119" s="1738"/>
      <c r="M119" s="1736"/>
      <c r="N119" s="1740"/>
      <c r="O119" s="1740"/>
      <c r="P119" s="1741"/>
      <c r="Q119" s="1741"/>
      <c r="R119" s="1736"/>
      <c r="S119" s="1742"/>
      <c r="T119" s="1742"/>
      <c r="U119" s="1742"/>
      <c r="V119" s="1736"/>
      <c r="W119" s="1736"/>
      <c r="X119" s="1736"/>
      <c r="Y119" s="1736"/>
      <c r="Z119" s="1736"/>
      <c r="AA119" s="1742"/>
      <c r="AB119" s="1738"/>
      <c r="AC119" s="1742"/>
      <c r="AD119" s="1742"/>
      <c r="AE119" s="1742"/>
      <c r="AF119" s="1742"/>
      <c r="AG119" s="1736"/>
    </row>
    <row r="120" spans="1:35">
      <c r="A120" s="1718">
        <f t="shared" si="1"/>
        <v>0</v>
      </c>
      <c r="B120" s="1744">
        <f t="shared" si="2"/>
        <v>107</v>
      </c>
      <c r="C120" s="1737"/>
      <c r="D120" s="1736"/>
      <c r="E120" s="1736"/>
      <c r="F120" s="1736"/>
      <c r="G120" s="1738"/>
      <c r="H120" s="1739"/>
      <c r="I120" s="1736"/>
      <c r="J120" s="1736"/>
      <c r="K120" s="1736"/>
      <c r="L120" s="1738"/>
      <c r="M120" s="1736"/>
      <c r="N120" s="1740"/>
      <c r="O120" s="1740"/>
      <c r="P120" s="1741"/>
      <c r="Q120" s="1741"/>
      <c r="R120" s="1736"/>
      <c r="S120" s="1742"/>
      <c r="T120" s="1742"/>
      <c r="U120" s="1742"/>
      <c r="V120" s="1736"/>
      <c r="W120" s="1736"/>
      <c r="X120" s="1736"/>
      <c r="Y120" s="1736"/>
      <c r="Z120" s="1736"/>
      <c r="AA120" s="1742"/>
      <c r="AB120" s="1738"/>
      <c r="AC120" s="1742"/>
      <c r="AD120" s="1742"/>
      <c r="AE120" s="1742"/>
      <c r="AF120" s="1742"/>
      <c r="AG120" s="1736"/>
    </row>
    <row r="121" spans="1:35">
      <c r="A121" s="1718">
        <f t="shared" si="1"/>
        <v>0</v>
      </c>
      <c r="B121" s="1744">
        <f t="shared" si="2"/>
        <v>108</v>
      </c>
      <c r="C121" s="1737"/>
      <c r="D121" s="1736"/>
      <c r="E121" s="1736"/>
      <c r="F121" s="1736"/>
      <c r="G121" s="1738"/>
      <c r="H121" s="1739"/>
      <c r="I121" s="1736"/>
      <c r="J121" s="1736"/>
      <c r="K121" s="1736"/>
      <c r="L121" s="1738"/>
      <c r="M121" s="1736"/>
      <c r="N121" s="1740"/>
      <c r="O121" s="1740"/>
      <c r="P121" s="1741"/>
      <c r="Q121" s="1741"/>
      <c r="R121" s="1736"/>
      <c r="S121" s="1742"/>
      <c r="T121" s="1742"/>
      <c r="U121" s="1742"/>
      <c r="V121" s="1736"/>
      <c r="W121" s="1736"/>
      <c r="X121" s="1736"/>
      <c r="Y121" s="1736"/>
      <c r="Z121" s="1736"/>
      <c r="AA121" s="1742"/>
      <c r="AB121" s="1738"/>
      <c r="AC121" s="1742"/>
      <c r="AD121" s="1742"/>
      <c r="AE121" s="1742"/>
      <c r="AF121" s="1742"/>
      <c r="AG121" s="1736"/>
    </row>
    <row r="122" spans="1:35">
      <c r="A122" s="1718">
        <f t="shared" si="1"/>
        <v>0</v>
      </c>
      <c r="B122" s="1744">
        <f t="shared" si="2"/>
        <v>109</v>
      </c>
      <c r="C122" s="1737"/>
      <c r="D122" s="1736"/>
      <c r="E122" s="1736"/>
      <c r="F122" s="1736"/>
      <c r="G122" s="1738"/>
      <c r="H122" s="1739"/>
      <c r="I122" s="1736"/>
      <c r="J122" s="1736"/>
      <c r="K122" s="1736"/>
      <c r="L122" s="1738"/>
      <c r="M122" s="1736"/>
      <c r="N122" s="1740"/>
      <c r="O122" s="1740"/>
      <c r="P122" s="1741"/>
      <c r="Q122" s="1741"/>
      <c r="R122" s="1736"/>
      <c r="S122" s="1742"/>
      <c r="T122" s="1742"/>
      <c r="U122" s="1742"/>
      <c r="V122" s="1736"/>
      <c r="W122" s="1736"/>
      <c r="X122" s="1736"/>
      <c r="Y122" s="1736"/>
      <c r="Z122" s="1736"/>
      <c r="AA122" s="1742"/>
      <c r="AB122" s="1738"/>
      <c r="AC122" s="1742"/>
      <c r="AD122" s="1742"/>
      <c r="AE122" s="1742"/>
      <c r="AF122" s="1742"/>
      <c r="AG122" s="1736"/>
    </row>
    <row r="123" spans="1:35">
      <c r="A123" s="1718">
        <f t="shared" si="1"/>
        <v>0</v>
      </c>
      <c r="B123" s="1744">
        <f t="shared" si="2"/>
        <v>110</v>
      </c>
      <c r="C123" s="1737"/>
      <c r="D123" s="1736"/>
      <c r="E123" s="1736"/>
      <c r="F123" s="1736"/>
      <c r="G123" s="1738"/>
      <c r="H123" s="1739"/>
      <c r="I123" s="1736"/>
      <c r="J123" s="1736"/>
      <c r="K123" s="1736"/>
      <c r="L123" s="1738"/>
      <c r="M123" s="1736"/>
      <c r="N123" s="1740"/>
      <c r="O123" s="1740"/>
      <c r="P123" s="1741"/>
      <c r="Q123" s="1741"/>
      <c r="R123" s="1736"/>
      <c r="S123" s="1742"/>
      <c r="T123" s="1742"/>
      <c r="U123" s="1742"/>
      <c r="V123" s="1736"/>
      <c r="W123" s="1736"/>
      <c r="X123" s="1736"/>
      <c r="Y123" s="1736"/>
      <c r="Z123" s="1736"/>
      <c r="AA123" s="1742"/>
      <c r="AB123" s="1738"/>
      <c r="AC123" s="1742"/>
      <c r="AD123" s="1742"/>
      <c r="AE123" s="1742"/>
      <c r="AF123" s="1742"/>
      <c r="AG123" s="1736"/>
    </row>
    <row r="124" spans="1:35">
      <c r="A124" s="1718">
        <f t="shared" si="1"/>
        <v>0</v>
      </c>
      <c r="B124" s="1744">
        <f t="shared" si="2"/>
        <v>111</v>
      </c>
      <c r="C124" s="1737"/>
      <c r="D124" s="1736"/>
      <c r="E124" s="1736"/>
      <c r="F124" s="1736"/>
      <c r="G124" s="1738"/>
      <c r="H124" s="1739"/>
      <c r="I124" s="1736"/>
      <c r="J124" s="1736"/>
      <c r="K124" s="1736"/>
      <c r="L124" s="1738"/>
      <c r="M124" s="1736"/>
      <c r="N124" s="1740"/>
      <c r="O124" s="1740"/>
      <c r="P124" s="1741"/>
      <c r="Q124" s="1741"/>
      <c r="R124" s="1736"/>
      <c r="S124" s="1742"/>
      <c r="T124" s="1742"/>
      <c r="U124" s="1742"/>
      <c r="V124" s="1736"/>
      <c r="W124" s="1736"/>
      <c r="X124" s="1736"/>
      <c r="Y124" s="1736"/>
      <c r="Z124" s="1736"/>
      <c r="AA124" s="1742"/>
      <c r="AB124" s="1738"/>
      <c r="AC124" s="1742"/>
      <c r="AD124" s="1742"/>
      <c r="AE124" s="1742"/>
      <c r="AF124" s="1742"/>
      <c r="AG124" s="1736"/>
    </row>
    <row r="125" spans="1:35">
      <c r="A125" s="1718">
        <f t="shared" si="1"/>
        <v>0</v>
      </c>
      <c r="B125" s="1744">
        <f t="shared" si="2"/>
        <v>112</v>
      </c>
      <c r="C125" s="1737"/>
      <c r="D125" s="1736"/>
      <c r="E125" s="1736"/>
      <c r="F125" s="1736"/>
      <c r="G125" s="1738"/>
      <c r="H125" s="1739"/>
      <c r="I125" s="1736"/>
      <c r="J125" s="1736"/>
      <c r="K125" s="1736"/>
      <c r="L125" s="1738"/>
      <c r="M125" s="1736"/>
      <c r="N125" s="1740"/>
      <c r="O125" s="1740"/>
      <c r="P125" s="1741"/>
      <c r="Q125" s="1741"/>
      <c r="R125" s="1736"/>
      <c r="S125" s="1742"/>
      <c r="T125" s="1742"/>
      <c r="U125" s="1742"/>
      <c r="V125" s="1736"/>
      <c r="W125" s="1736"/>
      <c r="X125" s="1736"/>
      <c r="Y125" s="1736"/>
      <c r="Z125" s="1736"/>
      <c r="AA125" s="1742"/>
      <c r="AB125" s="1738"/>
      <c r="AC125" s="1742"/>
      <c r="AD125" s="1742"/>
      <c r="AE125" s="1742"/>
      <c r="AF125" s="1742"/>
      <c r="AG125" s="1736"/>
    </row>
    <row r="126" spans="1:35">
      <c r="A126" s="1718">
        <f t="shared" si="1"/>
        <v>0</v>
      </c>
      <c r="B126" s="1744">
        <f t="shared" si="2"/>
        <v>113</v>
      </c>
      <c r="C126" s="1737"/>
      <c r="D126" s="1736"/>
      <c r="E126" s="1736"/>
      <c r="F126" s="1736"/>
      <c r="G126" s="1738"/>
      <c r="H126" s="1739"/>
      <c r="I126" s="1736"/>
      <c r="J126" s="1736"/>
      <c r="K126" s="1736"/>
      <c r="L126" s="1738"/>
      <c r="M126" s="1736"/>
      <c r="N126" s="1740"/>
      <c r="O126" s="1740"/>
      <c r="P126" s="1741"/>
      <c r="Q126" s="1741"/>
      <c r="R126" s="1736"/>
      <c r="S126" s="1742"/>
      <c r="T126" s="1742"/>
      <c r="U126" s="1742"/>
      <c r="V126" s="1736"/>
      <c r="W126" s="1736"/>
      <c r="X126" s="1736"/>
      <c r="Y126" s="1736"/>
      <c r="Z126" s="1736"/>
      <c r="AA126" s="1742"/>
      <c r="AB126" s="1738"/>
      <c r="AC126" s="1742"/>
      <c r="AD126" s="1742"/>
      <c r="AE126" s="1742"/>
      <c r="AF126" s="1742"/>
      <c r="AG126" s="1736"/>
    </row>
    <row r="127" spans="1:35">
      <c r="A127" s="1718">
        <f t="shared" si="1"/>
        <v>0</v>
      </c>
      <c r="B127" s="1744">
        <f t="shared" si="2"/>
        <v>114</v>
      </c>
      <c r="C127" s="1737"/>
      <c r="D127" s="1736"/>
      <c r="E127" s="1736"/>
      <c r="F127" s="1736"/>
      <c r="G127" s="1738"/>
      <c r="H127" s="1739"/>
      <c r="I127" s="1736"/>
      <c r="J127" s="1736"/>
      <c r="K127" s="1736"/>
      <c r="L127" s="1738"/>
      <c r="M127" s="1736"/>
      <c r="N127" s="1740"/>
      <c r="O127" s="1740"/>
      <c r="P127" s="1741"/>
      <c r="Q127" s="1741"/>
      <c r="R127" s="1736"/>
      <c r="S127" s="1742"/>
      <c r="T127" s="1742"/>
      <c r="U127" s="1742"/>
      <c r="V127" s="1736"/>
      <c r="W127" s="1736"/>
      <c r="X127" s="1736"/>
      <c r="Y127" s="1736"/>
      <c r="Z127" s="1736"/>
      <c r="AA127" s="1742"/>
      <c r="AB127" s="1738"/>
      <c r="AC127" s="1742"/>
      <c r="AD127" s="1742"/>
      <c r="AE127" s="1742"/>
      <c r="AF127" s="1742"/>
      <c r="AG127" s="1736"/>
    </row>
    <row r="128" spans="1:35">
      <c r="A128" s="1718">
        <f t="shared" si="1"/>
        <v>0</v>
      </c>
      <c r="B128" s="1744">
        <f t="shared" si="2"/>
        <v>115</v>
      </c>
      <c r="C128" s="1737"/>
      <c r="D128" s="1736"/>
      <c r="E128" s="1736"/>
      <c r="F128" s="1736"/>
      <c r="G128" s="1738"/>
      <c r="H128" s="1739"/>
      <c r="I128" s="1736"/>
      <c r="J128" s="1736"/>
      <c r="K128" s="1736"/>
      <c r="L128" s="1738"/>
      <c r="M128" s="1736"/>
      <c r="N128" s="1740"/>
      <c r="O128" s="1740"/>
      <c r="P128" s="1741"/>
      <c r="Q128" s="1741"/>
      <c r="R128" s="1736"/>
      <c r="S128" s="1742"/>
      <c r="T128" s="1742"/>
      <c r="U128" s="1742"/>
      <c r="V128" s="1736"/>
      <c r="W128" s="1736"/>
      <c r="X128" s="1736"/>
      <c r="Y128" s="1736"/>
      <c r="Z128" s="1736"/>
      <c r="AA128" s="1742"/>
      <c r="AB128" s="1738"/>
      <c r="AC128" s="1742"/>
      <c r="AD128" s="1742"/>
      <c r="AE128" s="1742"/>
      <c r="AF128" s="1742"/>
      <c r="AG128" s="1736"/>
    </row>
    <row r="129" spans="1:33">
      <c r="A129" s="1718">
        <f t="shared" ref="A129:A192" si="3">IF(M129&gt;0,1,0)</f>
        <v>0</v>
      </c>
      <c r="B129" s="1744">
        <f t="shared" si="2"/>
        <v>116</v>
      </c>
      <c r="C129" s="1737"/>
      <c r="D129" s="1736"/>
      <c r="E129" s="1736"/>
      <c r="F129" s="1736"/>
      <c r="G129" s="1738"/>
      <c r="H129" s="1739"/>
      <c r="I129" s="1736"/>
      <c r="J129" s="1736"/>
      <c r="K129" s="1736"/>
      <c r="L129" s="1738"/>
      <c r="M129" s="1736"/>
      <c r="N129" s="1740"/>
      <c r="O129" s="1740"/>
      <c r="P129" s="1741"/>
      <c r="Q129" s="1741"/>
      <c r="R129" s="1736"/>
      <c r="S129" s="1742"/>
      <c r="T129" s="1742"/>
      <c r="U129" s="1742"/>
      <c r="V129" s="1736"/>
      <c r="W129" s="1736"/>
      <c r="X129" s="1736"/>
      <c r="Y129" s="1736"/>
      <c r="Z129" s="1736"/>
      <c r="AA129" s="1742"/>
      <c r="AB129" s="1738"/>
      <c r="AC129" s="1742"/>
      <c r="AD129" s="1742"/>
      <c r="AE129" s="1742"/>
      <c r="AF129" s="1742"/>
      <c r="AG129" s="1736"/>
    </row>
    <row r="130" spans="1:33">
      <c r="A130" s="1718">
        <f t="shared" si="3"/>
        <v>0</v>
      </c>
      <c r="B130" s="1744">
        <f t="shared" si="2"/>
        <v>117</v>
      </c>
      <c r="C130" s="1737"/>
      <c r="D130" s="1736"/>
      <c r="E130" s="1736"/>
      <c r="F130" s="1736"/>
      <c r="G130" s="1738"/>
      <c r="H130" s="1739"/>
      <c r="I130" s="1736"/>
      <c r="J130" s="1736"/>
      <c r="K130" s="1736"/>
      <c r="L130" s="1738"/>
      <c r="M130" s="1736"/>
      <c r="N130" s="1740"/>
      <c r="O130" s="1740"/>
      <c r="P130" s="1741"/>
      <c r="Q130" s="1741"/>
      <c r="R130" s="1736"/>
      <c r="S130" s="1742"/>
      <c r="T130" s="1742"/>
      <c r="U130" s="1742"/>
      <c r="V130" s="1736"/>
      <c r="W130" s="1736"/>
      <c r="X130" s="1736"/>
      <c r="Y130" s="1736"/>
      <c r="Z130" s="1736"/>
      <c r="AA130" s="1742"/>
      <c r="AB130" s="1738"/>
      <c r="AC130" s="1742"/>
      <c r="AD130" s="1742"/>
      <c r="AE130" s="1742"/>
      <c r="AF130" s="1742"/>
      <c r="AG130" s="1736"/>
    </row>
    <row r="131" spans="1:33">
      <c r="A131" s="1718">
        <f t="shared" si="3"/>
        <v>0</v>
      </c>
      <c r="B131" s="1744">
        <f t="shared" si="2"/>
        <v>118</v>
      </c>
      <c r="C131" s="1737"/>
      <c r="D131" s="1736"/>
      <c r="E131" s="1736"/>
      <c r="F131" s="1736"/>
      <c r="G131" s="1738"/>
      <c r="H131" s="1739"/>
      <c r="I131" s="1736"/>
      <c r="J131" s="1736"/>
      <c r="K131" s="1736"/>
      <c r="L131" s="1738"/>
      <c r="M131" s="1736"/>
      <c r="N131" s="1740"/>
      <c r="O131" s="1740"/>
      <c r="P131" s="1741"/>
      <c r="Q131" s="1741"/>
      <c r="R131" s="1736"/>
      <c r="S131" s="1742"/>
      <c r="T131" s="1742"/>
      <c r="U131" s="1742"/>
      <c r="V131" s="1736"/>
      <c r="W131" s="1736"/>
      <c r="X131" s="1736"/>
      <c r="Y131" s="1736"/>
      <c r="Z131" s="1736"/>
      <c r="AA131" s="1742"/>
      <c r="AB131" s="1738"/>
      <c r="AC131" s="1742"/>
      <c r="AD131" s="1742"/>
      <c r="AE131" s="1742"/>
      <c r="AF131" s="1742"/>
      <c r="AG131" s="1736"/>
    </row>
    <row r="132" spans="1:33">
      <c r="A132" s="1718">
        <f t="shared" si="3"/>
        <v>0</v>
      </c>
      <c r="B132" s="1744">
        <f t="shared" si="2"/>
        <v>119</v>
      </c>
      <c r="C132" s="1737"/>
      <c r="D132" s="1736"/>
      <c r="E132" s="1736"/>
      <c r="F132" s="1736"/>
      <c r="G132" s="1738"/>
      <c r="H132" s="1739"/>
      <c r="I132" s="1736"/>
      <c r="J132" s="1736"/>
      <c r="K132" s="1736"/>
      <c r="L132" s="1738"/>
      <c r="M132" s="1736"/>
      <c r="N132" s="1740"/>
      <c r="O132" s="1740"/>
      <c r="P132" s="1741"/>
      <c r="Q132" s="1741"/>
      <c r="R132" s="1736"/>
      <c r="S132" s="1742"/>
      <c r="T132" s="1742"/>
      <c r="U132" s="1742"/>
      <c r="V132" s="1736"/>
      <c r="W132" s="1736"/>
      <c r="X132" s="1736"/>
      <c r="Y132" s="1736"/>
      <c r="Z132" s="1736"/>
      <c r="AA132" s="1742"/>
      <c r="AB132" s="1738"/>
      <c r="AC132" s="1742"/>
      <c r="AD132" s="1742"/>
      <c r="AE132" s="1742"/>
      <c r="AF132" s="1742"/>
      <c r="AG132" s="1736"/>
    </row>
    <row r="133" spans="1:33">
      <c r="A133" s="1718">
        <f t="shared" si="3"/>
        <v>0</v>
      </c>
      <c r="B133" s="1744">
        <f t="shared" si="2"/>
        <v>120</v>
      </c>
      <c r="C133" s="1737"/>
      <c r="D133" s="1736"/>
      <c r="E133" s="1736"/>
      <c r="F133" s="1736"/>
      <c r="G133" s="1738"/>
      <c r="H133" s="1739"/>
      <c r="I133" s="1736"/>
      <c r="J133" s="1736"/>
      <c r="K133" s="1736"/>
      <c r="L133" s="1738"/>
      <c r="M133" s="1736"/>
      <c r="N133" s="1740"/>
      <c r="O133" s="1740"/>
      <c r="P133" s="1741"/>
      <c r="Q133" s="1741"/>
      <c r="R133" s="1736"/>
      <c r="S133" s="1742"/>
      <c r="T133" s="1742"/>
      <c r="U133" s="1742"/>
      <c r="V133" s="1736"/>
      <c r="W133" s="1736"/>
      <c r="X133" s="1736"/>
      <c r="Y133" s="1736"/>
      <c r="Z133" s="1736"/>
      <c r="AA133" s="1742"/>
      <c r="AB133" s="1738"/>
      <c r="AC133" s="1742"/>
      <c r="AD133" s="1742"/>
      <c r="AE133" s="1742"/>
      <c r="AF133" s="1742"/>
      <c r="AG133" s="1736"/>
    </row>
    <row r="134" spans="1:33">
      <c r="A134" s="1718">
        <f t="shared" si="3"/>
        <v>0</v>
      </c>
      <c r="B134" s="1744">
        <f t="shared" si="2"/>
        <v>121</v>
      </c>
      <c r="C134" s="1737"/>
      <c r="D134" s="1736"/>
      <c r="E134" s="1736"/>
      <c r="F134" s="1736"/>
      <c r="G134" s="1738"/>
      <c r="H134" s="1739"/>
      <c r="I134" s="1736"/>
      <c r="J134" s="1736"/>
      <c r="K134" s="1736"/>
      <c r="L134" s="1738"/>
      <c r="M134" s="1736"/>
      <c r="N134" s="1740"/>
      <c r="O134" s="1740"/>
      <c r="P134" s="1741"/>
      <c r="Q134" s="1741"/>
      <c r="R134" s="1736"/>
      <c r="S134" s="1742"/>
      <c r="T134" s="1742"/>
      <c r="U134" s="1742"/>
      <c r="V134" s="1736"/>
      <c r="W134" s="1736"/>
      <c r="X134" s="1736"/>
      <c r="Y134" s="1736"/>
      <c r="Z134" s="1736"/>
      <c r="AA134" s="1742"/>
      <c r="AB134" s="1738"/>
      <c r="AC134" s="1742"/>
      <c r="AD134" s="1742"/>
      <c r="AE134" s="1742"/>
      <c r="AF134" s="1742"/>
      <c r="AG134" s="1736"/>
    </row>
    <row r="135" spans="1:33">
      <c r="A135" s="1718">
        <f t="shared" si="3"/>
        <v>0</v>
      </c>
      <c r="B135" s="1744">
        <f t="shared" si="2"/>
        <v>122</v>
      </c>
      <c r="C135" s="1737"/>
      <c r="D135" s="1736"/>
      <c r="E135" s="1736"/>
      <c r="F135" s="1736"/>
      <c r="G135" s="1738"/>
      <c r="H135" s="1739"/>
      <c r="I135" s="1736"/>
      <c r="J135" s="1736"/>
      <c r="K135" s="1736"/>
      <c r="L135" s="1738"/>
      <c r="M135" s="1736"/>
      <c r="N135" s="1740"/>
      <c r="O135" s="1740"/>
      <c r="P135" s="1741"/>
      <c r="Q135" s="1741"/>
      <c r="R135" s="1736"/>
      <c r="S135" s="1742"/>
      <c r="T135" s="1742"/>
      <c r="U135" s="1742"/>
      <c r="V135" s="1736"/>
      <c r="W135" s="1736"/>
      <c r="X135" s="1736"/>
      <c r="Y135" s="1736"/>
      <c r="Z135" s="1736"/>
      <c r="AA135" s="1742"/>
      <c r="AB135" s="1738"/>
      <c r="AC135" s="1742"/>
      <c r="AD135" s="1742"/>
      <c r="AE135" s="1742"/>
      <c r="AF135" s="1742"/>
      <c r="AG135" s="1736"/>
    </row>
    <row r="136" spans="1:33">
      <c r="A136" s="1718">
        <f t="shared" si="3"/>
        <v>0</v>
      </c>
      <c r="B136" s="1744">
        <f t="shared" si="2"/>
        <v>123</v>
      </c>
      <c r="C136" s="1737"/>
      <c r="D136" s="1736"/>
      <c r="E136" s="1736"/>
      <c r="F136" s="1736"/>
      <c r="G136" s="1738"/>
      <c r="H136" s="1739"/>
      <c r="I136" s="1736"/>
      <c r="J136" s="1736"/>
      <c r="K136" s="1736"/>
      <c r="L136" s="1738"/>
      <c r="M136" s="1736"/>
      <c r="N136" s="1740"/>
      <c r="O136" s="1740"/>
      <c r="P136" s="1741"/>
      <c r="Q136" s="1741"/>
      <c r="R136" s="1736"/>
      <c r="S136" s="1742"/>
      <c r="T136" s="1742"/>
      <c r="U136" s="1742"/>
      <c r="V136" s="1736"/>
      <c r="W136" s="1736"/>
      <c r="X136" s="1736"/>
      <c r="Y136" s="1736"/>
      <c r="Z136" s="1736"/>
      <c r="AA136" s="1742"/>
      <c r="AB136" s="1738"/>
      <c r="AC136" s="1742"/>
      <c r="AD136" s="1742"/>
      <c r="AE136" s="1742"/>
      <c r="AF136" s="1742"/>
      <c r="AG136" s="1736"/>
    </row>
    <row r="137" spans="1:33">
      <c r="A137" s="1718">
        <f t="shared" si="3"/>
        <v>0</v>
      </c>
      <c r="B137" s="1744">
        <f t="shared" si="2"/>
        <v>124</v>
      </c>
      <c r="C137" s="1737"/>
      <c r="D137" s="1736"/>
      <c r="E137" s="1736"/>
      <c r="F137" s="1736"/>
      <c r="G137" s="1738"/>
      <c r="H137" s="1739"/>
      <c r="I137" s="1736"/>
      <c r="J137" s="1736"/>
      <c r="K137" s="1736"/>
      <c r="L137" s="1738"/>
      <c r="M137" s="1736"/>
      <c r="N137" s="1740"/>
      <c r="O137" s="1740"/>
      <c r="P137" s="1741"/>
      <c r="Q137" s="1741"/>
      <c r="R137" s="1736"/>
      <c r="S137" s="1742"/>
      <c r="T137" s="1742"/>
      <c r="U137" s="1742"/>
      <c r="V137" s="1736"/>
      <c r="W137" s="1736"/>
      <c r="X137" s="1736"/>
      <c r="Y137" s="1736"/>
      <c r="Z137" s="1736"/>
      <c r="AA137" s="1742"/>
      <c r="AB137" s="1738"/>
      <c r="AC137" s="1742"/>
      <c r="AD137" s="1742"/>
      <c r="AE137" s="1742"/>
      <c r="AF137" s="1742"/>
      <c r="AG137" s="1736"/>
    </row>
    <row r="138" spans="1:33">
      <c r="A138" s="1718">
        <f t="shared" si="3"/>
        <v>0</v>
      </c>
      <c r="B138" s="1744">
        <f t="shared" si="2"/>
        <v>125</v>
      </c>
      <c r="C138" s="1737"/>
      <c r="D138" s="1736"/>
      <c r="E138" s="1736"/>
      <c r="F138" s="1736"/>
      <c r="G138" s="1738"/>
      <c r="H138" s="1739"/>
      <c r="I138" s="1736"/>
      <c r="J138" s="1736"/>
      <c r="K138" s="1736"/>
      <c r="L138" s="1738"/>
      <c r="M138" s="1736"/>
      <c r="N138" s="1740"/>
      <c r="O138" s="1740"/>
      <c r="P138" s="1741"/>
      <c r="Q138" s="1741"/>
      <c r="R138" s="1736"/>
      <c r="S138" s="1742"/>
      <c r="T138" s="1742"/>
      <c r="U138" s="1742"/>
      <c r="V138" s="1736"/>
      <c r="W138" s="1736"/>
      <c r="X138" s="1736"/>
      <c r="Y138" s="1736"/>
      <c r="Z138" s="1736"/>
      <c r="AA138" s="1742"/>
      <c r="AB138" s="1738"/>
      <c r="AC138" s="1742"/>
      <c r="AD138" s="1742"/>
      <c r="AE138" s="1742"/>
      <c r="AF138" s="1742"/>
      <c r="AG138" s="1736"/>
    </row>
    <row r="139" spans="1:33">
      <c r="A139" s="1718">
        <f t="shared" si="3"/>
        <v>0</v>
      </c>
      <c r="B139" s="1744">
        <f t="shared" si="2"/>
        <v>126</v>
      </c>
      <c r="C139" s="1737"/>
      <c r="D139" s="1736"/>
      <c r="E139" s="1736"/>
      <c r="F139" s="1736"/>
      <c r="G139" s="1738"/>
      <c r="H139" s="1739"/>
      <c r="I139" s="1736"/>
      <c r="J139" s="1736"/>
      <c r="K139" s="1736"/>
      <c r="L139" s="1738"/>
      <c r="M139" s="1736"/>
      <c r="N139" s="1740"/>
      <c r="O139" s="1740"/>
      <c r="P139" s="1741"/>
      <c r="Q139" s="1741"/>
      <c r="R139" s="1736"/>
      <c r="S139" s="1742"/>
      <c r="T139" s="1742"/>
      <c r="U139" s="1742"/>
      <c r="V139" s="1736"/>
      <c r="W139" s="1736"/>
      <c r="X139" s="1736"/>
      <c r="Y139" s="1736"/>
      <c r="Z139" s="1736"/>
      <c r="AA139" s="1742"/>
      <c r="AB139" s="1738"/>
      <c r="AC139" s="1742"/>
      <c r="AD139" s="1742"/>
      <c r="AE139" s="1742"/>
      <c r="AF139" s="1742"/>
      <c r="AG139" s="1736"/>
    </row>
    <row r="140" spans="1:33">
      <c r="A140" s="1718">
        <f t="shared" si="3"/>
        <v>0</v>
      </c>
      <c r="B140" s="1744">
        <f t="shared" si="2"/>
        <v>127</v>
      </c>
      <c r="C140" s="1737"/>
      <c r="D140" s="1736"/>
      <c r="E140" s="1736"/>
      <c r="F140" s="1736"/>
      <c r="G140" s="1738"/>
      <c r="H140" s="1739"/>
      <c r="I140" s="1736"/>
      <c r="J140" s="1736"/>
      <c r="K140" s="1736"/>
      <c r="L140" s="1738"/>
      <c r="M140" s="1736"/>
      <c r="N140" s="1740"/>
      <c r="O140" s="1740"/>
      <c r="P140" s="1741"/>
      <c r="Q140" s="1741"/>
      <c r="R140" s="1736"/>
      <c r="S140" s="1742"/>
      <c r="T140" s="1742"/>
      <c r="U140" s="1742"/>
      <c r="V140" s="1736"/>
      <c r="W140" s="1736"/>
      <c r="X140" s="1736"/>
      <c r="Y140" s="1736"/>
      <c r="Z140" s="1736"/>
      <c r="AA140" s="1742"/>
      <c r="AB140" s="1738"/>
      <c r="AC140" s="1742"/>
      <c r="AD140" s="1742"/>
      <c r="AE140" s="1742"/>
      <c r="AF140" s="1742"/>
      <c r="AG140" s="1736"/>
    </row>
    <row r="141" spans="1:33">
      <c r="A141" s="1718">
        <f t="shared" si="3"/>
        <v>0</v>
      </c>
      <c r="B141" s="1744">
        <f t="shared" si="2"/>
        <v>128</v>
      </c>
      <c r="C141" s="1737"/>
      <c r="D141" s="1736"/>
      <c r="E141" s="1736"/>
      <c r="F141" s="1736"/>
      <c r="G141" s="1738"/>
      <c r="H141" s="1739"/>
      <c r="I141" s="1736"/>
      <c r="J141" s="1736"/>
      <c r="K141" s="1736"/>
      <c r="L141" s="1738"/>
      <c r="M141" s="1736"/>
      <c r="N141" s="1740"/>
      <c r="O141" s="1740"/>
      <c r="P141" s="1741"/>
      <c r="Q141" s="1741"/>
      <c r="R141" s="1736"/>
      <c r="S141" s="1742"/>
      <c r="T141" s="1742"/>
      <c r="U141" s="1742"/>
      <c r="V141" s="1736"/>
      <c r="W141" s="1736"/>
      <c r="X141" s="1736"/>
      <c r="Y141" s="1736"/>
      <c r="Z141" s="1736"/>
      <c r="AA141" s="1742"/>
      <c r="AB141" s="1738"/>
      <c r="AC141" s="1742"/>
      <c r="AD141" s="1742"/>
      <c r="AE141" s="1742"/>
      <c r="AF141" s="1742"/>
      <c r="AG141" s="1736"/>
    </row>
    <row r="142" spans="1:33">
      <c r="A142" s="1718">
        <f t="shared" si="3"/>
        <v>0</v>
      </c>
      <c r="B142" s="1744">
        <f t="shared" si="2"/>
        <v>129</v>
      </c>
      <c r="C142" s="1737"/>
      <c r="D142" s="1736"/>
      <c r="E142" s="1736"/>
      <c r="F142" s="1736"/>
      <c r="G142" s="1738"/>
      <c r="H142" s="1739"/>
      <c r="I142" s="1736"/>
      <c r="J142" s="1736"/>
      <c r="K142" s="1736"/>
      <c r="L142" s="1738"/>
      <c r="M142" s="1736"/>
      <c r="N142" s="1740"/>
      <c r="O142" s="1740"/>
      <c r="P142" s="1741"/>
      <c r="Q142" s="1741"/>
      <c r="R142" s="1736"/>
      <c r="S142" s="1742"/>
      <c r="T142" s="1742"/>
      <c r="U142" s="1742"/>
      <c r="V142" s="1736"/>
      <c r="W142" s="1736"/>
      <c r="X142" s="1736"/>
      <c r="Y142" s="1736"/>
      <c r="Z142" s="1736"/>
      <c r="AA142" s="1742"/>
      <c r="AB142" s="1738"/>
      <c r="AC142" s="1742"/>
      <c r="AD142" s="1742"/>
      <c r="AE142" s="1742"/>
      <c r="AF142" s="1742"/>
      <c r="AG142" s="1736"/>
    </row>
    <row r="143" spans="1:33">
      <c r="A143" s="1718">
        <f t="shared" si="3"/>
        <v>0</v>
      </c>
      <c r="B143" s="1744">
        <f t="shared" ref="B143:B206" si="4">B142+1</f>
        <v>130</v>
      </c>
      <c r="C143" s="1737"/>
      <c r="D143" s="1736"/>
      <c r="E143" s="1736"/>
      <c r="F143" s="1736"/>
      <c r="G143" s="1738"/>
      <c r="H143" s="1739"/>
      <c r="I143" s="1736"/>
      <c r="J143" s="1736"/>
      <c r="K143" s="1736"/>
      <c r="L143" s="1738"/>
      <c r="M143" s="1736"/>
      <c r="N143" s="1740"/>
      <c r="O143" s="1740"/>
      <c r="P143" s="1741"/>
      <c r="Q143" s="1741"/>
      <c r="R143" s="1736"/>
      <c r="S143" s="1742"/>
      <c r="T143" s="1742"/>
      <c r="U143" s="1742"/>
      <c r="V143" s="1736"/>
      <c r="W143" s="1736"/>
      <c r="X143" s="1736"/>
      <c r="Y143" s="1736"/>
      <c r="Z143" s="1736"/>
      <c r="AA143" s="1742"/>
      <c r="AB143" s="1738"/>
      <c r="AC143" s="1742"/>
      <c r="AD143" s="1742"/>
      <c r="AE143" s="1742"/>
      <c r="AF143" s="1742"/>
      <c r="AG143" s="1736"/>
    </row>
    <row r="144" spans="1:33">
      <c r="A144" s="1718">
        <f t="shared" si="3"/>
        <v>0</v>
      </c>
      <c r="B144" s="1744">
        <f t="shared" si="4"/>
        <v>131</v>
      </c>
      <c r="C144" s="1737"/>
      <c r="D144" s="1736"/>
      <c r="E144" s="1736"/>
      <c r="F144" s="1736"/>
      <c r="G144" s="1738"/>
      <c r="H144" s="1739"/>
      <c r="I144" s="1736"/>
      <c r="J144" s="1736"/>
      <c r="K144" s="1736"/>
      <c r="L144" s="1738"/>
      <c r="M144" s="1736"/>
      <c r="N144" s="1740"/>
      <c r="O144" s="1740"/>
      <c r="P144" s="1741"/>
      <c r="Q144" s="1741"/>
      <c r="R144" s="1736"/>
      <c r="S144" s="1742"/>
      <c r="T144" s="1742"/>
      <c r="U144" s="1742"/>
      <c r="V144" s="1736"/>
      <c r="W144" s="1736"/>
      <c r="X144" s="1736"/>
      <c r="Y144" s="1736"/>
      <c r="Z144" s="1736"/>
      <c r="AA144" s="1742"/>
      <c r="AB144" s="1738"/>
      <c r="AC144" s="1742"/>
      <c r="AD144" s="1742"/>
      <c r="AE144" s="1742"/>
      <c r="AF144" s="1742"/>
      <c r="AG144" s="1736"/>
    </row>
    <row r="145" spans="1:33">
      <c r="A145" s="1718">
        <f t="shared" si="3"/>
        <v>0</v>
      </c>
      <c r="B145" s="1744">
        <f t="shared" si="4"/>
        <v>132</v>
      </c>
      <c r="C145" s="1737"/>
      <c r="D145" s="1736"/>
      <c r="E145" s="1736"/>
      <c r="F145" s="1736"/>
      <c r="G145" s="1738"/>
      <c r="H145" s="1739"/>
      <c r="I145" s="1736"/>
      <c r="J145" s="1736"/>
      <c r="K145" s="1736"/>
      <c r="L145" s="1738"/>
      <c r="M145" s="1736"/>
      <c r="N145" s="1740"/>
      <c r="O145" s="1740"/>
      <c r="P145" s="1741"/>
      <c r="Q145" s="1741"/>
      <c r="R145" s="1736"/>
      <c r="S145" s="1742"/>
      <c r="T145" s="1742"/>
      <c r="U145" s="1742"/>
      <c r="V145" s="1736"/>
      <c r="W145" s="1736"/>
      <c r="X145" s="1736"/>
      <c r="Y145" s="1736"/>
      <c r="Z145" s="1736"/>
      <c r="AA145" s="1742"/>
      <c r="AB145" s="1738"/>
      <c r="AC145" s="1742"/>
      <c r="AD145" s="1742"/>
      <c r="AE145" s="1742"/>
      <c r="AF145" s="1742"/>
      <c r="AG145" s="1736"/>
    </row>
    <row r="146" spans="1:33">
      <c r="A146" s="1718">
        <f t="shared" si="3"/>
        <v>0</v>
      </c>
      <c r="B146" s="1744">
        <f t="shared" si="4"/>
        <v>133</v>
      </c>
      <c r="C146" s="1737"/>
      <c r="D146" s="1736"/>
      <c r="E146" s="1736"/>
      <c r="F146" s="1736"/>
      <c r="G146" s="1738"/>
      <c r="H146" s="1739"/>
      <c r="I146" s="1736"/>
      <c r="J146" s="1736"/>
      <c r="K146" s="1736"/>
      <c r="L146" s="1738"/>
      <c r="M146" s="1736"/>
      <c r="N146" s="1740"/>
      <c r="O146" s="1740"/>
      <c r="P146" s="1741"/>
      <c r="Q146" s="1741"/>
      <c r="R146" s="1736"/>
      <c r="S146" s="1742"/>
      <c r="T146" s="1742"/>
      <c r="U146" s="1742"/>
      <c r="V146" s="1736"/>
      <c r="W146" s="1736"/>
      <c r="X146" s="1736"/>
      <c r="Y146" s="1736"/>
      <c r="Z146" s="1736"/>
      <c r="AA146" s="1742"/>
      <c r="AB146" s="1738"/>
      <c r="AC146" s="1742"/>
      <c r="AD146" s="1742"/>
      <c r="AE146" s="1742"/>
      <c r="AF146" s="1742"/>
      <c r="AG146" s="1736"/>
    </row>
    <row r="147" spans="1:33">
      <c r="A147" s="1718">
        <f t="shared" si="3"/>
        <v>0</v>
      </c>
      <c r="B147" s="1744">
        <f t="shared" si="4"/>
        <v>134</v>
      </c>
      <c r="C147" s="1737"/>
      <c r="D147" s="1736"/>
      <c r="E147" s="1736"/>
      <c r="F147" s="1736"/>
      <c r="G147" s="1738"/>
      <c r="H147" s="1739"/>
      <c r="I147" s="1736"/>
      <c r="J147" s="1736"/>
      <c r="K147" s="1736"/>
      <c r="L147" s="1738"/>
      <c r="M147" s="1736"/>
      <c r="N147" s="1740"/>
      <c r="O147" s="1740"/>
      <c r="P147" s="1741"/>
      <c r="Q147" s="1741"/>
      <c r="R147" s="1736"/>
      <c r="S147" s="1742"/>
      <c r="T147" s="1742"/>
      <c r="U147" s="1742"/>
      <c r="V147" s="1736"/>
      <c r="W147" s="1736"/>
      <c r="X147" s="1736"/>
      <c r="Y147" s="1736"/>
      <c r="Z147" s="1736"/>
      <c r="AA147" s="1742"/>
      <c r="AB147" s="1738"/>
      <c r="AC147" s="1742"/>
      <c r="AD147" s="1742"/>
      <c r="AE147" s="1742"/>
      <c r="AF147" s="1742"/>
      <c r="AG147" s="1736"/>
    </row>
    <row r="148" spans="1:33">
      <c r="A148" s="1718">
        <f t="shared" si="3"/>
        <v>0</v>
      </c>
      <c r="B148" s="1744">
        <f t="shared" si="4"/>
        <v>135</v>
      </c>
      <c r="C148" s="1737"/>
      <c r="D148" s="1736"/>
      <c r="E148" s="1736"/>
      <c r="F148" s="1736"/>
      <c r="G148" s="1738"/>
      <c r="H148" s="1739"/>
      <c r="I148" s="1736"/>
      <c r="J148" s="1736"/>
      <c r="K148" s="1736"/>
      <c r="L148" s="1738"/>
      <c r="M148" s="1736"/>
      <c r="N148" s="1740"/>
      <c r="O148" s="1740"/>
      <c r="P148" s="1741"/>
      <c r="Q148" s="1741"/>
      <c r="R148" s="1736"/>
      <c r="S148" s="1742"/>
      <c r="T148" s="1742"/>
      <c r="U148" s="1742"/>
      <c r="V148" s="1736"/>
      <c r="W148" s="1736"/>
      <c r="X148" s="1736"/>
      <c r="Y148" s="1736"/>
      <c r="Z148" s="1736"/>
      <c r="AA148" s="1742"/>
      <c r="AB148" s="1738"/>
      <c r="AC148" s="1742"/>
      <c r="AD148" s="1742"/>
      <c r="AE148" s="1742"/>
      <c r="AF148" s="1742"/>
      <c r="AG148" s="1736"/>
    </row>
    <row r="149" spans="1:33">
      <c r="A149" s="1718">
        <f t="shared" si="3"/>
        <v>0</v>
      </c>
      <c r="B149" s="1744">
        <f t="shared" si="4"/>
        <v>136</v>
      </c>
      <c r="C149" s="1737"/>
      <c r="D149" s="1736"/>
      <c r="E149" s="1736"/>
      <c r="F149" s="1736"/>
      <c r="G149" s="1738"/>
      <c r="H149" s="1739"/>
      <c r="I149" s="1736"/>
      <c r="J149" s="1736"/>
      <c r="K149" s="1736"/>
      <c r="L149" s="1738"/>
      <c r="M149" s="1736"/>
      <c r="N149" s="1740"/>
      <c r="O149" s="1740"/>
      <c r="P149" s="1741"/>
      <c r="Q149" s="1741"/>
      <c r="R149" s="1736"/>
      <c r="S149" s="1742"/>
      <c r="T149" s="1742"/>
      <c r="U149" s="1742"/>
      <c r="V149" s="1736"/>
      <c r="W149" s="1736"/>
      <c r="X149" s="1736"/>
      <c r="Y149" s="1736"/>
      <c r="Z149" s="1736"/>
      <c r="AA149" s="1742"/>
      <c r="AB149" s="1738"/>
      <c r="AC149" s="1742"/>
      <c r="AD149" s="1742"/>
      <c r="AE149" s="1742"/>
      <c r="AF149" s="1742"/>
      <c r="AG149" s="1736"/>
    </row>
    <row r="150" spans="1:33">
      <c r="A150" s="1718">
        <f t="shared" si="3"/>
        <v>0</v>
      </c>
      <c r="B150" s="1744">
        <f t="shared" si="4"/>
        <v>137</v>
      </c>
      <c r="C150" s="1737"/>
      <c r="D150" s="1736"/>
      <c r="E150" s="1736"/>
      <c r="F150" s="1736"/>
      <c r="G150" s="1738"/>
      <c r="H150" s="1739"/>
      <c r="I150" s="1736"/>
      <c r="J150" s="1736"/>
      <c r="K150" s="1736"/>
      <c r="L150" s="1738"/>
      <c r="M150" s="1736"/>
      <c r="N150" s="1740"/>
      <c r="O150" s="1740"/>
      <c r="P150" s="1741"/>
      <c r="Q150" s="1741"/>
      <c r="R150" s="1736"/>
      <c r="S150" s="1742"/>
      <c r="T150" s="1742"/>
      <c r="U150" s="1742"/>
      <c r="V150" s="1736"/>
      <c r="W150" s="1736"/>
      <c r="X150" s="1736"/>
      <c r="Y150" s="1736"/>
      <c r="Z150" s="1736"/>
      <c r="AA150" s="1742"/>
      <c r="AB150" s="1738"/>
      <c r="AC150" s="1742"/>
      <c r="AD150" s="1742"/>
      <c r="AE150" s="1742"/>
      <c r="AF150" s="1742"/>
      <c r="AG150" s="1736"/>
    </row>
    <row r="151" spans="1:33">
      <c r="A151" s="1718">
        <f t="shared" si="3"/>
        <v>0</v>
      </c>
      <c r="B151" s="1744">
        <f t="shared" si="4"/>
        <v>138</v>
      </c>
      <c r="C151" s="1737"/>
      <c r="D151" s="1736"/>
      <c r="E151" s="1736"/>
      <c r="F151" s="1736"/>
      <c r="G151" s="1738"/>
      <c r="H151" s="1739"/>
      <c r="I151" s="1736"/>
      <c r="J151" s="1736"/>
      <c r="K151" s="1736"/>
      <c r="L151" s="1738"/>
      <c r="M151" s="1736"/>
      <c r="N151" s="1740"/>
      <c r="O151" s="1740"/>
      <c r="P151" s="1741"/>
      <c r="Q151" s="1741"/>
      <c r="R151" s="1736"/>
      <c r="S151" s="1742"/>
      <c r="T151" s="1742"/>
      <c r="U151" s="1742"/>
      <c r="V151" s="1736"/>
      <c r="W151" s="1736"/>
      <c r="X151" s="1736"/>
      <c r="Y151" s="1736"/>
      <c r="Z151" s="1736"/>
      <c r="AA151" s="1742"/>
      <c r="AB151" s="1738"/>
      <c r="AC151" s="1742"/>
      <c r="AD151" s="1742"/>
      <c r="AE151" s="1742"/>
      <c r="AF151" s="1742"/>
      <c r="AG151" s="1736"/>
    </row>
    <row r="152" spans="1:33">
      <c r="A152" s="1718">
        <f t="shared" si="3"/>
        <v>0</v>
      </c>
      <c r="B152" s="1744">
        <f t="shared" si="4"/>
        <v>139</v>
      </c>
      <c r="C152" s="1737"/>
      <c r="D152" s="1736"/>
      <c r="E152" s="1736"/>
      <c r="F152" s="1736"/>
      <c r="G152" s="1738"/>
      <c r="H152" s="1739"/>
      <c r="I152" s="1736"/>
      <c r="J152" s="1736"/>
      <c r="K152" s="1736"/>
      <c r="L152" s="1738"/>
      <c r="M152" s="1736"/>
      <c r="N152" s="1740"/>
      <c r="O152" s="1740"/>
      <c r="P152" s="1741"/>
      <c r="Q152" s="1741"/>
      <c r="R152" s="1736"/>
      <c r="S152" s="1742"/>
      <c r="T152" s="1742"/>
      <c r="U152" s="1742"/>
      <c r="V152" s="1736"/>
      <c r="W152" s="1736"/>
      <c r="X152" s="1736"/>
      <c r="Y152" s="1736"/>
      <c r="Z152" s="1736"/>
      <c r="AA152" s="1742"/>
      <c r="AB152" s="1738"/>
      <c r="AC152" s="1742"/>
      <c r="AD152" s="1742"/>
      <c r="AE152" s="1742"/>
      <c r="AF152" s="1742"/>
      <c r="AG152" s="1736"/>
    </row>
    <row r="153" spans="1:33">
      <c r="A153" s="1718">
        <f t="shared" si="3"/>
        <v>0</v>
      </c>
      <c r="B153" s="1744">
        <f t="shared" si="4"/>
        <v>140</v>
      </c>
      <c r="C153" s="1737"/>
      <c r="D153" s="1736"/>
      <c r="E153" s="1736"/>
      <c r="F153" s="1736"/>
      <c r="G153" s="1738"/>
      <c r="H153" s="1739"/>
      <c r="I153" s="1736"/>
      <c r="J153" s="1736"/>
      <c r="K153" s="1736"/>
      <c r="L153" s="1738"/>
      <c r="M153" s="1736"/>
      <c r="N153" s="1740"/>
      <c r="O153" s="1740"/>
      <c r="P153" s="1741"/>
      <c r="Q153" s="1741"/>
      <c r="R153" s="1736"/>
      <c r="S153" s="1742"/>
      <c r="T153" s="1742"/>
      <c r="U153" s="1742"/>
      <c r="V153" s="1736"/>
      <c r="W153" s="1736"/>
      <c r="X153" s="1736"/>
      <c r="Y153" s="1736"/>
      <c r="Z153" s="1736"/>
      <c r="AA153" s="1742"/>
      <c r="AB153" s="1738"/>
      <c r="AC153" s="1742"/>
      <c r="AD153" s="1742"/>
      <c r="AE153" s="1742"/>
      <c r="AF153" s="1742"/>
      <c r="AG153" s="1736"/>
    </row>
    <row r="154" spans="1:33">
      <c r="A154" s="1718">
        <f t="shared" si="3"/>
        <v>0</v>
      </c>
      <c r="B154" s="1744">
        <f t="shared" si="4"/>
        <v>141</v>
      </c>
      <c r="C154" s="1737"/>
      <c r="D154" s="1736"/>
      <c r="E154" s="1736"/>
      <c r="F154" s="1736"/>
      <c r="G154" s="1738"/>
      <c r="H154" s="1739"/>
      <c r="I154" s="1736"/>
      <c r="J154" s="1736"/>
      <c r="K154" s="1736"/>
      <c r="L154" s="1738"/>
      <c r="M154" s="1736"/>
      <c r="N154" s="1740"/>
      <c r="O154" s="1740"/>
      <c r="P154" s="1741"/>
      <c r="Q154" s="1741"/>
      <c r="R154" s="1736"/>
      <c r="S154" s="1742"/>
      <c r="T154" s="1742"/>
      <c r="U154" s="1742"/>
      <c r="V154" s="1736"/>
      <c r="W154" s="1736"/>
      <c r="X154" s="1736"/>
      <c r="Y154" s="1736"/>
      <c r="Z154" s="1736"/>
      <c r="AA154" s="1742"/>
      <c r="AB154" s="1738"/>
      <c r="AC154" s="1742"/>
      <c r="AD154" s="1742"/>
      <c r="AE154" s="1742"/>
      <c r="AF154" s="1742"/>
      <c r="AG154" s="1736"/>
    </row>
    <row r="155" spans="1:33">
      <c r="A155" s="1718">
        <f t="shared" si="3"/>
        <v>0</v>
      </c>
      <c r="B155" s="1744">
        <f t="shared" si="4"/>
        <v>142</v>
      </c>
      <c r="C155" s="1737"/>
      <c r="D155" s="1736"/>
      <c r="E155" s="1736"/>
      <c r="F155" s="1736"/>
      <c r="G155" s="1738"/>
      <c r="H155" s="1739"/>
      <c r="I155" s="1736"/>
      <c r="J155" s="1736"/>
      <c r="K155" s="1736"/>
      <c r="L155" s="1738"/>
      <c r="M155" s="1736"/>
      <c r="N155" s="1740"/>
      <c r="O155" s="1740"/>
      <c r="P155" s="1741"/>
      <c r="Q155" s="1741"/>
      <c r="R155" s="1736"/>
      <c r="S155" s="1742"/>
      <c r="T155" s="1742"/>
      <c r="U155" s="1742"/>
      <c r="V155" s="1736"/>
      <c r="W155" s="1736"/>
      <c r="X155" s="1736"/>
      <c r="Y155" s="1736"/>
      <c r="Z155" s="1736"/>
      <c r="AA155" s="1742"/>
      <c r="AB155" s="1738"/>
      <c r="AC155" s="1742"/>
      <c r="AD155" s="1742"/>
      <c r="AE155" s="1742"/>
      <c r="AF155" s="1742"/>
      <c r="AG155" s="1736"/>
    </row>
    <row r="156" spans="1:33">
      <c r="A156" s="1718">
        <f t="shared" si="3"/>
        <v>0</v>
      </c>
      <c r="B156" s="1744">
        <f t="shared" si="4"/>
        <v>143</v>
      </c>
      <c r="C156" s="1737"/>
      <c r="D156" s="1736"/>
      <c r="E156" s="1736"/>
      <c r="F156" s="1736"/>
      <c r="G156" s="1738"/>
      <c r="H156" s="1739"/>
      <c r="I156" s="1736"/>
      <c r="J156" s="1736"/>
      <c r="K156" s="1736"/>
      <c r="L156" s="1738"/>
      <c r="M156" s="1736"/>
      <c r="N156" s="1740"/>
      <c r="O156" s="1740"/>
      <c r="P156" s="1741"/>
      <c r="Q156" s="1741"/>
      <c r="R156" s="1736"/>
      <c r="S156" s="1742"/>
      <c r="T156" s="1742"/>
      <c r="U156" s="1742"/>
      <c r="V156" s="1736"/>
      <c r="W156" s="1736"/>
      <c r="X156" s="1736"/>
      <c r="Y156" s="1736"/>
      <c r="Z156" s="1736"/>
      <c r="AA156" s="1742"/>
      <c r="AB156" s="1738"/>
      <c r="AC156" s="1742"/>
      <c r="AD156" s="1742"/>
      <c r="AE156" s="1742"/>
      <c r="AF156" s="1742"/>
      <c r="AG156" s="1736"/>
    </row>
    <row r="157" spans="1:33">
      <c r="A157" s="1718">
        <f t="shared" si="3"/>
        <v>0</v>
      </c>
      <c r="B157" s="1744">
        <f t="shared" si="4"/>
        <v>144</v>
      </c>
      <c r="C157" s="1737"/>
      <c r="D157" s="1736"/>
      <c r="E157" s="1736"/>
      <c r="F157" s="1736"/>
      <c r="G157" s="1738"/>
      <c r="H157" s="1739"/>
      <c r="I157" s="1736"/>
      <c r="J157" s="1736"/>
      <c r="K157" s="1736"/>
      <c r="L157" s="1738"/>
      <c r="M157" s="1736"/>
      <c r="N157" s="1740"/>
      <c r="O157" s="1740"/>
      <c r="P157" s="1741"/>
      <c r="Q157" s="1741"/>
      <c r="R157" s="1736"/>
      <c r="S157" s="1742"/>
      <c r="T157" s="1742"/>
      <c r="U157" s="1742"/>
      <c r="V157" s="1736"/>
      <c r="W157" s="1736"/>
      <c r="X157" s="1736"/>
      <c r="Y157" s="1736"/>
      <c r="Z157" s="1736"/>
      <c r="AA157" s="1742"/>
      <c r="AB157" s="1738"/>
      <c r="AC157" s="1742"/>
      <c r="AD157" s="1742"/>
      <c r="AE157" s="1742"/>
      <c r="AF157" s="1742"/>
      <c r="AG157" s="1736"/>
    </row>
    <row r="158" spans="1:33">
      <c r="A158" s="1718">
        <f t="shared" si="3"/>
        <v>0</v>
      </c>
      <c r="B158" s="1744">
        <f t="shared" si="4"/>
        <v>145</v>
      </c>
      <c r="C158" s="1737"/>
      <c r="D158" s="1736"/>
      <c r="E158" s="1736"/>
      <c r="F158" s="1736"/>
      <c r="G158" s="1738"/>
      <c r="H158" s="1739"/>
      <c r="I158" s="1736"/>
      <c r="J158" s="1736"/>
      <c r="K158" s="1736"/>
      <c r="L158" s="1738"/>
      <c r="M158" s="1736"/>
      <c r="N158" s="1740"/>
      <c r="O158" s="1740"/>
      <c r="P158" s="1741"/>
      <c r="Q158" s="1741"/>
      <c r="R158" s="1736"/>
      <c r="S158" s="1742"/>
      <c r="T158" s="1742"/>
      <c r="U158" s="1742"/>
      <c r="V158" s="1736"/>
      <c r="W158" s="1736"/>
      <c r="X158" s="1736"/>
      <c r="Y158" s="1736"/>
      <c r="Z158" s="1736"/>
      <c r="AA158" s="1742"/>
      <c r="AB158" s="1738"/>
      <c r="AC158" s="1742"/>
      <c r="AD158" s="1742"/>
      <c r="AE158" s="1742"/>
      <c r="AF158" s="1742"/>
      <c r="AG158" s="1736"/>
    </row>
    <row r="159" spans="1:33">
      <c r="A159" s="1718">
        <f t="shared" si="3"/>
        <v>0</v>
      </c>
      <c r="B159" s="1744">
        <f t="shared" si="4"/>
        <v>146</v>
      </c>
      <c r="C159" s="1737"/>
      <c r="D159" s="1736"/>
      <c r="E159" s="1736"/>
      <c r="F159" s="1736"/>
      <c r="G159" s="1738"/>
      <c r="H159" s="1739"/>
      <c r="I159" s="1736"/>
      <c r="J159" s="1736"/>
      <c r="K159" s="1736"/>
      <c r="L159" s="1738"/>
      <c r="M159" s="1736"/>
      <c r="N159" s="1740"/>
      <c r="O159" s="1740"/>
      <c r="P159" s="1741"/>
      <c r="Q159" s="1741"/>
      <c r="R159" s="1736"/>
      <c r="S159" s="1742"/>
      <c r="T159" s="1742"/>
      <c r="U159" s="1742"/>
      <c r="V159" s="1736"/>
      <c r="W159" s="1736"/>
      <c r="X159" s="1736"/>
      <c r="Y159" s="1736"/>
      <c r="Z159" s="1736"/>
      <c r="AA159" s="1742"/>
      <c r="AB159" s="1738"/>
      <c r="AC159" s="1742"/>
      <c r="AD159" s="1742"/>
      <c r="AE159" s="1742"/>
      <c r="AF159" s="1742"/>
      <c r="AG159" s="1736"/>
    </row>
    <row r="160" spans="1:33">
      <c r="A160" s="1718">
        <f t="shared" si="3"/>
        <v>0</v>
      </c>
      <c r="B160" s="1744">
        <f t="shared" si="4"/>
        <v>147</v>
      </c>
      <c r="C160" s="1737"/>
      <c r="D160" s="1736"/>
      <c r="E160" s="1736"/>
      <c r="F160" s="1736"/>
      <c r="G160" s="1738"/>
      <c r="H160" s="1739"/>
      <c r="I160" s="1736"/>
      <c r="J160" s="1736"/>
      <c r="K160" s="1736"/>
      <c r="L160" s="1738"/>
      <c r="M160" s="1736"/>
      <c r="N160" s="1740"/>
      <c r="O160" s="1740"/>
      <c r="P160" s="1741"/>
      <c r="Q160" s="1741"/>
      <c r="R160" s="1736"/>
      <c r="S160" s="1742"/>
      <c r="T160" s="1742"/>
      <c r="U160" s="1742"/>
      <c r="V160" s="1736"/>
      <c r="W160" s="1736"/>
      <c r="X160" s="1736"/>
      <c r="Y160" s="1736"/>
      <c r="Z160" s="1736"/>
      <c r="AA160" s="1742"/>
      <c r="AB160" s="1738"/>
      <c r="AC160" s="1742"/>
      <c r="AD160" s="1742"/>
      <c r="AE160" s="1742"/>
      <c r="AF160" s="1742"/>
      <c r="AG160" s="1736"/>
    </row>
    <row r="161" spans="1:33">
      <c r="A161" s="1718">
        <f t="shared" si="3"/>
        <v>0</v>
      </c>
      <c r="B161" s="1744">
        <f t="shared" si="4"/>
        <v>148</v>
      </c>
      <c r="C161" s="1737"/>
      <c r="D161" s="1736"/>
      <c r="E161" s="1736"/>
      <c r="F161" s="1736"/>
      <c r="G161" s="1738"/>
      <c r="H161" s="1739"/>
      <c r="I161" s="1736"/>
      <c r="J161" s="1736"/>
      <c r="K161" s="1736"/>
      <c r="L161" s="1738"/>
      <c r="M161" s="1736"/>
      <c r="N161" s="1740"/>
      <c r="O161" s="1740"/>
      <c r="P161" s="1741"/>
      <c r="Q161" s="1741"/>
      <c r="R161" s="1736"/>
      <c r="S161" s="1742"/>
      <c r="T161" s="1742"/>
      <c r="U161" s="1742"/>
      <c r="V161" s="1736"/>
      <c r="W161" s="1736"/>
      <c r="X161" s="1736"/>
      <c r="Y161" s="1736"/>
      <c r="Z161" s="1736"/>
      <c r="AA161" s="1742"/>
      <c r="AB161" s="1738"/>
      <c r="AC161" s="1742"/>
      <c r="AD161" s="1742"/>
      <c r="AE161" s="1742"/>
      <c r="AF161" s="1742"/>
      <c r="AG161" s="1736"/>
    </row>
    <row r="162" spans="1:33">
      <c r="A162" s="1718">
        <f t="shared" si="3"/>
        <v>0</v>
      </c>
      <c r="B162" s="1744">
        <f t="shared" si="4"/>
        <v>149</v>
      </c>
      <c r="C162" s="1737"/>
      <c r="D162" s="1736"/>
      <c r="E162" s="1736"/>
      <c r="F162" s="1736"/>
      <c r="G162" s="1738"/>
      <c r="H162" s="1739"/>
      <c r="I162" s="1736"/>
      <c r="J162" s="1736"/>
      <c r="K162" s="1736"/>
      <c r="L162" s="1738"/>
      <c r="M162" s="1736"/>
      <c r="N162" s="1740"/>
      <c r="O162" s="1740"/>
      <c r="P162" s="1741"/>
      <c r="Q162" s="1741"/>
      <c r="R162" s="1736"/>
      <c r="S162" s="1742"/>
      <c r="T162" s="1742"/>
      <c r="U162" s="1742"/>
      <c r="V162" s="1736"/>
      <c r="W162" s="1736"/>
      <c r="X162" s="1736"/>
      <c r="Y162" s="1736"/>
      <c r="Z162" s="1736"/>
      <c r="AA162" s="1742"/>
      <c r="AB162" s="1738"/>
      <c r="AC162" s="1742"/>
      <c r="AD162" s="1742"/>
      <c r="AE162" s="1742"/>
      <c r="AF162" s="1742"/>
      <c r="AG162" s="1736"/>
    </row>
    <row r="163" spans="1:33">
      <c r="A163" s="1718">
        <f t="shared" si="3"/>
        <v>0</v>
      </c>
      <c r="B163" s="1744">
        <f t="shared" si="4"/>
        <v>150</v>
      </c>
      <c r="C163" s="1737"/>
      <c r="D163" s="1736"/>
      <c r="E163" s="1736"/>
      <c r="F163" s="1736"/>
      <c r="G163" s="1738"/>
      <c r="H163" s="1739"/>
      <c r="I163" s="1736"/>
      <c r="J163" s="1736"/>
      <c r="K163" s="1736"/>
      <c r="L163" s="1738"/>
      <c r="M163" s="1736"/>
      <c r="N163" s="1740"/>
      <c r="O163" s="1740"/>
      <c r="P163" s="1741"/>
      <c r="Q163" s="1741"/>
      <c r="R163" s="1736"/>
      <c r="S163" s="1742"/>
      <c r="T163" s="1742"/>
      <c r="U163" s="1742"/>
      <c r="V163" s="1736"/>
      <c r="W163" s="1736"/>
      <c r="X163" s="1736"/>
      <c r="Y163" s="1736"/>
      <c r="Z163" s="1736"/>
      <c r="AA163" s="1742"/>
      <c r="AB163" s="1738"/>
      <c r="AC163" s="1742"/>
      <c r="AD163" s="1742"/>
      <c r="AE163" s="1742"/>
      <c r="AF163" s="1742"/>
      <c r="AG163" s="1736"/>
    </row>
    <row r="164" spans="1:33">
      <c r="A164" s="1718">
        <f t="shared" si="3"/>
        <v>0</v>
      </c>
      <c r="B164" s="1744">
        <f t="shared" si="4"/>
        <v>151</v>
      </c>
      <c r="C164" s="1737"/>
      <c r="D164" s="1736"/>
      <c r="E164" s="1736"/>
      <c r="F164" s="1736"/>
      <c r="G164" s="1738"/>
      <c r="H164" s="1739"/>
      <c r="I164" s="1736"/>
      <c r="J164" s="1736"/>
      <c r="K164" s="1736"/>
      <c r="L164" s="1738"/>
      <c r="M164" s="1736"/>
      <c r="N164" s="1740"/>
      <c r="O164" s="1740"/>
      <c r="P164" s="1741"/>
      <c r="Q164" s="1741"/>
      <c r="R164" s="1736"/>
      <c r="S164" s="1742"/>
      <c r="T164" s="1742"/>
      <c r="U164" s="1742"/>
      <c r="V164" s="1736"/>
      <c r="W164" s="1736"/>
      <c r="X164" s="1736"/>
      <c r="Y164" s="1736"/>
      <c r="Z164" s="1736"/>
      <c r="AA164" s="1742"/>
      <c r="AB164" s="1738"/>
      <c r="AC164" s="1742"/>
      <c r="AD164" s="1742"/>
      <c r="AE164" s="1742"/>
      <c r="AF164" s="1742"/>
      <c r="AG164" s="1736"/>
    </row>
    <row r="165" spans="1:33">
      <c r="A165" s="1718">
        <f t="shared" si="3"/>
        <v>0</v>
      </c>
      <c r="B165" s="1744">
        <f t="shared" si="4"/>
        <v>152</v>
      </c>
      <c r="C165" s="1737"/>
      <c r="D165" s="1736"/>
      <c r="E165" s="1736"/>
      <c r="F165" s="1736"/>
      <c r="G165" s="1738"/>
      <c r="H165" s="1739"/>
      <c r="I165" s="1736"/>
      <c r="J165" s="1736"/>
      <c r="K165" s="1736"/>
      <c r="L165" s="1738"/>
      <c r="M165" s="1736"/>
      <c r="N165" s="1740"/>
      <c r="O165" s="1740"/>
      <c r="P165" s="1741"/>
      <c r="Q165" s="1741"/>
      <c r="R165" s="1736"/>
      <c r="S165" s="1742"/>
      <c r="T165" s="1742"/>
      <c r="U165" s="1742"/>
      <c r="V165" s="1736"/>
      <c r="W165" s="1736"/>
      <c r="X165" s="1736"/>
      <c r="Y165" s="1736"/>
      <c r="Z165" s="1736"/>
      <c r="AA165" s="1742"/>
      <c r="AB165" s="1738"/>
      <c r="AC165" s="1742"/>
      <c r="AD165" s="1742"/>
      <c r="AE165" s="1742"/>
      <c r="AF165" s="1742"/>
      <c r="AG165" s="1736"/>
    </row>
    <row r="166" spans="1:33">
      <c r="A166" s="1718">
        <f t="shared" si="3"/>
        <v>0</v>
      </c>
      <c r="B166" s="1744">
        <f t="shared" si="4"/>
        <v>153</v>
      </c>
      <c r="C166" s="1737"/>
      <c r="D166" s="1736"/>
      <c r="E166" s="1736"/>
      <c r="F166" s="1736"/>
      <c r="G166" s="1738"/>
      <c r="H166" s="1739"/>
      <c r="I166" s="1736"/>
      <c r="J166" s="1736"/>
      <c r="K166" s="1736"/>
      <c r="L166" s="1738"/>
      <c r="M166" s="1736"/>
      <c r="N166" s="1740"/>
      <c r="O166" s="1740"/>
      <c r="P166" s="1741"/>
      <c r="Q166" s="1741"/>
      <c r="R166" s="1736"/>
      <c r="S166" s="1742"/>
      <c r="T166" s="1742"/>
      <c r="U166" s="1742"/>
      <c r="V166" s="1736"/>
      <c r="W166" s="1736"/>
      <c r="X166" s="1736"/>
      <c r="Y166" s="1736"/>
      <c r="Z166" s="1736"/>
      <c r="AA166" s="1742"/>
      <c r="AB166" s="1738"/>
      <c r="AC166" s="1742"/>
      <c r="AD166" s="1742"/>
      <c r="AE166" s="1742"/>
      <c r="AF166" s="1742"/>
      <c r="AG166" s="1736"/>
    </row>
    <row r="167" spans="1:33">
      <c r="A167" s="1718">
        <f t="shared" si="3"/>
        <v>0</v>
      </c>
      <c r="B167" s="1744">
        <f t="shared" si="4"/>
        <v>154</v>
      </c>
      <c r="C167" s="1737"/>
      <c r="D167" s="1736"/>
      <c r="E167" s="1736"/>
      <c r="F167" s="1736"/>
      <c r="G167" s="1738"/>
      <c r="H167" s="1739"/>
      <c r="I167" s="1736"/>
      <c r="J167" s="1736"/>
      <c r="K167" s="1736"/>
      <c r="L167" s="1738"/>
      <c r="M167" s="1736"/>
      <c r="N167" s="1740"/>
      <c r="O167" s="1740"/>
      <c r="P167" s="1741"/>
      <c r="Q167" s="1741"/>
      <c r="R167" s="1736"/>
      <c r="S167" s="1742"/>
      <c r="T167" s="1742"/>
      <c r="U167" s="1742"/>
      <c r="V167" s="1736"/>
      <c r="W167" s="1736"/>
      <c r="X167" s="1736"/>
      <c r="Y167" s="1736"/>
      <c r="Z167" s="1736"/>
      <c r="AA167" s="1742"/>
      <c r="AB167" s="1738"/>
      <c r="AC167" s="1742"/>
      <c r="AD167" s="1742"/>
      <c r="AE167" s="1742"/>
      <c r="AF167" s="1742"/>
      <c r="AG167" s="1736"/>
    </row>
    <row r="168" spans="1:33">
      <c r="A168" s="1718">
        <f t="shared" si="3"/>
        <v>0</v>
      </c>
      <c r="B168" s="1744">
        <f t="shared" si="4"/>
        <v>155</v>
      </c>
      <c r="C168" s="1737"/>
      <c r="D168" s="1736"/>
      <c r="E168" s="1736"/>
      <c r="F168" s="1736"/>
      <c r="G168" s="1738"/>
      <c r="H168" s="1739"/>
      <c r="I168" s="1736"/>
      <c r="J168" s="1736"/>
      <c r="K168" s="1736"/>
      <c r="L168" s="1738"/>
      <c r="M168" s="1736"/>
      <c r="N168" s="1740"/>
      <c r="O168" s="1740"/>
      <c r="P168" s="1741"/>
      <c r="Q168" s="1741"/>
      <c r="R168" s="1736"/>
      <c r="S168" s="1742"/>
      <c r="T168" s="1742"/>
      <c r="U168" s="1742"/>
      <c r="V168" s="1736"/>
      <c r="W168" s="1736"/>
      <c r="X168" s="1736"/>
      <c r="Y168" s="1736"/>
      <c r="Z168" s="1736"/>
      <c r="AA168" s="1742"/>
      <c r="AB168" s="1738"/>
      <c r="AC168" s="1742"/>
      <c r="AD168" s="1742"/>
      <c r="AE168" s="1742"/>
      <c r="AF168" s="1742"/>
      <c r="AG168" s="1736"/>
    </row>
    <row r="169" spans="1:33">
      <c r="A169" s="1718">
        <f t="shared" si="3"/>
        <v>0</v>
      </c>
      <c r="B169" s="1744">
        <f t="shared" si="4"/>
        <v>156</v>
      </c>
      <c r="C169" s="1737"/>
      <c r="D169" s="1736"/>
      <c r="E169" s="1736"/>
      <c r="F169" s="1736"/>
      <c r="G169" s="1738"/>
      <c r="H169" s="1739"/>
      <c r="I169" s="1736"/>
      <c r="J169" s="1736"/>
      <c r="K169" s="1736"/>
      <c r="L169" s="1738"/>
      <c r="M169" s="1736"/>
      <c r="N169" s="1740"/>
      <c r="O169" s="1740"/>
      <c r="P169" s="1741"/>
      <c r="Q169" s="1741"/>
      <c r="R169" s="1736"/>
      <c r="S169" s="1742"/>
      <c r="T169" s="1742"/>
      <c r="U169" s="1742"/>
      <c r="V169" s="1736"/>
      <c r="W169" s="1736"/>
      <c r="X169" s="1736"/>
      <c r="Y169" s="1736"/>
      <c r="Z169" s="1736"/>
      <c r="AA169" s="1742"/>
      <c r="AB169" s="1738"/>
      <c r="AC169" s="1742"/>
      <c r="AD169" s="1742"/>
      <c r="AE169" s="1742"/>
      <c r="AF169" s="1742"/>
      <c r="AG169" s="1736"/>
    </row>
    <row r="170" spans="1:33">
      <c r="A170" s="1718">
        <f t="shared" si="3"/>
        <v>0</v>
      </c>
      <c r="B170" s="1744">
        <f t="shared" si="4"/>
        <v>157</v>
      </c>
      <c r="C170" s="1737"/>
      <c r="D170" s="1736"/>
      <c r="E170" s="1736"/>
      <c r="F170" s="1736"/>
      <c r="G170" s="1738"/>
      <c r="H170" s="1739"/>
      <c r="I170" s="1736"/>
      <c r="J170" s="1736"/>
      <c r="K170" s="1736"/>
      <c r="L170" s="1738"/>
      <c r="M170" s="1736"/>
      <c r="N170" s="1740"/>
      <c r="O170" s="1740"/>
      <c r="P170" s="1741"/>
      <c r="Q170" s="1741"/>
      <c r="R170" s="1736"/>
      <c r="S170" s="1742"/>
      <c r="T170" s="1742"/>
      <c r="U170" s="1742"/>
      <c r="V170" s="1736"/>
      <c r="W170" s="1736"/>
      <c r="X170" s="1736"/>
      <c r="Y170" s="1736"/>
      <c r="Z170" s="1736"/>
      <c r="AA170" s="1742"/>
      <c r="AB170" s="1738"/>
      <c r="AC170" s="1742"/>
      <c r="AD170" s="1742"/>
      <c r="AE170" s="1742"/>
      <c r="AF170" s="1742"/>
      <c r="AG170" s="1736"/>
    </row>
    <row r="171" spans="1:33">
      <c r="A171" s="1718">
        <f t="shared" si="3"/>
        <v>0</v>
      </c>
      <c r="B171" s="1744">
        <f t="shared" si="4"/>
        <v>158</v>
      </c>
      <c r="C171" s="1737"/>
      <c r="D171" s="1736"/>
      <c r="E171" s="1736"/>
      <c r="F171" s="1736"/>
      <c r="G171" s="1738"/>
      <c r="H171" s="1739"/>
      <c r="I171" s="1736"/>
      <c r="J171" s="1736"/>
      <c r="K171" s="1736"/>
      <c r="L171" s="1738"/>
      <c r="M171" s="1736"/>
      <c r="N171" s="1740"/>
      <c r="O171" s="1740"/>
      <c r="P171" s="1741"/>
      <c r="Q171" s="1741"/>
      <c r="R171" s="1736"/>
      <c r="S171" s="1742"/>
      <c r="T171" s="1742"/>
      <c r="U171" s="1742"/>
      <c r="V171" s="1736"/>
      <c r="W171" s="1736"/>
      <c r="X171" s="1736"/>
      <c r="Y171" s="1736"/>
      <c r="Z171" s="1736"/>
      <c r="AA171" s="1742"/>
      <c r="AB171" s="1738"/>
      <c r="AC171" s="1742"/>
      <c r="AD171" s="1742"/>
      <c r="AE171" s="1742"/>
      <c r="AF171" s="1742"/>
      <c r="AG171" s="1736"/>
    </row>
    <row r="172" spans="1:33">
      <c r="A172" s="1718">
        <f t="shared" si="3"/>
        <v>0</v>
      </c>
      <c r="B172" s="1744">
        <f t="shared" si="4"/>
        <v>159</v>
      </c>
      <c r="C172" s="1737"/>
      <c r="D172" s="1736"/>
      <c r="E172" s="1736"/>
      <c r="F172" s="1736"/>
      <c r="G172" s="1738"/>
      <c r="H172" s="1739"/>
      <c r="I172" s="1736"/>
      <c r="J172" s="1736"/>
      <c r="K172" s="1736"/>
      <c r="L172" s="1738"/>
      <c r="M172" s="1736"/>
      <c r="N172" s="1740"/>
      <c r="O172" s="1740"/>
      <c r="P172" s="1741"/>
      <c r="Q172" s="1741"/>
      <c r="R172" s="1736"/>
      <c r="S172" s="1742"/>
      <c r="T172" s="1742"/>
      <c r="U172" s="1742"/>
      <c r="V172" s="1736"/>
      <c r="W172" s="1736"/>
      <c r="X172" s="1736"/>
      <c r="Y172" s="1736"/>
      <c r="Z172" s="1736"/>
      <c r="AA172" s="1742"/>
      <c r="AB172" s="1738"/>
      <c r="AC172" s="1742"/>
      <c r="AD172" s="1742"/>
      <c r="AE172" s="1742"/>
      <c r="AF172" s="1742"/>
      <c r="AG172" s="1736"/>
    </row>
    <row r="173" spans="1:33">
      <c r="A173" s="1718">
        <f t="shared" si="3"/>
        <v>0</v>
      </c>
      <c r="B173" s="1744">
        <f t="shared" si="4"/>
        <v>160</v>
      </c>
      <c r="C173" s="1737"/>
      <c r="D173" s="1736"/>
      <c r="E173" s="1736"/>
      <c r="F173" s="1736"/>
      <c r="G173" s="1738"/>
      <c r="H173" s="1739"/>
      <c r="I173" s="1736"/>
      <c r="J173" s="1736"/>
      <c r="K173" s="1736"/>
      <c r="L173" s="1738"/>
      <c r="M173" s="1736"/>
      <c r="N173" s="1740"/>
      <c r="O173" s="1740"/>
      <c r="P173" s="1741"/>
      <c r="Q173" s="1741"/>
      <c r="R173" s="1736"/>
      <c r="S173" s="1742"/>
      <c r="T173" s="1742"/>
      <c r="U173" s="1742"/>
      <c r="V173" s="1736"/>
      <c r="W173" s="1736"/>
      <c r="X173" s="1736"/>
      <c r="Y173" s="1736"/>
      <c r="Z173" s="1736"/>
      <c r="AA173" s="1742"/>
      <c r="AB173" s="1738"/>
      <c r="AC173" s="1742"/>
      <c r="AD173" s="1742"/>
      <c r="AE173" s="1742"/>
      <c r="AF173" s="1742"/>
      <c r="AG173" s="1736"/>
    </row>
    <row r="174" spans="1:33">
      <c r="A174" s="1718">
        <f t="shared" si="3"/>
        <v>0</v>
      </c>
      <c r="B174" s="1744">
        <f t="shared" si="4"/>
        <v>161</v>
      </c>
      <c r="C174" s="1737"/>
      <c r="D174" s="1736"/>
      <c r="E174" s="1736"/>
      <c r="F174" s="1736"/>
      <c r="G174" s="1738"/>
      <c r="H174" s="1739"/>
      <c r="I174" s="1736"/>
      <c r="J174" s="1736"/>
      <c r="K174" s="1736"/>
      <c r="L174" s="1738"/>
      <c r="M174" s="1736"/>
      <c r="N174" s="1740"/>
      <c r="O174" s="1740"/>
      <c r="P174" s="1741"/>
      <c r="Q174" s="1741"/>
      <c r="R174" s="1736"/>
      <c r="S174" s="1742"/>
      <c r="T174" s="1742"/>
      <c r="U174" s="1742"/>
      <c r="V174" s="1736"/>
      <c r="W174" s="1736"/>
      <c r="X174" s="1736"/>
      <c r="Y174" s="1736"/>
      <c r="Z174" s="1736"/>
      <c r="AA174" s="1742"/>
      <c r="AB174" s="1738"/>
      <c r="AC174" s="1742"/>
      <c r="AD174" s="1742"/>
      <c r="AE174" s="1742"/>
      <c r="AF174" s="1742"/>
      <c r="AG174" s="1736"/>
    </row>
    <row r="175" spans="1:33">
      <c r="A175" s="1718">
        <f t="shared" si="3"/>
        <v>0</v>
      </c>
      <c r="B175" s="1744">
        <f t="shared" si="4"/>
        <v>162</v>
      </c>
      <c r="C175" s="1737"/>
      <c r="D175" s="1736"/>
      <c r="E175" s="1736"/>
      <c r="F175" s="1736"/>
      <c r="G175" s="1738"/>
      <c r="H175" s="1739"/>
      <c r="I175" s="1736"/>
      <c r="J175" s="1736"/>
      <c r="K175" s="1736"/>
      <c r="L175" s="1738"/>
      <c r="M175" s="1736"/>
      <c r="N175" s="1740"/>
      <c r="O175" s="1740"/>
      <c r="P175" s="1741"/>
      <c r="Q175" s="1741"/>
      <c r="R175" s="1736"/>
      <c r="S175" s="1742"/>
      <c r="T175" s="1742"/>
      <c r="U175" s="1742"/>
      <c r="V175" s="1736"/>
      <c r="W175" s="1736"/>
      <c r="X175" s="1736"/>
      <c r="Y175" s="1736"/>
      <c r="Z175" s="1736"/>
      <c r="AA175" s="1742"/>
      <c r="AB175" s="1738"/>
      <c r="AC175" s="1742"/>
      <c r="AD175" s="1742"/>
      <c r="AE175" s="1742"/>
      <c r="AF175" s="1742"/>
      <c r="AG175" s="1736"/>
    </row>
    <row r="176" spans="1:33">
      <c r="A176" s="1718">
        <f t="shared" si="3"/>
        <v>0</v>
      </c>
      <c r="B176" s="1744">
        <f t="shared" si="4"/>
        <v>163</v>
      </c>
      <c r="C176" s="1737"/>
      <c r="D176" s="1736"/>
      <c r="E176" s="1736"/>
      <c r="F176" s="1736"/>
      <c r="G176" s="1738"/>
      <c r="H176" s="1739"/>
      <c r="I176" s="1736"/>
      <c r="J176" s="1736"/>
      <c r="K176" s="1736"/>
      <c r="L176" s="1738"/>
      <c r="M176" s="1736"/>
      <c r="N176" s="1740"/>
      <c r="O176" s="1740"/>
      <c r="P176" s="1741"/>
      <c r="Q176" s="1741"/>
      <c r="R176" s="1736"/>
      <c r="S176" s="1742"/>
      <c r="T176" s="1742"/>
      <c r="U176" s="1742"/>
      <c r="V176" s="1736"/>
      <c r="W176" s="1736"/>
      <c r="X176" s="1736"/>
      <c r="Y176" s="1736"/>
      <c r="Z176" s="1736"/>
      <c r="AA176" s="1742"/>
      <c r="AB176" s="1738"/>
      <c r="AC176" s="1742"/>
      <c r="AD176" s="1742"/>
      <c r="AE176" s="1742"/>
      <c r="AF176" s="1742"/>
      <c r="AG176" s="1736"/>
    </row>
    <row r="177" spans="1:33">
      <c r="A177" s="1718">
        <f t="shared" si="3"/>
        <v>0</v>
      </c>
      <c r="B177" s="1744">
        <f t="shared" si="4"/>
        <v>164</v>
      </c>
      <c r="C177" s="1737"/>
      <c r="D177" s="1736"/>
      <c r="E177" s="1736"/>
      <c r="F177" s="1736"/>
      <c r="G177" s="1738"/>
      <c r="H177" s="1739"/>
      <c r="I177" s="1736"/>
      <c r="J177" s="1736"/>
      <c r="K177" s="1736"/>
      <c r="L177" s="1738"/>
      <c r="M177" s="1736"/>
      <c r="N177" s="1740"/>
      <c r="O177" s="1740"/>
      <c r="P177" s="1741"/>
      <c r="Q177" s="1741"/>
      <c r="R177" s="1736"/>
      <c r="S177" s="1742"/>
      <c r="T177" s="1742"/>
      <c r="U177" s="1742"/>
      <c r="V177" s="1736"/>
      <c r="W177" s="1736"/>
      <c r="X177" s="1736"/>
      <c r="Y177" s="1736"/>
      <c r="Z177" s="1736"/>
      <c r="AA177" s="1742"/>
      <c r="AB177" s="1738"/>
      <c r="AC177" s="1742"/>
      <c r="AD177" s="1742"/>
      <c r="AE177" s="1742"/>
      <c r="AF177" s="1742"/>
      <c r="AG177" s="1736"/>
    </row>
    <row r="178" spans="1:33">
      <c r="A178" s="1718">
        <f t="shared" si="3"/>
        <v>0</v>
      </c>
      <c r="B178" s="1744">
        <f t="shared" si="4"/>
        <v>165</v>
      </c>
      <c r="C178" s="1737"/>
      <c r="D178" s="1736"/>
      <c r="E178" s="1736"/>
      <c r="F178" s="1736"/>
      <c r="G178" s="1738"/>
      <c r="H178" s="1739"/>
      <c r="I178" s="1736"/>
      <c r="J178" s="1736"/>
      <c r="K178" s="1736"/>
      <c r="L178" s="1738"/>
      <c r="M178" s="1736"/>
      <c r="N178" s="1740"/>
      <c r="O178" s="1740"/>
      <c r="P178" s="1741"/>
      <c r="Q178" s="1741"/>
      <c r="R178" s="1736"/>
      <c r="S178" s="1742"/>
      <c r="T178" s="1742"/>
      <c r="U178" s="1742"/>
      <c r="V178" s="1736"/>
      <c r="W178" s="1736"/>
      <c r="X178" s="1736"/>
      <c r="Y178" s="1736"/>
      <c r="Z178" s="1736"/>
      <c r="AA178" s="1742"/>
      <c r="AB178" s="1738"/>
      <c r="AC178" s="1742"/>
      <c r="AD178" s="1742"/>
      <c r="AE178" s="1742"/>
      <c r="AF178" s="1742"/>
      <c r="AG178" s="1736"/>
    </row>
    <row r="179" spans="1:33">
      <c r="A179" s="1718">
        <f t="shared" si="3"/>
        <v>0</v>
      </c>
      <c r="B179" s="1744">
        <f t="shared" si="4"/>
        <v>166</v>
      </c>
      <c r="C179" s="1737"/>
      <c r="D179" s="1736"/>
      <c r="E179" s="1736"/>
      <c r="F179" s="1736"/>
      <c r="G179" s="1738"/>
      <c r="H179" s="1739"/>
      <c r="I179" s="1736"/>
      <c r="J179" s="1736"/>
      <c r="K179" s="1736"/>
      <c r="L179" s="1738"/>
      <c r="M179" s="1736"/>
      <c r="N179" s="1740"/>
      <c r="O179" s="1740"/>
      <c r="P179" s="1741"/>
      <c r="Q179" s="1741"/>
      <c r="R179" s="1736"/>
      <c r="S179" s="1742"/>
      <c r="T179" s="1742"/>
      <c r="U179" s="1742"/>
      <c r="V179" s="1736"/>
      <c r="W179" s="1736"/>
      <c r="X179" s="1736"/>
      <c r="Y179" s="1736"/>
      <c r="Z179" s="1736"/>
      <c r="AA179" s="1742"/>
      <c r="AB179" s="1738"/>
      <c r="AC179" s="1742"/>
      <c r="AD179" s="1742"/>
      <c r="AE179" s="1742"/>
      <c r="AF179" s="1742"/>
      <c r="AG179" s="1736"/>
    </row>
    <row r="180" spans="1:33">
      <c r="A180" s="1718">
        <f t="shared" si="3"/>
        <v>0</v>
      </c>
      <c r="B180" s="1744">
        <f t="shared" si="4"/>
        <v>167</v>
      </c>
      <c r="C180" s="1737"/>
      <c r="D180" s="1736"/>
      <c r="E180" s="1736"/>
      <c r="F180" s="1736"/>
      <c r="G180" s="1738"/>
      <c r="H180" s="1739"/>
      <c r="I180" s="1736"/>
      <c r="J180" s="1736"/>
      <c r="K180" s="1736"/>
      <c r="L180" s="1738"/>
      <c r="M180" s="1736"/>
      <c r="N180" s="1740"/>
      <c r="O180" s="1740"/>
      <c r="P180" s="1741"/>
      <c r="Q180" s="1741"/>
      <c r="R180" s="1736"/>
      <c r="S180" s="1742"/>
      <c r="T180" s="1742"/>
      <c r="U180" s="1742"/>
      <c r="V180" s="1736"/>
      <c r="W180" s="1736"/>
      <c r="X180" s="1736"/>
      <c r="Y180" s="1736"/>
      <c r="Z180" s="1736"/>
      <c r="AA180" s="1742"/>
      <c r="AB180" s="1738"/>
      <c r="AC180" s="1742"/>
      <c r="AD180" s="1742"/>
      <c r="AE180" s="1742"/>
      <c r="AF180" s="1742"/>
      <c r="AG180" s="1736"/>
    </row>
    <row r="181" spans="1:33">
      <c r="A181" s="1718">
        <f t="shared" si="3"/>
        <v>0</v>
      </c>
      <c r="B181" s="1744">
        <f t="shared" si="4"/>
        <v>168</v>
      </c>
      <c r="C181" s="1737"/>
      <c r="D181" s="1736"/>
      <c r="E181" s="1736"/>
      <c r="F181" s="1736"/>
      <c r="G181" s="1738"/>
      <c r="H181" s="1739"/>
      <c r="I181" s="1736"/>
      <c r="J181" s="1736"/>
      <c r="K181" s="1736"/>
      <c r="L181" s="1738"/>
      <c r="M181" s="1736"/>
      <c r="N181" s="1740"/>
      <c r="O181" s="1740"/>
      <c r="P181" s="1741"/>
      <c r="Q181" s="1741"/>
      <c r="R181" s="1736"/>
      <c r="S181" s="1742"/>
      <c r="T181" s="1742"/>
      <c r="U181" s="1742"/>
      <c r="V181" s="1736"/>
      <c r="W181" s="1736"/>
      <c r="X181" s="1736"/>
      <c r="Y181" s="1736"/>
      <c r="Z181" s="1736"/>
      <c r="AA181" s="1742"/>
      <c r="AB181" s="1738"/>
      <c r="AC181" s="1742"/>
      <c r="AD181" s="1742"/>
      <c r="AE181" s="1742"/>
      <c r="AF181" s="1742"/>
      <c r="AG181" s="1736"/>
    </row>
    <row r="182" spans="1:33">
      <c r="A182" s="1718">
        <f t="shared" si="3"/>
        <v>0</v>
      </c>
      <c r="B182" s="1744">
        <f t="shared" si="4"/>
        <v>169</v>
      </c>
      <c r="C182" s="1737"/>
      <c r="D182" s="1736"/>
      <c r="E182" s="1736"/>
      <c r="F182" s="1736"/>
      <c r="G182" s="1738"/>
      <c r="H182" s="1739"/>
      <c r="I182" s="1736"/>
      <c r="J182" s="1736"/>
      <c r="K182" s="1736"/>
      <c r="L182" s="1738"/>
      <c r="M182" s="1736"/>
      <c r="N182" s="1740"/>
      <c r="O182" s="1740"/>
      <c r="P182" s="1741"/>
      <c r="Q182" s="1741"/>
      <c r="R182" s="1736"/>
      <c r="S182" s="1742"/>
      <c r="T182" s="1742"/>
      <c r="U182" s="1742"/>
      <c r="V182" s="1736"/>
      <c r="W182" s="1736"/>
      <c r="X182" s="1736"/>
      <c r="Y182" s="1736"/>
      <c r="Z182" s="1736"/>
      <c r="AA182" s="1742"/>
      <c r="AB182" s="1738"/>
      <c r="AC182" s="1742"/>
      <c r="AD182" s="1742"/>
      <c r="AE182" s="1742"/>
      <c r="AF182" s="1742"/>
      <c r="AG182" s="1736"/>
    </row>
    <row r="183" spans="1:33">
      <c r="A183" s="1718">
        <f t="shared" si="3"/>
        <v>0</v>
      </c>
      <c r="B183" s="1744">
        <f t="shared" si="4"/>
        <v>170</v>
      </c>
      <c r="C183" s="1737"/>
      <c r="D183" s="1736"/>
      <c r="E183" s="1736"/>
      <c r="F183" s="1736"/>
      <c r="G183" s="1738"/>
      <c r="H183" s="1739"/>
      <c r="I183" s="1736"/>
      <c r="J183" s="1736"/>
      <c r="K183" s="1736"/>
      <c r="L183" s="1738"/>
      <c r="M183" s="1736"/>
      <c r="N183" s="1740"/>
      <c r="O183" s="1740"/>
      <c r="P183" s="1741"/>
      <c r="Q183" s="1741"/>
      <c r="R183" s="1736"/>
      <c r="S183" s="1742"/>
      <c r="T183" s="1742"/>
      <c r="U183" s="1742"/>
      <c r="V183" s="1736"/>
      <c r="W183" s="1736"/>
      <c r="X183" s="1736"/>
      <c r="Y183" s="1736"/>
      <c r="Z183" s="1736"/>
      <c r="AA183" s="1742"/>
      <c r="AB183" s="1738"/>
      <c r="AC183" s="1742"/>
      <c r="AD183" s="1742"/>
      <c r="AE183" s="1742"/>
      <c r="AF183" s="1742"/>
      <c r="AG183" s="1736"/>
    </row>
    <row r="184" spans="1:33">
      <c r="A184" s="1718">
        <f t="shared" si="3"/>
        <v>0</v>
      </c>
      <c r="B184" s="1744">
        <f t="shared" si="4"/>
        <v>171</v>
      </c>
      <c r="C184" s="1737"/>
      <c r="D184" s="1736"/>
      <c r="E184" s="1736"/>
      <c r="F184" s="1736"/>
      <c r="G184" s="1738"/>
      <c r="H184" s="1739"/>
      <c r="I184" s="1736"/>
      <c r="J184" s="1736"/>
      <c r="K184" s="1736"/>
      <c r="L184" s="1738"/>
      <c r="M184" s="1736"/>
      <c r="N184" s="1740"/>
      <c r="O184" s="1740"/>
      <c r="P184" s="1741"/>
      <c r="Q184" s="1741"/>
      <c r="R184" s="1736"/>
      <c r="S184" s="1742"/>
      <c r="T184" s="1742"/>
      <c r="U184" s="1742"/>
      <c r="V184" s="1736"/>
      <c r="W184" s="1736"/>
      <c r="X184" s="1736"/>
      <c r="Y184" s="1736"/>
      <c r="Z184" s="1736"/>
      <c r="AA184" s="1742"/>
      <c r="AB184" s="1738"/>
      <c r="AC184" s="1742"/>
      <c r="AD184" s="1742"/>
      <c r="AE184" s="1742"/>
      <c r="AF184" s="1742"/>
      <c r="AG184" s="1736"/>
    </row>
    <row r="185" spans="1:33">
      <c r="A185" s="1718">
        <f t="shared" si="3"/>
        <v>0</v>
      </c>
      <c r="B185" s="1744">
        <f t="shared" si="4"/>
        <v>172</v>
      </c>
      <c r="C185" s="1737"/>
      <c r="D185" s="1736"/>
      <c r="E185" s="1736"/>
      <c r="F185" s="1736"/>
      <c r="G185" s="1738"/>
      <c r="H185" s="1739"/>
      <c r="I185" s="1736"/>
      <c r="J185" s="1736"/>
      <c r="K185" s="1736"/>
      <c r="L185" s="1738"/>
      <c r="M185" s="1736"/>
      <c r="N185" s="1740"/>
      <c r="O185" s="1740"/>
      <c r="P185" s="1741"/>
      <c r="Q185" s="1741"/>
      <c r="R185" s="1736"/>
      <c r="S185" s="1742"/>
      <c r="T185" s="1742"/>
      <c r="U185" s="1742"/>
      <c r="V185" s="1736"/>
      <c r="W185" s="1736"/>
      <c r="X185" s="1736"/>
      <c r="Y185" s="1736"/>
      <c r="Z185" s="1736"/>
      <c r="AA185" s="1742"/>
      <c r="AB185" s="1738"/>
      <c r="AC185" s="1742"/>
      <c r="AD185" s="1742"/>
      <c r="AE185" s="1742"/>
      <c r="AF185" s="1742"/>
      <c r="AG185" s="1736"/>
    </row>
    <row r="186" spans="1:33">
      <c r="A186" s="1718">
        <f t="shared" si="3"/>
        <v>0</v>
      </c>
      <c r="B186" s="1744">
        <f t="shared" si="4"/>
        <v>173</v>
      </c>
      <c r="C186" s="1737"/>
      <c r="D186" s="1736"/>
      <c r="E186" s="1736"/>
      <c r="F186" s="1736"/>
      <c r="G186" s="1738"/>
      <c r="H186" s="1739"/>
      <c r="I186" s="1736"/>
      <c r="J186" s="1736"/>
      <c r="K186" s="1736"/>
      <c r="L186" s="1738"/>
      <c r="M186" s="1736"/>
      <c r="N186" s="1740"/>
      <c r="O186" s="1740"/>
      <c r="P186" s="1741"/>
      <c r="Q186" s="1741"/>
      <c r="R186" s="1736"/>
      <c r="S186" s="1742"/>
      <c r="T186" s="1742"/>
      <c r="U186" s="1742"/>
      <c r="V186" s="1736"/>
      <c r="W186" s="1736"/>
      <c r="X186" s="1736"/>
      <c r="Y186" s="1736"/>
      <c r="Z186" s="1736"/>
      <c r="AA186" s="1742"/>
      <c r="AB186" s="1738"/>
      <c r="AC186" s="1742"/>
      <c r="AD186" s="1742"/>
      <c r="AE186" s="1742"/>
      <c r="AF186" s="1742"/>
      <c r="AG186" s="1736"/>
    </row>
    <row r="187" spans="1:33">
      <c r="A187" s="1718">
        <f t="shared" si="3"/>
        <v>0</v>
      </c>
      <c r="B187" s="1744">
        <f t="shared" si="4"/>
        <v>174</v>
      </c>
      <c r="C187" s="1737"/>
      <c r="D187" s="1736"/>
      <c r="E187" s="1736"/>
      <c r="F187" s="1736"/>
      <c r="G187" s="1738"/>
      <c r="H187" s="1739"/>
      <c r="I187" s="1736"/>
      <c r="J187" s="1736"/>
      <c r="K187" s="1736"/>
      <c r="L187" s="1738"/>
      <c r="M187" s="1736"/>
      <c r="N187" s="1740"/>
      <c r="O187" s="1740"/>
      <c r="P187" s="1741"/>
      <c r="Q187" s="1741"/>
      <c r="R187" s="1736"/>
      <c r="S187" s="1742"/>
      <c r="T187" s="1742"/>
      <c r="U187" s="1742"/>
      <c r="V187" s="1736"/>
      <c r="W187" s="1736"/>
      <c r="X187" s="1736"/>
      <c r="Y187" s="1736"/>
      <c r="Z187" s="1736"/>
      <c r="AA187" s="1742"/>
      <c r="AB187" s="1738"/>
      <c r="AC187" s="1742"/>
      <c r="AD187" s="1742"/>
      <c r="AE187" s="1742"/>
      <c r="AF187" s="1742"/>
      <c r="AG187" s="1736"/>
    </row>
    <row r="188" spans="1:33">
      <c r="A188" s="1718">
        <f t="shared" si="3"/>
        <v>0</v>
      </c>
      <c r="B188" s="1744">
        <f t="shared" si="4"/>
        <v>175</v>
      </c>
      <c r="C188" s="1737"/>
      <c r="D188" s="1736"/>
      <c r="E188" s="1736"/>
      <c r="F188" s="1736"/>
      <c r="G188" s="1738"/>
      <c r="H188" s="1739"/>
      <c r="I188" s="1736"/>
      <c r="J188" s="1736"/>
      <c r="K188" s="1736"/>
      <c r="L188" s="1738"/>
      <c r="M188" s="1736"/>
      <c r="N188" s="1740"/>
      <c r="O188" s="1740"/>
      <c r="P188" s="1741"/>
      <c r="Q188" s="1741"/>
      <c r="R188" s="1736"/>
      <c r="S188" s="1742"/>
      <c r="T188" s="1742"/>
      <c r="U188" s="1742"/>
      <c r="V188" s="1736"/>
      <c r="W188" s="1736"/>
      <c r="X188" s="1736"/>
      <c r="Y188" s="1736"/>
      <c r="Z188" s="1736"/>
      <c r="AA188" s="1742"/>
      <c r="AB188" s="1738"/>
      <c r="AC188" s="1742"/>
      <c r="AD188" s="1742"/>
      <c r="AE188" s="1742"/>
      <c r="AF188" s="1742"/>
      <c r="AG188" s="1736"/>
    </row>
    <row r="189" spans="1:33">
      <c r="A189" s="1718">
        <f t="shared" si="3"/>
        <v>0</v>
      </c>
      <c r="B189" s="1744">
        <f t="shared" si="4"/>
        <v>176</v>
      </c>
      <c r="C189" s="1737"/>
      <c r="D189" s="1736"/>
      <c r="E189" s="1736"/>
      <c r="F189" s="1736"/>
      <c r="G189" s="1738"/>
      <c r="H189" s="1739"/>
      <c r="I189" s="1736"/>
      <c r="J189" s="1736"/>
      <c r="K189" s="1736"/>
      <c r="L189" s="1738"/>
      <c r="M189" s="1736"/>
      <c r="N189" s="1740"/>
      <c r="O189" s="1740"/>
      <c r="P189" s="1741"/>
      <c r="Q189" s="1741"/>
      <c r="R189" s="1736"/>
      <c r="S189" s="1742"/>
      <c r="T189" s="1742"/>
      <c r="U189" s="1742"/>
      <c r="V189" s="1736"/>
      <c r="W189" s="1736"/>
      <c r="X189" s="1736"/>
      <c r="Y189" s="1736"/>
      <c r="Z189" s="1736"/>
      <c r="AA189" s="1742"/>
      <c r="AB189" s="1738"/>
      <c r="AC189" s="1742"/>
      <c r="AD189" s="1742"/>
      <c r="AE189" s="1742"/>
      <c r="AF189" s="1742"/>
      <c r="AG189" s="1736"/>
    </row>
    <row r="190" spans="1:33">
      <c r="A190" s="1718">
        <f t="shared" si="3"/>
        <v>0</v>
      </c>
      <c r="B190" s="1744">
        <f t="shared" si="4"/>
        <v>177</v>
      </c>
      <c r="C190" s="1737"/>
      <c r="D190" s="1736"/>
      <c r="E190" s="1736"/>
      <c r="F190" s="1736"/>
      <c r="G190" s="1738"/>
      <c r="H190" s="1739"/>
      <c r="I190" s="1736"/>
      <c r="J190" s="1736"/>
      <c r="K190" s="1736"/>
      <c r="L190" s="1738"/>
      <c r="M190" s="1736"/>
      <c r="N190" s="1740"/>
      <c r="O190" s="1740"/>
      <c r="P190" s="1741"/>
      <c r="Q190" s="1741"/>
      <c r="R190" s="1736"/>
      <c r="S190" s="1742"/>
      <c r="T190" s="1742"/>
      <c r="U190" s="1742"/>
      <c r="V190" s="1736"/>
      <c r="W190" s="1736"/>
      <c r="X190" s="1736"/>
      <c r="Y190" s="1736"/>
      <c r="Z190" s="1736"/>
      <c r="AA190" s="1742"/>
      <c r="AB190" s="1738"/>
      <c r="AC190" s="1742"/>
      <c r="AD190" s="1742"/>
      <c r="AE190" s="1742"/>
      <c r="AF190" s="1742"/>
      <c r="AG190" s="1736"/>
    </row>
    <row r="191" spans="1:33">
      <c r="A191" s="1718">
        <f t="shared" si="3"/>
        <v>0</v>
      </c>
      <c r="B191" s="1744">
        <f t="shared" si="4"/>
        <v>178</v>
      </c>
      <c r="C191" s="1737"/>
      <c r="D191" s="1736"/>
      <c r="E191" s="1736"/>
      <c r="F191" s="1736"/>
      <c r="G191" s="1738"/>
      <c r="H191" s="1739"/>
      <c r="I191" s="1736"/>
      <c r="J191" s="1736"/>
      <c r="K191" s="1736"/>
      <c r="L191" s="1738"/>
      <c r="M191" s="1736"/>
      <c r="N191" s="1740"/>
      <c r="O191" s="1740"/>
      <c r="P191" s="1741"/>
      <c r="Q191" s="1741"/>
      <c r="R191" s="1736"/>
      <c r="S191" s="1742"/>
      <c r="T191" s="1742"/>
      <c r="U191" s="1742"/>
      <c r="V191" s="1736"/>
      <c r="W191" s="1736"/>
      <c r="X191" s="1736"/>
      <c r="Y191" s="1736"/>
      <c r="Z191" s="1736"/>
      <c r="AA191" s="1742"/>
      <c r="AB191" s="1738"/>
      <c r="AC191" s="1742"/>
      <c r="AD191" s="1742"/>
      <c r="AE191" s="1742"/>
      <c r="AF191" s="1742"/>
      <c r="AG191" s="1736"/>
    </row>
    <row r="192" spans="1:33">
      <c r="A192" s="1718">
        <f t="shared" si="3"/>
        <v>0</v>
      </c>
      <c r="B192" s="1744">
        <f t="shared" si="4"/>
        <v>179</v>
      </c>
      <c r="C192" s="1737"/>
      <c r="D192" s="1736"/>
      <c r="E192" s="1736"/>
      <c r="F192" s="1736"/>
      <c r="G192" s="1738"/>
      <c r="H192" s="1739"/>
      <c r="I192" s="1736"/>
      <c r="J192" s="1736"/>
      <c r="K192" s="1736"/>
      <c r="L192" s="1738"/>
      <c r="M192" s="1736"/>
      <c r="N192" s="1740"/>
      <c r="O192" s="1740"/>
      <c r="P192" s="1741"/>
      <c r="Q192" s="1741"/>
      <c r="R192" s="1736"/>
      <c r="S192" s="1742"/>
      <c r="T192" s="1742"/>
      <c r="U192" s="1742"/>
      <c r="V192" s="1736"/>
      <c r="W192" s="1736"/>
      <c r="X192" s="1736"/>
      <c r="Y192" s="1736"/>
      <c r="Z192" s="1736"/>
      <c r="AA192" s="1742"/>
      <c r="AB192" s="1738"/>
      <c r="AC192" s="1742"/>
      <c r="AD192" s="1742"/>
      <c r="AE192" s="1742"/>
      <c r="AF192" s="1742"/>
      <c r="AG192" s="1736"/>
    </row>
    <row r="193" spans="1:33">
      <c r="A193" s="1718">
        <f t="shared" ref="A193:A256" si="5">IF(M193&gt;0,1,0)</f>
        <v>0</v>
      </c>
      <c r="B193" s="1744">
        <f t="shared" si="4"/>
        <v>180</v>
      </c>
      <c r="C193" s="1737"/>
      <c r="D193" s="1736"/>
      <c r="E193" s="1736"/>
      <c r="F193" s="1736"/>
      <c r="G193" s="1738"/>
      <c r="H193" s="1739"/>
      <c r="I193" s="1736"/>
      <c r="J193" s="1736"/>
      <c r="K193" s="1736"/>
      <c r="L193" s="1738"/>
      <c r="M193" s="1736"/>
      <c r="N193" s="1740"/>
      <c r="O193" s="1740"/>
      <c r="P193" s="1741"/>
      <c r="Q193" s="1741"/>
      <c r="R193" s="1736"/>
      <c r="S193" s="1742"/>
      <c r="T193" s="1742"/>
      <c r="U193" s="1742"/>
      <c r="V193" s="1736"/>
      <c r="W193" s="1736"/>
      <c r="X193" s="1736"/>
      <c r="Y193" s="1736"/>
      <c r="Z193" s="1736"/>
      <c r="AA193" s="1742"/>
      <c r="AB193" s="1738"/>
      <c r="AC193" s="1742"/>
      <c r="AD193" s="1742"/>
      <c r="AE193" s="1742"/>
      <c r="AF193" s="1742"/>
      <c r="AG193" s="1736"/>
    </row>
    <row r="194" spans="1:33">
      <c r="A194" s="1718">
        <f t="shared" si="5"/>
        <v>0</v>
      </c>
      <c r="B194" s="1744">
        <f t="shared" si="4"/>
        <v>181</v>
      </c>
      <c r="C194" s="1737"/>
      <c r="D194" s="1736"/>
      <c r="E194" s="1736"/>
      <c r="F194" s="1736"/>
      <c r="G194" s="1738"/>
      <c r="H194" s="1739"/>
      <c r="I194" s="1736"/>
      <c r="J194" s="1736"/>
      <c r="K194" s="1736"/>
      <c r="L194" s="1738"/>
      <c r="M194" s="1736"/>
      <c r="N194" s="1740"/>
      <c r="O194" s="1740"/>
      <c r="P194" s="1741"/>
      <c r="Q194" s="1741"/>
      <c r="R194" s="1736"/>
      <c r="S194" s="1742"/>
      <c r="T194" s="1742"/>
      <c r="U194" s="1742"/>
      <c r="V194" s="1736"/>
      <c r="W194" s="1736"/>
      <c r="X194" s="1736"/>
      <c r="Y194" s="1736"/>
      <c r="Z194" s="1736"/>
      <c r="AA194" s="1742"/>
      <c r="AB194" s="1738"/>
      <c r="AC194" s="1742"/>
      <c r="AD194" s="1742"/>
      <c r="AE194" s="1742"/>
      <c r="AF194" s="1742"/>
      <c r="AG194" s="1736"/>
    </row>
    <row r="195" spans="1:33">
      <c r="A195" s="1718">
        <f t="shared" si="5"/>
        <v>0</v>
      </c>
      <c r="B195" s="1744">
        <f t="shared" si="4"/>
        <v>182</v>
      </c>
      <c r="C195" s="1737"/>
      <c r="D195" s="1736"/>
      <c r="E195" s="1736"/>
      <c r="F195" s="1736"/>
      <c r="G195" s="1738"/>
      <c r="H195" s="1739"/>
      <c r="I195" s="1736"/>
      <c r="J195" s="1736"/>
      <c r="K195" s="1736"/>
      <c r="L195" s="1738"/>
      <c r="M195" s="1736"/>
      <c r="N195" s="1740"/>
      <c r="O195" s="1740"/>
      <c r="P195" s="1741"/>
      <c r="Q195" s="1741"/>
      <c r="R195" s="1736"/>
      <c r="S195" s="1742"/>
      <c r="T195" s="1742"/>
      <c r="U195" s="1742"/>
      <c r="V195" s="1736"/>
      <c r="W195" s="1736"/>
      <c r="X195" s="1736"/>
      <c r="Y195" s="1736"/>
      <c r="Z195" s="1736"/>
      <c r="AA195" s="1742"/>
      <c r="AB195" s="1738"/>
      <c r="AC195" s="1742"/>
      <c r="AD195" s="1742"/>
      <c r="AE195" s="1742"/>
      <c r="AF195" s="1742"/>
      <c r="AG195" s="1736"/>
    </row>
    <row r="196" spans="1:33">
      <c r="A196" s="1718">
        <f t="shared" si="5"/>
        <v>0</v>
      </c>
      <c r="B196" s="1744">
        <f t="shared" si="4"/>
        <v>183</v>
      </c>
      <c r="C196" s="1737"/>
      <c r="D196" s="1736"/>
      <c r="E196" s="1736"/>
      <c r="F196" s="1736"/>
      <c r="G196" s="1738"/>
      <c r="H196" s="1739"/>
      <c r="I196" s="1736"/>
      <c r="J196" s="1736"/>
      <c r="K196" s="1736"/>
      <c r="L196" s="1738"/>
      <c r="M196" s="1736"/>
      <c r="N196" s="1740"/>
      <c r="O196" s="1740"/>
      <c r="P196" s="1741"/>
      <c r="Q196" s="1741"/>
      <c r="R196" s="1736"/>
      <c r="S196" s="1742"/>
      <c r="T196" s="1742"/>
      <c r="U196" s="1742"/>
      <c r="V196" s="1736"/>
      <c r="W196" s="1736"/>
      <c r="X196" s="1736"/>
      <c r="Y196" s="1736"/>
      <c r="Z196" s="1736"/>
      <c r="AA196" s="1742"/>
      <c r="AB196" s="1738"/>
      <c r="AC196" s="1742"/>
      <c r="AD196" s="1742"/>
      <c r="AE196" s="1742"/>
      <c r="AF196" s="1742"/>
      <c r="AG196" s="1736"/>
    </row>
    <row r="197" spans="1:33">
      <c r="A197" s="1718">
        <f t="shared" si="5"/>
        <v>0</v>
      </c>
      <c r="B197" s="1744">
        <f t="shared" si="4"/>
        <v>184</v>
      </c>
      <c r="C197" s="1737"/>
      <c r="D197" s="1736"/>
      <c r="E197" s="1736"/>
      <c r="F197" s="1736"/>
      <c r="G197" s="1738"/>
      <c r="H197" s="1739"/>
      <c r="I197" s="1736"/>
      <c r="J197" s="1736"/>
      <c r="K197" s="1736"/>
      <c r="L197" s="1738"/>
      <c r="M197" s="1736"/>
      <c r="N197" s="1740"/>
      <c r="O197" s="1740"/>
      <c r="P197" s="1741"/>
      <c r="Q197" s="1741"/>
      <c r="R197" s="1736"/>
      <c r="S197" s="1742"/>
      <c r="T197" s="1742"/>
      <c r="U197" s="1742"/>
      <c r="V197" s="1736"/>
      <c r="W197" s="1736"/>
      <c r="X197" s="1736"/>
      <c r="Y197" s="1736"/>
      <c r="Z197" s="1736"/>
      <c r="AA197" s="1742"/>
      <c r="AB197" s="1738"/>
      <c r="AC197" s="1742"/>
      <c r="AD197" s="1742"/>
      <c r="AE197" s="1742"/>
      <c r="AF197" s="1742"/>
      <c r="AG197" s="1736"/>
    </row>
    <row r="198" spans="1:33">
      <c r="A198" s="1718">
        <f t="shared" si="5"/>
        <v>0</v>
      </c>
      <c r="B198" s="1744">
        <f t="shared" si="4"/>
        <v>185</v>
      </c>
      <c r="C198" s="1737"/>
      <c r="D198" s="1736"/>
      <c r="E198" s="1736"/>
      <c r="F198" s="1736"/>
      <c r="G198" s="1738"/>
      <c r="H198" s="1739"/>
      <c r="I198" s="1736"/>
      <c r="J198" s="1736"/>
      <c r="K198" s="1736"/>
      <c r="L198" s="1738"/>
      <c r="M198" s="1736"/>
      <c r="N198" s="1740"/>
      <c r="O198" s="1740"/>
      <c r="P198" s="1741"/>
      <c r="Q198" s="1741"/>
      <c r="R198" s="1736"/>
      <c r="S198" s="1742"/>
      <c r="T198" s="1742"/>
      <c r="U198" s="1742"/>
      <c r="V198" s="1736"/>
      <c r="W198" s="1736"/>
      <c r="X198" s="1736"/>
      <c r="Y198" s="1736"/>
      <c r="Z198" s="1736"/>
      <c r="AA198" s="1742"/>
      <c r="AB198" s="1738"/>
      <c r="AC198" s="1742"/>
      <c r="AD198" s="1742"/>
      <c r="AE198" s="1742"/>
      <c r="AF198" s="1742"/>
      <c r="AG198" s="1736"/>
    </row>
    <row r="199" spans="1:33">
      <c r="A199" s="1718">
        <f t="shared" si="5"/>
        <v>0</v>
      </c>
      <c r="B199" s="1744">
        <f t="shared" si="4"/>
        <v>186</v>
      </c>
      <c r="C199" s="1737"/>
      <c r="D199" s="1736"/>
      <c r="E199" s="1736"/>
      <c r="F199" s="1736"/>
      <c r="G199" s="1738"/>
      <c r="H199" s="1739"/>
      <c r="I199" s="1736"/>
      <c r="J199" s="1736"/>
      <c r="K199" s="1736"/>
      <c r="L199" s="1738"/>
      <c r="M199" s="1736"/>
      <c r="N199" s="1740"/>
      <c r="O199" s="1740"/>
      <c r="P199" s="1741"/>
      <c r="Q199" s="1741"/>
      <c r="R199" s="1736"/>
      <c r="S199" s="1742"/>
      <c r="T199" s="1742"/>
      <c r="U199" s="1742"/>
      <c r="V199" s="1736"/>
      <c r="W199" s="1736"/>
      <c r="X199" s="1736"/>
      <c r="Y199" s="1736"/>
      <c r="Z199" s="1736"/>
      <c r="AA199" s="1742"/>
      <c r="AB199" s="1738"/>
      <c r="AC199" s="1742"/>
      <c r="AD199" s="1742"/>
      <c r="AE199" s="1742"/>
      <c r="AF199" s="1742"/>
      <c r="AG199" s="1736"/>
    </row>
    <row r="200" spans="1:33">
      <c r="A200" s="1718">
        <f t="shared" si="5"/>
        <v>0</v>
      </c>
      <c r="B200" s="1744">
        <f t="shared" si="4"/>
        <v>187</v>
      </c>
      <c r="C200" s="1737"/>
      <c r="D200" s="1736"/>
      <c r="E200" s="1736"/>
      <c r="F200" s="1736"/>
      <c r="G200" s="1738"/>
      <c r="H200" s="1739"/>
      <c r="I200" s="1736"/>
      <c r="J200" s="1736"/>
      <c r="K200" s="1736"/>
      <c r="L200" s="1738"/>
      <c r="M200" s="1736"/>
      <c r="N200" s="1740"/>
      <c r="O200" s="1740"/>
      <c r="P200" s="1741"/>
      <c r="Q200" s="1741"/>
      <c r="R200" s="1736"/>
      <c r="S200" s="1742"/>
      <c r="T200" s="1742"/>
      <c r="U200" s="1742"/>
      <c r="V200" s="1736"/>
      <c r="W200" s="1736"/>
      <c r="X200" s="1736"/>
      <c r="Y200" s="1736"/>
      <c r="Z200" s="1736"/>
      <c r="AA200" s="1742"/>
      <c r="AB200" s="1738"/>
      <c r="AC200" s="1742"/>
      <c r="AD200" s="1742"/>
      <c r="AE200" s="1742"/>
      <c r="AF200" s="1742"/>
      <c r="AG200" s="1736"/>
    </row>
    <row r="201" spans="1:33">
      <c r="A201" s="1718">
        <f t="shared" si="5"/>
        <v>0</v>
      </c>
      <c r="B201" s="1744">
        <f t="shared" si="4"/>
        <v>188</v>
      </c>
      <c r="C201" s="1737"/>
      <c r="D201" s="1736"/>
      <c r="E201" s="1736"/>
      <c r="F201" s="1736"/>
      <c r="G201" s="1738"/>
      <c r="H201" s="1739"/>
      <c r="I201" s="1736"/>
      <c r="J201" s="1736"/>
      <c r="K201" s="1736"/>
      <c r="L201" s="1738"/>
      <c r="M201" s="1736"/>
      <c r="N201" s="1740"/>
      <c r="O201" s="1740"/>
      <c r="P201" s="1741"/>
      <c r="Q201" s="1741"/>
      <c r="R201" s="1736"/>
      <c r="S201" s="1742"/>
      <c r="T201" s="1742"/>
      <c r="U201" s="1742"/>
      <c r="V201" s="1736"/>
      <c r="W201" s="1736"/>
      <c r="X201" s="1736"/>
      <c r="Y201" s="1736"/>
      <c r="Z201" s="1736"/>
      <c r="AA201" s="1742"/>
      <c r="AB201" s="1738"/>
      <c r="AC201" s="1742"/>
      <c r="AD201" s="1742"/>
      <c r="AE201" s="1742"/>
      <c r="AF201" s="1742"/>
      <c r="AG201" s="1736"/>
    </row>
    <row r="202" spans="1:33">
      <c r="A202" s="1718">
        <f t="shared" si="5"/>
        <v>0</v>
      </c>
      <c r="B202" s="1744">
        <f t="shared" si="4"/>
        <v>189</v>
      </c>
      <c r="C202" s="1737"/>
      <c r="D202" s="1736"/>
      <c r="E202" s="1736"/>
      <c r="F202" s="1736"/>
      <c r="G202" s="1738"/>
      <c r="H202" s="1739"/>
      <c r="I202" s="1736"/>
      <c r="J202" s="1736"/>
      <c r="K202" s="1736"/>
      <c r="L202" s="1738"/>
      <c r="M202" s="1736"/>
      <c r="N202" s="1740"/>
      <c r="O202" s="1740"/>
      <c r="P202" s="1741"/>
      <c r="Q202" s="1741"/>
      <c r="R202" s="1736"/>
      <c r="S202" s="1742"/>
      <c r="T202" s="1742"/>
      <c r="U202" s="1742"/>
      <c r="V202" s="1736"/>
      <c r="W202" s="1736"/>
      <c r="X202" s="1736"/>
      <c r="Y202" s="1736"/>
      <c r="Z202" s="1736"/>
      <c r="AA202" s="1742"/>
      <c r="AB202" s="1738"/>
      <c r="AC202" s="1742"/>
      <c r="AD202" s="1742"/>
      <c r="AE202" s="1742"/>
      <c r="AF202" s="1742"/>
      <c r="AG202" s="1736"/>
    </row>
    <row r="203" spans="1:33">
      <c r="A203" s="1718">
        <f t="shared" si="5"/>
        <v>0</v>
      </c>
      <c r="B203" s="1744">
        <f t="shared" si="4"/>
        <v>190</v>
      </c>
      <c r="C203" s="1737"/>
      <c r="D203" s="1736"/>
      <c r="E203" s="1736"/>
      <c r="F203" s="1736"/>
      <c r="G203" s="1738"/>
      <c r="H203" s="1739"/>
      <c r="I203" s="1736"/>
      <c r="J203" s="1736"/>
      <c r="K203" s="1736"/>
      <c r="L203" s="1738"/>
      <c r="M203" s="1736"/>
      <c r="N203" s="1740"/>
      <c r="O203" s="1740"/>
      <c r="P203" s="1741"/>
      <c r="Q203" s="1741"/>
      <c r="R203" s="1736"/>
      <c r="S203" s="1742"/>
      <c r="T203" s="1742"/>
      <c r="U203" s="1742"/>
      <c r="V203" s="1736"/>
      <c r="W203" s="1736"/>
      <c r="X203" s="1736"/>
      <c r="Y203" s="1736"/>
      <c r="Z203" s="1736"/>
      <c r="AA203" s="1742"/>
      <c r="AB203" s="1738"/>
      <c r="AC203" s="1742"/>
      <c r="AD203" s="1742"/>
      <c r="AE203" s="1742"/>
      <c r="AF203" s="1742"/>
      <c r="AG203" s="1736"/>
    </row>
    <row r="204" spans="1:33">
      <c r="A204" s="1718">
        <f t="shared" si="5"/>
        <v>0</v>
      </c>
      <c r="B204" s="1744">
        <f t="shared" si="4"/>
        <v>191</v>
      </c>
      <c r="C204" s="1737"/>
      <c r="D204" s="1736"/>
      <c r="E204" s="1736"/>
      <c r="F204" s="1736"/>
      <c r="G204" s="1738"/>
      <c r="H204" s="1739"/>
      <c r="I204" s="1736"/>
      <c r="J204" s="1736"/>
      <c r="K204" s="1736"/>
      <c r="L204" s="1738"/>
      <c r="M204" s="1736"/>
      <c r="N204" s="1740"/>
      <c r="O204" s="1740"/>
      <c r="P204" s="1741"/>
      <c r="Q204" s="1741"/>
      <c r="R204" s="1736"/>
      <c r="S204" s="1742"/>
      <c r="T204" s="1742"/>
      <c r="U204" s="1742"/>
      <c r="V204" s="1736"/>
      <c r="W204" s="1736"/>
      <c r="X204" s="1736"/>
      <c r="Y204" s="1736"/>
      <c r="Z204" s="1736"/>
      <c r="AA204" s="1742"/>
      <c r="AB204" s="1738"/>
      <c r="AC204" s="1742"/>
      <c r="AD204" s="1742"/>
      <c r="AE204" s="1742"/>
      <c r="AF204" s="1742"/>
      <c r="AG204" s="1736"/>
    </row>
    <row r="205" spans="1:33">
      <c r="A205" s="1718">
        <f t="shared" si="5"/>
        <v>0</v>
      </c>
      <c r="B205" s="1744">
        <f t="shared" si="4"/>
        <v>192</v>
      </c>
      <c r="C205" s="1737"/>
      <c r="D205" s="1736"/>
      <c r="E205" s="1736"/>
      <c r="F205" s="1736"/>
      <c r="G205" s="1738"/>
      <c r="H205" s="1739"/>
      <c r="I205" s="1736"/>
      <c r="J205" s="1736"/>
      <c r="K205" s="1736"/>
      <c r="L205" s="1738"/>
      <c r="M205" s="1736"/>
      <c r="N205" s="1740"/>
      <c r="O205" s="1740"/>
      <c r="P205" s="1741"/>
      <c r="Q205" s="1741"/>
      <c r="R205" s="1736"/>
      <c r="S205" s="1742"/>
      <c r="T205" s="1742"/>
      <c r="U205" s="1742"/>
      <c r="V205" s="1736"/>
      <c r="W205" s="1736"/>
      <c r="X205" s="1736"/>
      <c r="Y205" s="1736"/>
      <c r="Z205" s="1736"/>
      <c r="AA205" s="1742"/>
      <c r="AB205" s="1738"/>
      <c r="AC205" s="1742"/>
      <c r="AD205" s="1742"/>
      <c r="AE205" s="1742"/>
      <c r="AF205" s="1742"/>
      <c r="AG205" s="1736"/>
    </row>
    <row r="206" spans="1:33">
      <c r="A206" s="1718">
        <f t="shared" si="5"/>
        <v>0</v>
      </c>
      <c r="B206" s="1744">
        <f t="shared" si="4"/>
        <v>193</v>
      </c>
      <c r="C206" s="1737"/>
      <c r="D206" s="1736"/>
      <c r="E206" s="1736"/>
      <c r="F206" s="1736"/>
      <c r="G206" s="1738"/>
      <c r="H206" s="1739"/>
      <c r="I206" s="1736"/>
      <c r="J206" s="1736"/>
      <c r="K206" s="1736"/>
      <c r="L206" s="1738"/>
      <c r="M206" s="1736"/>
      <c r="N206" s="1740"/>
      <c r="O206" s="1740"/>
      <c r="P206" s="1741"/>
      <c r="Q206" s="1741"/>
      <c r="R206" s="1736"/>
      <c r="S206" s="1742"/>
      <c r="T206" s="1742"/>
      <c r="U206" s="1742"/>
      <c r="V206" s="1736"/>
      <c r="W206" s="1736"/>
      <c r="X206" s="1736"/>
      <c r="Y206" s="1736"/>
      <c r="Z206" s="1736"/>
      <c r="AA206" s="1742"/>
      <c r="AB206" s="1738"/>
      <c r="AC206" s="1742"/>
      <c r="AD206" s="1742"/>
      <c r="AE206" s="1742"/>
      <c r="AF206" s="1742"/>
      <c r="AG206" s="1736"/>
    </row>
    <row r="207" spans="1:33">
      <c r="A207" s="1718">
        <f t="shared" si="5"/>
        <v>0</v>
      </c>
      <c r="B207" s="1744">
        <f t="shared" ref="B207:B270" si="6">B206+1</f>
        <v>194</v>
      </c>
      <c r="C207" s="1737"/>
      <c r="D207" s="1736"/>
      <c r="E207" s="1736"/>
      <c r="F207" s="1736"/>
      <c r="G207" s="1738"/>
      <c r="H207" s="1739"/>
      <c r="I207" s="1736"/>
      <c r="J207" s="1736"/>
      <c r="K207" s="1736"/>
      <c r="L207" s="1738"/>
      <c r="M207" s="1736"/>
      <c r="N207" s="1740"/>
      <c r="O207" s="1740"/>
      <c r="P207" s="1741"/>
      <c r="Q207" s="1741"/>
      <c r="R207" s="1736"/>
      <c r="S207" s="1742"/>
      <c r="T207" s="1742"/>
      <c r="U207" s="1742"/>
      <c r="V207" s="1736"/>
      <c r="W207" s="1736"/>
      <c r="X207" s="1736"/>
      <c r="Y207" s="1736"/>
      <c r="Z207" s="1736"/>
      <c r="AA207" s="1742"/>
      <c r="AB207" s="1738"/>
      <c r="AC207" s="1742"/>
      <c r="AD207" s="1742"/>
      <c r="AE207" s="1742"/>
      <c r="AF207" s="1742"/>
      <c r="AG207" s="1736"/>
    </row>
    <row r="208" spans="1:33">
      <c r="A208" s="1718">
        <f t="shared" si="5"/>
        <v>0</v>
      </c>
      <c r="B208" s="1744">
        <f t="shared" si="6"/>
        <v>195</v>
      </c>
      <c r="C208" s="1737"/>
      <c r="D208" s="1736"/>
      <c r="E208" s="1736"/>
      <c r="F208" s="1736"/>
      <c r="G208" s="1738"/>
      <c r="H208" s="1739"/>
      <c r="I208" s="1736"/>
      <c r="J208" s="1736"/>
      <c r="K208" s="1736"/>
      <c r="L208" s="1738"/>
      <c r="M208" s="1736"/>
      <c r="N208" s="1740"/>
      <c r="O208" s="1740"/>
      <c r="P208" s="1741"/>
      <c r="Q208" s="1741"/>
      <c r="R208" s="1736"/>
      <c r="S208" s="1742"/>
      <c r="T208" s="1742"/>
      <c r="U208" s="1742"/>
      <c r="V208" s="1736"/>
      <c r="W208" s="1736"/>
      <c r="X208" s="1736"/>
      <c r="Y208" s="1736"/>
      <c r="Z208" s="1736"/>
      <c r="AA208" s="1742"/>
      <c r="AB208" s="1738"/>
      <c r="AC208" s="1742"/>
      <c r="AD208" s="1742"/>
      <c r="AE208" s="1742"/>
      <c r="AF208" s="1742"/>
      <c r="AG208" s="1736"/>
    </row>
    <row r="209" spans="1:33">
      <c r="A209" s="1718">
        <f t="shared" si="5"/>
        <v>0</v>
      </c>
      <c r="B209" s="1744">
        <f t="shared" si="6"/>
        <v>196</v>
      </c>
      <c r="C209" s="1737"/>
      <c r="D209" s="1736"/>
      <c r="E209" s="1736"/>
      <c r="F209" s="1736"/>
      <c r="G209" s="1738"/>
      <c r="H209" s="1739"/>
      <c r="I209" s="1736"/>
      <c r="J209" s="1736"/>
      <c r="K209" s="1736"/>
      <c r="L209" s="1738"/>
      <c r="M209" s="1736"/>
      <c r="N209" s="1740"/>
      <c r="O209" s="1740"/>
      <c r="P209" s="1741"/>
      <c r="Q209" s="1741"/>
      <c r="R209" s="1736"/>
      <c r="S209" s="1742"/>
      <c r="T209" s="1742"/>
      <c r="U209" s="1742"/>
      <c r="V209" s="1736"/>
      <c r="W209" s="1736"/>
      <c r="X209" s="1736"/>
      <c r="Y209" s="1736"/>
      <c r="Z209" s="1736"/>
      <c r="AA209" s="1742"/>
      <c r="AB209" s="1738"/>
      <c r="AC209" s="1742"/>
      <c r="AD209" s="1742"/>
      <c r="AE209" s="1742"/>
      <c r="AF209" s="1742"/>
      <c r="AG209" s="1736"/>
    </row>
    <row r="210" spans="1:33">
      <c r="A210" s="1718">
        <f t="shared" si="5"/>
        <v>0</v>
      </c>
      <c r="B210" s="1744">
        <f t="shared" si="6"/>
        <v>197</v>
      </c>
      <c r="C210" s="1737"/>
      <c r="D210" s="1736"/>
      <c r="E210" s="1736"/>
      <c r="F210" s="1736"/>
      <c r="G210" s="1738"/>
      <c r="H210" s="1739"/>
      <c r="I210" s="1736"/>
      <c r="J210" s="1736"/>
      <c r="K210" s="1736"/>
      <c r="L210" s="1738"/>
      <c r="M210" s="1736"/>
      <c r="N210" s="1740"/>
      <c r="O210" s="1740"/>
      <c r="P210" s="1741"/>
      <c r="Q210" s="1741"/>
      <c r="R210" s="1736"/>
      <c r="S210" s="1742"/>
      <c r="T210" s="1742"/>
      <c r="U210" s="1742"/>
      <c r="V210" s="1736"/>
      <c r="W210" s="1736"/>
      <c r="X210" s="1736"/>
      <c r="Y210" s="1736"/>
      <c r="Z210" s="1736"/>
      <c r="AA210" s="1742"/>
      <c r="AB210" s="1738"/>
      <c r="AC210" s="1742"/>
      <c r="AD210" s="1742"/>
      <c r="AE210" s="1742"/>
      <c r="AF210" s="1742"/>
      <c r="AG210" s="1736"/>
    </row>
    <row r="211" spans="1:33">
      <c r="A211" s="1718">
        <f t="shared" si="5"/>
        <v>0</v>
      </c>
      <c r="B211" s="1744">
        <f t="shared" si="6"/>
        <v>198</v>
      </c>
      <c r="C211" s="1737"/>
      <c r="D211" s="1736"/>
      <c r="E211" s="1736"/>
      <c r="F211" s="1736"/>
      <c r="G211" s="1738"/>
      <c r="H211" s="1739"/>
      <c r="I211" s="1736"/>
      <c r="J211" s="1736"/>
      <c r="K211" s="1736"/>
      <c r="L211" s="1738"/>
      <c r="M211" s="1736"/>
      <c r="N211" s="1740"/>
      <c r="O211" s="1740"/>
      <c r="P211" s="1741"/>
      <c r="Q211" s="1741"/>
      <c r="R211" s="1736"/>
      <c r="S211" s="1742"/>
      <c r="T211" s="1742"/>
      <c r="U211" s="1742"/>
      <c r="V211" s="1736"/>
      <c r="W211" s="1736"/>
      <c r="X211" s="1736"/>
      <c r="Y211" s="1736"/>
      <c r="Z211" s="1736"/>
      <c r="AA211" s="1742"/>
      <c r="AB211" s="1738"/>
      <c r="AC211" s="1742"/>
      <c r="AD211" s="1742"/>
      <c r="AE211" s="1742"/>
      <c r="AF211" s="1742"/>
      <c r="AG211" s="1736"/>
    </row>
    <row r="212" spans="1:33">
      <c r="A212" s="1718">
        <f t="shared" si="5"/>
        <v>0</v>
      </c>
      <c r="B212" s="1744">
        <f t="shared" si="6"/>
        <v>199</v>
      </c>
      <c r="C212" s="1737"/>
      <c r="D212" s="1736"/>
      <c r="E212" s="1736"/>
      <c r="F212" s="1736"/>
      <c r="G212" s="1738"/>
      <c r="H212" s="1739"/>
      <c r="I212" s="1736"/>
      <c r="J212" s="1736"/>
      <c r="K212" s="1736"/>
      <c r="L212" s="1738"/>
      <c r="M212" s="1736"/>
      <c r="N212" s="1740"/>
      <c r="O212" s="1740"/>
      <c r="P212" s="1741"/>
      <c r="Q212" s="1741"/>
      <c r="R212" s="1736"/>
      <c r="S212" s="1742"/>
      <c r="T212" s="1742"/>
      <c r="U212" s="1742"/>
      <c r="V212" s="1736"/>
      <c r="W212" s="1736"/>
      <c r="X212" s="1736"/>
      <c r="Y212" s="1736"/>
      <c r="Z212" s="1736"/>
      <c r="AA212" s="1742"/>
      <c r="AB212" s="1738"/>
      <c r="AC212" s="1742"/>
      <c r="AD212" s="1742"/>
      <c r="AE212" s="1742"/>
      <c r="AF212" s="1742"/>
      <c r="AG212" s="1736"/>
    </row>
    <row r="213" spans="1:33">
      <c r="A213" s="1718">
        <f t="shared" si="5"/>
        <v>0</v>
      </c>
      <c r="B213" s="1744">
        <f t="shared" si="6"/>
        <v>200</v>
      </c>
      <c r="C213" s="1737"/>
      <c r="D213" s="1736"/>
      <c r="E213" s="1736"/>
      <c r="F213" s="1736"/>
      <c r="G213" s="1738"/>
      <c r="H213" s="1739"/>
      <c r="I213" s="1736"/>
      <c r="J213" s="1736"/>
      <c r="K213" s="1736"/>
      <c r="L213" s="1738"/>
      <c r="M213" s="1736"/>
      <c r="N213" s="1740"/>
      <c r="O213" s="1740"/>
      <c r="P213" s="1741"/>
      <c r="Q213" s="1741"/>
      <c r="R213" s="1736"/>
      <c r="S213" s="1742"/>
      <c r="T213" s="1742"/>
      <c r="U213" s="1742"/>
      <c r="V213" s="1736"/>
      <c r="W213" s="1736"/>
      <c r="X213" s="1736"/>
      <c r="Y213" s="1736"/>
      <c r="Z213" s="1736"/>
      <c r="AA213" s="1742"/>
      <c r="AB213" s="1738"/>
      <c r="AC213" s="1742"/>
      <c r="AD213" s="1742"/>
      <c r="AE213" s="1742"/>
      <c r="AF213" s="1742"/>
      <c r="AG213" s="1736"/>
    </row>
    <row r="214" spans="1:33">
      <c r="A214" s="1718">
        <f t="shared" si="5"/>
        <v>0</v>
      </c>
      <c r="B214" s="1744">
        <f t="shared" si="6"/>
        <v>201</v>
      </c>
      <c r="C214" s="1737"/>
      <c r="D214" s="1736"/>
      <c r="E214" s="1736"/>
      <c r="F214" s="1736"/>
      <c r="G214" s="1738"/>
      <c r="H214" s="1739"/>
      <c r="I214" s="1736"/>
      <c r="J214" s="1736"/>
      <c r="K214" s="1736"/>
      <c r="L214" s="1738"/>
      <c r="M214" s="1736"/>
      <c r="N214" s="1740"/>
      <c r="O214" s="1740"/>
      <c r="P214" s="1741"/>
      <c r="Q214" s="1741"/>
      <c r="R214" s="1736"/>
      <c r="S214" s="1742"/>
      <c r="T214" s="1742"/>
      <c r="U214" s="1742"/>
      <c r="V214" s="1736"/>
      <c r="W214" s="1736"/>
      <c r="X214" s="1736"/>
      <c r="Y214" s="1736"/>
      <c r="Z214" s="1736"/>
      <c r="AA214" s="1742"/>
      <c r="AB214" s="1738"/>
      <c r="AC214" s="1742"/>
      <c r="AD214" s="1742"/>
      <c r="AE214" s="1742"/>
      <c r="AF214" s="1742"/>
      <c r="AG214" s="1736"/>
    </row>
    <row r="215" spans="1:33">
      <c r="A215" s="1718">
        <f t="shared" si="5"/>
        <v>0</v>
      </c>
      <c r="B215" s="1744">
        <f t="shared" si="6"/>
        <v>202</v>
      </c>
      <c r="C215" s="1737"/>
      <c r="D215" s="1736"/>
      <c r="E215" s="1736"/>
      <c r="F215" s="1736"/>
      <c r="G215" s="1738"/>
      <c r="H215" s="1739"/>
      <c r="I215" s="1736"/>
      <c r="J215" s="1736"/>
      <c r="K215" s="1736"/>
      <c r="L215" s="1738"/>
      <c r="M215" s="1736"/>
      <c r="N215" s="1740"/>
      <c r="O215" s="1740"/>
      <c r="P215" s="1741"/>
      <c r="Q215" s="1741"/>
      <c r="R215" s="1736"/>
      <c r="S215" s="1742"/>
      <c r="T215" s="1742"/>
      <c r="U215" s="1742"/>
      <c r="V215" s="1736"/>
      <c r="W215" s="1736"/>
      <c r="X215" s="1736"/>
      <c r="Y215" s="1736"/>
      <c r="Z215" s="1736"/>
      <c r="AA215" s="1742"/>
      <c r="AB215" s="1738"/>
      <c r="AC215" s="1742"/>
      <c r="AD215" s="1742"/>
      <c r="AE215" s="1742"/>
      <c r="AF215" s="1742"/>
      <c r="AG215" s="1736"/>
    </row>
    <row r="216" spans="1:33">
      <c r="A216" s="1718">
        <f t="shared" si="5"/>
        <v>0</v>
      </c>
      <c r="B216" s="1744">
        <f t="shared" si="6"/>
        <v>203</v>
      </c>
      <c r="C216" s="1737"/>
      <c r="D216" s="1736"/>
      <c r="E216" s="1736"/>
      <c r="F216" s="1736"/>
      <c r="G216" s="1738"/>
      <c r="H216" s="1739"/>
      <c r="I216" s="1736"/>
      <c r="J216" s="1736"/>
      <c r="K216" s="1736"/>
      <c r="L216" s="1738"/>
      <c r="M216" s="1736"/>
      <c r="N216" s="1740"/>
      <c r="O216" s="1740"/>
      <c r="P216" s="1741"/>
      <c r="Q216" s="1741"/>
      <c r="R216" s="1736"/>
      <c r="S216" s="1742"/>
      <c r="T216" s="1742"/>
      <c r="U216" s="1742"/>
      <c r="V216" s="1736"/>
      <c r="W216" s="1736"/>
      <c r="X216" s="1736"/>
      <c r="Y216" s="1736"/>
      <c r="Z216" s="1736"/>
      <c r="AA216" s="1742"/>
      <c r="AB216" s="1738"/>
      <c r="AC216" s="1742"/>
      <c r="AD216" s="1742"/>
      <c r="AE216" s="1742"/>
      <c r="AF216" s="1742"/>
      <c r="AG216" s="1736"/>
    </row>
    <row r="217" spans="1:33">
      <c r="A217" s="1718">
        <f t="shared" si="5"/>
        <v>0</v>
      </c>
      <c r="B217" s="1744">
        <f t="shared" si="6"/>
        <v>204</v>
      </c>
      <c r="C217" s="1737"/>
      <c r="D217" s="1736"/>
      <c r="E217" s="1736"/>
      <c r="F217" s="1736"/>
      <c r="G217" s="1738"/>
      <c r="H217" s="1739"/>
      <c r="I217" s="1736"/>
      <c r="J217" s="1736"/>
      <c r="K217" s="1736"/>
      <c r="L217" s="1738"/>
      <c r="M217" s="1736"/>
      <c r="N217" s="1740"/>
      <c r="O217" s="1740"/>
      <c r="P217" s="1741"/>
      <c r="Q217" s="1741"/>
      <c r="R217" s="1736"/>
      <c r="S217" s="1742"/>
      <c r="T217" s="1742"/>
      <c r="U217" s="1742"/>
      <c r="V217" s="1736"/>
      <c r="W217" s="1736"/>
      <c r="X217" s="1736"/>
      <c r="Y217" s="1736"/>
      <c r="Z217" s="1736"/>
      <c r="AA217" s="1742"/>
      <c r="AB217" s="1738"/>
      <c r="AC217" s="1742"/>
      <c r="AD217" s="1742"/>
      <c r="AE217" s="1742"/>
      <c r="AF217" s="1742"/>
      <c r="AG217" s="1736"/>
    </row>
    <row r="218" spans="1:33">
      <c r="A218" s="1718">
        <f t="shared" si="5"/>
        <v>0</v>
      </c>
      <c r="B218" s="1744">
        <f t="shared" si="6"/>
        <v>205</v>
      </c>
      <c r="C218" s="1737"/>
      <c r="D218" s="1736"/>
      <c r="E218" s="1736"/>
      <c r="F218" s="1736"/>
      <c r="G218" s="1738"/>
      <c r="H218" s="1739"/>
      <c r="I218" s="1736"/>
      <c r="J218" s="1736"/>
      <c r="K218" s="1736"/>
      <c r="L218" s="1738"/>
      <c r="M218" s="1736"/>
      <c r="N218" s="1740"/>
      <c r="O218" s="1740"/>
      <c r="P218" s="1741"/>
      <c r="Q218" s="1741"/>
      <c r="R218" s="1736"/>
      <c r="S218" s="1742"/>
      <c r="T218" s="1742"/>
      <c r="U218" s="1742"/>
      <c r="V218" s="1736"/>
      <c r="W218" s="1736"/>
      <c r="X218" s="1736"/>
      <c r="Y218" s="1736"/>
      <c r="Z218" s="1736"/>
      <c r="AA218" s="1742"/>
      <c r="AB218" s="1738"/>
      <c r="AC218" s="1742"/>
      <c r="AD218" s="1742"/>
      <c r="AE218" s="1742"/>
      <c r="AF218" s="1742"/>
      <c r="AG218" s="1736"/>
    </row>
    <row r="219" spans="1:33">
      <c r="A219" s="1718">
        <f t="shared" si="5"/>
        <v>0</v>
      </c>
      <c r="B219" s="1744">
        <f t="shared" si="6"/>
        <v>206</v>
      </c>
      <c r="C219" s="1737"/>
      <c r="D219" s="1736"/>
      <c r="E219" s="1736"/>
      <c r="F219" s="1736"/>
      <c r="G219" s="1738"/>
      <c r="H219" s="1739"/>
      <c r="I219" s="1736"/>
      <c r="J219" s="1736"/>
      <c r="K219" s="1736"/>
      <c r="L219" s="1738"/>
      <c r="M219" s="1736"/>
      <c r="N219" s="1740"/>
      <c r="O219" s="1740"/>
      <c r="P219" s="1741"/>
      <c r="Q219" s="1741"/>
      <c r="R219" s="1736"/>
      <c r="S219" s="1742"/>
      <c r="T219" s="1742"/>
      <c r="U219" s="1742"/>
      <c r="V219" s="1736"/>
      <c r="W219" s="1736"/>
      <c r="X219" s="1736"/>
      <c r="Y219" s="1736"/>
      <c r="Z219" s="1736"/>
      <c r="AA219" s="1742"/>
      <c r="AB219" s="1738"/>
      <c r="AC219" s="1742"/>
      <c r="AD219" s="1742"/>
      <c r="AE219" s="1742"/>
      <c r="AF219" s="1742"/>
      <c r="AG219" s="1736"/>
    </row>
    <row r="220" spans="1:33">
      <c r="A220" s="1718">
        <f t="shared" si="5"/>
        <v>0</v>
      </c>
      <c r="B220" s="1744">
        <f t="shared" si="6"/>
        <v>207</v>
      </c>
      <c r="C220" s="1737"/>
      <c r="D220" s="1736"/>
      <c r="E220" s="1736"/>
      <c r="F220" s="1736"/>
      <c r="G220" s="1738"/>
      <c r="H220" s="1739"/>
      <c r="I220" s="1736"/>
      <c r="J220" s="1736"/>
      <c r="K220" s="1736"/>
      <c r="L220" s="1738"/>
      <c r="M220" s="1736"/>
      <c r="N220" s="1740"/>
      <c r="O220" s="1740"/>
      <c r="P220" s="1741"/>
      <c r="Q220" s="1741"/>
      <c r="R220" s="1736"/>
      <c r="S220" s="1742"/>
      <c r="T220" s="1742"/>
      <c r="U220" s="1742"/>
      <c r="V220" s="1736"/>
      <c r="W220" s="1736"/>
      <c r="X220" s="1736"/>
      <c r="Y220" s="1736"/>
      <c r="Z220" s="1736"/>
      <c r="AA220" s="1742"/>
      <c r="AB220" s="1738"/>
      <c r="AC220" s="1742"/>
      <c r="AD220" s="1742"/>
      <c r="AE220" s="1742"/>
      <c r="AF220" s="1742"/>
      <c r="AG220" s="1736"/>
    </row>
    <row r="221" spans="1:33">
      <c r="A221" s="1718">
        <f t="shared" si="5"/>
        <v>0</v>
      </c>
      <c r="B221" s="1744">
        <f t="shared" si="6"/>
        <v>208</v>
      </c>
      <c r="C221" s="1737"/>
      <c r="D221" s="1736"/>
      <c r="E221" s="1736"/>
      <c r="F221" s="1736"/>
      <c r="G221" s="1738"/>
      <c r="H221" s="1739"/>
      <c r="I221" s="1736"/>
      <c r="J221" s="1736"/>
      <c r="K221" s="1736"/>
      <c r="L221" s="1738"/>
      <c r="M221" s="1736"/>
      <c r="N221" s="1740"/>
      <c r="O221" s="1740"/>
      <c r="P221" s="1741"/>
      <c r="Q221" s="1741"/>
      <c r="R221" s="1736"/>
      <c r="S221" s="1742"/>
      <c r="T221" s="1742"/>
      <c r="U221" s="1742"/>
      <c r="V221" s="1736"/>
      <c r="W221" s="1736"/>
      <c r="X221" s="1736"/>
      <c r="Y221" s="1736"/>
      <c r="Z221" s="1736"/>
      <c r="AA221" s="1742"/>
      <c r="AB221" s="1738"/>
      <c r="AC221" s="1742"/>
      <c r="AD221" s="1742"/>
      <c r="AE221" s="1742"/>
      <c r="AF221" s="1742"/>
      <c r="AG221" s="1736"/>
    </row>
    <row r="222" spans="1:33">
      <c r="A222" s="1718">
        <f t="shared" si="5"/>
        <v>0</v>
      </c>
      <c r="B222" s="1744">
        <f t="shared" si="6"/>
        <v>209</v>
      </c>
      <c r="C222" s="1737"/>
      <c r="D222" s="1736"/>
      <c r="E222" s="1736"/>
      <c r="F222" s="1736"/>
      <c r="G222" s="1738"/>
      <c r="H222" s="1739"/>
      <c r="I222" s="1736"/>
      <c r="J222" s="1736"/>
      <c r="K222" s="1736"/>
      <c r="L222" s="1738"/>
      <c r="M222" s="1736"/>
      <c r="N222" s="1740"/>
      <c r="O222" s="1740"/>
      <c r="P222" s="1741"/>
      <c r="Q222" s="1741"/>
      <c r="R222" s="1736"/>
      <c r="S222" s="1742"/>
      <c r="T222" s="1742"/>
      <c r="U222" s="1742"/>
      <c r="V222" s="1736"/>
      <c r="W222" s="1736"/>
      <c r="X222" s="1736"/>
      <c r="Y222" s="1736"/>
      <c r="Z222" s="1736"/>
      <c r="AA222" s="1742"/>
      <c r="AB222" s="1738"/>
      <c r="AC222" s="1742"/>
      <c r="AD222" s="1742"/>
      <c r="AE222" s="1742"/>
      <c r="AF222" s="1742"/>
      <c r="AG222" s="1736"/>
    </row>
    <row r="223" spans="1:33">
      <c r="A223" s="1718">
        <f t="shared" si="5"/>
        <v>0</v>
      </c>
      <c r="B223" s="1744">
        <f t="shared" si="6"/>
        <v>210</v>
      </c>
      <c r="C223" s="1737"/>
      <c r="D223" s="1736"/>
      <c r="E223" s="1736"/>
      <c r="F223" s="1736"/>
      <c r="G223" s="1738"/>
      <c r="H223" s="1739"/>
      <c r="I223" s="1736"/>
      <c r="J223" s="1736"/>
      <c r="K223" s="1736"/>
      <c r="L223" s="1738"/>
      <c r="M223" s="1736"/>
      <c r="N223" s="1740"/>
      <c r="O223" s="1740"/>
      <c r="P223" s="1741"/>
      <c r="Q223" s="1741"/>
      <c r="R223" s="1736"/>
      <c r="S223" s="1742"/>
      <c r="T223" s="1742"/>
      <c r="U223" s="1742"/>
      <c r="V223" s="1736"/>
      <c r="W223" s="1736"/>
      <c r="X223" s="1736"/>
      <c r="Y223" s="1736"/>
      <c r="Z223" s="1736"/>
      <c r="AA223" s="1742"/>
      <c r="AB223" s="1738"/>
      <c r="AC223" s="1742"/>
      <c r="AD223" s="1742"/>
      <c r="AE223" s="1742"/>
      <c r="AF223" s="1742"/>
      <c r="AG223" s="1736"/>
    </row>
    <row r="224" spans="1:33">
      <c r="A224" s="1718">
        <f t="shared" si="5"/>
        <v>0</v>
      </c>
      <c r="B224" s="1744">
        <f t="shared" si="6"/>
        <v>211</v>
      </c>
      <c r="C224" s="1737"/>
      <c r="D224" s="1736"/>
      <c r="E224" s="1736"/>
      <c r="F224" s="1736"/>
      <c r="G224" s="1738"/>
      <c r="H224" s="1739"/>
      <c r="I224" s="1736"/>
      <c r="J224" s="1736"/>
      <c r="K224" s="1736"/>
      <c r="L224" s="1738"/>
      <c r="M224" s="1736"/>
      <c r="N224" s="1740"/>
      <c r="O224" s="1740"/>
      <c r="P224" s="1741"/>
      <c r="Q224" s="1741"/>
      <c r="R224" s="1736"/>
      <c r="S224" s="1742"/>
      <c r="T224" s="1742"/>
      <c r="U224" s="1742"/>
      <c r="V224" s="1736"/>
      <c r="W224" s="1736"/>
      <c r="X224" s="1736"/>
      <c r="Y224" s="1736"/>
      <c r="Z224" s="1736"/>
      <c r="AA224" s="1742"/>
      <c r="AB224" s="1738"/>
      <c r="AC224" s="1742"/>
      <c r="AD224" s="1742"/>
      <c r="AE224" s="1742"/>
      <c r="AF224" s="1742"/>
      <c r="AG224" s="1736"/>
    </row>
    <row r="225" spans="1:33">
      <c r="A225" s="1718">
        <f t="shared" si="5"/>
        <v>0</v>
      </c>
      <c r="B225" s="1744">
        <f t="shared" si="6"/>
        <v>212</v>
      </c>
      <c r="C225" s="1737"/>
      <c r="D225" s="1736"/>
      <c r="E225" s="1736"/>
      <c r="F225" s="1736"/>
      <c r="G225" s="1738"/>
      <c r="H225" s="1739"/>
      <c r="I225" s="1736"/>
      <c r="J225" s="1736"/>
      <c r="K225" s="1736"/>
      <c r="L225" s="1738"/>
      <c r="M225" s="1736"/>
      <c r="N225" s="1740"/>
      <c r="O225" s="1740"/>
      <c r="P225" s="1741"/>
      <c r="Q225" s="1741"/>
      <c r="R225" s="1736"/>
      <c r="S225" s="1742"/>
      <c r="T225" s="1742"/>
      <c r="U225" s="1742"/>
      <c r="V225" s="1736"/>
      <c r="W225" s="1736"/>
      <c r="X225" s="1736"/>
      <c r="Y225" s="1736"/>
      <c r="Z225" s="1736"/>
      <c r="AA225" s="1742"/>
      <c r="AB225" s="1738"/>
      <c r="AC225" s="1742"/>
      <c r="AD225" s="1742"/>
      <c r="AE225" s="1742"/>
      <c r="AF225" s="1742"/>
      <c r="AG225" s="1736"/>
    </row>
    <row r="226" spans="1:33">
      <c r="A226" s="1718">
        <f t="shared" si="5"/>
        <v>0</v>
      </c>
      <c r="B226" s="1744">
        <f t="shared" si="6"/>
        <v>213</v>
      </c>
      <c r="C226" s="1737"/>
      <c r="D226" s="1736"/>
      <c r="E226" s="1736"/>
      <c r="F226" s="1736"/>
      <c r="G226" s="1738"/>
      <c r="H226" s="1739"/>
      <c r="I226" s="1736"/>
      <c r="J226" s="1736"/>
      <c r="K226" s="1736"/>
      <c r="L226" s="1738"/>
      <c r="M226" s="1736"/>
      <c r="N226" s="1740"/>
      <c r="O226" s="1740"/>
      <c r="P226" s="1741"/>
      <c r="Q226" s="1741"/>
      <c r="R226" s="1736"/>
      <c r="S226" s="1742"/>
      <c r="T226" s="1742"/>
      <c r="U226" s="1742"/>
      <c r="V226" s="1736"/>
      <c r="W226" s="1736"/>
      <c r="X226" s="1736"/>
      <c r="Y226" s="1736"/>
      <c r="Z226" s="1736"/>
      <c r="AA226" s="1742"/>
      <c r="AB226" s="1738"/>
      <c r="AC226" s="1742"/>
      <c r="AD226" s="1742"/>
      <c r="AE226" s="1742"/>
      <c r="AF226" s="1742"/>
      <c r="AG226" s="1736"/>
    </row>
    <row r="227" spans="1:33">
      <c r="A227" s="1718">
        <f t="shared" si="5"/>
        <v>0</v>
      </c>
      <c r="B227" s="1744">
        <f t="shared" si="6"/>
        <v>214</v>
      </c>
      <c r="C227" s="1737"/>
      <c r="D227" s="1736"/>
      <c r="E227" s="1736"/>
      <c r="F227" s="1736"/>
      <c r="G227" s="1738"/>
      <c r="H227" s="1739"/>
      <c r="I227" s="1736"/>
      <c r="J227" s="1736"/>
      <c r="K227" s="1736"/>
      <c r="L227" s="1738"/>
      <c r="M227" s="1736"/>
      <c r="N227" s="1740"/>
      <c r="O227" s="1740"/>
      <c r="P227" s="1741"/>
      <c r="Q227" s="1741"/>
      <c r="R227" s="1736"/>
      <c r="S227" s="1742"/>
      <c r="T227" s="1742"/>
      <c r="U227" s="1742"/>
      <c r="V227" s="1736"/>
      <c r="W227" s="1736"/>
      <c r="X227" s="1736"/>
      <c r="Y227" s="1736"/>
      <c r="Z227" s="1736"/>
      <c r="AA227" s="1742"/>
      <c r="AB227" s="1738"/>
      <c r="AC227" s="1742"/>
      <c r="AD227" s="1742"/>
      <c r="AE227" s="1742"/>
      <c r="AF227" s="1742"/>
      <c r="AG227" s="1736"/>
    </row>
    <row r="228" spans="1:33">
      <c r="A228" s="1718">
        <f t="shared" si="5"/>
        <v>0</v>
      </c>
      <c r="B228" s="1744">
        <f t="shared" si="6"/>
        <v>215</v>
      </c>
      <c r="C228" s="1737"/>
      <c r="D228" s="1736"/>
      <c r="E228" s="1736"/>
      <c r="F228" s="1736"/>
      <c r="G228" s="1738"/>
      <c r="H228" s="1739"/>
      <c r="I228" s="1736"/>
      <c r="J228" s="1736"/>
      <c r="K228" s="1736"/>
      <c r="L228" s="1738"/>
      <c r="M228" s="1736"/>
      <c r="N228" s="1740"/>
      <c r="O228" s="1740"/>
      <c r="P228" s="1741"/>
      <c r="Q228" s="1741"/>
      <c r="R228" s="1736"/>
      <c r="S228" s="1742"/>
      <c r="T228" s="1742"/>
      <c r="U228" s="1742"/>
      <c r="V228" s="1736"/>
      <c r="W228" s="1736"/>
      <c r="X228" s="1736"/>
      <c r="Y228" s="1736"/>
      <c r="Z228" s="1736"/>
      <c r="AA228" s="1742"/>
      <c r="AB228" s="1738"/>
      <c r="AC228" s="1742"/>
      <c r="AD228" s="1742"/>
      <c r="AE228" s="1742"/>
      <c r="AF228" s="1742"/>
      <c r="AG228" s="1736"/>
    </row>
    <row r="229" spans="1:33">
      <c r="A229" s="1718">
        <f t="shared" si="5"/>
        <v>0</v>
      </c>
      <c r="B229" s="1744">
        <f t="shared" si="6"/>
        <v>216</v>
      </c>
      <c r="C229" s="1737"/>
      <c r="D229" s="1736"/>
      <c r="E229" s="1736"/>
      <c r="F229" s="1736"/>
      <c r="G229" s="1738"/>
      <c r="H229" s="1739"/>
      <c r="I229" s="1736"/>
      <c r="J229" s="1736"/>
      <c r="K229" s="1736"/>
      <c r="L229" s="1738"/>
      <c r="M229" s="1736"/>
      <c r="N229" s="1740"/>
      <c r="O229" s="1740"/>
      <c r="P229" s="1741"/>
      <c r="Q229" s="1741"/>
      <c r="R229" s="1736"/>
      <c r="S229" s="1742"/>
      <c r="T229" s="1742"/>
      <c r="U229" s="1742"/>
      <c r="V229" s="1736"/>
      <c r="W229" s="1736"/>
      <c r="X229" s="1736"/>
      <c r="Y229" s="1736"/>
      <c r="Z229" s="1736"/>
      <c r="AA229" s="1742"/>
      <c r="AB229" s="1738"/>
      <c r="AC229" s="1742"/>
      <c r="AD229" s="1742"/>
      <c r="AE229" s="1742"/>
      <c r="AF229" s="1742"/>
      <c r="AG229" s="1736"/>
    </row>
    <row r="230" spans="1:33">
      <c r="A230" s="1718">
        <f t="shared" si="5"/>
        <v>0</v>
      </c>
      <c r="B230" s="1744">
        <f t="shared" si="6"/>
        <v>217</v>
      </c>
      <c r="C230" s="1737"/>
      <c r="D230" s="1736"/>
      <c r="E230" s="1736"/>
      <c r="F230" s="1736"/>
      <c r="G230" s="1738"/>
      <c r="H230" s="1739"/>
      <c r="I230" s="1736"/>
      <c r="J230" s="1736"/>
      <c r="K230" s="1736"/>
      <c r="L230" s="1738"/>
      <c r="M230" s="1736"/>
      <c r="N230" s="1740"/>
      <c r="O230" s="1740"/>
      <c r="P230" s="1741"/>
      <c r="Q230" s="1741"/>
      <c r="R230" s="1736"/>
      <c r="S230" s="1742"/>
      <c r="T230" s="1742"/>
      <c r="U230" s="1742"/>
      <c r="V230" s="1736"/>
      <c r="W230" s="1736"/>
      <c r="X230" s="1736"/>
      <c r="Y230" s="1736"/>
      <c r="Z230" s="1736"/>
      <c r="AA230" s="1742"/>
      <c r="AB230" s="1738"/>
      <c r="AC230" s="1742"/>
      <c r="AD230" s="1742"/>
      <c r="AE230" s="1742"/>
      <c r="AF230" s="1742"/>
      <c r="AG230" s="1736"/>
    </row>
    <row r="231" spans="1:33">
      <c r="A231" s="1718">
        <f t="shared" si="5"/>
        <v>0</v>
      </c>
      <c r="B231" s="1744">
        <f t="shared" si="6"/>
        <v>218</v>
      </c>
      <c r="C231" s="1737"/>
      <c r="D231" s="1736"/>
      <c r="E231" s="1736"/>
      <c r="F231" s="1736"/>
      <c r="G231" s="1738"/>
      <c r="H231" s="1739"/>
      <c r="I231" s="1736"/>
      <c r="J231" s="1736"/>
      <c r="K231" s="1736"/>
      <c r="L231" s="1738"/>
      <c r="M231" s="1736"/>
      <c r="N231" s="1740"/>
      <c r="O231" s="1740"/>
      <c r="P231" s="1741"/>
      <c r="Q231" s="1741"/>
      <c r="R231" s="1736"/>
      <c r="S231" s="1742"/>
      <c r="T231" s="1742"/>
      <c r="U231" s="1742"/>
      <c r="V231" s="1736"/>
      <c r="W231" s="1736"/>
      <c r="X231" s="1736"/>
      <c r="Y231" s="1736"/>
      <c r="Z231" s="1736"/>
      <c r="AA231" s="1742"/>
      <c r="AB231" s="1738"/>
      <c r="AC231" s="1742"/>
      <c r="AD231" s="1742"/>
      <c r="AE231" s="1742"/>
      <c r="AF231" s="1742"/>
      <c r="AG231" s="1736"/>
    </row>
    <row r="232" spans="1:33">
      <c r="A232" s="1718">
        <f t="shared" si="5"/>
        <v>0</v>
      </c>
      <c r="B232" s="1744">
        <f t="shared" si="6"/>
        <v>219</v>
      </c>
      <c r="C232" s="1737"/>
      <c r="D232" s="1736"/>
      <c r="E232" s="1736"/>
      <c r="F232" s="1736"/>
      <c r="G232" s="1738"/>
      <c r="H232" s="1739"/>
      <c r="I232" s="1736"/>
      <c r="J232" s="1736"/>
      <c r="K232" s="1736"/>
      <c r="L232" s="1738"/>
      <c r="M232" s="1736"/>
      <c r="N232" s="1740"/>
      <c r="O232" s="1740"/>
      <c r="P232" s="1741"/>
      <c r="Q232" s="1741"/>
      <c r="R232" s="1736"/>
      <c r="S232" s="1742"/>
      <c r="T232" s="1742"/>
      <c r="U232" s="1742"/>
      <c r="V232" s="1736"/>
      <c r="W232" s="1736"/>
      <c r="X232" s="1736"/>
      <c r="Y232" s="1736"/>
      <c r="Z232" s="1736"/>
      <c r="AA232" s="1742"/>
      <c r="AB232" s="1738"/>
      <c r="AC232" s="1742"/>
      <c r="AD232" s="1742"/>
      <c r="AE232" s="1742"/>
      <c r="AF232" s="1742"/>
      <c r="AG232" s="1736"/>
    </row>
    <row r="233" spans="1:33">
      <c r="A233" s="1718">
        <f t="shared" si="5"/>
        <v>0</v>
      </c>
      <c r="B233" s="1744">
        <f t="shared" si="6"/>
        <v>220</v>
      </c>
      <c r="C233" s="1737"/>
      <c r="D233" s="1736"/>
      <c r="E233" s="1736"/>
      <c r="F233" s="1736"/>
      <c r="G233" s="1738"/>
      <c r="H233" s="1739"/>
      <c r="I233" s="1736"/>
      <c r="J233" s="1736"/>
      <c r="K233" s="1736"/>
      <c r="L233" s="1738"/>
      <c r="M233" s="1736"/>
      <c r="N233" s="1740"/>
      <c r="O233" s="1740"/>
      <c r="P233" s="1741"/>
      <c r="Q233" s="1741"/>
      <c r="R233" s="1736"/>
      <c r="S233" s="1742"/>
      <c r="T233" s="1742"/>
      <c r="U233" s="1742"/>
      <c r="V233" s="1736"/>
      <c r="W233" s="1736"/>
      <c r="X233" s="1736"/>
      <c r="Y233" s="1736"/>
      <c r="Z233" s="1736"/>
      <c r="AA233" s="1742"/>
      <c r="AB233" s="1738"/>
      <c r="AC233" s="1742"/>
      <c r="AD233" s="1742"/>
      <c r="AE233" s="1742"/>
      <c r="AF233" s="1742"/>
      <c r="AG233" s="1736"/>
    </row>
    <row r="234" spans="1:33">
      <c r="A234" s="1718">
        <f t="shared" si="5"/>
        <v>0</v>
      </c>
      <c r="B234" s="1744">
        <f t="shared" si="6"/>
        <v>221</v>
      </c>
      <c r="C234" s="1737"/>
      <c r="D234" s="1736"/>
      <c r="E234" s="1736"/>
      <c r="F234" s="1736"/>
      <c r="G234" s="1738"/>
      <c r="H234" s="1739"/>
      <c r="I234" s="1736"/>
      <c r="J234" s="1736"/>
      <c r="K234" s="1736"/>
      <c r="L234" s="1738"/>
      <c r="M234" s="1736"/>
      <c r="N234" s="1740"/>
      <c r="O234" s="1740"/>
      <c r="P234" s="1741"/>
      <c r="Q234" s="1741"/>
      <c r="R234" s="1736"/>
      <c r="S234" s="1742"/>
      <c r="T234" s="1742"/>
      <c r="U234" s="1742"/>
      <c r="V234" s="1736"/>
      <c r="W234" s="1736"/>
      <c r="X234" s="1736"/>
      <c r="Y234" s="1736"/>
      <c r="Z234" s="1736"/>
      <c r="AA234" s="1742"/>
      <c r="AB234" s="1738"/>
      <c r="AC234" s="1742"/>
      <c r="AD234" s="1742"/>
      <c r="AE234" s="1742"/>
      <c r="AF234" s="1742"/>
      <c r="AG234" s="1736"/>
    </row>
    <row r="235" spans="1:33">
      <c r="A235" s="1718">
        <f t="shared" si="5"/>
        <v>0</v>
      </c>
      <c r="B235" s="1744">
        <f t="shared" si="6"/>
        <v>222</v>
      </c>
      <c r="C235" s="1737"/>
      <c r="D235" s="1736"/>
      <c r="E235" s="1736"/>
      <c r="F235" s="1736"/>
      <c r="G235" s="1738"/>
      <c r="H235" s="1739"/>
      <c r="I235" s="1736"/>
      <c r="J235" s="1736"/>
      <c r="K235" s="1736"/>
      <c r="L235" s="1738"/>
      <c r="M235" s="1736"/>
      <c r="N235" s="1740"/>
      <c r="O235" s="1740"/>
      <c r="P235" s="1741"/>
      <c r="Q235" s="1741"/>
      <c r="R235" s="1736"/>
      <c r="S235" s="1742"/>
      <c r="T235" s="1742"/>
      <c r="U235" s="1742"/>
      <c r="V235" s="1736"/>
      <c r="W235" s="1736"/>
      <c r="X235" s="1736"/>
      <c r="Y235" s="1736"/>
      <c r="Z235" s="1736"/>
      <c r="AA235" s="1742"/>
      <c r="AB235" s="1738"/>
      <c r="AC235" s="1742"/>
      <c r="AD235" s="1742"/>
      <c r="AE235" s="1742"/>
      <c r="AF235" s="1742"/>
      <c r="AG235" s="1736"/>
    </row>
    <row r="236" spans="1:33">
      <c r="A236" s="1718">
        <f t="shared" si="5"/>
        <v>0</v>
      </c>
      <c r="B236" s="1744">
        <f t="shared" si="6"/>
        <v>223</v>
      </c>
      <c r="C236" s="1737"/>
      <c r="D236" s="1736"/>
      <c r="E236" s="1736"/>
      <c r="F236" s="1736"/>
      <c r="G236" s="1738"/>
      <c r="H236" s="1739"/>
      <c r="I236" s="1736"/>
      <c r="J236" s="1736"/>
      <c r="K236" s="1736"/>
      <c r="L236" s="1738"/>
      <c r="M236" s="1736"/>
      <c r="N236" s="1740"/>
      <c r="O236" s="1740"/>
      <c r="P236" s="1741"/>
      <c r="Q236" s="1741"/>
      <c r="R236" s="1736"/>
      <c r="S236" s="1742"/>
      <c r="T236" s="1742"/>
      <c r="U236" s="1742"/>
      <c r="V236" s="1736"/>
      <c r="W236" s="1736"/>
      <c r="X236" s="1736"/>
      <c r="Y236" s="1736"/>
      <c r="Z236" s="1736"/>
      <c r="AA236" s="1742"/>
      <c r="AB236" s="1738"/>
      <c r="AC236" s="1742"/>
      <c r="AD236" s="1742"/>
      <c r="AE236" s="1742"/>
      <c r="AF236" s="1742"/>
      <c r="AG236" s="1736"/>
    </row>
    <row r="237" spans="1:33">
      <c r="A237" s="1718">
        <f t="shared" si="5"/>
        <v>0</v>
      </c>
      <c r="B237" s="1744">
        <f t="shared" si="6"/>
        <v>224</v>
      </c>
      <c r="C237" s="1737"/>
      <c r="D237" s="1736"/>
      <c r="E237" s="1736"/>
      <c r="F237" s="1736"/>
      <c r="G237" s="1738"/>
      <c r="H237" s="1739"/>
      <c r="I237" s="1736"/>
      <c r="J237" s="1736"/>
      <c r="K237" s="1736"/>
      <c r="L237" s="1738"/>
      <c r="M237" s="1736"/>
      <c r="N237" s="1740"/>
      <c r="O237" s="1740"/>
      <c r="P237" s="1741"/>
      <c r="Q237" s="1741"/>
      <c r="R237" s="1736"/>
      <c r="S237" s="1742"/>
      <c r="T237" s="1742"/>
      <c r="U237" s="1742"/>
      <c r="V237" s="1736"/>
      <c r="W237" s="1736"/>
      <c r="X237" s="1736"/>
      <c r="Y237" s="1736"/>
      <c r="Z237" s="1736"/>
      <c r="AA237" s="1742"/>
      <c r="AB237" s="1738"/>
      <c r="AC237" s="1742"/>
      <c r="AD237" s="1742"/>
      <c r="AE237" s="1742"/>
      <c r="AF237" s="1742"/>
      <c r="AG237" s="1736"/>
    </row>
    <row r="238" spans="1:33">
      <c r="A238" s="1718">
        <f t="shared" si="5"/>
        <v>0</v>
      </c>
      <c r="B238" s="1744">
        <f t="shared" si="6"/>
        <v>225</v>
      </c>
      <c r="C238" s="1737"/>
      <c r="D238" s="1736"/>
      <c r="E238" s="1736"/>
      <c r="F238" s="1736"/>
      <c r="G238" s="1738"/>
      <c r="H238" s="1739"/>
      <c r="I238" s="1736"/>
      <c r="J238" s="1736"/>
      <c r="K238" s="1736"/>
      <c r="L238" s="1738"/>
      <c r="M238" s="1736"/>
      <c r="N238" s="1740"/>
      <c r="O238" s="1740"/>
      <c r="P238" s="1741"/>
      <c r="Q238" s="1741"/>
      <c r="R238" s="1736"/>
      <c r="S238" s="1742"/>
      <c r="T238" s="1742"/>
      <c r="U238" s="1742"/>
      <c r="V238" s="1736"/>
      <c r="W238" s="1736"/>
      <c r="X238" s="1736"/>
      <c r="Y238" s="1736"/>
      <c r="Z238" s="1736"/>
      <c r="AA238" s="1742"/>
      <c r="AB238" s="1738"/>
      <c r="AC238" s="1742"/>
      <c r="AD238" s="1742"/>
      <c r="AE238" s="1742"/>
      <c r="AF238" s="1742"/>
      <c r="AG238" s="1736"/>
    </row>
    <row r="239" spans="1:33">
      <c r="A239" s="1718">
        <f t="shared" si="5"/>
        <v>0</v>
      </c>
      <c r="B239" s="1744">
        <f t="shared" si="6"/>
        <v>226</v>
      </c>
      <c r="C239" s="1737"/>
      <c r="D239" s="1736"/>
      <c r="E239" s="1736"/>
      <c r="F239" s="1736"/>
      <c r="G239" s="1738"/>
      <c r="H239" s="1739"/>
      <c r="I239" s="1736"/>
      <c r="J239" s="1736"/>
      <c r="K239" s="1736"/>
      <c r="L239" s="1738"/>
      <c r="M239" s="1736"/>
      <c r="N239" s="1740"/>
      <c r="O239" s="1740"/>
      <c r="P239" s="1741"/>
      <c r="Q239" s="1741"/>
      <c r="R239" s="1736"/>
      <c r="S239" s="1742"/>
      <c r="T239" s="1742"/>
      <c r="U239" s="1742"/>
      <c r="V239" s="1736"/>
      <c r="W239" s="1736"/>
      <c r="X239" s="1736"/>
      <c r="Y239" s="1736"/>
      <c r="Z239" s="1736"/>
      <c r="AA239" s="1742"/>
      <c r="AB239" s="1738"/>
      <c r="AC239" s="1742"/>
      <c r="AD239" s="1742"/>
      <c r="AE239" s="1742"/>
      <c r="AF239" s="1742"/>
      <c r="AG239" s="1736"/>
    </row>
    <row r="240" spans="1:33">
      <c r="A240" s="1718">
        <f t="shared" si="5"/>
        <v>0</v>
      </c>
      <c r="B240" s="1744">
        <f t="shared" si="6"/>
        <v>227</v>
      </c>
      <c r="C240" s="1737"/>
      <c r="D240" s="1736"/>
      <c r="E240" s="1736"/>
      <c r="F240" s="1736"/>
      <c r="G240" s="1738"/>
      <c r="H240" s="1739"/>
      <c r="I240" s="1736"/>
      <c r="J240" s="1736"/>
      <c r="K240" s="1736"/>
      <c r="L240" s="1738"/>
      <c r="M240" s="1736"/>
      <c r="N240" s="1740"/>
      <c r="O240" s="1740"/>
      <c r="P240" s="1741"/>
      <c r="Q240" s="1741"/>
      <c r="R240" s="1736"/>
      <c r="S240" s="1742"/>
      <c r="T240" s="1742"/>
      <c r="U240" s="1742"/>
      <c r="V240" s="1736"/>
      <c r="W240" s="1736"/>
      <c r="X240" s="1736"/>
      <c r="Y240" s="1736"/>
      <c r="Z240" s="1736"/>
      <c r="AA240" s="1742"/>
      <c r="AB240" s="1738"/>
      <c r="AC240" s="1742"/>
      <c r="AD240" s="1742"/>
      <c r="AE240" s="1742"/>
      <c r="AF240" s="1742"/>
      <c r="AG240" s="1736"/>
    </row>
    <row r="241" spans="1:33">
      <c r="A241" s="1718">
        <f t="shared" si="5"/>
        <v>0</v>
      </c>
      <c r="B241" s="1744">
        <f t="shared" si="6"/>
        <v>228</v>
      </c>
      <c r="C241" s="1737"/>
      <c r="D241" s="1736"/>
      <c r="E241" s="1736"/>
      <c r="F241" s="1736"/>
      <c r="G241" s="1738"/>
      <c r="H241" s="1739"/>
      <c r="I241" s="1736"/>
      <c r="J241" s="1736"/>
      <c r="K241" s="1736"/>
      <c r="L241" s="1738"/>
      <c r="M241" s="1736"/>
      <c r="N241" s="1740"/>
      <c r="O241" s="1740"/>
      <c r="P241" s="1741"/>
      <c r="Q241" s="1741"/>
      <c r="R241" s="1736"/>
      <c r="S241" s="1742"/>
      <c r="T241" s="1742"/>
      <c r="U241" s="1742"/>
      <c r="V241" s="1736"/>
      <c r="W241" s="1736"/>
      <c r="X241" s="1736"/>
      <c r="Y241" s="1736"/>
      <c r="Z241" s="1736"/>
      <c r="AA241" s="1742"/>
      <c r="AB241" s="1738"/>
      <c r="AC241" s="1742"/>
      <c r="AD241" s="1742"/>
      <c r="AE241" s="1742"/>
      <c r="AF241" s="1742"/>
      <c r="AG241" s="1736"/>
    </row>
    <row r="242" spans="1:33">
      <c r="A242" s="1718">
        <f t="shared" si="5"/>
        <v>0</v>
      </c>
      <c r="B242" s="1744">
        <f t="shared" si="6"/>
        <v>229</v>
      </c>
      <c r="C242" s="1737"/>
      <c r="D242" s="1736"/>
      <c r="E242" s="1736"/>
      <c r="F242" s="1736"/>
      <c r="G242" s="1738"/>
      <c r="H242" s="1739"/>
      <c r="I242" s="1736"/>
      <c r="J242" s="1736"/>
      <c r="K242" s="1736"/>
      <c r="L242" s="1738"/>
      <c r="M242" s="1736"/>
      <c r="N242" s="1740"/>
      <c r="O242" s="1740"/>
      <c r="P242" s="1741"/>
      <c r="Q242" s="1741"/>
      <c r="R242" s="1736"/>
      <c r="S242" s="1742"/>
      <c r="T242" s="1742"/>
      <c r="U242" s="1742"/>
      <c r="V242" s="1736"/>
      <c r="W242" s="1736"/>
      <c r="X242" s="1736"/>
      <c r="Y242" s="1736"/>
      <c r="Z242" s="1736"/>
      <c r="AA242" s="1742"/>
      <c r="AB242" s="1738"/>
      <c r="AC242" s="1742"/>
      <c r="AD242" s="1742"/>
      <c r="AE242" s="1742"/>
      <c r="AF242" s="1742"/>
      <c r="AG242" s="1736"/>
    </row>
    <row r="243" spans="1:33">
      <c r="A243" s="1718">
        <f t="shared" si="5"/>
        <v>0</v>
      </c>
      <c r="B243" s="1744">
        <f t="shared" si="6"/>
        <v>230</v>
      </c>
      <c r="C243" s="1737"/>
      <c r="D243" s="1736"/>
      <c r="E243" s="1736"/>
      <c r="F243" s="1736"/>
      <c r="G243" s="1738"/>
      <c r="H243" s="1739"/>
      <c r="I243" s="1736"/>
      <c r="J243" s="1736"/>
      <c r="K243" s="1736"/>
      <c r="L243" s="1738"/>
      <c r="M243" s="1736"/>
      <c r="N243" s="1740"/>
      <c r="O243" s="1740"/>
      <c r="P243" s="1741"/>
      <c r="Q243" s="1741"/>
      <c r="R243" s="1736"/>
      <c r="S243" s="1742"/>
      <c r="T243" s="1742"/>
      <c r="U243" s="1742"/>
      <c r="V243" s="1736"/>
      <c r="W243" s="1736"/>
      <c r="X243" s="1736"/>
      <c r="Y243" s="1736"/>
      <c r="Z243" s="1736"/>
      <c r="AA243" s="1742"/>
      <c r="AB243" s="1738"/>
      <c r="AC243" s="1742"/>
      <c r="AD243" s="1742"/>
      <c r="AE243" s="1742"/>
      <c r="AF243" s="1742"/>
      <c r="AG243" s="1736"/>
    </row>
    <row r="244" spans="1:33">
      <c r="A244" s="1718">
        <f t="shared" si="5"/>
        <v>0</v>
      </c>
      <c r="B244" s="1744">
        <f t="shared" si="6"/>
        <v>231</v>
      </c>
      <c r="C244" s="1737"/>
      <c r="D244" s="1736"/>
      <c r="E244" s="1736"/>
      <c r="F244" s="1736"/>
      <c r="G244" s="1738"/>
      <c r="H244" s="1739"/>
      <c r="I244" s="1736"/>
      <c r="J244" s="1736"/>
      <c r="K244" s="1736"/>
      <c r="L244" s="1738"/>
      <c r="M244" s="1736"/>
      <c r="N244" s="1740"/>
      <c r="O244" s="1740"/>
      <c r="P244" s="1741"/>
      <c r="Q244" s="1741"/>
      <c r="R244" s="1736"/>
      <c r="S244" s="1742"/>
      <c r="T244" s="1742"/>
      <c r="U244" s="1742"/>
      <c r="V244" s="1736"/>
      <c r="W244" s="1736"/>
      <c r="X244" s="1736"/>
      <c r="Y244" s="1736"/>
      <c r="Z244" s="1736"/>
      <c r="AA244" s="1742"/>
      <c r="AB244" s="1738"/>
      <c r="AC244" s="1742"/>
      <c r="AD244" s="1742"/>
      <c r="AE244" s="1742"/>
      <c r="AF244" s="1742"/>
      <c r="AG244" s="1736"/>
    </row>
    <row r="245" spans="1:33">
      <c r="A245" s="1718">
        <f t="shared" si="5"/>
        <v>0</v>
      </c>
      <c r="B245" s="1744">
        <f t="shared" si="6"/>
        <v>232</v>
      </c>
      <c r="C245" s="1737"/>
      <c r="D245" s="1736"/>
      <c r="E245" s="1736"/>
      <c r="F245" s="1736"/>
      <c r="G245" s="1738"/>
      <c r="H245" s="1739"/>
      <c r="I245" s="1736"/>
      <c r="J245" s="1736"/>
      <c r="K245" s="1736"/>
      <c r="L245" s="1738"/>
      <c r="M245" s="1736"/>
      <c r="N245" s="1740"/>
      <c r="O245" s="1740"/>
      <c r="P245" s="1741"/>
      <c r="Q245" s="1741"/>
      <c r="R245" s="1736"/>
      <c r="S245" s="1742"/>
      <c r="T245" s="1742"/>
      <c r="U245" s="1742"/>
      <c r="V245" s="1736"/>
      <c r="W245" s="1736"/>
      <c r="X245" s="1736"/>
      <c r="Y245" s="1736"/>
      <c r="Z245" s="1736"/>
      <c r="AA245" s="1742"/>
      <c r="AB245" s="1738"/>
      <c r="AC245" s="1742"/>
      <c r="AD245" s="1742"/>
      <c r="AE245" s="1742"/>
      <c r="AF245" s="1742"/>
      <c r="AG245" s="1736"/>
    </row>
    <row r="246" spans="1:33">
      <c r="A246" s="1718">
        <f t="shared" si="5"/>
        <v>0</v>
      </c>
      <c r="B246" s="1744">
        <f t="shared" si="6"/>
        <v>233</v>
      </c>
      <c r="C246" s="1737"/>
      <c r="D246" s="1736"/>
      <c r="E246" s="1736"/>
      <c r="F246" s="1736"/>
      <c r="G246" s="1738"/>
      <c r="H246" s="1739"/>
      <c r="I246" s="1736"/>
      <c r="J246" s="1736"/>
      <c r="K246" s="1736"/>
      <c r="L246" s="1738"/>
      <c r="M246" s="1736"/>
      <c r="N246" s="1740"/>
      <c r="O246" s="1740"/>
      <c r="P246" s="1741"/>
      <c r="Q246" s="1741"/>
      <c r="R246" s="1736"/>
      <c r="S246" s="1742"/>
      <c r="T246" s="1742"/>
      <c r="U246" s="1742"/>
      <c r="V246" s="1736"/>
      <c r="W246" s="1736"/>
      <c r="X246" s="1736"/>
      <c r="Y246" s="1736"/>
      <c r="Z246" s="1736"/>
      <c r="AA246" s="1742"/>
      <c r="AB246" s="1738"/>
      <c r="AC246" s="1742"/>
      <c r="AD246" s="1742"/>
      <c r="AE246" s="1742"/>
      <c r="AF246" s="1742"/>
      <c r="AG246" s="1736"/>
    </row>
    <row r="247" spans="1:33">
      <c r="A247" s="1718">
        <f t="shared" si="5"/>
        <v>0</v>
      </c>
      <c r="B247" s="1744">
        <f t="shared" si="6"/>
        <v>234</v>
      </c>
      <c r="C247" s="1737"/>
      <c r="D247" s="1736"/>
      <c r="E247" s="1736"/>
      <c r="F247" s="1736"/>
      <c r="G247" s="1738"/>
      <c r="H247" s="1739"/>
      <c r="I247" s="1736"/>
      <c r="J247" s="1736"/>
      <c r="K247" s="1736"/>
      <c r="L247" s="1738"/>
      <c r="M247" s="1736"/>
      <c r="N247" s="1740"/>
      <c r="O247" s="1740"/>
      <c r="P247" s="1741"/>
      <c r="Q247" s="1741"/>
      <c r="R247" s="1736"/>
      <c r="S247" s="1742"/>
      <c r="T247" s="1742"/>
      <c r="U247" s="1742"/>
      <c r="V247" s="1736"/>
      <c r="W247" s="1736"/>
      <c r="X247" s="1736"/>
      <c r="Y247" s="1736"/>
      <c r="Z247" s="1736"/>
      <c r="AA247" s="1742"/>
      <c r="AB247" s="1738"/>
      <c r="AC247" s="1742"/>
      <c r="AD247" s="1742"/>
      <c r="AE247" s="1742"/>
      <c r="AF247" s="1742"/>
      <c r="AG247" s="1736"/>
    </row>
    <row r="248" spans="1:33">
      <c r="A248" s="1718">
        <f t="shared" si="5"/>
        <v>0</v>
      </c>
      <c r="B248" s="1744">
        <f t="shared" si="6"/>
        <v>235</v>
      </c>
      <c r="C248" s="1737"/>
      <c r="D248" s="1736"/>
      <c r="E248" s="1736"/>
      <c r="F248" s="1736"/>
      <c r="G248" s="1738"/>
      <c r="H248" s="1739"/>
      <c r="I248" s="1736"/>
      <c r="J248" s="1736"/>
      <c r="K248" s="1736"/>
      <c r="L248" s="1738"/>
      <c r="M248" s="1736"/>
      <c r="N248" s="1740"/>
      <c r="O248" s="1740"/>
      <c r="P248" s="1741"/>
      <c r="Q248" s="1741"/>
      <c r="R248" s="1736"/>
      <c r="S248" s="1742"/>
      <c r="T248" s="1742"/>
      <c r="U248" s="1742"/>
      <c r="V248" s="1736"/>
      <c r="W248" s="1736"/>
      <c r="X248" s="1736"/>
      <c r="Y248" s="1736"/>
      <c r="Z248" s="1736"/>
      <c r="AA248" s="1742"/>
      <c r="AB248" s="1738"/>
      <c r="AC248" s="1742"/>
      <c r="AD248" s="1742"/>
      <c r="AE248" s="1742"/>
      <c r="AF248" s="1742"/>
      <c r="AG248" s="1736"/>
    </row>
    <row r="249" spans="1:33">
      <c r="A249" s="1718">
        <f t="shared" si="5"/>
        <v>0</v>
      </c>
      <c r="B249" s="1744">
        <f t="shared" si="6"/>
        <v>236</v>
      </c>
      <c r="C249" s="1737"/>
      <c r="D249" s="1736"/>
      <c r="E249" s="1736"/>
      <c r="F249" s="1736"/>
      <c r="G249" s="1738"/>
      <c r="H249" s="1739"/>
      <c r="I249" s="1736"/>
      <c r="J249" s="1736"/>
      <c r="K249" s="1736"/>
      <c r="L249" s="1738"/>
      <c r="M249" s="1736"/>
      <c r="N249" s="1740"/>
      <c r="O249" s="1740"/>
      <c r="P249" s="1741"/>
      <c r="Q249" s="1741"/>
      <c r="R249" s="1736"/>
      <c r="S249" s="1742"/>
      <c r="T249" s="1742"/>
      <c r="U249" s="1742"/>
      <c r="V249" s="1736"/>
      <c r="W249" s="1736"/>
      <c r="X249" s="1736"/>
      <c r="Y249" s="1736"/>
      <c r="Z249" s="1736"/>
      <c r="AA249" s="1742"/>
      <c r="AB249" s="1738"/>
      <c r="AC249" s="1742"/>
      <c r="AD249" s="1742"/>
      <c r="AE249" s="1742"/>
      <c r="AF249" s="1742"/>
      <c r="AG249" s="1736"/>
    </row>
    <row r="250" spans="1:33">
      <c r="A250" s="1718">
        <f t="shared" si="5"/>
        <v>0</v>
      </c>
      <c r="B250" s="1744">
        <f t="shared" si="6"/>
        <v>237</v>
      </c>
      <c r="C250" s="1737"/>
      <c r="D250" s="1736"/>
      <c r="E250" s="1736"/>
      <c r="F250" s="1736"/>
      <c r="G250" s="1738"/>
      <c r="H250" s="1739"/>
      <c r="I250" s="1736"/>
      <c r="J250" s="1736"/>
      <c r="K250" s="1736"/>
      <c r="L250" s="1738"/>
      <c r="M250" s="1736"/>
      <c r="N250" s="1740"/>
      <c r="O250" s="1740"/>
      <c r="P250" s="1741"/>
      <c r="Q250" s="1741"/>
      <c r="R250" s="1736"/>
      <c r="S250" s="1742"/>
      <c r="T250" s="1742"/>
      <c r="U250" s="1742"/>
      <c r="V250" s="1736"/>
      <c r="W250" s="1736"/>
      <c r="X250" s="1736"/>
      <c r="Y250" s="1736"/>
      <c r="Z250" s="1736"/>
      <c r="AA250" s="1742"/>
      <c r="AB250" s="1738"/>
      <c r="AC250" s="1742"/>
      <c r="AD250" s="1742"/>
      <c r="AE250" s="1742"/>
      <c r="AF250" s="1742"/>
      <c r="AG250" s="1736"/>
    </row>
    <row r="251" spans="1:33">
      <c r="A251" s="1718">
        <f t="shared" si="5"/>
        <v>0</v>
      </c>
      <c r="B251" s="1744">
        <f t="shared" si="6"/>
        <v>238</v>
      </c>
      <c r="C251" s="1737"/>
      <c r="D251" s="1736"/>
      <c r="E251" s="1736"/>
      <c r="F251" s="1736"/>
      <c r="G251" s="1738"/>
      <c r="H251" s="1739"/>
      <c r="I251" s="1736"/>
      <c r="J251" s="1736"/>
      <c r="K251" s="1736"/>
      <c r="L251" s="1738"/>
      <c r="M251" s="1736"/>
      <c r="N251" s="1740"/>
      <c r="O251" s="1740"/>
      <c r="P251" s="1741"/>
      <c r="Q251" s="1741"/>
      <c r="R251" s="1736"/>
      <c r="S251" s="1742"/>
      <c r="T251" s="1742"/>
      <c r="U251" s="1742"/>
      <c r="V251" s="1736"/>
      <c r="W251" s="1736"/>
      <c r="X251" s="1736"/>
      <c r="Y251" s="1736"/>
      <c r="Z251" s="1736"/>
      <c r="AA251" s="1742"/>
      <c r="AB251" s="1738"/>
      <c r="AC251" s="1742"/>
      <c r="AD251" s="1742"/>
      <c r="AE251" s="1742"/>
      <c r="AF251" s="1742"/>
      <c r="AG251" s="1736"/>
    </row>
    <row r="252" spans="1:33">
      <c r="A252" s="1718">
        <f t="shared" si="5"/>
        <v>0</v>
      </c>
      <c r="B252" s="1744">
        <f t="shared" si="6"/>
        <v>239</v>
      </c>
      <c r="C252" s="1737"/>
      <c r="D252" s="1736"/>
      <c r="E252" s="1736"/>
      <c r="F252" s="1736"/>
      <c r="G252" s="1738"/>
      <c r="H252" s="1739"/>
      <c r="I252" s="1736"/>
      <c r="J252" s="1736"/>
      <c r="K252" s="1736"/>
      <c r="L252" s="1738"/>
      <c r="M252" s="1736"/>
      <c r="N252" s="1740"/>
      <c r="O252" s="1740"/>
      <c r="P252" s="1741"/>
      <c r="Q252" s="1741"/>
      <c r="R252" s="1736"/>
      <c r="S252" s="1742"/>
      <c r="T252" s="1742"/>
      <c r="U252" s="1742"/>
      <c r="V252" s="1736"/>
      <c r="W252" s="1736"/>
      <c r="X252" s="1736"/>
      <c r="Y252" s="1736"/>
      <c r="Z252" s="1736"/>
      <c r="AA252" s="1742"/>
      <c r="AB252" s="1738"/>
      <c r="AC252" s="1742"/>
      <c r="AD252" s="1742"/>
      <c r="AE252" s="1742"/>
      <c r="AF252" s="1742"/>
      <c r="AG252" s="1736"/>
    </row>
    <row r="253" spans="1:33">
      <c r="A253" s="1718">
        <f t="shared" si="5"/>
        <v>0</v>
      </c>
      <c r="B253" s="1744">
        <f t="shared" si="6"/>
        <v>240</v>
      </c>
      <c r="C253" s="1737"/>
      <c r="D253" s="1736"/>
      <c r="E253" s="1736"/>
      <c r="F253" s="1736"/>
      <c r="G253" s="1738"/>
      <c r="H253" s="1739"/>
      <c r="I253" s="1736"/>
      <c r="J253" s="1736"/>
      <c r="K253" s="1736"/>
      <c r="L253" s="1738"/>
      <c r="M253" s="1736"/>
      <c r="N253" s="1740"/>
      <c r="O253" s="1740"/>
      <c r="P253" s="1741"/>
      <c r="Q253" s="1741"/>
      <c r="R253" s="1736"/>
      <c r="S253" s="1742"/>
      <c r="T253" s="1742"/>
      <c r="U253" s="1742"/>
      <c r="V253" s="1736"/>
      <c r="W253" s="1736"/>
      <c r="X253" s="1736"/>
      <c r="Y253" s="1736"/>
      <c r="Z253" s="1736"/>
      <c r="AA253" s="1742"/>
      <c r="AB253" s="1738"/>
      <c r="AC253" s="1742"/>
      <c r="AD253" s="1742"/>
      <c r="AE253" s="1742"/>
      <c r="AF253" s="1742"/>
      <c r="AG253" s="1736"/>
    </row>
    <row r="254" spans="1:33">
      <c r="A254" s="1718">
        <f t="shared" si="5"/>
        <v>0</v>
      </c>
      <c r="B254" s="1744">
        <f t="shared" si="6"/>
        <v>241</v>
      </c>
      <c r="C254" s="1737"/>
      <c r="D254" s="1736"/>
      <c r="E254" s="1736"/>
      <c r="F254" s="1736"/>
      <c r="G254" s="1738"/>
      <c r="H254" s="1739"/>
      <c r="I254" s="1736"/>
      <c r="J254" s="1736"/>
      <c r="K254" s="1736"/>
      <c r="L254" s="1738"/>
      <c r="M254" s="1736"/>
      <c r="N254" s="1740"/>
      <c r="O254" s="1740"/>
      <c r="P254" s="1741"/>
      <c r="Q254" s="1741"/>
      <c r="R254" s="1736"/>
      <c r="S254" s="1742"/>
      <c r="T254" s="1742"/>
      <c r="U254" s="1742"/>
      <c r="V254" s="1736"/>
      <c r="W254" s="1736"/>
      <c r="X254" s="1736"/>
      <c r="Y254" s="1736"/>
      <c r="Z254" s="1736"/>
      <c r="AA254" s="1742"/>
      <c r="AB254" s="1738"/>
      <c r="AC254" s="1742"/>
      <c r="AD254" s="1742"/>
      <c r="AE254" s="1742"/>
      <c r="AF254" s="1742"/>
      <c r="AG254" s="1736"/>
    </row>
    <row r="255" spans="1:33">
      <c r="A255" s="1718">
        <f t="shared" si="5"/>
        <v>0</v>
      </c>
      <c r="B255" s="1744">
        <f t="shared" si="6"/>
        <v>242</v>
      </c>
      <c r="C255" s="1737"/>
      <c r="D255" s="1736"/>
      <c r="E255" s="1736"/>
      <c r="F255" s="1736"/>
      <c r="G255" s="1738"/>
      <c r="H255" s="1739"/>
      <c r="I255" s="1736"/>
      <c r="J255" s="1736"/>
      <c r="K255" s="1736"/>
      <c r="L255" s="1738"/>
      <c r="M255" s="1736"/>
      <c r="N255" s="1740"/>
      <c r="O255" s="1740"/>
      <c r="P255" s="1741"/>
      <c r="Q255" s="1741"/>
      <c r="R255" s="1736"/>
      <c r="S255" s="1742"/>
      <c r="T255" s="1742"/>
      <c r="U255" s="1742"/>
      <c r="V255" s="1736"/>
      <c r="W255" s="1736"/>
      <c r="X255" s="1736"/>
      <c r="Y255" s="1736"/>
      <c r="Z255" s="1736"/>
      <c r="AA255" s="1742"/>
      <c r="AB255" s="1738"/>
      <c r="AC255" s="1742"/>
      <c r="AD255" s="1742"/>
      <c r="AE255" s="1742"/>
      <c r="AF255" s="1742"/>
      <c r="AG255" s="1736"/>
    </row>
    <row r="256" spans="1:33">
      <c r="A256" s="1718">
        <f t="shared" si="5"/>
        <v>0</v>
      </c>
      <c r="B256" s="1744">
        <f t="shared" si="6"/>
        <v>243</v>
      </c>
      <c r="C256" s="1737"/>
      <c r="D256" s="1736"/>
      <c r="E256" s="1736"/>
      <c r="F256" s="1736"/>
      <c r="G256" s="1738"/>
      <c r="H256" s="1739"/>
      <c r="I256" s="1736"/>
      <c r="J256" s="1736"/>
      <c r="K256" s="1736"/>
      <c r="L256" s="1738"/>
      <c r="M256" s="1736"/>
      <c r="N256" s="1740"/>
      <c r="O256" s="1740"/>
      <c r="P256" s="1741"/>
      <c r="Q256" s="1741"/>
      <c r="R256" s="1736"/>
      <c r="S256" s="1742"/>
      <c r="T256" s="1742"/>
      <c r="U256" s="1742"/>
      <c r="V256" s="1736"/>
      <c r="W256" s="1736"/>
      <c r="X256" s="1736"/>
      <c r="Y256" s="1736"/>
      <c r="Z256" s="1736"/>
      <c r="AA256" s="1742"/>
      <c r="AB256" s="1738"/>
      <c r="AC256" s="1742"/>
      <c r="AD256" s="1742"/>
      <c r="AE256" s="1742"/>
      <c r="AF256" s="1742"/>
      <c r="AG256" s="1736"/>
    </row>
    <row r="257" spans="1:33">
      <c r="A257" s="1718">
        <f t="shared" ref="A257:A314" si="7">IF(M257&gt;0,1,0)</f>
        <v>0</v>
      </c>
      <c r="B257" s="1744">
        <f t="shared" si="6"/>
        <v>244</v>
      </c>
      <c r="C257" s="1737"/>
      <c r="D257" s="1736"/>
      <c r="E257" s="1736"/>
      <c r="F257" s="1736"/>
      <c r="G257" s="1738"/>
      <c r="H257" s="1739"/>
      <c r="I257" s="1736"/>
      <c r="J257" s="1736"/>
      <c r="K257" s="1736"/>
      <c r="L257" s="1738"/>
      <c r="M257" s="1736"/>
      <c r="N257" s="1740"/>
      <c r="O257" s="1740"/>
      <c r="P257" s="1741"/>
      <c r="Q257" s="1741"/>
      <c r="R257" s="1736"/>
      <c r="S257" s="1742"/>
      <c r="T257" s="1742"/>
      <c r="U257" s="1742"/>
      <c r="V257" s="1736"/>
      <c r="W257" s="1736"/>
      <c r="X257" s="1736"/>
      <c r="Y257" s="1736"/>
      <c r="Z257" s="1736"/>
      <c r="AA257" s="1742"/>
      <c r="AB257" s="1738"/>
      <c r="AC257" s="1742"/>
      <c r="AD257" s="1742"/>
      <c r="AE257" s="1742"/>
      <c r="AF257" s="1742"/>
      <c r="AG257" s="1736"/>
    </row>
    <row r="258" spans="1:33">
      <c r="A258" s="1718">
        <f t="shared" si="7"/>
        <v>0</v>
      </c>
      <c r="B258" s="1744">
        <f t="shared" si="6"/>
        <v>245</v>
      </c>
      <c r="C258" s="1737"/>
      <c r="D258" s="1736"/>
      <c r="E258" s="1736"/>
      <c r="F258" s="1736"/>
      <c r="G258" s="1738"/>
      <c r="H258" s="1739"/>
      <c r="I258" s="1736"/>
      <c r="J258" s="1736"/>
      <c r="K258" s="1736"/>
      <c r="L258" s="1738"/>
      <c r="M258" s="1736"/>
      <c r="N258" s="1740"/>
      <c r="O258" s="1740"/>
      <c r="P258" s="1741"/>
      <c r="Q258" s="1741"/>
      <c r="R258" s="1736"/>
      <c r="S258" s="1742"/>
      <c r="T258" s="1742"/>
      <c r="U258" s="1742"/>
      <c r="V258" s="1736"/>
      <c r="W258" s="1736"/>
      <c r="X258" s="1736"/>
      <c r="Y258" s="1736"/>
      <c r="Z258" s="1736"/>
      <c r="AA258" s="1742"/>
      <c r="AB258" s="1738"/>
      <c r="AC258" s="1742"/>
      <c r="AD258" s="1742"/>
      <c r="AE258" s="1742"/>
      <c r="AF258" s="1742"/>
      <c r="AG258" s="1736"/>
    </row>
    <row r="259" spans="1:33">
      <c r="A259" s="1718">
        <f t="shared" si="7"/>
        <v>0</v>
      </c>
      <c r="B259" s="1744">
        <f t="shared" si="6"/>
        <v>246</v>
      </c>
      <c r="C259" s="1737"/>
      <c r="D259" s="1736"/>
      <c r="E259" s="1736"/>
      <c r="F259" s="1736"/>
      <c r="G259" s="1738"/>
      <c r="H259" s="1739"/>
      <c r="I259" s="1736"/>
      <c r="J259" s="1736"/>
      <c r="K259" s="1736"/>
      <c r="L259" s="1738"/>
      <c r="M259" s="1736"/>
      <c r="N259" s="1740"/>
      <c r="O259" s="1740"/>
      <c r="P259" s="1741"/>
      <c r="Q259" s="1741"/>
      <c r="R259" s="1736"/>
      <c r="S259" s="1742"/>
      <c r="T259" s="1742"/>
      <c r="U259" s="1742"/>
      <c r="V259" s="1736"/>
      <c r="W259" s="1736"/>
      <c r="X259" s="1736"/>
      <c r="Y259" s="1736"/>
      <c r="Z259" s="1736"/>
      <c r="AA259" s="1742"/>
      <c r="AB259" s="1738"/>
      <c r="AC259" s="1742"/>
      <c r="AD259" s="1742"/>
      <c r="AE259" s="1742"/>
      <c r="AF259" s="1742"/>
      <c r="AG259" s="1736"/>
    </row>
    <row r="260" spans="1:33">
      <c r="A260" s="1718">
        <f t="shared" si="7"/>
        <v>0</v>
      </c>
      <c r="B260" s="1744">
        <f t="shared" si="6"/>
        <v>247</v>
      </c>
      <c r="C260" s="1737"/>
      <c r="D260" s="1736"/>
      <c r="E260" s="1736"/>
      <c r="F260" s="1736"/>
      <c r="G260" s="1738"/>
      <c r="H260" s="1739"/>
      <c r="I260" s="1736"/>
      <c r="J260" s="1736"/>
      <c r="K260" s="1736"/>
      <c r="L260" s="1738"/>
      <c r="M260" s="1736"/>
      <c r="N260" s="1740"/>
      <c r="O260" s="1740"/>
      <c r="P260" s="1741"/>
      <c r="Q260" s="1741"/>
      <c r="R260" s="1736"/>
      <c r="S260" s="1742"/>
      <c r="T260" s="1742"/>
      <c r="U260" s="1742"/>
      <c r="V260" s="1736"/>
      <c r="W260" s="1736"/>
      <c r="X260" s="1736"/>
      <c r="Y260" s="1736"/>
      <c r="Z260" s="1736"/>
      <c r="AA260" s="1742"/>
      <c r="AB260" s="1738"/>
      <c r="AC260" s="1742"/>
      <c r="AD260" s="1742"/>
      <c r="AE260" s="1742"/>
      <c r="AF260" s="1742"/>
      <c r="AG260" s="1736"/>
    </row>
    <row r="261" spans="1:33">
      <c r="A261" s="1718">
        <f t="shared" si="7"/>
        <v>0</v>
      </c>
      <c r="B261" s="1744">
        <f t="shared" si="6"/>
        <v>248</v>
      </c>
      <c r="C261" s="1737"/>
      <c r="D261" s="1736"/>
      <c r="E261" s="1736"/>
      <c r="F261" s="1736"/>
      <c r="G261" s="1738"/>
      <c r="H261" s="1739"/>
      <c r="I261" s="1736"/>
      <c r="J261" s="1736"/>
      <c r="K261" s="1736"/>
      <c r="L261" s="1738"/>
      <c r="M261" s="1736"/>
      <c r="N261" s="1740"/>
      <c r="O261" s="1740"/>
      <c r="P261" s="1741"/>
      <c r="Q261" s="1741"/>
      <c r="R261" s="1736"/>
      <c r="S261" s="1742"/>
      <c r="T261" s="1742"/>
      <c r="U261" s="1742"/>
      <c r="V261" s="1736"/>
      <c r="W261" s="1736"/>
      <c r="X261" s="1736"/>
      <c r="Y261" s="1736"/>
      <c r="Z261" s="1736"/>
      <c r="AA261" s="1742"/>
      <c r="AB261" s="1738"/>
      <c r="AC261" s="1742"/>
      <c r="AD261" s="1742"/>
      <c r="AE261" s="1742"/>
      <c r="AF261" s="1742"/>
      <c r="AG261" s="1736"/>
    </row>
    <row r="262" spans="1:33">
      <c r="A262" s="1718">
        <f t="shared" si="7"/>
        <v>0</v>
      </c>
      <c r="B262" s="1744">
        <f t="shared" si="6"/>
        <v>249</v>
      </c>
      <c r="C262" s="1737"/>
      <c r="D262" s="1736"/>
      <c r="E262" s="1736"/>
      <c r="F262" s="1736"/>
      <c r="G262" s="1738"/>
      <c r="H262" s="1739"/>
      <c r="I262" s="1736"/>
      <c r="J262" s="1736"/>
      <c r="K262" s="1736"/>
      <c r="L262" s="1738"/>
      <c r="M262" s="1736"/>
      <c r="N262" s="1740"/>
      <c r="O262" s="1740"/>
      <c r="P262" s="1741"/>
      <c r="Q262" s="1741"/>
      <c r="R262" s="1736"/>
      <c r="S262" s="1742"/>
      <c r="T262" s="1742"/>
      <c r="U262" s="1742"/>
      <c r="V262" s="1736"/>
      <c r="W262" s="1736"/>
      <c r="X262" s="1736"/>
      <c r="Y262" s="1736"/>
      <c r="Z262" s="1736"/>
      <c r="AA262" s="1742"/>
      <c r="AB262" s="1738"/>
      <c r="AC262" s="1742"/>
      <c r="AD262" s="1742"/>
      <c r="AE262" s="1742"/>
      <c r="AF262" s="1742"/>
      <c r="AG262" s="1736"/>
    </row>
    <row r="263" spans="1:33">
      <c r="A263" s="1718">
        <f t="shared" si="7"/>
        <v>0</v>
      </c>
      <c r="B263" s="1744">
        <f t="shared" si="6"/>
        <v>250</v>
      </c>
      <c r="C263" s="1737"/>
      <c r="D263" s="1736"/>
      <c r="E263" s="1736"/>
      <c r="F263" s="1736"/>
      <c r="G263" s="1738"/>
      <c r="H263" s="1739"/>
      <c r="I263" s="1736"/>
      <c r="J263" s="1736"/>
      <c r="K263" s="1736"/>
      <c r="L263" s="1738"/>
      <c r="M263" s="1736"/>
      <c r="N263" s="1740"/>
      <c r="O263" s="1740"/>
      <c r="P263" s="1741"/>
      <c r="Q263" s="1741"/>
      <c r="R263" s="1736"/>
      <c r="S263" s="1742"/>
      <c r="T263" s="1742"/>
      <c r="U263" s="1742"/>
      <c r="V263" s="1736"/>
      <c r="W263" s="1736"/>
      <c r="X263" s="1736"/>
      <c r="Y263" s="1736"/>
      <c r="Z263" s="1736"/>
      <c r="AA263" s="1742"/>
      <c r="AB263" s="1738"/>
      <c r="AC263" s="1742"/>
      <c r="AD263" s="1742"/>
      <c r="AE263" s="1742"/>
      <c r="AF263" s="1742"/>
      <c r="AG263" s="1736"/>
    </row>
    <row r="264" spans="1:33">
      <c r="A264" s="1718">
        <f t="shared" si="7"/>
        <v>0</v>
      </c>
      <c r="B264" s="1744">
        <f t="shared" si="6"/>
        <v>251</v>
      </c>
      <c r="C264" s="1737"/>
      <c r="D264" s="1736"/>
      <c r="E264" s="1736"/>
      <c r="F264" s="1736"/>
      <c r="G264" s="1738"/>
      <c r="H264" s="1739"/>
      <c r="I264" s="1736"/>
      <c r="J264" s="1736"/>
      <c r="K264" s="1736"/>
      <c r="L264" s="1738"/>
      <c r="M264" s="1736"/>
      <c r="N264" s="1740"/>
      <c r="O264" s="1740"/>
      <c r="P264" s="1741"/>
      <c r="Q264" s="1741"/>
      <c r="R264" s="1736"/>
      <c r="S264" s="1742"/>
      <c r="T264" s="1742"/>
      <c r="U264" s="1742"/>
      <c r="V264" s="1736"/>
      <c r="W264" s="1736"/>
      <c r="X264" s="1736"/>
      <c r="Y264" s="1736"/>
      <c r="Z264" s="1736"/>
      <c r="AA264" s="1742"/>
      <c r="AB264" s="1738"/>
      <c r="AC264" s="1742"/>
      <c r="AD264" s="1742"/>
      <c r="AE264" s="1742"/>
      <c r="AF264" s="1742"/>
      <c r="AG264" s="1736"/>
    </row>
    <row r="265" spans="1:33">
      <c r="A265" s="1718">
        <f t="shared" si="7"/>
        <v>0</v>
      </c>
      <c r="B265" s="1744">
        <f t="shared" si="6"/>
        <v>252</v>
      </c>
      <c r="C265" s="1737"/>
      <c r="D265" s="1736"/>
      <c r="E265" s="1736"/>
      <c r="F265" s="1736"/>
      <c r="G265" s="1738"/>
      <c r="H265" s="1739"/>
      <c r="I265" s="1736"/>
      <c r="J265" s="1736"/>
      <c r="K265" s="1736"/>
      <c r="L265" s="1738"/>
      <c r="M265" s="1736"/>
      <c r="N265" s="1740"/>
      <c r="O265" s="1740"/>
      <c r="P265" s="1741"/>
      <c r="Q265" s="1741"/>
      <c r="R265" s="1736"/>
      <c r="S265" s="1742"/>
      <c r="T265" s="1742"/>
      <c r="U265" s="1742"/>
      <c r="V265" s="1736"/>
      <c r="W265" s="1736"/>
      <c r="X265" s="1736"/>
      <c r="Y265" s="1736"/>
      <c r="Z265" s="1736"/>
      <c r="AA265" s="1742"/>
      <c r="AB265" s="1738"/>
      <c r="AC265" s="1742"/>
      <c r="AD265" s="1742"/>
      <c r="AE265" s="1742"/>
      <c r="AF265" s="1742"/>
      <c r="AG265" s="1736"/>
    </row>
    <row r="266" spans="1:33">
      <c r="A266" s="1718">
        <f t="shared" si="7"/>
        <v>0</v>
      </c>
      <c r="B266" s="1744">
        <f t="shared" si="6"/>
        <v>253</v>
      </c>
      <c r="C266" s="1737"/>
      <c r="D266" s="1736"/>
      <c r="E266" s="1736"/>
      <c r="F266" s="1736"/>
      <c r="G266" s="1738"/>
      <c r="H266" s="1739"/>
      <c r="I266" s="1736"/>
      <c r="J266" s="1736"/>
      <c r="K266" s="1736"/>
      <c r="L266" s="1738"/>
      <c r="M266" s="1736"/>
      <c r="N266" s="1740"/>
      <c r="O266" s="1740"/>
      <c r="P266" s="1741"/>
      <c r="Q266" s="1741"/>
      <c r="R266" s="1736"/>
      <c r="S266" s="1742"/>
      <c r="T266" s="1742"/>
      <c r="U266" s="1742"/>
      <c r="V266" s="1736"/>
      <c r="W266" s="1736"/>
      <c r="X266" s="1736"/>
      <c r="Y266" s="1736"/>
      <c r="Z266" s="1736"/>
      <c r="AA266" s="1742"/>
      <c r="AB266" s="1738"/>
      <c r="AC266" s="1742"/>
      <c r="AD266" s="1742"/>
      <c r="AE266" s="1742"/>
      <c r="AF266" s="1742"/>
      <c r="AG266" s="1736"/>
    </row>
    <row r="267" spans="1:33">
      <c r="A267" s="1718">
        <f t="shared" si="7"/>
        <v>0</v>
      </c>
      <c r="B267" s="1744">
        <f t="shared" si="6"/>
        <v>254</v>
      </c>
      <c r="C267" s="1737"/>
      <c r="D267" s="1736"/>
      <c r="E267" s="1736"/>
      <c r="F267" s="1736"/>
      <c r="G267" s="1738"/>
      <c r="H267" s="1739"/>
      <c r="I267" s="1736"/>
      <c r="J267" s="1736"/>
      <c r="K267" s="1736"/>
      <c r="L267" s="1738"/>
      <c r="M267" s="1736"/>
      <c r="N267" s="1740"/>
      <c r="O267" s="1740"/>
      <c r="P267" s="1741"/>
      <c r="Q267" s="1741"/>
      <c r="R267" s="1736"/>
      <c r="S267" s="1742"/>
      <c r="T267" s="1742"/>
      <c r="U267" s="1742"/>
      <c r="V267" s="1736"/>
      <c r="W267" s="1736"/>
      <c r="X267" s="1736"/>
      <c r="Y267" s="1736"/>
      <c r="Z267" s="1736"/>
      <c r="AA267" s="1742"/>
      <c r="AB267" s="1738"/>
      <c r="AC267" s="1742"/>
      <c r="AD267" s="1742"/>
      <c r="AE267" s="1742"/>
      <c r="AF267" s="1742"/>
      <c r="AG267" s="1736"/>
    </row>
    <row r="268" spans="1:33">
      <c r="A268" s="1718">
        <f t="shared" si="7"/>
        <v>0</v>
      </c>
      <c r="B268" s="1744">
        <f t="shared" si="6"/>
        <v>255</v>
      </c>
      <c r="C268" s="1737"/>
      <c r="D268" s="1736"/>
      <c r="E268" s="1736"/>
      <c r="F268" s="1736"/>
      <c r="G268" s="1738"/>
      <c r="H268" s="1739"/>
      <c r="I268" s="1736"/>
      <c r="J268" s="1736"/>
      <c r="K268" s="1736"/>
      <c r="L268" s="1738"/>
      <c r="M268" s="1736"/>
      <c r="N268" s="1740"/>
      <c r="O268" s="1740"/>
      <c r="P268" s="1741"/>
      <c r="Q268" s="1741"/>
      <c r="R268" s="1736"/>
      <c r="S268" s="1742"/>
      <c r="T268" s="1742"/>
      <c r="U268" s="1742"/>
      <c r="V268" s="1736"/>
      <c r="W268" s="1736"/>
      <c r="X268" s="1736"/>
      <c r="Y268" s="1736"/>
      <c r="Z268" s="1736"/>
      <c r="AA268" s="1742"/>
      <c r="AB268" s="1738"/>
      <c r="AC268" s="1742"/>
      <c r="AD268" s="1742"/>
      <c r="AE268" s="1742"/>
      <c r="AF268" s="1742"/>
      <c r="AG268" s="1736"/>
    </row>
    <row r="269" spans="1:33">
      <c r="A269" s="1718">
        <f t="shared" si="7"/>
        <v>0</v>
      </c>
      <c r="B269" s="1744">
        <f t="shared" si="6"/>
        <v>256</v>
      </c>
      <c r="C269" s="1737"/>
      <c r="D269" s="1736"/>
      <c r="E269" s="1736"/>
      <c r="F269" s="1736"/>
      <c r="G269" s="1738"/>
      <c r="H269" s="1739"/>
      <c r="I269" s="1736"/>
      <c r="J269" s="1736"/>
      <c r="K269" s="1736"/>
      <c r="L269" s="1738"/>
      <c r="M269" s="1736"/>
      <c r="N269" s="1740"/>
      <c r="O269" s="1740"/>
      <c r="P269" s="1741"/>
      <c r="Q269" s="1741"/>
      <c r="R269" s="1736"/>
      <c r="S269" s="1742"/>
      <c r="T269" s="1742"/>
      <c r="U269" s="1742"/>
      <c r="V269" s="1736"/>
      <c r="W269" s="1736"/>
      <c r="X269" s="1736"/>
      <c r="Y269" s="1736"/>
      <c r="Z269" s="1736"/>
      <c r="AA269" s="1742"/>
      <c r="AB269" s="1738"/>
      <c r="AC269" s="1742"/>
      <c r="AD269" s="1742"/>
      <c r="AE269" s="1742"/>
      <c r="AF269" s="1742"/>
      <c r="AG269" s="1736"/>
    </row>
    <row r="270" spans="1:33">
      <c r="A270" s="1718">
        <f t="shared" si="7"/>
        <v>0</v>
      </c>
      <c r="B270" s="1744">
        <f t="shared" si="6"/>
        <v>257</v>
      </c>
      <c r="C270" s="1737"/>
      <c r="D270" s="1736"/>
      <c r="E270" s="1736"/>
      <c r="F270" s="1736"/>
      <c r="G270" s="1738"/>
      <c r="H270" s="1739"/>
      <c r="I270" s="1736"/>
      <c r="J270" s="1736"/>
      <c r="K270" s="1736"/>
      <c r="L270" s="1738"/>
      <c r="M270" s="1736"/>
      <c r="N270" s="1740"/>
      <c r="O270" s="1740"/>
      <c r="P270" s="1741"/>
      <c r="Q270" s="1741"/>
      <c r="R270" s="1736"/>
      <c r="S270" s="1742"/>
      <c r="T270" s="1742"/>
      <c r="U270" s="1742"/>
      <c r="V270" s="1736"/>
      <c r="W270" s="1736"/>
      <c r="X270" s="1736"/>
      <c r="Y270" s="1736"/>
      <c r="Z270" s="1736"/>
      <c r="AA270" s="1742"/>
      <c r="AB270" s="1738"/>
      <c r="AC270" s="1742"/>
      <c r="AD270" s="1742"/>
      <c r="AE270" s="1742"/>
      <c r="AF270" s="1742"/>
      <c r="AG270" s="1736"/>
    </row>
    <row r="271" spans="1:33">
      <c r="A271" s="1718">
        <f t="shared" si="7"/>
        <v>0</v>
      </c>
      <c r="B271" s="1744">
        <f t="shared" ref="B271:B313" si="8">B270+1</f>
        <v>258</v>
      </c>
      <c r="C271" s="1737"/>
      <c r="D271" s="1736"/>
      <c r="E271" s="1736"/>
      <c r="F271" s="1736"/>
      <c r="G271" s="1738"/>
      <c r="H271" s="1739"/>
      <c r="I271" s="1736"/>
      <c r="J271" s="1736"/>
      <c r="K271" s="1736"/>
      <c r="L271" s="1738"/>
      <c r="M271" s="1736"/>
      <c r="N271" s="1740"/>
      <c r="O271" s="1740"/>
      <c r="P271" s="1741"/>
      <c r="Q271" s="1741"/>
      <c r="R271" s="1736"/>
      <c r="S271" s="1742"/>
      <c r="T271" s="1742"/>
      <c r="U271" s="1742"/>
      <c r="V271" s="1736"/>
      <c r="W271" s="1736"/>
      <c r="X271" s="1736"/>
      <c r="Y271" s="1736"/>
      <c r="Z271" s="1736"/>
      <c r="AA271" s="1742"/>
      <c r="AB271" s="1738"/>
      <c r="AC271" s="1742"/>
      <c r="AD271" s="1742"/>
      <c r="AE271" s="1742"/>
      <c r="AF271" s="1742"/>
      <c r="AG271" s="1736"/>
    </row>
    <row r="272" spans="1:33">
      <c r="A272" s="1718">
        <f t="shared" si="7"/>
        <v>0</v>
      </c>
      <c r="B272" s="1744">
        <f t="shared" si="8"/>
        <v>259</v>
      </c>
      <c r="C272" s="1737"/>
      <c r="D272" s="1736"/>
      <c r="E272" s="1736"/>
      <c r="F272" s="1736"/>
      <c r="G272" s="1738"/>
      <c r="H272" s="1739"/>
      <c r="I272" s="1736"/>
      <c r="J272" s="1736"/>
      <c r="K272" s="1736"/>
      <c r="L272" s="1738"/>
      <c r="M272" s="1736"/>
      <c r="N272" s="1740"/>
      <c r="O272" s="1740"/>
      <c r="P272" s="1741"/>
      <c r="Q272" s="1741"/>
      <c r="R272" s="1736"/>
      <c r="S272" s="1742"/>
      <c r="T272" s="1742"/>
      <c r="U272" s="1742"/>
      <c r="V272" s="1736"/>
      <c r="W272" s="1736"/>
      <c r="X272" s="1736"/>
      <c r="Y272" s="1736"/>
      <c r="Z272" s="1736"/>
      <c r="AA272" s="1742"/>
      <c r="AB272" s="1738"/>
      <c r="AC272" s="1742"/>
      <c r="AD272" s="1742"/>
      <c r="AE272" s="1742"/>
      <c r="AF272" s="1742"/>
      <c r="AG272" s="1736"/>
    </row>
    <row r="273" spans="1:33">
      <c r="A273" s="1718">
        <f t="shared" si="7"/>
        <v>0</v>
      </c>
      <c r="B273" s="1744">
        <f t="shared" si="8"/>
        <v>260</v>
      </c>
      <c r="C273" s="1737"/>
      <c r="D273" s="1736"/>
      <c r="E273" s="1736"/>
      <c r="F273" s="1736"/>
      <c r="G273" s="1738"/>
      <c r="H273" s="1739"/>
      <c r="I273" s="1736"/>
      <c r="J273" s="1736"/>
      <c r="K273" s="1736"/>
      <c r="L273" s="1738"/>
      <c r="M273" s="1736"/>
      <c r="N273" s="1740"/>
      <c r="O273" s="1740"/>
      <c r="P273" s="1741"/>
      <c r="Q273" s="1741"/>
      <c r="R273" s="1736"/>
      <c r="S273" s="1742"/>
      <c r="T273" s="1742"/>
      <c r="U273" s="1742"/>
      <c r="V273" s="1736"/>
      <c r="W273" s="1736"/>
      <c r="X273" s="1736"/>
      <c r="Y273" s="1736"/>
      <c r="Z273" s="1736"/>
      <c r="AA273" s="1742"/>
      <c r="AB273" s="1738"/>
      <c r="AC273" s="1742"/>
      <c r="AD273" s="1742"/>
      <c r="AE273" s="1742"/>
      <c r="AF273" s="1742"/>
      <c r="AG273" s="1736"/>
    </row>
    <row r="274" spans="1:33">
      <c r="A274" s="1718">
        <f t="shared" si="7"/>
        <v>0</v>
      </c>
      <c r="B274" s="1744">
        <f t="shared" si="8"/>
        <v>261</v>
      </c>
      <c r="C274" s="1737"/>
      <c r="D274" s="1736"/>
      <c r="E274" s="1736"/>
      <c r="F274" s="1736"/>
      <c r="G274" s="1738"/>
      <c r="H274" s="1739"/>
      <c r="I274" s="1736"/>
      <c r="J274" s="1736"/>
      <c r="K274" s="1736"/>
      <c r="L274" s="1738"/>
      <c r="M274" s="1736"/>
      <c r="N274" s="1740"/>
      <c r="O274" s="1740"/>
      <c r="P274" s="1741"/>
      <c r="Q274" s="1741"/>
      <c r="R274" s="1736"/>
      <c r="S274" s="1742"/>
      <c r="T274" s="1742"/>
      <c r="U274" s="1742"/>
      <c r="V274" s="1736"/>
      <c r="W274" s="1736"/>
      <c r="X274" s="1736"/>
      <c r="Y274" s="1736"/>
      <c r="Z274" s="1736"/>
      <c r="AA274" s="1742"/>
      <c r="AB274" s="1738"/>
      <c r="AC274" s="1742"/>
      <c r="AD274" s="1742"/>
      <c r="AE274" s="1742"/>
      <c r="AF274" s="1742"/>
      <c r="AG274" s="1736"/>
    </row>
    <row r="275" spans="1:33">
      <c r="A275" s="1718">
        <f t="shared" si="7"/>
        <v>0</v>
      </c>
      <c r="B275" s="1744">
        <f t="shared" si="8"/>
        <v>262</v>
      </c>
      <c r="C275" s="1737"/>
      <c r="D275" s="1736"/>
      <c r="E275" s="1736"/>
      <c r="F275" s="1736"/>
      <c r="G275" s="1738"/>
      <c r="H275" s="1739"/>
      <c r="I275" s="1736"/>
      <c r="J275" s="1736"/>
      <c r="K275" s="1736"/>
      <c r="L275" s="1738"/>
      <c r="M275" s="1736"/>
      <c r="N275" s="1740"/>
      <c r="O275" s="1740"/>
      <c r="P275" s="1741"/>
      <c r="Q275" s="1741"/>
      <c r="R275" s="1736"/>
      <c r="S275" s="1742"/>
      <c r="T275" s="1742"/>
      <c r="U275" s="1742"/>
      <c r="V275" s="1736"/>
      <c r="W275" s="1736"/>
      <c r="X275" s="1736"/>
      <c r="Y275" s="1736"/>
      <c r="Z275" s="1736"/>
      <c r="AA275" s="1742"/>
      <c r="AB275" s="1738"/>
      <c r="AC275" s="1742"/>
      <c r="AD275" s="1742"/>
      <c r="AE275" s="1742"/>
      <c r="AF275" s="1742"/>
      <c r="AG275" s="1736"/>
    </row>
    <row r="276" spans="1:33">
      <c r="A276" s="1718">
        <f t="shared" si="7"/>
        <v>0</v>
      </c>
      <c r="B276" s="1744">
        <f t="shared" si="8"/>
        <v>263</v>
      </c>
      <c r="C276" s="1737"/>
      <c r="D276" s="1736"/>
      <c r="E276" s="1736"/>
      <c r="F276" s="1736"/>
      <c r="G276" s="1738"/>
      <c r="H276" s="1739"/>
      <c r="I276" s="1736"/>
      <c r="J276" s="1736"/>
      <c r="K276" s="1736"/>
      <c r="L276" s="1738"/>
      <c r="M276" s="1736"/>
      <c r="N276" s="1740"/>
      <c r="O276" s="1740"/>
      <c r="P276" s="1741"/>
      <c r="Q276" s="1741"/>
      <c r="R276" s="1736"/>
      <c r="S276" s="1742"/>
      <c r="T276" s="1742"/>
      <c r="U276" s="1742"/>
      <c r="V276" s="1736"/>
      <c r="W276" s="1736"/>
      <c r="X276" s="1736"/>
      <c r="Y276" s="1736"/>
      <c r="Z276" s="1736"/>
      <c r="AA276" s="1742"/>
      <c r="AB276" s="1738"/>
      <c r="AC276" s="1742"/>
      <c r="AD276" s="1742"/>
      <c r="AE276" s="1742"/>
      <c r="AF276" s="1742"/>
      <c r="AG276" s="1736"/>
    </row>
    <row r="277" spans="1:33">
      <c r="A277" s="1718">
        <f t="shared" si="7"/>
        <v>0</v>
      </c>
      <c r="B277" s="1744">
        <f t="shared" si="8"/>
        <v>264</v>
      </c>
      <c r="C277" s="1737"/>
      <c r="D277" s="1736"/>
      <c r="E277" s="1736"/>
      <c r="F277" s="1736"/>
      <c r="G277" s="1738"/>
      <c r="H277" s="1739"/>
      <c r="I277" s="1736"/>
      <c r="J277" s="1736"/>
      <c r="K277" s="1736"/>
      <c r="L277" s="1738"/>
      <c r="M277" s="1736"/>
      <c r="N277" s="1740"/>
      <c r="O277" s="1740"/>
      <c r="P277" s="1741"/>
      <c r="Q277" s="1741"/>
      <c r="R277" s="1736"/>
      <c r="S277" s="1742"/>
      <c r="T277" s="1742"/>
      <c r="U277" s="1742"/>
      <c r="V277" s="1736"/>
      <c r="W277" s="1736"/>
      <c r="X277" s="1736"/>
      <c r="Y277" s="1736"/>
      <c r="Z277" s="1736"/>
      <c r="AA277" s="1742"/>
      <c r="AB277" s="1738"/>
      <c r="AC277" s="1742"/>
      <c r="AD277" s="1742"/>
      <c r="AE277" s="1742"/>
      <c r="AF277" s="1742"/>
      <c r="AG277" s="1736"/>
    </row>
    <row r="278" spans="1:33">
      <c r="A278" s="1718">
        <f t="shared" si="7"/>
        <v>0</v>
      </c>
      <c r="B278" s="1744">
        <f t="shared" si="8"/>
        <v>265</v>
      </c>
      <c r="C278" s="1737"/>
      <c r="D278" s="1736"/>
      <c r="E278" s="1736"/>
      <c r="F278" s="1736"/>
      <c r="G278" s="1738"/>
      <c r="H278" s="1739"/>
      <c r="I278" s="1736"/>
      <c r="J278" s="1736"/>
      <c r="K278" s="1736"/>
      <c r="L278" s="1738"/>
      <c r="M278" s="1736"/>
      <c r="N278" s="1740"/>
      <c r="O278" s="1740"/>
      <c r="P278" s="1741"/>
      <c r="Q278" s="1741"/>
      <c r="R278" s="1736"/>
      <c r="S278" s="1742"/>
      <c r="T278" s="1742"/>
      <c r="U278" s="1742"/>
      <c r="V278" s="1736"/>
      <c r="W278" s="1736"/>
      <c r="X278" s="1736"/>
      <c r="Y278" s="1736"/>
      <c r="Z278" s="1736"/>
      <c r="AA278" s="1742"/>
      <c r="AB278" s="1738"/>
      <c r="AC278" s="1742"/>
      <c r="AD278" s="1742"/>
      <c r="AE278" s="1742"/>
      <c r="AF278" s="1742"/>
      <c r="AG278" s="1736"/>
    </row>
    <row r="279" spans="1:33">
      <c r="A279" s="1718">
        <f t="shared" si="7"/>
        <v>0</v>
      </c>
      <c r="B279" s="1744">
        <f t="shared" si="8"/>
        <v>266</v>
      </c>
      <c r="C279" s="1737"/>
      <c r="D279" s="1736"/>
      <c r="E279" s="1736"/>
      <c r="F279" s="1736"/>
      <c r="G279" s="1738"/>
      <c r="H279" s="1739"/>
      <c r="I279" s="1736"/>
      <c r="J279" s="1736"/>
      <c r="K279" s="1736"/>
      <c r="L279" s="1738"/>
      <c r="M279" s="1736"/>
      <c r="N279" s="1740"/>
      <c r="O279" s="1740"/>
      <c r="P279" s="1741"/>
      <c r="Q279" s="1741"/>
      <c r="R279" s="1736"/>
      <c r="S279" s="1742"/>
      <c r="T279" s="1742"/>
      <c r="U279" s="1742"/>
      <c r="V279" s="1736"/>
      <c r="W279" s="1736"/>
      <c r="X279" s="1736"/>
      <c r="Y279" s="1736"/>
      <c r="Z279" s="1736"/>
      <c r="AA279" s="1742"/>
      <c r="AB279" s="1738"/>
      <c r="AC279" s="1742"/>
      <c r="AD279" s="1742"/>
      <c r="AE279" s="1742"/>
      <c r="AF279" s="1742"/>
      <c r="AG279" s="1736"/>
    </row>
    <row r="280" spans="1:33">
      <c r="A280" s="1718">
        <f t="shared" si="7"/>
        <v>0</v>
      </c>
      <c r="B280" s="1744">
        <f t="shared" si="8"/>
        <v>267</v>
      </c>
      <c r="C280" s="1737"/>
      <c r="D280" s="1736"/>
      <c r="E280" s="1736"/>
      <c r="F280" s="1736"/>
      <c r="G280" s="1738"/>
      <c r="H280" s="1739"/>
      <c r="I280" s="1736"/>
      <c r="J280" s="1736"/>
      <c r="K280" s="1736"/>
      <c r="L280" s="1738"/>
      <c r="M280" s="1736"/>
      <c r="N280" s="1740"/>
      <c r="O280" s="1740"/>
      <c r="P280" s="1741"/>
      <c r="Q280" s="1741"/>
      <c r="R280" s="1736"/>
      <c r="S280" s="1742"/>
      <c r="T280" s="1742"/>
      <c r="U280" s="1742"/>
      <c r="V280" s="1736"/>
      <c r="W280" s="1736"/>
      <c r="X280" s="1736"/>
      <c r="Y280" s="1736"/>
      <c r="Z280" s="1736"/>
      <c r="AA280" s="1742"/>
      <c r="AB280" s="1738"/>
      <c r="AC280" s="1742"/>
      <c r="AD280" s="1742"/>
      <c r="AE280" s="1742"/>
      <c r="AF280" s="1742"/>
      <c r="AG280" s="1736"/>
    </row>
    <row r="281" spans="1:33">
      <c r="A281" s="1718">
        <f t="shared" si="7"/>
        <v>0</v>
      </c>
      <c r="B281" s="1744">
        <f t="shared" si="8"/>
        <v>268</v>
      </c>
      <c r="C281" s="1737"/>
      <c r="D281" s="1736"/>
      <c r="E281" s="1736"/>
      <c r="F281" s="1736"/>
      <c r="G281" s="1738"/>
      <c r="H281" s="1739"/>
      <c r="I281" s="1736"/>
      <c r="J281" s="1736"/>
      <c r="K281" s="1736"/>
      <c r="L281" s="1738"/>
      <c r="M281" s="1736"/>
      <c r="N281" s="1740"/>
      <c r="O281" s="1740"/>
      <c r="P281" s="1741"/>
      <c r="Q281" s="1741"/>
      <c r="R281" s="1736"/>
      <c r="S281" s="1742"/>
      <c r="T281" s="1742"/>
      <c r="U281" s="1742"/>
      <c r="V281" s="1736"/>
      <c r="W281" s="1736"/>
      <c r="X281" s="1736"/>
      <c r="Y281" s="1736"/>
      <c r="Z281" s="1736"/>
      <c r="AA281" s="1742"/>
      <c r="AB281" s="1738"/>
      <c r="AC281" s="1742"/>
      <c r="AD281" s="1742"/>
      <c r="AE281" s="1742"/>
      <c r="AF281" s="1742"/>
      <c r="AG281" s="1736"/>
    </row>
    <row r="282" spans="1:33">
      <c r="A282" s="1718">
        <f t="shared" si="7"/>
        <v>0</v>
      </c>
      <c r="B282" s="1744">
        <f t="shared" si="8"/>
        <v>269</v>
      </c>
      <c r="C282" s="1737"/>
      <c r="D282" s="1736"/>
      <c r="E282" s="1736"/>
      <c r="F282" s="1736"/>
      <c r="G282" s="1738"/>
      <c r="H282" s="1739"/>
      <c r="I282" s="1736"/>
      <c r="J282" s="1736"/>
      <c r="K282" s="1736"/>
      <c r="L282" s="1738"/>
      <c r="M282" s="1736"/>
      <c r="N282" s="1740"/>
      <c r="O282" s="1740"/>
      <c r="P282" s="1741"/>
      <c r="Q282" s="1741"/>
      <c r="R282" s="1736"/>
      <c r="S282" s="1742"/>
      <c r="T282" s="1742"/>
      <c r="U282" s="1742"/>
      <c r="V282" s="1736"/>
      <c r="W282" s="1736"/>
      <c r="X282" s="1736"/>
      <c r="Y282" s="1736"/>
      <c r="Z282" s="1736"/>
      <c r="AA282" s="1742"/>
      <c r="AB282" s="1738"/>
      <c r="AC282" s="1742"/>
      <c r="AD282" s="1742"/>
      <c r="AE282" s="1742"/>
      <c r="AF282" s="1742"/>
      <c r="AG282" s="1736"/>
    </row>
    <row r="283" spans="1:33">
      <c r="A283" s="1718">
        <f t="shared" si="7"/>
        <v>0</v>
      </c>
      <c r="B283" s="1744">
        <f t="shared" si="8"/>
        <v>270</v>
      </c>
      <c r="C283" s="1737"/>
      <c r="D283" s="1736"/>
      <c r="E283" s="1736"/>
      <c r="F283" s="1736"/>
      <c r="G283" s="1738"/>
      <c r="H283" s="1739"/>
      <c r="I283" s="1736"/>
      <c r="J283" s="1736"/>
      <c r="K283" s="1736"/>
      <c r="L283" s="1738"/>
      <c r="M283" s="1736"/>
      <c r="N283" s="1740"/>
      <c r="O283" s="1740"/>
      <c r="P283" s="1741"/>
      <c r="Q283" s="1741"/>
      <c r="R283" s="1736"/>
      <c r="S283" s="1742"/>
      <c r="T283" s="1742"/>
      <c r="U283" s="1742"/>
      <c r="V283" s="1736"/>
      <c r="W283" s="1736"/>
      <c r="X283" s="1736"/>
      <c r="Y283" s="1736"/>
      <c r="Z283" s="1736"/>
      <c r="AA283" s="1742"/>
      <c r="AB283" s="1738"/>
      <c r="AC283" s="1742"/>
      <c r="AD283" s="1742"/>
      <c r="AE283" s="1742"/>
      <c r="AF283" s="1742"/>
      <c r="AG283" s="1736"/>
    </row>
    <row r="284" spans="1:33">
      <c r="A284" s="1718">
        <f t="shared" si="7"/>
        <v>0</v>
      </c>
      <c r="B284" s="1744">
        <f t="shared" si="8"/>
        <v>271</v>
      </c>
      <c r="C284" s="1737"/>
      <c r="D284" s="1736"/>
      <c r="E284" s="1736"/>
      <c r="F284" s="1736"/>
      <c r="G284" s="1738"/>
      <c r="H284" s="1739"/>
      <c r="I284" s="1736"/>
      <c r="J284" s="1736"/>
      <c r="K284" s="1736"/>
      <c r="L284" s="1738"/>
      <c r="M284" s="1736"/>
      <c r="N284" s="1740"/>
      <c r="O284" s="1740"/>
      <c r="P284" s="1741"/>
      <c r="Q284" s="1741"/>
      <c r="R284" s="1736"/>
      <c r="S284" s="1742"/>
      <c r="T284" s="1742"/>
      <c r="U284" s="1742"/>
      <c r="V284" s="1736"/>
      <c r="W284" s="1736"/>
      <c r="X284" s="1736"/>
      <c r="Y284" s="1736"/>
      <c r="Z284" s="1736"/>
      <c r="AA284" s="1742"/>
      <c r="AB284" s="1738"/>
      <c r="AC284" s="1742"/>
      <c r="AD284" s="1742"/>
      <c r="AE284" s="1742"/>
      <c r="AF284" s="1742"/>
      <c r="AG284" s="1736"/>
    </row>
    <row r="285" spans="1:33">
      <c r="A285" s="1718">
        <f t="shared" si="7"/>
        <v>0</v>
      </c>
      <c r="B285" s="1744">
        <f t="shared" si="8"/>
        <v>272</v>
      </c>
      <c r="C285" s="1737"/>
      <c r="D285" s="1736"/>
      <c r="E285" s="1736"/>
      <c r="F285" s="1736"/>
      <c r="G285" s="1738"/>
      <c r="H285" s="1739"/>
      <c r="I285" s="1736"/>
      <c r="J285" s="1736"/>
      <c r="K285" s="1736"/>
      <c r="L285" s="1738"/>
      <c r="M285" s="1736"/>
      <c r="N285" s="1740"/>
      <c r="O285" s="1740"/>
      <c r="P285" s="1741"/>
      <c r="Q285" s="1741"/>
      <c r="R285" s="1736"/>
      <c r="S285" s="1742"/>
      <c r="T285" s="1742"/>
      <c r="U285" s="1742"/>
      <c r="V285" s="1736"/>
      <c r="W285" s="1736"/>
      <c r="X285" s="1736"/>
      <c r="Y285" s="1736"/>
      <c r="Z285" s="1736"/>
      <c r="AA285" s="1742"/>
      <c r="AB285" s="1738"/>
      <c r="AC285" s="1742"/>
      <c r="AD285" s="1742"/>
      <c r="AE285" s="1742"/>
      <c r="AF285" s="1742"/>
      <c r="AG285" s="1736"/>
    </row>
    <row r="286" spans="1:33">
      <c r="A286" s="1718">
        <f t="shared" si="7"/>
        <v>0</v>
      </c>
      <c r="B286" s="1744">
        <f t="shared" si="8"/>
        <v>273</v>
      </c>
      <c r="C286" s="1737"/>
      <c r="D286" s="1736"/>
      <c r="E286" s="1736"/>
      <c r="F286" s="1736"/>
      <c r="G286" s="1738"/>
      <c r="H286" s="1739"/>
      <c r="I286" s="1736"/>
      <c r="J286" s="1736"/>
      <c r="K286" s="1736"/>
      <c r="L286" s="1738"/>
      <c r="M286" s="1736"/>
      <c r="N286" s="1740"/>
      <c r="O286" s="1740"/>
      <c r="P286" s="1741"/>
      <c r="Q286" s="1741"/>
      <c r="R286" s="1736"/>
      <c r="S286" s="1742"/>
      <c r="T286" s="1742"/>
      <c r="U286" s="1742"/>
      <c r="V286" s="1736"/>
      <c r="W286" s="1736"/>
      <c r="X286" s="1736"/>
      <c r="Y286" s="1736"/>
      <c r="Z286" s="1736"/>
      <c r="AA286" s="1742"/>
      <c r="AB286" s="1738"/>
      <c r="AC286" s="1742"/>
      <c r="AD286" s="1742"/>
      <c r="AE286" s="1742"/>
      <c r="AF286" s="1742"/>
      <c r="AG286" s="1736"/>
    </row>
    <row r="287" spans="1:33">
      <c r="A287" s="1718">
        <f t="shared" si="7"/>
        <v>0</v>
      </c>
      <c r="B287" s="1744">
        <f t="shared" si="8"/>
        <v>274</v>
      </c>
      <c r="C287" s="1737"/>
      <c r="D287" s="1736"/>
      <c r="E287" s="1736"/>
      <c r="F287" s="1736"/>
      <c r="G287" s="1738"/>
      <c r="H287" s="1739"/>
      <c r="I287" s="1736"/>
      <c r="J287" s="1736"/>
      <c r="K287" s="1736"/>
      <c r="L287" s="1738"/>
      <c r="M287" s="1736"/>
      <c r="N287" s="1740"/>
      <c r="O287" s="1740"/>
      <c r="P287" s="1741"/>
      <c r="Q287" s="1741"/>
      <c r="R287" s="1736"/>
      <c r="S287" s="1742"/>
      <c r="T287" s="1742"/>
      <c r="U287" s="1742"/>
      <c r="V287" s="1736"/>
      <c r="W287" s="1736"/>
      <c r="X287" s="1736"/>
      <c r="Y287" s="1736"/>
      <c r="Z287" s="1736"/>
      <c r="AA287" s="1742"/>
      <c r="AB287" s="1738"/>
      <c r="AC287" s="1742"/>
      <c r="AD287" s="1742"/>
      <c r="AE287" s="1742"/>
      <c r="AF287" s="1742"/>
      <c r="AG287" s="1736"/>
    </row>
    <row r="288" spans="1:33">
      <c r="A288" s="1718">
        <f t="shared" si="7"/>
        <v>0</v>
      </c>
      <c r="B288" s="1744">
        <f t="shared" si="8"/>
        <v>275</v>
      </c>
      <c r="C288" s="1737"/>
      <c r="D288" s="1736"/>
      <c r="E288" s="1736"/>
      <c r="F288" s="1736"/>
      <c r="G288" s="1738"/>
      <c r="H288" s="1739"/>
      <c r="I288" s="1736"/>
      <c r="J288" s="1736"/>
      <c r="K288" s="1736"/>
      <c r="L288" s="1738"/>
      <c r="M288" s="1736"/>
      <c r="N288" s="1740"/>
      <c r="O288" s="1740"/>
      <c r="P288" s="1741"/>
      <c r="Q288" s="1741"/>
      <c r="R288" s="1736"/>
      <c r="S288" s="1742"/>
      <c r="T288" s="1742"/>
      <c r="U288" s="1742"/>
      <c r="V288" s="1736"/>
      <c r="W288" s="1736"/>
      <c r="X288" s="1736"/>
      <c r="Y288" s="1736"/>
      <c r="Z288" s="1736"/>
      <c r="AA288" s="1742"/>
      <c r="AB288" s="1738"/>
      <c r="AC288" s="1742"/>
      <c r="AD288" s="1742"/>
      <c r="AE288" s="1742"/>
      <c r="AF288" s="1742"/>
      <c r="AG288" s="1736"/>
    </row>
    <row r="289" spans="1:33">
      <c r="A289" s="1718">
        <f t="shared" si="7"/>
        <v>0</v>
      </c>
      <c r="B289" s="1744">
        <f t="shared" si="8"/>
        <v>276</v>
      </c>
      <c r="C289" s="1737"/>
      <c r="D289" s="1736"/>
      <c r="E289" s="1736"/>
      <c r="F289" s="1736"/>
      <c r="G289" s="1738"/>
      <c r="H289" s="1739"/>
      <c r="I289" s="1736"/>
      <c r="J289" s="1736"/>
      <c r="K289" s="1736"/>
      <c r="L289" s="1738"/>
      <c r="M289" s="1736"/>
      <c r="N289" s="1740"/>
      <c r="O289" s="1740"/>
      <c r="P289" s="1741"/>
      <c r="Q289" s="1741"/>
      <c r="R289" s="1736"/>
      <c r="S289" s="1742"/>
      <c r="T289" s="1742"/>
      <c r="U289" s="1742"/>
      <c r="V289" s="1736"/>
      <c r="W289" s="1736"/>
      <c r="X289" s="1736"/>
      <c r="Y289" s="1736"/>
      <c r="Z289" s="1736"/>
      <c r="AA289" s="1742"/>
      <c r="AB289" s="1738"/>
      <c r="AC289" s="1742"/>
      <c r="AD289" s="1742"/>
      <c r="AE289" s="1742"/>
      <c r="AF289" s="1742"/>
      <c r="AG289" s="1736"/>
    </row>
    <row r="290" spans="1:33">
      <c r="A290" s="1718">
        <f t="shared" si="7"/>
        <v>0</v>
      </c>
      <c r="B290" s="1744">
        <f t="shared" si="8"/>
        <v>277</v>
      </c>
      <c r="C290" s="1737"/>
      <c r="D290" s="1736"/>
      <c r="E290" s="1736"/>
      <c r="F290" s="1736"/>
      <c r="G290" s="1738"/>
      <c r="H290" s="1739"/>
      <c r="I290" s="1736"/>
      <c r="J290" s="1736"/>
      <c r="K290" s="1736"/>
      <c r="L290" s="1738"/>
      <c r="M290" s="1736"/>
      <c r="N290" s="1740"/>
      <c r="O290" s="1740"/>
      <c r="P290" s="1741"/>
      <c r="Q290" s="1741"/>
      <c r="R290" s="1736"/>
      <c r="S290" s="1742"/>
      <c r="T290" s="1742"/>
      <c r="U290" s="1742"/>
      <c r="V290" s="1736"/>
      <c r="W290" s="1736"/>
      <c r="X290" s="1736"/>
      <c r="Y290" s="1736"/>
      <c r="Z290" s="1736"/>
      <c r="AA290" s="1742"/>
      <c r="AB290" s="1738"/>
      <c r="AC290" s="1742"/>
      <c r="AD290" s="1742"/>
      <c r="AE290" s="1742"/>
      <c r="AF290" s="1742"/>
      <c r="AG290" s="1736"/>
    </row>
    <row r="291" spans="1:33">
      <c r="A291" s="1718">
        <f t="shared" si="7"/>
        <v>0</v>
      </c>
      <c r="B291" s="1744">
        <f t="shared" si="8"/>
        <v>278</v>
      </c>
      <c r="C291" s="1737"/>
      <c r="D291" s="1736"/>
      <c r="E291" s="1736"/>
      <c r="F291" s="1736"/>
      <c r="G291" s="1738"/>
      <c r="H291" s="1739"/>
      <c r="I291" s="1736"/>
      <c r="J291" s="1736"/>
      <c r="K291" s="1736"/>
      <c r="L291" s="1738"/>
      <c r="M291" s="1736"/>
      <c r="N291" s="1740"/>
      <c r="O291" s="1740"/>
      <c r="P291" s="1741"/>
      <c r="Q291" s="1741"/>
      <c r="R291" s="1736"/>
      <c r="S291" s="1742"/>
      <c r="T291" s="1742"/>
      <c r="U291" s="1742"/>
      <c r="V291" s="1736"/>
      <c r="W291" s="1736"/>
      <c r="X291" s="1736"/>
      <c r="Y291" s="1736"/>
      <c r="Z291" s="1736"/>
      <c r="AA291" s="1742"/>
      <c r="AB291" s="1738"/>
      <c r="AC291" s="1742"/>
      <c r="AD291" s="1742"/>
      <c r="AE291" s="1742"/>
      <c r="AF291" s="1742"/>
      <c r="AG291" s="1736"/>
    </row>
    <row r="292" spans="1:33">
      <c r="A292" s="1718">
        <f t="shared" si="7"/>
        <v>0</v>
      </c>
      <c r="B292" s="1744">
        <f t="shared" si="8"/>
        <v>279</v>
      </c>
      <c r="C292" s="1737"/>
      <c r="D292" s="1736"/>
      <c r="E292" s="1736"/>
      <c r="F292" s="1736"/>
      <c r="G292" s="1738"/>
      <c r="H292" s="1739"/>
      <c r="I292" s="1736"/>
      <c r="J292" s="1736"/>
      <c r="K292" s="1736"/>
      <c r="L292" s="1738"/>
      <c r="M292" s="1736"/>
      <c r="N292" s="1740"/>
      <c r="O292" s="1740"/>
      <c r="P292" s="1741"/>
      <c r="Q292" s="1741"/>
      <c r="R292" s="1736"/>
      <c r="S292" s="1742"/>
      <c r="T292" s="1742"/>
      <c r="U292" s="1742"/>
      <c r="V292" s="1736"/>
      <c r="W292" s="1736"/>
      <c r="X292" s="1736"/>
      <c r="Y292" s="1736"/>
      <c r="Z292" s="1736"/>
      <c r="AA292" s="1742"/>
      <c r="AB292" s="1738"/>
      <c r="AC292" s="1742"/>
      <c r="AD292" s="1742"/>
      <c r="AE292" s="1742"/>
      <c r="AF292" s="1742"/>
      <c r="AG292" s="1736"/>
    </row>
    <row r="293" spans="1:33">
      <c r="A293" s="1718">
        <f t="shared" si="7"/>
        <v>0</v>
      </c>
      <c r="B293" s="1744">
        <f t="shared" si="8"/>
        <v>280</v>
      </c>
      <c r="C293" s="1737"/>
      <c r="D293" s="1736"/>
      <c r="E293" s="1736"/>
      <c r="F293" s="1736"/>
      <c r="G293" s="1738"/>
      <c r="H293" s="1739"/>
      <c r="I293" s="1736"/>
      <c r="J293" s="1736"/>
      <c r="K293" s="1736"/>
      <c r="L293" s="1738"/>
      <c r="M293" s="1736"/>
      <c r="N293" s="1740"/>
      <c r="O293" s="1740"/>
      <c r="P293" s="1741"/>
      <c r="Q293" s="1741"/>
      <c r="R293" s="1736"/>
      <c r="S293" s="1742"/>
      <c r="T293" s="1742"/>
      <c r="U293" s="1742"/>
      <c r="V293" s="1736"/>
      <c r="W293" s="1736"/>
      <c r="X293" s="1736"/>
      <c r="Y293" s="1736"/>
      <c r="Z293" s="1736"/>
      <c r="AA293" s="1742"/>
      <c r="AB293" s="1738"/>
      <c r="AC293" s="1742"/>
      <c r="AD293" s="1742"/>
      <c r="AE293" s="1742"/>
      <c r="AF293" s="1742"/>
      <c r="AG293" s="1736"/>
    </row>
    <row r="294" spans="1:33">
      <c r="A294" s="1718">
        <f t="shared" si="7"/>
        <v>0</v>
      </c>
      <c r="B294" s="1744">
        <f t="shared" si="8"/>
        <v>281</v>
      </c>
      <c r="C294" s="1737"/>
      <c r="D294" s="1736"/>
      <c r="E294" s="1736"/>
      <c r="F294" s="1736"/>
      <c r="G294" s="1738"/>
      <c r="H294" s="1739"/>
      <c r="I294" s="1736"/>
      <c r="J294" s="1736"/>
      <c r="K294" s="1736"/>
      <c r="L294" s="1738"/>
      <c r="M294" s="1736"/>
      <c r="N294" s="1740"/>
      <c r="O294" s="1740"/>
      <c r="P294" s="1741"/>
      <c r="Q294" s="1741"/>
      <c r="R294" s="1736"/>
      <c r="S294" s="1742"/>
      <c r="T294" s="1742"/>
      <c r="U294" s="1742"/>
      <c r="V294" s="1736"/>
      <c r="W294" s="1736"/>
      <c r="X294" s="1736"/>
      <c r="Y294" s="1736"/>
      <c r="Z294" s="1736"/>
      <c r="AA294" s="1742"/>
      <c r="AB294" s="1738"/>
      <c r="AC294" s="1742"/>
      <c r="AD294" s="1742"/>
      <c r="AE294" s="1742"/>
      <c r="AF294" s="1742"/>
      <c r="AG294" s="1736"/>
    </row>
    <row r="295" spans="1:33">
      <c r="A295" s="1718">
        <f t="shared" si="7"/>
        <v>0</v>
      </c>
      <c r="B295" s="1744">
        <f t="shared" si="8"/>
        <v>282</v>
      </c>
      <c r="C295" s="1737"/>
      <c r="D295" s="1736"/>
      <c r="E295" s="1736"/>
      <c r="F295" s="1736"/>
      <c r="G295" s="1738"/>
      <c r="H295" s="1739"/>
      <c r="I295" s="1736"/>
      <c r="J295" s="1736"/>
      <c r="K295" s="1736"/>
      <c r="L295" s="1738"/>
      <c r="M295" s="1736"/>
      <c r="N295" s="1740"/>
      <c r="O295" s="1740"/>
      <c r="P295" s="1741"/>
      <c r="Q295" s="1741"/>
      <c r="R295" s="1736"/>
      <c r="S295" s="1742"/>
      <c r="T295" s="1742"/>
      <c r="U295" s="1742"/>
      <c r="V295" s="1736"/>
      <c r="W295" s="1736"/>
      <c r="X295" s="1736"/>
      <c r="Y295" s="1736"/>
      <c r="Z295" s="1736"/>
      <c r="AA295" s="1742"/>
      <c r="AB295" s="1738"/>
      <c r="AC295" s="1742"/>
      <c r="AD295" s="1742"/>
      <c r="AE295" s="1742"/>
      <c r="AF295" s="1742"/>
      <c r="AG295" s="1736"/>
    </row>
    <row r="296" spans="1:33">
      <c r="A296" s="1718">
        <f t="shared" si="7"/>
        <v>0</v>
      </c>
      <c r="B296" s="1744">
        <f t="shared" si="8"/>
        <v>283</v>
      </c>
      <c r="C296" s="1737"/>
      <c r="D296" s="1736"/>
      <c r="E296" s="1736"/>
      <c r="F296" s="1736"/>
      <c r="G296" s="1738"/>
      <c r="H296" s="1739"/>
      <c r="I296" s="1736"/>
      <c r="J296" s="1736"/>
      <c r="K296" s="1736"/>
      <c r="L296" s="1738"/>
      <c r="M296" s="1736"/>
      <c r="N296" s="1740"/>
      <c r="O296" s="1740"/>
      <c r="P296" s="1741"/>
      <c r="Q296" s="1741"/>
      <c r="R296" s="1736"/>
      <c r="S296" s="1742"/>
      <c r="T296" s="1742"/>
      <c r="U296" s="1742"/>
      <c r="V296" s="1736"/>
      <c r="W296" s="1736"/>
      <c r="X296" s="1736"/>
      <c r="Y296" s="1736"/>
      <c r="Z296" s="1736"/>
      <c r="AA296" s="1742"/>
      <c r="AB296" s="1738"/>
      <c r="AC296" s="1742"/>
      <c r="AD296" s="1742"/>
      <c r="AE296" s="1742"/>
      <c r="AF296" s="1742"/>
      <c r="AG296" s="1736"/>
    </row>
    <row r="297" spans="1:33">
      <c r="A297" s="1718">
        <f t="shared" si="7"/>
        <v>0</v>
      </c>
      <c r="B297" s="1744">
        <f t="shared" si="8"/>
        <v>284</v>
      </c>
      <c r="C297" s="1737"/>
      <c r="D297" s="1736"/>
      <c r="E297" s="1736"/>
      <c r="F297" s="1736"/>
      <c r="G297" s="1738"/>
      <c r="H297" s="1739"/>
      <c r="I297" s="1736"/>
      <c r="J297" s="1736"/>
      <c r="K297" s="1736"/>
      <c r="L297" s="1738"/>
      <c r="M297" s="1736"/>
      <c r="N297" s="1740"/>
      <c r="O297" s="1740"/>
      <c r="P297" s="1741"/>
      <c r="Q297" s="1741"/>
      <c r="R297" s="1736"/>
      <c r="S297" s="1742"/>
      <c r="T297" s="1742"/>
      <c r="U297" s="1742"/>
      <c r="V297" s="1736"/>
      <c r="W297" s="1736"/>
      <c r="X297" s="1736"/>
      <c r="Y297" s="1736"/>
      <c r="Z297" s="1736"/>
      <c r="AA297" s="1742"/>
      <c r="AB297" s="1738"/>
      <c r="AC297" s="1742"/>
      <c r="AD297" s="1742"/>
      <c r="AE297" s="1742"/>
      <c r="AF297" s="1742"/>
      <c r="AG297" s="1736"/>
    </row>
    <row r="298" spans="1:33">
      <c r="A298" s="1718">
        <f t="shared" si="7"/>
        <v>0</v>
      </c>
      <c r="B298" s="1744">
        <f t="shared" si="8"/>
        <v>285</v>
      </c>
      <c r="C298" s="1737"/>
      <c r="D298" s="1736"/>
      <c r="E298" s="1736"/>
      <c r="F298" s="1736"/>
      <c r="G298" s="1738"/>
      <c r="H298" s="1739"/>
      <c r="I298" s="1736"/>
      <c r="J298" s="1736"/>
      <c r="K298" s="1736"/>
      <c r="L298" s="1738"/>
      <c r="M298" s="1736"/>
      <c r="N298" s="1740"/>
      <c r="O298" s="1740"/>
      <c r="P298" s="1741"/>
      <c r="Q298" s="1741"/>
      <c r="R298" s="1736"/>
      <c r="S298" s="1742"/>
      <c r="T298" s="1742"/>
      <c r="U298" s="1742"/>
      <c r="V298" s="1736"/>
      <c r="W298" s="1736"/>
      <c r="X298" s="1736"/>
      <c r="Y298" s="1736"/>
      <c r="Z298" s="1736"/>
      <c r="AA298" s="1742"/>
      <c r="AB298" s="1738"/>
      <c r="AC298" s="1742"/>
      <c r="AD298" s="1742"/>
      <c r="AE298" s="1742"/>
      <c r="AF298" s="1742"/>
      <c r="AG298" s="1736"/>
    </row>
    <row r="299" spans="1:33">
      <c r="A299" s="1718">
        <f t="shared" si="7"/>
        <v>0</v>
      </c>
      <c r="B299" s="1744">
        <f t="shared" si="8"/>
        <v>286</v>
      </c>
      <c r="C299" s="1737"/>
      <c r="D299" s="1736"/>
      <c r="E299" s="1736"/>
      <c r="F299" s="1736"/>
      <c r="G299" s="1738"/>
      <c r="H299" s="1739"/>
      <c r="I299" s="1736"/>
      <c r="J299" s="1736"/>
      <c r="K299" s="1736"/>
      <c r="L299" s="1738"/>
      <c r="M299" s="1736"/>
      <c r="N299" s="1740"/>
      <c r="O299" s="1740"/>
      <c r="P299" s="1741"/>
      <c r="Q299" s="1741"/>
      <c r="R299" s="1736"/>
      <c r="S299" s="1742"/>
      <c r="T299" s="1742"/>
      <c r="U299" s="1742"/>
      <c r="V299" s="1736"/>
      <c r="W299" s="1736"/>
      <c r="X299" s="1736"/>
      <c r="Y299" s="1736"/>
      <c r="Z299" s="1736"/>
      <c r="AA299" s="1742"/>
      <c r="AB299" s="1738"/>
      <c r="AC299" s="1742"/>
      <c r="AD299" s="1742"/>
      <c r="AE299" s="1742"/>
      <c r="AF299" s="1742"/>
      <c r="AG299" s="1736"/>
    </row>
    <row r="300" spans="1:33">
      <c r="A300" s="1718">
        <f t="shared" si="7"/>
        <v>0</v>
      </c>
      <c r="B300" s="1744">
        <f t="shared" si="8"/>
        <v>287</v>
      </c>
      <c r="C300" s="1737"/>
      <c r="D300" s="1736"/>
      <c r="E300" s="1736"/>
      <c r="F300" s="1736"/>
      <c r="G300" s="1738"/>
      <c r="H300" s="1739"/>
      <c r="I300" s="1736"/>
      <c r="J300" s="1736"/>
      <c r="K300" s="1736"/>
      <c r="L300" s="1738"/>
      <c r="M300" s="1736"/>
      <c r="N300" s="1740"/>
      <c r="O300" s="1740"/>
      <c r="P300" s="1741"/>
      <c r="Q300" s="1741"/>
      <c r="R300" s="1736"/>
      <c r="S300" s="1742"/>
      <c r="T300" s="1742"/>
      <c r="U300" s="1742"/>
      <c r="V300" s="1736"/>
      <c r="W300" s="1736"/>
      <c r="X300" s="1736"/>
      <c r="Y300" s="1736"/>
      <c r="Z300" s="1736"/>
      <c r="AA300" s="1742"/>
      <c r="AB300" s="1738"/>
      <c r="AC300" s="1742"/>
      <c r="AD300" s="1742"/>
      <c r="AE300" s="1742"/>
      <c r="AF300" s="1742"/>
      <c r="AG300" s="1736"/>
    </row>
    <row r="301" spans="1:33">
      <c r="A301" s="1718">
        <f t="shared" si="7"/>
        <v>0</v>
      </c>
      <c r="B301" s="1744">
        <f t="shared" si="8"/>
        <v>288</v>
      </c>
      <c r="C301" s="1737"/>
      <c r="D301" s="1736"/>
      <c r="E301" s="1736"/>
      <c r="F301" s="1736"/>
      <c r="G301" s="1738"/>
      <c r="H301" s="1739"/>
      <c r="I301" s="1736"/>
      <c r="J301" s="1736"/>
      <c r="K301" s="1736"/>
      <c r="L301" s="1738"/>
      <c r="M301" s="1736"/>
      <c r="N301" s="1740"/>
      <c r="O301" s="1740"/>
      <c r="P301" s="1741"/>
      <c r="Q301" s="1741"/>
      <c r="R301" s="1736"/>
      <c r="S301" s="1742"/>
      <c r="T301" s="1742"/>
      <c r="U301" s="1742"/>
      <c r="V301" s="1736"/>
      <c r="W301" s="1736"/>
      <c r="X301" s="1736"/>
      <c r="Y301" s="1736"/>
      <c r="Z301" s="1736"/>
      <c r="AA301" s="1742"/>
      <c r="AB301" s="1738"/>
      <c r="AC301" s="1742"/>
      <c r="AD301" s="1742"/>
      <c r="AE301" s="1742"/>
      <c r="AF301" s="1742"/>
      <c r="AG301" s="1736"/>
    </row>
    <row r="302" spans="1:33">
      <c r="A302" s="1718">
        <f t="shared" si="7"/>
        <v>0</v>
      </c>
      <c r="B302" s="1744">
        <f t="shared" si="8"/>
        <v>289</v>
      </c>
      <c r="C302" s="1737"/>
      <c r="D302" s="1736"/>
      <c r="E302" s="1736"/>
      <c r="F302" s="1736"/>
      <c r="G302" s="1738"/>
      <c r="H302" s="1739"/>
      <c r="I302" s="1736"/>
      <c r="J302" s="1736"/>
      <c r="K302" s="1736"/>
      <c r="L302" s="1738"/>
      <c r="M302" s="1736"/>
      <c r="N302" s="1740"/>
      <c r="O302" s="1740"/>
      <c r="P302" s="1741"/>
      <c r="Q302" s="1741"/>
      <c r="R302" s="1736"/>
      <c r="S302" s="1742"/>
      <c r="T302" s="1742"/>
      <c r="U302" s="1742"/>
      <c r="V302" s="1736"/>
      <c r="W302" s="1736"/>
      <c r="X302" s="1736"/>
      <c r="Y302" s="1736"/>
      <c r="Z302" s="1736"/>
      <c r="AA302" s="1742"/>
      <c r="AB302" s="1738"/>
      <c r="AC302" s="1742"/>
      <c r="AD302" s="1742"/>
      <c r="AE302" s="1742"/>
      <c r="AF302" s="1742"/>
      <c r="AG302" s="1736"/>
    </row>
    <row r="303" spans="1:33">
      <c r="A303" s="1718">
        <f t="shared" si="7"/>
        <v>0</v>
      </c>
      <c r="B303" s="1744">
        <f t="shared" si="8"/>
        <v>290</v>
      </c>
      <c r="C303" s="1737"/>
      <c r="D303" s="1736"/>
      <c r="E303" s="1736"/>
      <c r="F303" s="1736"/>
      <c r="G303" s="1738"/>
      <c r="H303" s="1739"/>
      <c r="I303" s="1736"/>
      <c r="J303" s="1736"/>
      <c r="K303" s="1736"/>
      <c r="L303" s="1738"/>
      <c r="M303" s="1736"/>
      <c r="N303" s="1740"/>
      <c r="O303" s="1740"/>
      <c r="P303" s="1741"/>
      <c r="Q303" s="1741"/>
      <c r="R303" s="1736"/>
      <c r="S303" s="1742"/>
      <c r="T303" s="1742"/>
      <c r="U303" s="1742"/>
      <c r="V303" s="1736"/>
      <c r="W303" s="1736"/>
      <c r="X303" s="1736"/>
      <c r="Y303" s="1736"/>
      <c r="Z303" s="1736"/>
      <c r="AA303" s="1742"/>
      <c r="AB303" s="1738"/>
      <c r="AC303" s="1742"/>
      <c r="AD303" s="1742"/>
      <c r="AE303" s="1742"/>
      <c r="AF303" s="1742"/>
      <c r="AG303" s="1736"/>
    </row>
    <row r="304" spans="1:33">
      <c r="A304" s="1718">
        <f t="shared" si="7"/>
        <v>0</v>
      </c>
      <c r="B304" s="1744">
        <f t="shared" si="8"/>
        <v>291</v>
      </c>
      <c r="C304" s="1737"/>
      <c r="D304" s="1736"/>
      <c r="E304" s="1736"/>
      <c r="F304" s="1736"/>
      <c r="G304" s="1738"/>
      <c r="H304" s="1739"/>
      <c r="I304" s="1736"/>
      <c r="J304" s="1736"/>
      <c r="K304" s="1736"/>
      <c r="L304" s="1738"/>
      <c r="M304" s="1736"/>
      <c r="N304" s="1740"/>
      <c r="O304" s="1740"/>
      <c r="P304" s="1741"/>
      <c r="Q304" s="1741"/>
      <c r="R304" s="1736"/>
      <c r="S304" s="1742"/>
      <c r="T304" s="1742"/>
      <c r="U304" s="1742"/>
      <c r="V304" s="1736"/>
      <c r="W304" s="1736"/>
      <c r="X304" s="1736"/>
      <c r="Y304" s="1736"/>
      <c r="Z304" s="1736"/>
      <c r="AA304" s="1742"/>
      <c r="AB304" s="1738"/>
      <c r="AC304" s="1742"/>
      <c r="AD304" s="1742"/>
      <c r="AE304" s="1742"/>
      <c r="AF304" s="1742"/>
      <c r="AG304" s="1736"/>
    </row>
    <row r="305" spans="1:33">
      <c r="A305" s="1718">
        <f t="shared" si="7"/>
        <v>0</v>
      </c>
      <c r="B305" s="1744">
        <f t="shared" si="8"/>
        <v>292</v>
      </c>
      <c r="C305" s="1737"/>
      <c r="D305" s="1736"/>
      <c r="E305" s="1736"/>
      <c r="F305" s="1736"/>
      <c r="G305" s="1738"/>
      <c r="H305" s="1739"/>
      <c r="I305" s="1736"/>
      <c r="J305" s="1736"/>
      <c r="K305" s="1736"/>
      <c r="L305" s="1738"/>
      <c r="M305" s="1736"/>
      <c r="N305" s="1740"/>
      <c r="O305" s="1740"/>
      <c r="P305" s="1741"/>
      <c r="Q305" s="1741"/>
      <c r="R305" s="1736"/>
      <c r="S305" s="1742"/>
      <c r="T305" s="1742"/>
      <c r="U305" s="1742"/>
      <c r="V305" s="1736"/>
      <c r="W305" s="1736"/>
      <c r="X305" s="1736"/>
      <c r="Y305" s="1736"/>
      <c r="Z305" s="1736"/>
      <c r="AA305" s="1742"/>
      <c r="AB305" s="1738"/>
      <c r="AC305" s="1742"/>
      <c r="AD305" s="1742"/>
      <c r="AE305" s="1742"/>
      <c r="AF305" s="1742"/>
      <c r="AG305" s="1736"/>
    </row>
    <row r="306" spans="1:33">
      <c r="A306" s="1718">
        <f t="shared" si="7"/>
        <v>0</v>
      </c>
      <c r="B306" s="1744">
        <f t="shared" si="8"/>
        <v>293</v>
      </c>
      <c r="C306" s="1737"/>
      <c r="D306" s="1736"/>
      <c r="E306" s="1736"/>
      <c r="F306" s="1736"/>
      <c r="G306" s="1738"/>
      <c r="H306" s="1739"/>
      <c r="I306" s="1736"/>
      <c r="J306" s="1736"/>
      <c r="K306" s="1736"/>
      <c r="L306" s="1738"/>
      <c r="M306" s="1736"/>
      <c r="N306" s="1740"/>
      <c r="O306" s="1740"/>
      <c r="P306" s="1741"/>
      <c r="Q306" s="1741"/>
      <c r="R306" s="1736"/>
      <c r="S306" s="1742"/>
      <c r="T306" s="1742"/>
      <c r="U306" s="1742"/>
      <c r="V306" s="1736"/>
      <c r="W306" s="1736"/>
      <c r="X306" s="1736"/>
      <c r="Y306" s="1736"/>
      <c r="Z306" s="1736"/>
      <c r="AA306" s="1742"/>
      <c r="AB306" s="1738"/>
      <c r="AC306" s="1742"/>
      <c r="AD306" s="1742"/>
      <c r="AE306" s="1742"/>
      <c r="AF306" s="1742"/>
      <c r="AG306" s="1736"/>
    </row>
    <row r="307" spans="1:33">
      <c r="A307" s="1718">
        <f t="shared" si="7"/>
        <v>0</v>
      </c>
      <c r="B307" s="1744">
        <f t="shared" si="8"/>
        <v>294</v>
      </c>
      <c r="C307" s="1737"/>
      <c r="D307" s="1736"/>
      <c r="E307" s="1736"/>
      <c r="F307" s="1736"/>
      <c r="G307" s="1738"/>
      <c r="H307" s="1739"/>
      <c r="I307" s="1736"/>
      <c r="J307" s="1736"/>
      <c r="K307" s="1736"/>
      <c r="L307" s="1738"/>
      <c r="M307" s="1736"/>
      <c r="N307" s="1740"/>
      <c r="O307" s="1740"/>
      <c r="P307" s="1741"/>
      <c r="Q307" s="1741"/>
      <c r="R307" s="1736"/>
      <c r="S307" s="1742"/>
      <c r="T307" s="1742"/>
      <c r="U307" s="1742"/>
      <c r="V307" s="1736"/>
      <c r="W307" s="1736"/>
      <c r="X307" s="1736"/>
      <c r="Y307" s="1736"/>
      <c r="Z307" s="1736"/>
      <c r="AA307" s="1742"/>
      <c r="AB307" s="1738"/>
      <c r="AC307" s="1742"/>
      <c r="AD307" s="1742"/>
      <c r="AE307" s="1742"/>
      <c r="AF307" s="1742"/>
      <c r="AG307" s="1736"/>
    </row>
    <row r="308" spans="1:33">
      <c r="A308" s="1718">
        <f t="shared" si="7"/>
        <v>0</v>
      </c>
      <c r="B308" s="1744">
        <f t="shared" si="8"/>
        <v>295</v>
      </c>
      <c r="C308" s="1737"/>
      <c r="D308" s="1736"/>
      <c r="E308" s="1736"/>
      <c r="F308" s="1736"/>
      <c r="G308" s="1738"/>
      <c r="H308" s="1739"/>
      <c r="I308" s="1736"/>
      <c r="J308" s="1736"/>
      <c r="K308" s="1736"/>
      <c r="L308" s="1738"/>
      <c r="M308" s="1736"/>
      <c r="N308" s="1740"/>
      <c r="O308" s="1740"/>
      <c r="P308" s="1741"/>
      <c r="Q308" s="1741"/>
      <c r="R308" s="1736"/>
      <c r="S308" s="1742"/>
      <c r="T308" s="1742"/>
      <c r="U308" s="1742"/>
      <c r="V308" s="1736"/>
      <c r="W308" s="1736"/>
      <c r="X308" s="1736"/>
      <c r="Y308" s="1736"/>
      <c r="Z308" s="1736"/>
      <c r="AA308" s="1742"/>
      <c r="AB308" s="1738"/>
      <c r="AC308" s="1742"/>
      <c r="AD308" s="1742"/>
      <c r="AE308" s="1742"/>
      <c r="AF308" s="1742"/>
      <c r="AG308" s="1736"/>
    </row>
    <row r="309" spans="1:33">
      <c r="A309" s="1718">
        <f t="shared" si="7"/>
        <v>0</v>
      </c>
      <c r="B309" s="1744">
        <f t="shared" si="8"/>
        <v>296</v>
      </c>
      <c r="C309" s="1737"/>
      <c r="D309" s="1736"/>
      <c r="E309" s="1736"/>
      <c r="F309" s="1736"/>
      <c r="G309" s="1738"/>
      <c r="H309" s="1739"/>
      <c r="I309" s="1736"/>
      <c r="J309" s="1736"/>
      <c r="K309" s="1736"/>
      <c r="L309" s="1738"/>
      <c r="M309" s="1736"/>
      <c r="N309" s="1740"/>
      <c r="O309" s="1740"/>
      <c r="P309" s="1741"/>
      <c r="Q309" s="1741"/>
      <c r="R309" s="1736"/>
      <c r="S309" s="1742"/>
      <c r="T309" s="1742"/>
      <c r="U309" s="1742"/>
      <c r="V309" s="1736"/>
      <c r="W309" s="1736"/>
      <c r="X309" s="1736"/>
      <c r="Y309" s="1736"/>
      <c r="Z309" s="1736"/>
      <c r="AA309" s="1742"/>
      <c r="AB309" s="1738"/>
      <c r="AC309" s="1742"/>
      <c r="AD309" s="1742"/>
      <c r="AE309" s="1742"/>
      <c r="AF309" s="1742"/>
      <c r="AG309" s="1736"/>
    </row>
    <row r="310" spans="1:33">
      <c r="A310" s="1718">
        <f t="shared" si="7"/>
        <v>0</v>
      </c>
      <c r="B310" s="1744">
        <f t="shared" si="8"/>
        <v>297</v>
      </c>
      <c r="C310" s="1737"/>
      <c r="D310" s="1736"/>
      <c r="E310" s="1736"/>
      <c r="F310" s="1736"/>
      <c r="G310" s="1738"/>
      <c r="H310" s="1739"/>
      <c r="I310" s="1736"/>
      <c r="J310" s="1736"/>
      <c r="K310" s="1736"/>
      <c r="L310" s="1738"/>
      <c r="M310" s="1736"/>
      <c r="N310" s="1740"/>
      <c r="O310" s="1740"/>
      <c r="P310" s="1741"/>
      <c r="Q310" s="1741"/>
      <c r="R310" s="1736"/>
      <c r="S310" s="1742"/>
      <c r="T310" s="1742"/>
      <c r="U310" s="1742"/>
      <c r="V310" s="1736"/>
      <c r="W310" s="1736"/>
      <c r="X310" s="1736"/>
      <c r="Y310" s="1736"/>
      <c r="Z310" s="1736"/>
      <c r="AA310" s="1742"/>
      <c r="AB310" s="1738"/>
      <c r="AC310" s="1742"/>
      <c r="AD310" s="1742"/>
      <c r="AE310" s="1742"/>
      <c r="AF310" s="1742"/>
      <c r="AG310" s="1736"/>
    </row>
    <row r="311" spans="1:33">
      <c r="A311" s="1718">
        <f t="shared" si="7"/>
        <v>0</v>
      </c>
      <c r="B311" s="1744">
        <f t="shared" si="8"/>
        <v>298</v>
      </c>
      <c r="C311" s="1737"/>
      <c r="D311" s="1736"/>
      <c r="E311" s="1736"/>
      <c r="F311" s="1736"/>
      <c r="G311" s="1738"/>
      <c r="H311" s="1739"/>
      <c r="I311" s="1736"/>
      <c r="J311" s="1736"/>
      <c r="K311" s="1736"/>
      <c r="L311" s="1738"/>
      <c r="M311" s="1736"/>
      <c r="N311" s="1740"/>
      <c r="O311" s="1740"/>
      <c r="P311" s="1741"/>
      <c r="Q311" s="1741"/>
      <c r="R311" s="1736"/>
      <c r="S311" s="1742"/>
      <c r="T311" s="1742"/>
      <c r="U311" s="1742"/>
      <c r="V311" s="1736"/>
      <c r="W311" s="1736"/>
      <c r="X311" s="1736"/>
      <c r="Y311" s="1736"/>
      <c r="Z311" s="1736"/>
      <c r="AA311" s="1742"/>
      <c r="AB311" s="1738"/>
      <c r="AC311" s="1742"/>
      <c r="AD311" s="1742"/>
      <c r="AE311" s="1742"/>
      <c r="AF311" s="1742"/>
      <c r="AG311" s="1736"/>
    </row>
    <row r="312" spans="1:33">
      <c r="A312" s="1718">
        <f t="shared" si="7"/>
        <v>0</v>
      </c>
      <c r="B312" s="1744">
        <f t="shared" si="8"/>
        <v>299</v>
      </c>
      <c r="C312" s="1737"/>
      <c r="D312" s="1736"/>
      <c r="E312" s="1736"/>
      <c r="F312" s="1736"/>
      <c r="G312" s="1738"/>
      <c r="H312" s="1739"/>
      <c r="I312" s="1736"/>
      <c r="J312" s="1736"/>
      <c r="K312" s="1736"/>
      <c r="L312" s="1738"/>
      <c r="M312" s="1736"/>
      <c r="N312" s="1740"/>
      <c r="O312" s="1740"/>
      <c r="P312" s="1741"/>
      <c r="Q312" s="1741"/>
      <c r="R312" s="1736"/>
      <c r="S312" s="1742"/>
      <c r="T312" s="1742"/>
      <c r="U312" s="1742"/>
      <c r="V312" s="1736"/>
      <c r="W312" s="1736"/>
      <c r="X312" s="1736"/>
      <c r="Y312" s="1736"/>
      <c r="Z312" s="1736"/>
      <c r="AA312" s="1742"/>
      <c r="AB312" s="1738"/>
      <c r="AC312" s="1742"/>
      <c r="AD312" s="1742"/>
      <c r="AE312" s="1742"/>
      <c r="AF312" s="1742"/>
      <c r="AG312" s="1736"/>
    </row>
    <row r="313" spans="1:33">
      <c r="A313" s="1718">
        <f t="shared" si="7"/>
        <v>0</v>
      </c>
      <c r="B313" s="1744">
        <f t="shared" si="8"/>
        <v>300</v>
      </c>
      <c r="C313" s="1737"/>
      <c r="D313" s="1736"/>
      <c r="E313" s="1736"/>
      <c r="F313" s="1736"/>
      <c r="G313" s="1738"/>
      <c r="H313" s="1739"/>
      <c r="I313" s="1736"/>
      <c r="J313" s="1736"/>
      <c r="K313" s="1736"/>
      <c r="L313" s="1738"/>
      <c r="M313" s="1736"/>
      <c r="N313" s="1740"/>
      <c r="O313" s="1740"/>
      <c r="P313" s="1741"/>
      <c r="Q313" s="1741"/>
      <c r="R313" s="1736"/>
      <c r="S313" s="1742"/>
      <c r="T313" s="1742"/>
      <c r="U313" s="1742"/>
      <c r="V313" s="1736"/>
      <c r="W313" s="1736"/>
      <c r="X313" s="1736"/>
      <c r="Y313" s="1736"/>
      <c r="Z313" s="1736"/>
      <c r="AA313" s="1742"/>
      <c r="AB313" s="1738"/>
      <c r="AC313" s="1742"/>
      <c r="AD313" s="1742"/>
      <c r="AE313" s="1742"/>
      <c r="AF313" s="1742"/>
      <c r="AG313" s="1736"/>
    </row>
    <row r="314" spans="1:33">
      <c r="A314" s="1718">
        <f t="shared" si="7"/>
        <v>1</v>
      </c>
      <c r="B314" s="1718" t="s">
        <v>0</v>
      </c>
      <c r="C314" s="1718" t="s">
        <v>0</v>
      </c>
      <c r="D314" s="1718" t="s">
        <v>0</v>
      </c>
      <c r="E314" s="1718" t="s">
        <v>0</v>
      </c>
      <c r="F314" s="1718" t="s">
        <v>0</v>
      </c>
      <c r="G314" s="1718" t="s">
        <v>0</v>
      </c>
      <c r="H314" s="1746" t="s">
        <v>0</v>
      </c>
      <c r="I314" s="1718" t="s">
        <v>0</v>
      </c>
      <c r="J314" s="1718" t="s">
        <v>0</v>
      </c>
      <c r="K314" s="1718" t="s">
        <v>0</v>
      </c>
      <c r="L314" s="1718" t="s">
        <v>0</v>
      </c>
      <c r="M314" s="1718" t="s">
        <v>0</v>
      </c>
      <c r="N314" s="1718" t="s">
        <v>0</v>
      </c>
      <c r="O314" s="1718" t="s">
        <v>0</v>
      </c>
      <c r="P314" s="1718" t="s">
        <v>0</v>
      </c>
      <c r="Q314" s="1718" t="s">
        <v>0</v>
      </c>
      <c r="R314" s="1718" t="s">
        <v>0</v>
      </c>
      <c r="S314" s="1718" t="s">
        <v>0</v>
      </c>
      <c r="T314" s="1718" t="s">
        <v>0</v>
      </c>
      <c r="U314" s="1718" t="s">
        <v>0</v>
      </c>
      <c r="V314" s="1718" t="s">
        <v>0</v>
      </c>
      <c r="W314" s="1718" t="s">
        <v>0</v>
      </c>
      <c r="X314" s="1718" t="s">
        <v>0</v>
      </c>
      <c r="Y314" s="1718" t="s">
        <v>0</v>
      </c>
      <c r="Z314" s="1718" t="s">
        <v>0</v>
      </c>
      <c r="AA314" s="1718" t="s">
        <v>0</v>
      </c>
      <c r="AB314" s="1718" t="s">
        <v>0</v>
      </c>
      <c r="AC314" s="1718" t="s">
        <v>0</v>
      </c>
      <c r="AD314" s="1718" t="s">
        <v>0</v>
      </c>
      <c r="AE314" s="1718" t="s">
        <v>0</v>
      </c>
      <c r="AF314" s="1718" t="s">
        <v>0</v>
      </c>
      <c r="AG314" s="1718" t="s">
        <v>0</v>
      </c>
    </row>
  </sheetData>
  <sheetProtection password="FC1C" sheet="1" objects="1" scenarios="1" formatCells="0" formatColumns="0" formatRows="0" autoFilter="0"/>
  <autoFilter ref="A13:G13"/>
  <dataConsolidate/>
  <mergeCells count="11">
    <mergeCell ref="C9:D9"/>
    <mergeCell ref="G9:H9"/>
    <mergeCell ref="AC9:AF9"/>
    <mergeCell ref="C10:E10"/>
    <mergeCell ref="C3:D3"/>
    <mergeCell ref="C4:E4"/>
    <mergeCell ref="C5:D5"/>
    <mergeCell ref="C6:D6"/>
    <mergeCell ref="G7:I7"/>
    <mergeCell ref="C8:D8"/>
    <mergeCell ref="G8:H8"/>
  </mergeCells>
  <dataValidations count="11">
    <dataValidation type="list" allowBlank="1" showInputMessage="1" showErrorMessage="1" sqref="H14:H313">
      <formula1>Discuss</formula1>
    </dataValidation>
    <dataValidation type="list" allowBlank="1" showInputMessage="1" showErrorMessage="1" sqref="Z14:Z313">
      <formula1>Location</formula1>
    </dataValidation>
    <dataValidation type="list" allowBlank="1" showInputMessage="1" showErrorMessage="1" sqref="E14:E313">
      <formula1>Groups</formula1>
    </dataValidation>
    <dataValidation type="list" allowBlank="1" showInputMessage="1" showErrorMessage="1" sqref="AC14:AF313 I14:I313">
      <formula1>Change</formula1>
    </dataValidation>
    <dataValidation type="list" allowBlank="1" showInputMessage="1" showErrorMessage="1" sqref="Y14:Y313">
      <formula1>B_List</formula1>
    </dataValidation>
    <dataValidation type="list" allowBlank="1" showInputMessage="1" showErrorMessage="1" sqref="R14:R313">
      <formula1>Link</formula1>
    </dataValidation>
    <dataValidation type="list" allowBlank="1" showInputMessage="1" showErrorMessage="1" sqref="X14:X313">
      <formula1>Rate</formula1>
    </dataValidation>
    <dataValidation type="list" allowBlank="1" showInputMessage="1" showErrorMessage="1" sqref="F14:F313">
      <formula1>Category</formula1>
    </dataValidation>
    <dataValidation type="list" allowBlank="1" showInputMessage="1" showErrorMessage="1" sqref="K14:K313">
      <formula1>Type_Loan</formula1>
    </dataValidation>
    <dataValidation type="list" allowBlank="1" showInputMessage="1" showErrorMessage="1" sqref="T14:W313">
      <formula1>Rating</formula1>
    </dataValidation>
    <dataValidation type="list" allowBlank="1" showInputMessage="1" showErrorMessage="1" sqref="J14:J313">
      <formula1>Type_Industry</formula1>
    </dataValidation>
  </dataValidations>
  <hyperlinks>
    <hyperlink ref="G4" r:id="rId1"/>
    <hyperlink ref="K1" location="Information!A1" display="חזרה"/>
  </hyperlinks>
  <printOptions horizontalCentered="1"/>
  <pageMargins left="0" right="0" top="0" bottom="0.39370078740157499" header="0" footer="0.31496062992126"/>
  <pageSetup paperSize="9" scale="52" fitToWidth="2" fitToHeight="3" orientation="landscape" verticalDpi="0" r:id="rId2"/>
  <headerFooter alignWithMargins="0">
    <oddFooter>&amp;L&amp;Z&amp;F&amp;C&amp;P</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FFFF00"/>
    <pageSetUpPr fitToPage="1"/>
  </sheetPr>
  <dimension ref="B1:P34"/>
  <sheetViews>
    <sheetView rightToLeft="1" workbookViewId="0"/>
  </sheetViews>
  <sheetFormatPr defaultColWidth="8.81640625" defaultRowHeight="14"/>
  <cols>
    <col min="1" max="1" width="2.453125" style="1185" customWidth="1"/>
    <col min="2" max="2" width="3.453125" style="1185" customWidth="1"/>
    <col min="3" max="3" width="64.54296875" style="1185" customWidth="1"/>
    <col min="4" max="4" width="6.453125" style="1185" customWidth="1"/>
    <col min="5" max="5" width="7" style="1185" customWidth="1"/>
    <col min="6" max="6" width="50.54296875" style="1185" customWidth="1"/>
    <col min="7" max="7" width="50.54296875" style="1186" customWidth="1"/>
    <col min="8" max="11" width="9.54296875" style="1185" customWidth="1"/>
    <col min="12" max="12" width="32.54296875" style="1185" customWidth="1"/>
    <col min="13" max="16" width="9.54296875" style="1185" customWidth="1"/>
    <col min="17" max="16384" width="8.81640625" style="1185"/>
  </cols>
  <sheetData>
    <row r="1" spans="2:16" ht="23">
      <c r="C1" s="1202" t="str">
        <f>'S1'!B1</f>
        <v>_____חברה מנהלת</v>
      </c>
      <c r="D1" s="1185" t="str">
        <f>CONCATENATE(M1,L1)</f>
        <v>דיווח לשנת 2019</v>
      </c>
      <c r="L1" s="1185" t="str">
        <f>Period5</f>
        <v>שנת 2019</v>
      </c>
      <c r="M1" s="1185" t="s">
        <v>2764</v>
      </c>
      <c r="O1" s="1185" t="s">
        <v>2757</v>
      </c>
      <c r="P1" s="1185" t="s">
        <v>2680</v>
      </c>
    </row>
    <row r="2" spans="2:16" ht="18">
      <c r="C2" s="1204" t="str">
        <f>Information!F14</f>
        <v>דוח שנתי על יישום הוראות הדין  בוטל</v>
      </c>
      <c r="F2" s="1460" t="s">
        <v>3864</v>
      </c>
      <c r="P2" s="1185" t="s">
        <v>2681</v>
      </c>
    </row>
    <row r="3" spans="2:16" ht="15.5" hidden="1">
      <c r="F3" s="1461"/>
    </row>
    <row r="4" spans="2:16" ht="15.5" hidden="1">
      <c r="F4" s="1461"/>
      <c r="L4" s="1185" t="s">
        <v>2752</v>
      </c>
      <c r="P4" s="1185" t="s">
        <v>2697</v>
      </c>
    </row>
    <row r="5" spans="2:16" ht="23.25" customHeight="1">
      <c r="B5" s="1187" t="s">
        <v>2753</v>
      </c>
      <c r="C5" s="1188" t="str">
        <f>IF(H5&gt;0,mess1,"")</f>
        <v/>
      </c>
      <c r="D5" s="1187"/>
      <c r="E5" s="642" t="s">
        <v>263</v>
      </c>
      <c r="F5" s="1460" t="s">
        <v>3865</v>
      </c>
      <c r="G5" s="1189"/>
      <c r="H5" s="1185">
        <f>SUM(H8:H22)</f>
        <v>0</v>
      </c>
      <c r="L5" s="1185" t="s">
        <v>2682</v>
      </c>
      <c r="O5" s="1185" t="s">
        <v>2683</v>
      </c>
    </row>
    <row r="6" spans="2:16" ht="15.5">
      <c r="B6" s="1471"/>
      <c r="C6" s="1470" t="s">
        <v>3876</v>
      </c>
      <c r="D6" s="1845" t="s">
        <v>2754</v>
      </c>
      <c r="E6" s="1846"/>
      <c r="F6" s="1441" t="s">
        <v>2755</v>
      </c>
      <c r="G6" s="1442"/>
      <c r="L6" s="1185" t="s">
        <v>2683</v>
      </c>
    </row>
    <row r="7" spans="2:16" ht="15.5">
      <c r="B7" s="1847" t="s">
        <v>2758</v>
      </c>
      <c r="C7" s="1848"/>
      <c r="D7" s="1190"/>
      <c r="E7" s="1190"/>
      <c r="F7" s="1191"/>
      <c r="G7" s="1442"/>
      <c r="L7" s="1185" t="s">
        <v>2756</v>
      </c>
    </row>
    <row r="8" spans="2:16" ht="62">
      <c r="B8" s="1192">
        <v>1</v>
      </c>
      <c r="C8" s="1443" t="s">
        <v>2759</v>
      </c>
      <c r="D8" s="1444"/>
      <c r="E8" s="1445"/>
      <c r="F8" s="1446"/>
      <c r="G8" s="1193"/>
      <c r="H8" s="1185">
        <f>IF(OR(AND(D8=$L$5,F8=""),AND(D8=$L$5,I8=0)),1,0)</f>
        <v>0</v>
      </c>
      <c r="I8" s="1185">
        <f t="shared" ref="I8:I19" si="0">LEN(J8)</f>
        <v>0</v>
      </c>
      <c r="J8" s="1185" t="str">
        <f t="shared" ref="J8:J19" si="1">TRIM(F8)</f>
        <v/>
      </c>
    </row>
    <row r="9" spans="2:16" ht="46.5">
      <c r="B9" s="1192">
        <f>B8+1</f>
        <v>2</v>
      </c>
      <c r="C9" s="1443" t="s">
        <v>2760</v>
      </c>
      <c r="D9" s="1447"/>
      <c r="E9" s="1444"/>
      <c r="F9" s="1446"/>
      <c r="G9" s="1193"/>
      <c r="H9" s="1185">
        <f>IF(OR(AND(D9=$L$5,F9=""),AND(D9=$L$5,I9=0)),1,0)</f>
        <v>0</v>
      </c>
      <c r="I9" s="1185">
        <f t="shared" si="0"/>
        <v>0</v>
      </c>
      <c r="J9" s="1185" t="str">
        <f t="shared" si="1"/>
        <v/>
      </c>
    </row>
    <row r="10" spans="2:16" ht="62">
      <c r="B10" s="1448">
        <f>B9+1</f>
        <v>3</v>
      </c>
      <c r="C10" s="1449" t="s">
        <v>3860</v>
      </c>
      <c r="D10" s="1447"/>
      <c r="E10" s="1444"/>
      <c r="F10" s="1446"/>
      <c r="G10" s="1193"/>
      <c r="H10" s="1185">
        <f>IF(OR(AND(D10=$L$5,F10=""),AND(D10=$L$5,I10=0)),1,0)</f>
        <v>0</v>
      </c>
      <c r="I10" s="1185">
        <f t="shared" si="0"/>
        <v>0</v>
      </c>
      <c r="J10" s="1185" t="str">
        <f t="shared" si="1"/>
        <v/>
      </c>
    </row>
    <row r="11" spans="2:16" ht="31">
      <c r="B11" s="1448">
        <f t="shared" ref="B11:B14" si="2">B10+1</f>
        <v>4</v>
      </c>
      <c r="C11" s="1449" t="s">
        <v>3861</v>
      </c>
      <c r="D11" s="1447"/>
      <c r="E11" s="1444"/>
      <c r="F11" s="1446"/>
      <c r="G11" s="1193"/>
      <c r="H11" s="1185">
        <f>IF(OR(AND(D11=$L$5,F11=""),AND(D11=$L$5,I11=0)),1,0)</f>
        <v>0</v>
      </c>
      <c r="I11" s="1185">
        <f t="shared" si="0"/>
        <v>0</v>
      </c>
      <c r="J11" s="1185" t="str">
        <f t="shared" si="1"/>
        <v/>
      </c>
    </row>
    <row r="12" spans="2:16" ht="62">
      <c r="B12" s="1448">
        <f>B11+1</f>
        <v>5</v>
      </c>
      <c r="C12" s="1453" t="s">
        <v>3857</v>
      </c>
      <c r="D12" s="1444"/>
      <c r="E12" s="1445"/>
      <c r="F12" s="1446"/>
      <c r="G12" s="1193"/>
      <c r="H12" s="1185">
        <f>IF(OR(AND(D12=$L$5,F12=""),AND(D12=$L$5,I12=0)),1,0)</f>
        <v>0</v>
      </c>
      <c r="I12" s="1185">
        <f t="shared" si="0"/>
        <v>0</v>
      </c>
      <c r="J12" s="1185" t="str">
        <f t="shared" si="1"/>
        <v/>
      </c>
    </row>
    <row r="13" spans="2:16" ht="31">
      <c r="B13" s="1448">
        <f>B12+1</f>
        <v>6</v>
      </c>
      <c r="C13" s="1449" t="s">
        <v>3798</v>
      </c>
      <c r="D13" s="1444"/>
      <c r="E13" s="1445"/>
      <c r="F13" s="1450"/>
      <c r="G13" s="1193"/>
    </row>
    <row r="14" spans="2:16" ht="46.5">
      <c r="B14" s="1448">
        <f t="shared" si="2"/>
        <v>7</v>
      </c>
      <c r="C14" s="1449" t="s">
        <v>3858</v>
      </c>
      <c r="D14" s="1447"/>
      <c r="E14" s="1444"/>
      <c r="F14" s="1446"/>
      <c r="G14" s="1193"/>
      <c r="H14" s="1185">
        <f>IF(OR(AND(D14=$L$5,F14=""),AND(D14=$L$5,I14=0)),1,0)</f>
        <v>0</v>
      </c>
      <c r="I14" s="1185">
        <f t="shared" ref="I14" si="3">LEN(J14)</f>
        <v>0</v>
      </c>
      <c r="J14" s="1185" t="str">
        <f t="shared" ref="J14" si="4">TRIM(F14)</f>
        <v/>
      </c>
    </row>
    <row r="15" spans="2:16" ht="15.5">
      <c r="B15" s="1849" t="s">
        <v>4</v>
      </c>
      <c r="C15" s="1850"/>
      <c r="D15" s="1194"/>
      <c r="E15" s="1194"/>
      <c r="F15" s="1195"/>
      <c r="G15" s="1442"/>
    </row>
    <row r="16" spans="2:16" ht="48" customHeight="1">
      <c r="B16" s="1192">
        <f>B14+1</f>
        <v>8</v>
      </c>
      <c r="C16" s="1449" t="s">
        <v>3859</v>
      </c>
      <c r="D16" s="1447"/>
      <c r="E16" s="1444"/>
      <c r="F16" s="1446"/>
      <c r="G16" s="1193"/>
      <c r="H16" s="1185">
        <f>IF(OR(AND(D16=$L$5,F16=""),AND(D16=$L$5,I16=0)),1,0)</f>
        <v>0</v>
      </c>
      <c r="I16" s="1185">
        <f t="shared" si="0"/>
        <v>0</v>
      </c>
      <c r="J16" s="1185" t="str">
        <f t="shared" si="1"/>
        <v/>
      </c>
    </row>
    <row r="17" spans="2:12" ht="31">
      <c r="B17" s="1192">
        <f>B16+1</f>
        <v>9</v>
      </c>
      <c r="C17" s="1443" t="s">
        <v>2761</v>
      </c>
      <c r="D17" s="1447"/>
      <c r="E17" s="1444"/>
      <c r="F17" s="1446"/>
      <c r="G17" s="1193"/>
      <c r="I17" s="1185">
        <f t="shared" si="0"/>
        <v>0</v>
      </c>
      <c r="J17" s="1185" t="str">
        <f t="shared" si="1"/>
        <v/>
      </c>
      <c r="L17" s="1185" t="s">
        <v>2683</v>
      </c>
    </row>
    <row r="18" spans="2:12" ht="15.5">
      <c r="B18" s="1192">
        <f>B17+1</f>
        <v>10</v>
      </c>
      <c r="C18" s="1443" t="s">
        <v>2762</v>
      </c>
      <c r="D18" s="1444"/>
      <c r="E18" s="1445"/>
      <c r="F18" s="1446"/>
      <c r="G18" s="1193"/>
      <c r="H18" s="1185">
        <f>IF(OR(AND(D18=$L$5,F18=""),AND(D18=$L$5,I18=0)),1,0)</f>
        <v>0</v>
      </c>
      <c r="I18" s="1185">
        <f>LEN(J18)</f>
        <v>0</v>
      </c>
      <c r="J18" s="1185" t="str">
        <f>TRIM(F18)</f>
        <v/>
      </c>
    </row>
    <row r="19" spans="2:12" ht="62">
      <c r="B19" s="1192">
        <f>B18+1</f>
        <v>11</v>
      </c>
      <c r="C19" s="1443" t="s">
        <v>2763</v>
      </c>
      <c r="D19" s="1447"/>
      <c r="E19" s="1444"/>
      <c r="F19" s="1446"/>
      <c r="G19" s="1193"/>
      <c r="H19" s="1185">
        <f>IF(OR(AND(D19=$L$5,F19=""),AND(D19=$L$5,I19=0)),1,0)</f>
        <v>0</v>
      </c>
      <c r="I19" s="1185">
        <f t="shared" si="0"/>
        <v>0</v>
      </c>
      <c r="J19" s="1185" t="str">
        <f t="shared" si="1"/>
        <v/>
      </c>
    </row>
    <row r="20" spans="2:12" ht="15.5">
      <c r="B20" s="1847" t="s">
        <v>3799</v>
      </c>
      <c r="C20" s="1848"/>
      <c r="D20" s="1194"/>
      <c r="E20" s="1194"/>
      <c r="F20" s="1195"/>
      <c r="G20" s="1442"/>
    </row>
    <row r="21" spans="2:12" ht="31">
      <c r="B21" s="1192">
        <f>B19+1</f>
        <v>12</v>
      </c>
      <c r="C21" s="1451" t="s">
        <v>3800</v>
      </c>
      <c r="D21" s="1447"/>
      <c r="E21" s="1444"/>
      <c r="F21" s="1446"/>
      <c r="G21" s="1193"/>
      <c r="H21" s="1185">
        <f>IF(OR(AND(D21=$L$5,F21=""),AND(D21=$L$5,I21=0)),1,0)</f>
        <v>0</v>
      </c>
      <c r="I21" s="1185">
        <f t="shared" ref="I21" si="5">LEN(J21)</f>
        <v>0</v>
      </c>
      <c r="J21" s="1185" t="str">
        <f t="shared" ref="J21" si="6">TRIM(F21)</f>
        <v/>
      </c>
    </row>
    <row r="22" spans="2:12" ht="62">
      <c r="B22" s="1196">
        <f t="shared" ref="B22" si="7">B21+1</f>
        <v>13</v>
      </c>
      <c r="C22" s="1197" t="s">
        <v>3801</v>
      </c>
      <c r="D22" s="1198"/>
      <c r="E22" s="1452"/>
      <c r="F22" s="1199"/>
      <c r="G22" s="1193"/>
      <c r="I22" s="1185">
        <f>LEN(J22)</f>
        <v>0</v>
      </c>
      <c r="J22" s="1185" t="str">
        <f>TRIM(F22)</f>
        <v/>
      </c>
    </row>
    <row r="23" spans="2:12">
      <c r="C23" s="1200"/>
      <c r="I23" s="1185">
        <f t="shared" ref="I23:I32" si="8">LEN(J23)</f>
        <v>0</v>
      </c>
      <c r="J23" s="1185" t="str">
        <f t="shared" ref="J23:J31" si="9">TRIM(F23)</f>
        <v/>
      </c>
    </row>
    <row r="24" spans="2:12">
      <c r="C24" s="1200"/>
      <c r="I24" s="1185">
        <f t="shared" si="8"/>
        <v>0</v>
      </c>
      <c r="J24" s="1185" t="str">
        <f t="shared" si="9"/>
        <v/>
      </c>
    </row>
    <row r="25" spans="2:12">
      <c r="C25" s="1200"/>
      <c r="I25" s="1185">
        <f t="shared" si="8"/>
        <v>0</v>
      </c>
      <c r="J25" s="1185" t="str">
        <f t="shared" si="9"/>
        <v/>
      </c>
    </row>
    <row r="26" spans="2:12">
      <c r="C26" s="1200"/>
      <c r="I26" s="1185">
        <f t="shared" si="8"/>
        <v>0</v>
      </c>
      <c r="J26" s="1185" t="str">
        <f t="shared" si="9"/>
        <v/>
      </c>
    </row>
    <row r="27" spans="2:12">
      <c r="C27" s="1201"/>
      <c r="I27" s="1185">
        <f t="shared" si="8"/>
        <v>0</v>
      </c>
      <c r="J27" s="1185" t="str">
        <f t="shared" si="9"/>
        <v/>
      </c>
    </row>
    <row r="28" spans="2:12">
      <c r="C28" s="1201"/>
      <c r="I28" s="1185">
        <f t="shared" si="8"/>
        <v>0</v>
      </c>
      <c r="J28" s="1185" t="str">
        <f t="shared" si="9"/>
        <v/>
      </c>
    </row>
    <row r="29" spans="2:12">
      <c r="C29" s="1201"/>
      <c r="I29" s="1185">
        <f t="shared" si="8"/>
        <v>0</v>
      </c>
      <c r="J29" s="1185" t="str">
        <f t="shared" si="9"/>
        <v/>
      </c>
    </row>
    <row r="30" spans="2:12">
      <c r="C30" s="1201"/>
      <c r="I30" s="1185">
        <f t="shared" si="8"/>
        <v>0</v>
      </c>
      <c r="J30" s="1185" t="str">
        <f t="shared" si="9"/>
        <v/>
      </c>
    </row>
    <row r="31" spans="2:12">
      <c r="C31" s="1201"/>
      <c r="I31" s="1185">
        <f t="shared" si="8"/>
        <v>0</v>
      </c>
      <c r="J31" s="1185" t="str">
        <f t="shared" si="9"/>
        <v/>
      </c>
    </row>
    <row r="32" spans="2:12">
      <c r="C32" s="1201"/>
      <c r="I32" s="1185">
        <f t="shared" si="8"/>
        <v>0</v>
      </c>
      <c r="J32" s="1185" t="str">
        <f>TRIM(F32)</f>
        <v/>
      </c>
    </row>
    <row r="33" spans="9:10">
      <c r="I33" s="1185">
        <f>LEN(J33)</f>
        <v>0</v>
      </c>
      <c r="J33" s="1185" t="str">
        <f>TRIM(F33)</f>
        <v/>
      </c>
    </row>
    <row r="34" spans="9:10">
      <c r="I34" s="1185">
        <f>LEN(J34)</f>
        <v>0</v>
      </c>
    </row>
  </sheetData>
  <sheetProtection password="FC27" sheet="1" objects="1" scenarios="1" formatCells="0" formatColumns="0" formatRows="0" autoFilter="0"/>
  <mergeCells count="4">
    <mergeCell ref="D6:E6"/>
    <mergeCell ref="B7:C7"/>
    <mergeCell ref="B15:C15"/>
    <mergeCell ref="B20:C20"/>
  </mergeCells>
  <conditionalFormatting sqref="C5">
    <cfRule type="expression" dxfId="710" priority="2">
      <formula>$H$5&gt;0</formula>
    </cfRule>
  </conditionalFormatting>
  <dataValidations disablePrompts="1" count="1">
    <dataValidation type="list" allowBlank="1" showInputMessage="1" showErrorMessage="1" sqref="D19 D21 D16:D17 D14 D9:D11">
      <formula1>answer</formula1>
    </dataValidation>
  </dataValidations>
  <hyperlinks>
    <hyperlink ref="E5" location="Information!A1" display="חזרה"/>
    <hyperlink ref="F2" r:id="rId1" display="http://mof.gov.il/hon/documents/הסדרה-וחקיקה/mosdiym/memos/h_2015-9-25.pdf"/>
    <hyperlink ref="F5" r:id="rId2"/>
    <hyperlink ref="C6" location="Information!A60" display="הערות"/>
  </hyperlinks>
  <pageMargins left="0" right="0" top="0" bottom="0.74803149606299202" header="0" footer="0.31496062992126"/>
  <pageSetup paperSize="9" scale="76" fitToHeight="3" orientation="portrait" r:id="rId3"/>
  <headerFooter>
    <oddFooter>&amp;L&amp;Z&amp;F&amp;A</oddFooter>
  </headerFooter>
  <drawing r:id="rId4"/>
  <extLst>
    <ext xmlns:x14="http://schemas.microsoft.com/office/spreadsheetml/2009/9/main" uri="{78C0D931-6437-407d-A8EE-F0AAD7539E65}">
      <x14:conditionalFormattings>
        <x14:conditionalFormatting xmlns:xm="http://schemas.microsoft.com/office/excel/2006/main">
          <x14:cfRule type="expression" priority="1" id="{2E207265-95E7-4163-9674-CB4CADA80C95}">
            <xm:f>Information!$G$54&gt;0</xm:f>
            <x14:dxf>
              <font>
                <b/>
                <i val="0"/>
                <color theme="1"/>
              </font>
              <fill>
                <patternFill>
                  <bgColor rgb="FFFFFF00"/>
                </patternFill>
              </fill>
            </x14:dxf>
          </x14:cfRule>
          <xm:sqref>C6</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00B0F0"/>
    <pageSetUpPr fitToPage="1"/>
  </sheetPr>
  <dimension ref="A1:K64"/>
  <sheetViews>
    <sheetView rightToLeft="1" workbookViewId="0"/>
  </sheetViews>
  <sheetFormatPr defaultColWidth="9.1796875" defaultRowHeight="13"/>
  <cols>
    <col min="1" max="1" width="9.1796875" style="22"/>
    <col min="2" max="2" width="45.81640625" style="22" customWidth="1"/>
    <col min="3" max="3" width="11.81640625" style="22" customWidth="1"/>
    <col min="4" max="5" width="9.1796875" style="22"/>
    <col min="6" max="6" width="17.453125" style="22" customWidth="1"/>
    <col min="7" max="8" width="9.1796875" style="22"/>
    <col min="9" max="9" width="11.1796875" style="22" customWidth="1"/>
    <col min="10" max="16384" width="9.1796875" style="22"/>
  </cols>
  <sheetData>
    <row r="1" spans="1:11" ht="24">
      <c r="A1" s="22" t="s">
        <v>4571</v>
      </c>
      <c r="B1" s="1502" t="str">
        <f>company</f>
        <v>_____חברה מנהלת</v>
      </c>
      <c r="C1" s="1488"/>
      <c r="D1" s="642" t="s">
        <v>263</v>
      </c>
    </row>
    <row r="2" spans="1:11" ht="18">
      <c r="B2" s="23"/>
      <c r="C2" s="503"/>
    </row>
    <row r="3" spans="1:11" ht="14">
      <c r="B3" s="506" t="s">
        <v>3901</v>
      </c>
      <c r="C3" s="503"/>
      <c r="D3" s="503"/>
    </row>
    <row r="4" spans="1:11" ht="15.5">
      <c r="B4" s="507" t="str">
        <f>Information!$C$54</f>
        <v xml:space="preserve">ד2. עמיתים לא פעילים </v>
      </c>
      <c r="C4" s="503"/>
      <c r="D4" s="503"/>
    </row>
    <row r="5" spans="1:11">
      <c r="B5" s="22" t="s">
        <v>3918</v>
      </c>
    </row>
    <row r="6" spans="1:11" ht="31.5" customHeight="1">
      <c r="B6" s="1489"/>
      <c r="C6" s="1859" t="s">
        <v>772</v>
      </c>
      <c r="D6" s="1859" t="s">
        <v>314</v>
      </c>
      <c r="E6" s="1859"/>
      <c r="F6" s="1859" t="s">
        <v>3883</v>
      </c>
      <c r="G6" s="1860" t="s">
        <v>3914</v>
      </c>
      <c r="H6" s="1855" t="s">
        <v>3915</v>
      </c>
      <c r="I6" s="1857" t="s">
        <v>1271</v>
      </c>
    </row>
    <row r="7" spans="1:11" ht="18.75" customHeight="1">
      <c r="B7" s="853"/>
      <c r="C7" s="1862"/>
      <c r="D7" s="1486" t="s">
        <v>3884</v>
      </c>
      <c r="E7" s="1486" t="s">
        <v>3885</v>
      </c>
      <c r="F7" s="1862"/>
      <c r="G7" s="1861"/>
      <c r="H7" s="1856"/>
      <c r="I7" s="1858"/>
    </row>
    <row r="8" spans="1:11">
      <c r="B8" s="1490"/>
      <c r="C8" s="1503" t="s">
        <v>29</v>
      </c>
      <c r="D8" s="1503" t="s">
        <v>41</v>
      </c>
      <c r="E8" s="1503" t="s">
        <v>63</v>
      </c>
      <c r="F8" s="1503" t="s">
        <v>65</v>
      </c>
      <c r="G8" s="1503" t="s">
        <v>86</v>
      </c>
      <c r="H8" s="1503" t="s">
        <v>88</v>
      </c>
      <c r="I8" s="1504" t="s">
        <v>195</v>
      </c>
    </row>
    <row r="9" spans="1:11" ht="18">
      <c r="B9" s="1518" t="str">
        <f>Date1</f>
        <v>31.12.2021</v>
      </c>
      <c r="C9" s="1516"/>
      <c r="D9" s="1516"/>
      <c r="E9" s="1516"/>
      <c r="F9" s="1516"/>
      <c r="G9" s="1516"/>
      <c r="H9" s="1516"/>
      <c r="I9" s="1517"/>
    </row>
    <row r="10" spans="1:11" ht="16">
      <c r="A10" s="22">
        <f>ROW()-8</f>
        <v>2</v>
      </c>
      <c r="B10" s="1492" t="s">
        <v>3916</v>
      </c>
      <c r="C10" s="1493"/>
      <c r="D10" s="1493"/>
      <c r="E10" s="1493"/>
      <c r="F10" s="1493"/>
      <c r="G10" s="1493"/>
      <c r="H10" s="1493"/>
      <c r="I10" s="1494"/>
    </row>
    <row r="11" spans="1:11">
      <c r="A11" s="22">
        <f t="shared" ref="A11:A44" si="0">ROW()-8</f>
        <v>3</v>
      </c>
      <c r="B11" s="1507" t="s">
        <v>3909</v>
      </c>
      <c r="C11" s="1496"/>
      <c r="D11" s="1496"/>
      <c r="E11" s="1496"/>
      <c r="F11" s="1496"/>
      <c r="G11" s="1496"/>
      <c r="H11" s="1496"/>
      <c r="I11" s="1494">
        <f>SUM(C11:H11)</f>
        <v>0</v>
      </c>
    </row>
    <row r="12" spans="1:11">
      <c r="A12" s="22">
        <f t="shared" si="0"/>
        <v>4</v>
      </c>
      <c r="B12" s="1507" t="s">
        <v>3910</v>
      </c>
      <c r="C12" s="1496"/>
      <c r="D12" s="1496"/>
      <c r="E12" s="1496"/>
      <c r="F12" s="1496"/>
      <c r="G12" s="1496"/>
      <c r="H12" s="1496"/>
      <c r="I12" s="1494">
        <f>SUM(C12:H12)</f>
        <v>0</v>
      </c>
    </row>
    <row r="13" spans="1:11">
      <c r="A13" s="22">
        <f t="shared" si="0"/>
        <v>5</v>
      </c>
      <c r="B13" s="1507" t="s">
        <v>3911</v>
      </c>
      <c r="C13" s="1496"/>
      <c r="D13" s="1496"/>
      <c r="E13" s="1496"/>
      <c r="F13" s="1496"/>
      <c r="G13" s="1496"/>
      <c r="H13" s="1496"/>
      <c r="I13" s="1494">
        <f>SUM(C13:H13)</f>
        <v>0</v>
      </c>
    </row>
    <row r="14" spans="1:11">
      <c r="A14" s="22">
        <f t="shared" si="0"/>
        <v>6</v>
      </c>
      <c r="B14" s="1507" t="s">
        <v>3917</v>
      </c>
      <c r="C14" s="1501"/>
      <c r="D14" s="1501"/>
      <c r="E14" s="1501"/>
      <c r="F14" s="1501"/>
      <c r="G14" s="1501"/>
      <c r="H14" s="1501"/>
      <c r="I14" s="1494"/>
    </row>
    <row r="15" spans="1:11">
      <c r="A15" s="22">
        <f t="shared" si="0"/>
        <v>7</v>
      </c>
      <c r="B15" s="1505"/>
      <c r="C15" s="1509"/>
      <c r="D15" s="1509"/>
      <c r="E15" s="1509"/>
      <c r="F15" s="1509"/>
      <c r="G15" s="1509"/>
      <c r="H15" s="1509"/>
      <c r="I15" s="1510"/>
    </row>
    <row r="16" spans="1:11" ht="15.5">
      <c r="A16" s="22">
        <f t="shared" si="0"/>
        <v>8</v>
      </c>
      <c r="B16" s="1492" t="s">
        <v>3912</v>
      </c>
      <c r="C16" s="1509"/>
      <c r="D16" s="1509"/>
      <c r="E16" s="1509"/>
      <c r="F16" s="1509"/>
      <c r="G16" s="1509"/>
      <c r="H16" s="1509"/>
      <c r="I16" s="1510"/>
      <c r="J16" s="1525" t="s">
        <v>4557</v>
      </c>
      <c r="K16" s="1525"/>
    </row>
    <row r="17" spans="1:9">
      <c r="A17" s="22">
        <f t="shared" si="0"/>
        <v>9</v>
      </c>
      <c r="B17" s="1507" t="s">
        <v>3909</v>
      </c>
      <c r="C17" s="1496"/>
      <c r="D17" s="1496"/>
      <c r="E17" s="1496"/>
      <c r="F17" s="1496"/>
      <c r="G17" s="1496"/>
      <c r="H17" s="1496"/>
      <c r="I17" s="1494">
        <f>SUM(C17:H17)</f>
        <v>0</v>
      </c>
    </row>
    <row r="18" spans="1:9">
      <c r="A18" s="22">
        <f t="shared" si="0"/>
        <v>10</v>
      </c>
      <c r="B18" s="1507" t="s">
        <v>3910</v>
      </c>
      <c r="C18" s="1496"/>
      <c r="D18" s="1496"/>
      <c r="E18" s="1496"/>
      <c r="F18" s="1496"/>
      <c r="G18" s="1496"/>
      <c r="H18" s="1496"/>
      <c r="I18" s="1494">
        <f>SUM(C18:H18)</f>
        <v>0</v>
      </c>
    </row>
    <row r="19" spans="1:9" ht="45" customHeight="1">
      <c r="A19" s="22">
        <f t="shared" si="0"/>
        <v>11</v>
      </c>
      <c r="B19" s="1507" t="s">
        <v>3911</v>
      </c>
      <c r="C19" s="1496"/>
      <c r="D19" s="1496"/>
      <c r="E19" s="1496"/>
      <c r="F19" s="1496"/>
      <c r="G19" s="1496"/>
      <c r="H19" s="1496"/>
      <c r="I19" s="1494">
        <f>SUM(C19:H19)</f>
        <v>0</v>
      </c>
    </row>
    <row r="20" spans="1:9">
      <c r="A20" s="22">
        <f t="shared" si="0"/>
        <v>12</v>
      </c>
      <c r="B20" s="1508" t="s">
        <v>3917</v>
      </c>
      <c r="C20" s="1511"/>
      <c r="D20" s="1511"/>
      <c r="E20" s="1511"/>
      <c r="F20" s="1511"/>
      <c r="G20" s="1511"/>
      <c r="H20" s="1511"/>
      <c r="I20" s="1506"/>
    </row>
    <row r="21" spans="1:9" ht="18">
      <c r="A21" s="22">
        <f t="shared" si="0"/>
        <v>13</v>
      </c>
      <c r="B21" s="1534" t="str">
        <f>IF(Information!$P$3=4,Date3,Date2)</f>
        <v>31.12.2020</v>
      </c>
      <c r="C21" s="1516"/>
      <c r="D21" s="1516"/>
      <c r="E21" s="1516"/>
      <c r="F21" s="1516"/>
      <c r="G21" s="1516"/>
      <c r="H21" s="1516"/>
      <c r="I21" s="1517"/>
    </row>
    <row r="22" spans="1:9" ht="16">
      <c r="A22" s="22">
        <f t="shared" si="0"/>
        <v>14</v>
      </c>
      <c r="B22" s="1492" t="s">
        <v>3916</v>
      </c>
      <c r="C22" s="1493"/>
      <c r="D22" s="1493"/>
      <c r="E22" s="1493"/>
      <c r="F22" s="1493"/>
      <c r="G22" s="1493"/>
      <c r="H22" s="1493"/>
      <c r="I22" s="1494"/>
    </row>
    <row r="23" spans="1:9">
      <c r="A23" s="22">
        <f t="shared" si="0"/>
        <v>15</v>
      </c>
      <c r="B23" s="1507" t="s">
        <v>3909</v>
      </c>
      <c r="C23" s="1496"/>
      <c r="D23" s="1496"/>
      <c r="E23" s="1496"/>
      <c r="F23" s="1496"/>
      <c r="G23" s="1496"/>
      <c r="H23" s="1496"/>
      <c r="I23" s="1494">
        <f>SUM(C23:H23)</f>
        <v>0</v>
      </c>
    </row>
    <row r="24" spans="1:9">
      <c r="A24" s="22">
        <f t="shared" si="0"/>
        <v>16</v>
      </c>
      <c r="B24" s="1507" t="s">
        <v>3910</v>
      </c>
      <c r="C24" s="1496"/>
      <c r="D24" s="1496"/>
      <c r="E24" s="1496"/>
      <c r="F24" s="1496"/>
      <c r="G24" s="1496"/>
      <c r="H24" s="1496"/>
      <c r="I24" s="1494">
        <f>SUM(C24:H24)</f>
        <v>0</v>
      </c>
    </row>
    <row r="25" spans="1:9">
      <c r="A25" s="22">
        <f t="shared" si="0"/>
        <v>17</v>
      </c>
      <c r="B25" s="1507" t="s">
        <v>3911</v>
      </c>
      <c r="C25" s="1496"/>
      <c r="D25" s="1496"/>
      <c r="E25" s="1496"/>
      <c r="F25" s="1496"/>
      <c r="G25" s="1496"/>
      <c r="H25" s="1496"/>
      <c r="I25" s="1494">
        <f>SUM(C25:H25)</f>
        <v>0</v>
      </c>
    </row>
    <row r="26" spans="1:9">
      <c r="A26" s="22">
        <f t="shared" si="0"/>
        <v>18</v>
      </c>
      <c r="B26" s="1507" t="s">
        <v>3917</v>
      </c>
      <c r="C26" s="1501"/>
      <c r="D26" s="1501"/>
      <c r="E26" s="1501"/>
      <c r="F26" s="1501"/>
      <c r="G26" s="1501"/>
      <c r="H26" s="1501"/>
      <c r="I26" s="1494"/>
    </row>
    <row r="27" spans="1:9">
      <c r="A27" s="22">
        <f t="shared" si="0"/>
        <v>19</v>
      </c>
      <c r="B27" s="1505"/>
      <c r="C27" s="1509"/>
      <c r="D27" s="1509"/>
      <c r="E27" s="1509"/>
      <c r="F27" s="1509"/>
      <c r="G27" s="1509"/>
      <c r="H27" s="1509"/>
      <c r="I27" s="1510"/>
    </row>
    <row r="28" spans="1:9" ht="15.5">
      <c r="A28" s="22">
        <f t="shared" si="0"/>
        <v>20</v>
      </c>
      <c r="B28" s="1492" t="s">
        <v>3912</v>
      </c>
      <c r="C28" s="1509"/>
      <c r="D28" s="1509"/>
      <c r="E28" s="1509"/>
      <c r="F28" s="1509"/>
      <c r="G28" s="1509"/>
      <c r="H28" s="1509"/>
      <c r="I28" s="1510"/>
    </row>
    <row r="29" spans="1:9">
      <c r="A29" s="22">
        <f t="shared" si="0"/>
        <v>21</v>
      </c>
      <c r="B29" s="1507" t="s">
        <v>3909</v>
      </c>
      <c r="C29" s="1496"/>
      <c r="D29" s="1496"/>
      <c r="E29" s="1496"/>
      <c r="F29" s="1496"/>
      <c r="G29" s="1496"/>
      <c r="H29" s="1496"/>
      <c r="I29" s="1494">
        <f>SUM(C29:H29)</f>
        <v>0</v>
      </c>
    </row>
    <row r="30" spans="1:9">
      <c r="A30" s="22">
        <f t="shared" si="0"/>
        <v>22</v>
      </c>
      <c r="B30" s="1507" t="s">
        <v>3910</v>
      </c>
      <c r="C30" s="1496"/>
      <c r="D30" s="1496"/>
      <c r="E30" s="1496"/>
      <c r="F30" s="1496"/>
      <c r="G30" s="1496"/>
      <c r="H30" s="1496"/>
      <c r="I30" s="1494">
        <f>SUM(C30:H30)</f>
        <v>0</v>
      </c>
    </row>
    <row r="31" spans="1:9">
      <c r="A31" s="22">
        <f t="shared" si="0"/>
        <v>23</v>
      </c>
      <c r="B31" s="1507" t="s">
        <v>3911</v>
      </c>
      <c r="C31" s="1496"/>
      <c r="D31" s="1496"/>
      <c r="E31" s="1496"/>
      <c r="F31" s="1496"/>
      <c r="G31" s="1496"/>
      <c r="H31" s="1496"/>
      <c r="I31" s="1494">
        <f>SUM(C31:H31)</f>
        <v>0</v>
      </c>
    </row>
    <row r="32" spans="1:9">
      <c r="A32" s="22">
        <f t="shared" si="0"/>
        <v>24</v>
      </c>
      <c r="B32" s="1508" t="s">
        <v>3917</v>
      </c>
      <c r="C32" s="1511"/>
      <c r="D32" s="1511"/>
      <c r="E32" s="1511"/>
      <c r="F32" s="1511"/>
      <c r="G32" s="1511"/>
      <c r="H32" s="1511"/>
      <c r="I32" s="1506"/>
    </row>
    <row r="33" spans="1:10" ht="18">
      <c r="A33" s="22">
        <f t="shared" si="0"/>
        <v>25</v>
      </c>
      <c r="B33" s="1534" t="str">
        <f>IF(Information!$P$3=4,Date4,Date3)</f>
        <v>31.12.2019</v>
      </c>
      <c r="C33" s="1516"/>
      <c r="D33" s="1516"/>
      <c r="E33" s="1516"/>
      <c r="F33" s="1516"/>
      <c r="G33" s="1516"/>
      <c r="H33" s="1516"/>
      <c r="I33" s="1517"/>
    </row>
    <row r="34" spans="1:10" ht="16">
      <c r="A34" s="22">
        <f t="shared" si="0"/>
        <v>26</v>
      </c>
      <c r="B34" s="1492" t="s">
        <v>3916</v>
      </c>
      <c r="C34" s="1493"/>
      <c r="D34" s="1493"/>
      <c r="E34" s="1493"/>
      <c r="F34" s="1493"/>
      <c r="G34" s="1493"/>
      <c r="H34" s="1493"/>
      <c r="I34" s="1494"/>
    </row>
    <row r="35" spans="1:10">
      <c r="A35" s="22">
        <f t="shared" si="0"/>
        <v>27</v>
      </c>
      <c r="B35" s="1507" t="s">
        <v>3909</v>
      </c>
      <c r="C35" s="1496"/>
      <c r="D35" s="1496"/>
      <c r="E35" s="1496"/>
      <c r="F35" s="1496"/>
      <c r="G35" s="1496"/>
      <c r="H35" s="1496"/>
      <c r="I35" s="1494">
        <f>SUM(C35:H35)</f>
        <v>0</v>
      </c>
    </row>
    <row r="36" spans="1:10">
      <c r="A36" s="22">
        <f t="shared" si="0"/>
        <v>28</v>
      </c>
      <c r="B36" s="1507" t="s">
        <v>3910</v>
      </c>
      <c r="C36" s="1496"/>
      <c r="D36" s="1496"/>
      <c r="E36" s="1496"/>
      <c r="F36" s="1496"/>
      <c r="G36" s="1496"/>
      <c r="H36" s="1496"/>
      <c r="I36" s="1494">
        <f>SUM(C36:H36)</f>
        <v>0</v>
      </c>
    </row>
    <row r="37" spans="1:10">
      <c r="A37" s="22">
        <f t="shared" si="0"/>
        <v>29</v>
      </c>
      <c r="B37" s="1507" t="s">
        <v>3911</v>
      </c>
      <c r="C37" s="1496"/>
      <c r="D37" s="1496"/>
      <c r="E37" s="1496"/>
      <c r="F37" s="1496"/>
      <c r="G37" s="1496"/>
      <c r="H37" s="1496"/>
      <c r="I37" s="1494">
        <f>SUM(C37:H37)</f>
        <v>0</v>
      </c>
    </row>
    <row r="38" spans="1:10">
      <c r="A38" s="22">
        <f t="shared" si="0"/>
        <v>30</v>
      </c>
      <c r="B38" s="1507" t="s">
        <v>3917</v>
      </c>
      <c r="C38" s="1501"/>
      <c r="D38" s="1501"/>
      <c r="E38" s="1501"/>
      <c r="F38" s="1501"/>
      <c r="G38" s="1501"/>
      <c r="H38" s="1501"/>
      <c r="I38" s="1494"/>
    </row>
    <row r="39" spans="1:10">
      <c r="A39" s="22">
        <f t="shared" si="0"/>
        <v>31</v>
      </c>
      <c r="B39" s="1505"/>
      <c r="C39" s="1509"/>
      <c r="D39" s="1509"/>
      <c r="E39" s="1509"/>
      <c r="F39" s="1509"/>
      <c r="G39" s="1509"/>
      <c r="H39" s="1509"/>
      <c r="I39" s="1510"/>
    </row>
    <row r="40" spans="1:10" ht="15.5">
      <c r="A40" s="22">
        <f t="shared" si="0"/>
        <v>32</v>
      </c>
      <c r="B40" s="1492" t="s">
        <v>3912</v>
      </c>
      <c r="C40" s="1509"/>
      <c r="D40" s="1509"/>
      <c r="E40" s="1509"/>
      <c r="F40" s="1509"/>
      <c r="G40" s="1509"/>
      <c r="H40" s="1509"/>
      <c r="I40" s="1510"/>
    </row>
    <row r="41" spans="1:10">
      <c r="A41" s="22">
        <f t="shared" si="0"/>
        <v>33</v>
      </c>
      <c r="B41" s="1507" t="s">
        <v>3909</v>
      </c>
      <c r="C41" s="1496"/>
      <c r="D41" s="1496"/>
      <c r="E41" s="1496"/>
      <c r="F41" s="1496"/>
      <c r="G41" s="1496"/>
      <c r="H41" s="1496"/>
      <c r="I41" s="1494">
        <f>SUM(C41:H41)</f>
        <v>0</v>
      </c>
    </row>
    <row r="42" spans="1:10">
      <c r="A42" s="22">
        <f t="shared" si="0"/>
        <v>34</v>
      </c>
      <c r="B42" s="1507" t="s">
        <v>3910</v>
      </c>
      <c r="C42" s="1496"/>
      <c r="D42" s="1496"/>
      <c r="E42" s="1496"/>
      <c r="F42" s="1496"/>
      <c r="G42" s="1496"/>
      <c r="H42" s="1496"/>
      <c r="I42" s="1494">
        <f>SUM(C42:H42)</f>
        <v>0</v>
      </c>
    </row>
    <row r="43" spans="1:10">
      <c r="A43" s="22">
        <f t="shared" si="0"/>
        <v>35</v>
      </c>
      <c r="B43" s="1507" t="s">
        <v>3911</v>
      </c>
      <c r="C43" s="1496"/>
      <c r="D43" s="1496"/>
      <c r="E43" s="1496"/>
      <c r="F43" s="1496"/>
      <c r="G43" s="1496"/>
      <c r="H43" s="1496"/>
      <c r="I43" s="1494">
        <f>SUM(C43:H43)</f>
        <v>0</v>
      </c>
    </row>
    <row r="44" spans="1:10">
      <c r="A44" s="22">
        <f t="shared" si="0"/>
        <v>36</v>
      </c>
      <c r="B44" s="1508" t="s">
        <v>3917</v>
      </c>
      <c r="C44" s="1511"/>
      <c r="D44" s="1511"/>
      <c r="E44" s="1511"/>
      <c r="F44" s="1511"/>
      <c r="G44" s="1511"/>
      <c r="H44" s="1511"/>
      <c r="I44" s="1506"/>
    </row>
    <row r="45" spans="1:10">
      <c r="B45" s="1851" t="s">
        <v>3900</v>
      </c>
      <c r="C45" s="1851"/>
      <c r="D45" s="1851"/>
      <c r="E45" s="1851"/>
      <c r="F45" s="1851"/>
      <c r="G45" s="1851"/>
      <c r="H45" s="1851"/>
      <c r="I45" s="1851"/>
      <c r="J45" s="1851"/>
    </row>
    <row r="46" spans="1:10" ht="12.75" customHeight="1">
      <c r="B46" s="1851" t="s">
        <v>3913</v>
      </c>
      <c r="C46" s="1851"/>
      <c r="D46" s="1851"/>
      <c r="E46" s="1851"/>
      <c r="F46" s="1851"/>
      <c r="G46" s="1851"/>
      <c r="H46" s="1851"/>
      <c r="I46" s="1851"/>
      <c r="J46" s="1851"/>
    </row>
    <row r="48" spans="1:10" hidden="1"/>
    <row r="49" spans="1:11" ht="15.5">
      <c r="B49" s="507" t="str">
        <f>Information!$C$55</f>
        <v>ד3. עמלות</v>
      </c>
      <c r="D49" s="642" t="s">
        <v>263</v>
      </c>
    </row>
    <row r="50" spans="1:11" ht="65.25" customHeight="1">
      <c r="B50" s="1530"/>
      <c r="C50" s="1526" t="s">
        <v>4558</v>
      </c>
      <c r="D50" s="1526" t="s">
        <v>4559</v>
      </c>
      <c r="E50" s="1527" t="s">
        <v>3925</v>
      </c>
      <c r="F50" s="1526" t="s">
        <v>4558</v>
      </c>
      <c r="G50" s="1526" t="s">
        <v>4559</v>
      </c>
      <c r="H50" s="1527" t="s">
        <v>3925</v>
      </c>
      <c r="I50" s="1526" t="s">
        <v>4558</v>
      </c>
      <c r="J50" s="1526" t="s">
        <v>4559</v>
      </c>
      <c r="K50" s="1527" t="s">
        <v>3925</v>
      </c>
    </row>
    <row r="51" spans="1:11" ht="15.5">
      <c r="B51" s="1497"/>
      <c r="C51" s="1528" t="s">
        <v>29</v>
      </c>
      <c r="D51" s="1528" t="s">
        <v>41</v>
      </c>
      <c r="E51" s="1529" t="s">
        <v>63</v>
      </c>
      <c r="F51" s="1528" t="s">
        <v>29</v>
      </c>
      <c r="G51" s="1528" t="s">
        <v>41</v>
      </c>
      <c r="H51" s="1529" t="s">
        <v>63</v>
      </c>
      <c r="I51" s="1528" t="s">
        <v>29</v>
      </c>
      <c r="J51" s="1528" t="s">
        <v>41</v>
      </c>
      <c r="K51" s="1529" t="s">
        <v>63</v>
      </c>
    </row>
    <row r="52" spans="1:11" ht="14">
      <c r="B52" s="1519"/>
      <c r="C52" s="1852" t="str">
        <f>Period1</f>
        <v>שנת 2021</v>
      </c>
      <c r="D52" s="1853"/>
      <c r="E52" s="1854"/>
      <c r="F52" s="1852" t="str">
        <f>Period2</f>
        <v>שנת 2020</v>
      </c>
      <c r="G52" s="1853"/>
      <c r="H52" s="1854"/>
      <c r="I52" s="1852" t="str">
        <f>Period5</f>
        <v>שנת 2019</v>
      </c>
      <c r="J52" s="1853"/>
      <c r="K52" s="1854"/>
    </row>
    <row r="53" spans="1:11" ht="15.5">
      <c r="A53" s="22">
        <f>ROW()-38</f>
        <v>15</v>
      </c>
      <c r="B53" s="1492" t="s">
        <v>3919</v>
      </c>
      <c r="C53" s="1493">
        <f t="shared" ref="C53:K53" si="1">SUM(C54:C55)</f>
        <v>0</v>
      </c>
      <c r="D53" s="1493">
        <f t="shared" si="1"/>
        <v>0</v>
      </c>
      <c r="E53" s="1494">
        <f t="shared" si="1"/>
        <v>0</v>
      </c>
      <c r="F53" s="1493">
        <f t="shared" si="1"/>
        <v>0</v>
      </c>
      <c r="G53" s="1493">
        <f t="shared" si="1"/>
        <v>0</v>
      </c>
      <c r="H53" s="1494">
        <f t="shared" si="1"/>
        <v>0</v>
      </c>
      <c r="I53" s="1493">
        <f t="shared" si="1"/>
        <v>0</v>
      </c>
      <c r="J53" s="1493">
        <f t="shared" si="1"/>
        <v>0</v>
      </c>
      <c r="K53" s="1494">
        <f t="shared" si="1"/>
        <v>0</v>
      </c>
    </row>
    <row r="54" spans="1:11" ht="13.5" customHeight="1">
      <c r="A54" s="22">
        <f t="shared" ref="A54:A59" si="2">ROW()-38</f>
        <v>16</v>
      </c>
      <c r="B54" s="1507" t="s">
        <v>3926</v>
      </c>
      <c r="C54" s="1496"/>
      <c r="D54" s="1496"/>
      <c r="E54" s="1514">
        <f>SUM(C54:D54)</f>
        <v>0</v>
      </c>
      <c r="F54" s="1496"/>
      <c r="G54" s="1496"/>
      <c r="H54" s="1514">
        <f>SUM(F54:G54)</f>
        <v>0</v>
      </c>
      <c r="I54" s="1496"/>
      <c r="J54" s="1496"/>
      <c r="K54" s="1514">
        <f>SUM(I54:J54)</f>
        <v>0</v>
      </c>
    </row>
    <row r="55" spans="1:11">
      <c r="A55" s="22">
        <f t="shared" si="2"/>
        <v>17</v>
      </c>
      <c r="B55" s="1507" t="s">
        <v>70</v>
      </c>
      <c r="C55" s="1496"/>
      <c r="D55" s="1496"/>
      <c r="E55" s="1514">
        <f>SUM(C55:D55)</f>
        <v>0</v>
      </c>
      <c r="F55" s="1496"/>
      <c r="G55" s="1496"/>
      <c r="H55" s="1514">
        <f>SUM(F55:G55)</f>
        <v>0</v>
      </c>
      <c r="I55" s="1496"/>
      <c r="J55" s="1496"/>
      <c r="K55" s="1514">
        <f>SUM(I55:J55)</f>
        <v>0</v>
      </c>
    </row>
    <row r="56" spans="1:11" ht="15.5">
      <c r="A56" s="22">
        <f t="shared" si="2"/>
        <v>18</v>
      </c>
      <c r="B56" s="1492" t="s">
        <v>3920</v>
      </c>
      <c r="C56" s="1493">
        <f t="shared" ref="C56:K56" si="3">SUM(C57:C58)</f>
        <v>0</v>
      </c>
      <c r="D56" s="1493">
        <f t="shared" si="3"/>
        <v>0</v>
      </c>
      <c r="E56" s="1494">
        <f t="shared" si="3"/>
        <v>0</v>
      </c>
      <c r="F56" s="1493">
        <f t="shared" si="3"/>
        <v>0</v>
      </c>
      <c r="G56" s="1493">
        <f t="shared" si="3"/>
        <v>0</v>
      </c>
      <c r="H56" s="1494">
        <f t="shared" si="3"/>
        <v>0</v>
      </c>
      <c r="I56" s="1493">
        <f t="shared" si="3"/>
        <v>0</v>
      </c>
      <c r="J56" s="1493">
        <f t="shared" si="3"/>
        <v>0</v>
      </c>
      <c r="K56" s="1494">
        <f t="shared" si="3"/>
        <v>0</v>
      </c>
    </row>
    <row r="57" spans="1:11">
      <c r="A57" s="22">
        <f t="shared" si="2"/>
        <v>19</v>
      </c>
      <c r="B57" s="1507" t="s">
        <v>1400</v>
      </c>
      <c r="C57" s="1496"/>
      <c r="D57" s="1496"/>
      <c r="E57" s="1514">
        <f>SUM(C57:D57)</f>
        <v>0</v>
      </c>
      <c r="F57" s="1496"/>
      <c r="G57" s="1496"/>
      <c r="H57" s="1514">
        <f>SUM(F57:G57)</f>
        <v>0</v>
      </c>
      <c r="I57" s="1496"/>
      <c r="J57" s="1496"/>
      <c r="K57" s="1514">
        <f>SUM(I57:J57)</f>
        <v>0</v>
      </c>
    </row>
    <row r="58" spans="1:11">
      <c r="A58" s="22">
        <f t="shared" si="2"/>
        <v>20</v>
      </c>
      <c r="B58" s="1507" t="s">
        <v>233</v>
      </c>
      <c r="C58" s="1496"/>
      <c r="D58" s="1496"/>
      <c r="E58" s="1514">
        <f>SUM(C58:D58)</f>
        <v>0</v>
      </c>
      <c r="F58" s="1496"/>
      <c r="G58" s="1496"/>
      <c r="H58" s="1514">
        <f>SUM(F58:G58)</f>
        <v>0</v>
      </c>
      <c r="I58" s="1496"/>
      <c r="J58" s="1496"/>
      <c r="K58" s="1514">
        <f>SUM(I58:J58)</f>
        <v>0</v>
      </c>
    </row>
    <row r="59" spans="1:11" ht="15.5">
      <c r="A59" s="22">
        <f t="shared" si="2"/>
        <v>21</v>
      </c>
      <c r="B59" s="1512" t="s">
        <v>3927</v>
      </c>
      <c r="C59" s="1513">
        <f>C53+C56</f>
        <v>0</v>
      </c>
      <c r="D59" s="1513">
        <f t="shared" ref="D59:E59" si="4">D53+D56</f>
        <v>0</v>
      </c>
      <c r="E59" s="1506">
        <f t="shared" si="4"/>
        <v>0</v>
      </c>
      <c r="F59" s="1513">
        <f>F53+F56</f>
        <v>0</v>
      </c>
      <c r="G59" s="1513">
        <f t="shared" ref="G59:H59" si="5">G53+G56</f>
        <v>0</v>
      </c>
      <c r="H59" s="1506">
        <f t="shared" si="5"/>
        <v>0</v>
      </c>
      <c r="I59" s="1513">
        <f>I53+I56</f>
        <v>0</v>
      </c>
      <c r="J59" s="1513">
        <f t="shared" ref="J59:K59" si="6">J53+J56</f>
        <v>0</v>
      </c>
      <c r="K59" s="1506">
        <f t="shared" si="6"/>
        <v>0</v>
      </c>
    </row>
    <row r="61" spans="1:11" ht="27.75" customHeight="1">
      <c r="B61" s="1851" t="s">
        <v>3921</v>
      </c>
      <c r="C61" s="1851"/>
      <c r="D61" s="1851"/>
      <c r="E61" s="1851"/>
      <c r="F61" s="1851"/>
      <c r="G61" s="1851"/>
      <c r="H61" s="1851"/>
      <c r="I61" s="1851"/>
      <c r="J61" s="1851"/>
    </row>
    <row r="62" spans="1:11">
      <c r="B62" s="1851" t="s">
        <v>3922</v>
      </c>
      <c r="C62" s="1851"/>
      <c r="D62" s="1851"/>
      <c r="E62" s="1851"/>
      <c r="F62" s="1851"/>
      <c r="G62" s="1851"/>
      <c r="H62" s="1851"/>
      <c r="I62" s="1851"/>
      <c r="J62" s="1851"/>
    </row>
    <row r="63" spans="1:11">
      <c r="B63" s="1851" t="s">
        <v>3923</v>
      </c>
      <c r="C63" s="1851"/>
      <c r="D63" s="1851"/>
      <c r="E63" s="1851"/>
      <c r="F63" s="1851"/>
      <c r="G63" s="1851"/>
      <c r="H63" s="1851"/>
      <c r="I63" s="1851"/>
      <c r="J63" s="1851"/>
    </row>
    <row r="64" spans="1:11">
      <c r="B64" s="1851" t="s">
        <v>3924</v>
      </c>
      <c r="C64" s="1851"/>
      <c r="D64" s="1851"/>
      <c r="E64" s="1851"/>
      <c r="F64" s="1851"/>
      <c r="G64" s="1851"/>
      <c r="H64" s="1851"/>
      <c r="I64" s="1851"/>
      <c r="J64" s="1851"/>
    </row>
  </sheetData>
  <sheetProtection password="8166" sheet="1" objects="1" scenarios="1" formatCells="0" formatColumns="0" formatRows="0" autoFilter="0"/>
  <mergeCells count="15">
    <mergeCell ref="H6:H7"/>
    <mergeCell ref="I6:I7"/>
    <mergeCell ref="D6:E6"/>
    <mergeCell ref="G6:G7"/>
    <mergeCell ref="C6:C7"/>
    <mergeCell ref="F6:F7"/>
    <mergeCell ref="B61:J61"/>
    <mergeCell ref="B62:J62"/>
    <mergeCell ref="B63:J63"/>
    <mergeCell ref="B64:J64"/>
    <mergeCell ref="B45:J45"/>
    <mergeCell ref="B46:J46"/>
    <mergeCell ref="C52:E52"/>
    <mergeCell ref="F52:H52"/>
    <mergeCell ref="I52:K52"/>
  </mergeCells>
  <hyperlinks>
    <hyperlink ref="D1" location="Information!A1" display="חזרה"/>
    <hyperlink ref="D49" location="Information!A1" display="חזרה"/>
  </hyperlinks>
  <pageMargins left="0" right="0" top="0" bottom="0.74803149606299213" header="0" footer="0.31496062992125984"/>
  <pageSetup paperSize="9" scale="87"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B0F0"/>
    <pageSetUpPr fitToPage="1"/>
  </sheetPr>
  <dimension ref="A1:M98"/>
  <sheetViews>
    <sheetView rightToLeft="1" topLeftCell="A7" workbookViewId="0">
      <selection activeCell="D1" sqref="D1"/>
    </sheetView>
  </sheetViews>
  <sheetFormatPr defaultColWidth="9.1796875" defaultRowHeight="13"/>
  <cols>
    <col min="1" max="1" width="9.1796875" style="22"/>
    <col min="2" max="2" width="40.1796875" style="22" customWidth="1"/>
    <col min="3" max="3" width="13.1796875" style="22" customWidth="1"/>
    <col min="4" max="5" width="9.1796875" style="22"/>
    <col min="6" max="6" width="13.81640625" style="22" customWidth="1"/>
    <col min="7" max="8" width="9.54296875" style="22" customWidth="1"/>
    <col min="9" max="9" width="15.453125" style="22" customWidth="1"/>
    <col min="10" max="10" width="11" style="22" customWidth="1"/>
    <col min="11" max="16384" width="9.1796875" style="22"/>
  </cols>
  <sheetData>
    <row r="1" spans="1:11" s="1487" customFormat="1" ht="18" customHeight="1">
      <c r="B1" s="1502" t="str">
        <f>company</f>
        <v>_____חברה מנהלת</v>
      </c>
      <c r="C1" s="1488"/>
      <c r="D1" s="642" t="s">
        <v>263</v>
      </c>
    </row>
    <row r="2" spans="1:11" ht="3.75" customHeight="1">
      <c r="B2" s="23"/>
      <c r="C2" s="503"/>
    </row>
    <row r="3" spans="1:11" ht="15.5">
      <c r="B3" s="506" t="s">
        <v>4562</v>
      </c>
      <c r="C3" s="503"/>
      <c r="D3" s="503"/>
      <c r="G3" s="1863" t="s">
        <v>4561</v>
      </c>
      <c r="H3" s="1863"/>
      <c r="I3" s="1863"/>
      <c r="J3" s="1863"/>
    </row>
    <row r="4" spans="1:11" ht="18">
      <c r="B4" s="507" t="str">
        <f>Information!$C$53</f>
        <v>ד1. נתונים כללים</v>
      </c>
      <c r="C4" s="503"/>
      <c r="D4" s="1864" t="str">
        <f>IF(Information!P3=4,Date4,Date3)</f>
        <v>31.12.2019</v>
      </c>
      <c r="E4" s="1864"/>
      <c r="G4" s="1531" t="str">
        <f>Dir1A!D4</f>
        <v>31.12.2021</v>
      </c>
      <c r="H4" s="1531"/>
      <c r="I4" s="1531"/>
      <c r="J4" s="1531" t="str">
        <f>Dir1B!$D$4</f>
        <v>31.12.2020</v>
      </c>
    </row>
    <row r="5" spans="1:11" ht="12.75" customHeight="1">
      <c r="B5" s="1489"/>
      <c r="C5" s="1859" t="s">
        <v>772</v>
      </c>
      <c r="D5" s="1865" t="s">
        <v>314</v>
      </c>
      <c r="E5" s="1866"/>
      <c r="F5" s="1867" t="s">
        <v>3883</v>
      </c>
      <c r="G5" s="1860" t="s">
        <v>375</v>
      </c>
      <c r="H5" s="1860" t="s">
        <v>4581</v>
      </c>
      <c r="I5" s="1860" t="s">
        <v>4582</v>
      </c>
      <c r="J5" s="1859" t="s">
        <v>3908</v>
      </c>
      <c r="K5" s="1857" t="s">
        <v>1271</v>
      </c>
    </row>
    <row r="6" spans="1:11" ht="30.75" customHeight="1">
      <c r="B6" s="853"/>
      <c r="C6" s="1862"/>
      <c r="D6" s="1486" t="s">
        <v>3884</v>
      </c>
      <c r="E6" s="1486" t="s">
        <v>3885</v>
      </c>
      <c r="F6" s="1868"/>
      <c r="G6" s="1861"/>
      <c r="H6" s="1869"/>
      <c r="I6" s="1869"/>
      <c r="J6" s="1862"/>
      <c r="K6" s="1858"/>
    </row>
    <row r="7" spans="1:11">
      <c r="B7" s="1490"/>
      <c r="C7" s="1491" t="s">
        <v>29</v>
      </c>
      <c r="D7" s="1491" t="s">
        <v>41</v>
      </c>
      <c r="E7" s="1491" t="s">
        <v>63</v>
      </c>
      <c r="F7" s="1491" t="s">
        <v>65</v>
      </c>
      <c r="G7" s="1491" t="s">
        <v>86</v>
      </c>
      <c r="H7" s="1491" t="s">
        <v>88</v>
      </c>
      <c r="I7" s="1491" t="s">
        <v>195</v>
      </c>
      <c r="J7" s="1491" t="s">
        <v>197</v>
      </c>
      <c r="K7" s="1491" t="s">
        <v>199</v>
      </c>
    </row>
    <row r="8" spans="1:11" ht="15.5">
      <c r="A8" s="1525">
        <f>ROW()-7</f>
        <v>1</v>
      </c>
      <c r="B8" s="1624" t="s">
        <v>4919</v>
      </c>
      <c r="C8" s="1493">
        <f>SUM(C9:C10)</f>
        <v>0</v>
      </c>
      <c r="D8" s="1493">
        <f t="shared" ref="D8:J8" si="0">SUM(D9:D10)</f>
        <v>0</v>
      </c>
      <c r="E8" s="1493">
        <f t="shared" si="0"/>
        <v>0</v>
      </c>
      <c r="F8" s="1493">
        <f t="shared" si="0"/>
        <v>0</v>
      </c>
      <c r="G8" s="1493">
        <f t="shared" si="0"/>
        <v>0</v>
      </c>
      <c r="H8" s="1493">
        <f t="shared" si="0"/>
        <v>0</v>
      </c>
      <c r="I8" s="1493">
        <f t="shared" si="0"/>
        <v>0</v>
      </c>
      <c r="J8" s="1493">
        <f t="shared" si="0"/>
        <v>0</v>
      </c>
      <c r="K8" s="1494">
        <f>SUM(C8:J8)</f>
        <v>0</v>
      </c>
    </row>
    <row r="9" spans="1:11" ht="15.5">
      <c r="A9" s="22">
        <f t="shared" ref="A9:A82" si="1">ROW()-7</f>
        <v>2</v>
      </c>
      <c r="B9" s="1524" t="s">
        <v>4883</v>
      </c>
      <c r="C9" s="1496"/>
      <c r="D9" s="1496"/>
      <c r="E9" s="1496"/>
      <c r="F9" s="1496"/>
      <c r="G9" s="1496"/>
      <c r="H9" s="1496"/>
      <c r="I9" s="1496"/>
      <c r="J9" s="1496"/>
      <c r="K9" s="1494">
        <f t="shared" ref="K9:K23" si="2">SUM(C9:J9)</f>
        <v>0</v>
      </c>
    </row>
    <row r="10" spans="1:11" ht="15.5">
      <c r="A10" s="22">
        <f t="shared" si="1"/>
        <v>3</v>
      </c>
      <c r="B10" s="1524" t="s">
        <v>4884</v>
      </c>
      <c r="C10" s="1496"/>
      <c r="D10" s="1496"/>
      <c r="E10" s="1496"/>
      <c r="F10" s="1496"/>
      <c r="G10" s="1496"/>
      <c r="H10" s="1496"/>
      <c r="I10" s="1496"/>
      <c r="J10" s="1496"/>
      <c r="K10" s="1494">
        <f t="shared" si="2"/>
        <v>0</v>
      </c>
    </row>
    <row r="11" spans="1:11" ht="15.5">
      <c r="A11" s="22">
        <f t="shared" si="1"/>
        <v>4</v>
      </c>
      <c r="B11" s="1524" t="s">
        <v>3895</v>
      </c>
      <c r="C11" s="1493">
        <f>SUM(C12,C16,C20)</f>
        <v>0</v>
      </c>
      <c r="D11" s="1493">
        <f t="shared" ref="D11:K11" si="3">SUM(D12,D16,D20)</f>
        <v>0</v>
      </c>
      <c r="E11" s="1493">
        <f t="shared" si="3"/>
        <v>0</v>
      </c>
      <c r="F11" s="1493">
        <f t="shared" si="3"/>
        <v>0</v>
      </c>
      <c r="G11" s="1493">
        <f t="shared" si="3"/>
        <v>0</v>
      </c>
      <c r="H11" s="1493">
        <f t="shared" si="3"/>
        <v>0</v>
      </c>
      <c r="I11" s="1493">
        <f t="shared" si="3"/>
        <v>0</v>
      </c>
      <c r="J11" s="1493">
        <f t="shared" si="3"/>
        <v>0</v>
      </c>
      <c r="K11" s="1493">
        <f t="shared" si="3"/>
        <v>0</v>
      </c>
    </row>
    <row r="12" spans="1:11" ht="15.5">
      <c r="A12" s="22">
        <f t="shared" si="1"/>
        <v>5</v>
      </c>
      <c r="B12" s="1523" t="s">
        <v>4918</v>
      </c>
      <c r="C12" s="1493">
        <f>SUM(C13:C15)</f>
        <v>0</v>
      </c>
      <c r="D12" s="1493">
        <f t="shared" ref="D12:J12" si="4">SUM(D13:D15)</f>
        <v>0</v>
      </c>
      <c r="E12" s="1493">
        <f t="shared" si="4"/>
        <v>0</v>
      </c>
      <c r="F12" s="1493">
        <f t="shared" si="4"/>
        <v>0</v>
      </c>
      <c r="G12" s="1493">
        <f t="shared" si="4"/>
        <v>0</v>
      </c>
      <c r="H12" s="1493">
        <f t="shared" si="4"/>
        <v>0</v>
      </c>
      <c r="I12" s="1493">
        <f t="shared" si="4"/>
        <v>0</v>
      </c>
      <c r="J12" s="1493">
        <f t="shared" si="4"/>
        <v>0</v>
      </c>
      <c r="K12" s="1494">
        <f t="shared" si="2"/>
        <v>0</v>
      </c>
    </row>
    <row r="13" spans="1:11" ht="15.5">
      <c r="A13" s="22">
        <f t="shared" si="1"/>
        <v>6</v>
      </c>
      <c r="B13" s="1522" t="s">
        <v>3886</v>
      </c>
      <c r="C13" s="1496"/>
      <c r="D13" s="1496"/>
      <c r="E13" s="1496"/>
      <c r="F13" s="1496"/>
      <c r="G13" s="1496"/>
      <c r="H13" s="1496"/>
      <c r="I13" s="1496"/>
      <c r="J13" s="1496"/>
      <c r="K13" s="1494">
        <f t="shared" si="2"/>
        <v>0</v>
      </c>
    </row>
    <row r="14" spans="1:11" ht="15.5">
      <c r="A14" s="22">
        <f t="shared" si="1"/>
        <v>7</v>
      </c>
      <c r="B14" s="1522" t="s">
        <v>3887</v>
      </c>
      <c r="C14" s="1496"/>
      <c r="D14" s="1496"/>
      <c r="E14" s="1496"/>
      <c r="F14" s="1496"/>
      <c r="G14" s="1496"/>
      <c r="H14" s="1496"/>
      <c r="I14" s="1496"/>
      <c r="J14" s="1496"/>
      <c r="K14" s="1494">
        <f t="shared" si="2"/>
        <v>0</v>
      </c>
    </row>
    <row r="15" spans="1:11" ht="15.5">
      <c r="A15" s="22">
        <f t="shared" si="1"/>
        <v>8</v>
      </c>
      <c r="B15" s="1522" t="s">
        <v>3888</v>
      </c>
      <c r="C15" s="1496"/>
      <c r="D15" s="1496"/>
      <c r="E15" s="1496"/>
      <c r="F15" s="1496"/>
      <c r="G15" s="1496"/>
      <c r="H15" s="1496"/>
      <c r="I15" s="1496"/>
      <c r="J15" s="1496"/>
      <c r="K15" s="1494">
        <f t="shared" si="2"/>
        <v>0</v>
      </c>
    </row>
    <row r="16" spans="1:11" ht="15.5">
      <c r="A16" s="1525">
        <f>A15+1</f>
        <v>9</v>
      </c>
      <c r="B16" s="1523" t="s">
        <v>4917</v>
      </c>
      <c r="C16" s="1493">
        <f>SUM(C17:C19)</f>
        <v>0</v>
      </c>
      <c r="D16" s="1493">
        <f t="shared" ref="D16:J16" si="5">SUM(D17:D19)</f>
        <v>0</v>
      </c>
      <c r="E16" s="1493">
        <f t="shared" si="5"/>
        <v>0</v>
      </c>
      <c r="F16" s="1493">
        <f t="shared" si="5"/>
        <v>0</v>
      </c>
      <c r="G16" s="1493">
        <f t="shared" si="5"/>
        <v>0</v>
      </c>
      <c r="H16" s="1493">
        <f t="shared" si="5"/>
        <v>0</v>
      </c>
      <c r="I16" s="1493">
        <f t="shared" si="5"/>
        <v>0</v>
      </c>
      <c r="J16" s="1493">
        <f t="shared" si="5"/>
        <v>0</v>
      </c>
      <c r="K16" s="1494">
        <f t="shared" si="2"/>
        <v>0</v>
      </c>
    </row>
    <row r="17" spans="1:11" ht="15.5">
      <c r="A17" s="1525">
        <f t="shared" si="1"/>
        <v>10</v>
      </c>
      <c r="B17" s="1522" t="s">
        <v>3886</v>
      </c>
      <c r="C17" s="1496"/>
      <c r="D17" s="1496"/>
      <c r="E17" s="1496"/>
      <c r="F17" s="1496"/>
      <c r="G17" s="1496"/>
      <c r="H17" s="1496"/>
      <c r="I17" s="1496"/>
      <c r="J17" s="1496"/>
      <c r="K17" s="1494">
        <f t="shared" si="2"/>
        <v>0</v>
      </c>
    </row>
    <row r="18" spans="1:11" ht="15.5">
      <c r="A18" s="1525">
        <f t="shared" si="1"/>
        <v>11</v>
      </c>
      <c r="B18" s="1522" t="s">
        <v>3887</v>
      </c>
      <c r="C18" s="1496"/>
      <c r="D18" s="1496"/>
      <c r="E18" s="1496"/>
      <c r="F18" s="1496"/>
      <c r="G18" s="1496"/>
      <c r="H18" s="1496"/>
      <c r="I18" s="1496"/>
      <c r="J18" s="1496"/>
      <c r="K18" s="1494">
        <f t="shared" si="2"/>
        <v>0</v>
      </c>
    </row>
    <row r="19" spans="1:11" ht="15.5">
      <c r="A19" s="1525">
        <f t="shared" si="1"/>
        <v>12</v>
      </c>
      <c r="B19" s="1522" t="s">
        <v>3888</v>
      </c>
      <c r="C19" s="1496"/>
      <c r="D19" s="1496"/>
      <c r="E19" s="1496"/>
      <c r="F19" s="1496"/>
      <c r="G19" s="1496"/>
      <c r="H19" s="1496"/>
      <c r="I19" s="1496"/>
      <c r="J19" s="1496"/>
      <c r="K19" s="1494">
        <f t="shared" si="2"/>
        <v>0</v>
      </c>
    </row>
    <row r="20" spans="1:11" ht="15.5">
      <c r="A20" s="1525">
        <f t="shared" si="1"/>
        <v>13</v>
      </c>
      <c r="B20" s="1523" t="s">
        <v>4916</v>
      </c>
      <c r="C20" s="1493">
        <f>SUM(C21:C23)</f>
        <v>0</v>
      </c>
      <c r="D20" s="1493">
        <f t="shared" ref="D20:J20" si="6">SUM(D21:D23)</f>
        <v>0</v>
      </c>
      <c r="E20" s="1493">
        <f t="shared" si="6"/>
        <v>0</v>
      </c>
      <c r="F20" s="1493">
        <f t="shared" si="6"/>
        <v>0</v>
      </c>
      <c r="G20" s="1493">
        <f t="shared" si="6"/>
        <v>0</v>
      </c>
      <c r="H20" s="1493">
        <f t="shared" si="6"/>
        <v>0</v>
      </c>
      <c r="I20" s="1493">
        <f t="shared" si="6"/>
        <v>0</v>
      </c>
      <c r="J20" s="1493">
        <f t="shared" si="6"/>
        <v>0</v>
      </c>
      <c r="K20" s="1494">
        <f t="shared" si="2"/>
        <v>0</v>
      </c>
    </row>
    <row r="21" spans="1:11" ht="15.5">
      <c r="A21" s="1525">
        <f t="shared" si="1"/>
        <v>14</v>
      </c>
      <c r="B21" s="1522" t="s">
        <v>3886</v>
      </c>
      <c r="C21" s="1496"/>
      <c r="D21" s="1496"/>
      <c r="E21" s="1496"/>
      <c r="F21" s="1496"/>
      <c r="G21" s="1496"/>
      <c r="H21" s="1496"/>
      <c r="I21" s="1496"/>
      <c r="J21" s="1496"/>
      <c r="K21" s="1494">
        <f t="shared" si="2"/>
        <v>0</v>
      </c>
    </row>
    <row r="22" spans="1:11" ht="15.5">
      <c r="A22" s="1525">
        <f t="shared" si="1"/>
        <v>15</v>
      </c>
      <c r="B22" s="1522" t="s">
        <v>3887</v>
      </c>
      <c r="C22" s="1496"/>
      <c r="D22" s="1496"/>
      <c r="E22" s="1496"/>
      <c r="F22" s="1496"/>
      <c r="G22" s="1496"/>
      <c r="H22" s="1496"/>
      <c r="I22" s="1496"/>
      <c r="J22" s="1496"/>
      <c r="K22" s="1494">
        <f t="shared" si="2"/>
        <v>0</v>
      </c>
    </row>
    <row r="23" spans="1:11" ht="15.5">
      <c r="A23" s="1525">
        <f t="shared" si="1"/>
        <v>16</v>
      </c>
      <c r="B23" s="1522" t="s">
        <v>3888</v>
      </c>
      <c r="C23" s="1496"/>
      <c r="D23" s="1496"/>
      <c r="E23" s="1496"/>
      <c r="F23" s="1496"/>
      <c r="G23" s="1496"/>
      <c r="H23" s="1496"/>
      <c r="I23" s="1496"/>
      <c r="J23" s="1496"/>
      <c r="K23" s="1494">
        <f t="shared" si="2"/>
        <v>0</v>
      </c>
    </row>
    <row r="24" spans="1:11" ht="15.5">
      <c r="A24" s="22">
        <f t="shared" si="1"/>
        <v>17</v>
      </c>
      <c r="B24" s="1492" t="s">
        <v>5007</v>
      </c>
      <c r="C24" s="1493">
        <f>SUM(C8,C12,C16,C20)</f>
        <v>0</v>
      </c>
      <c r="D24" s="1493">
        <f t="shared" ref="D24:K24" si="7">SUM(D8,D12,D16,D20)</f>
        <v>0</v>
      </c>
      <c r="E24" s="1493">
        <f t="shared" si="7"/>
        <v>0</v>
      </c>
      <c r="F24" s="1493">
        <f t="shared" si="7"/>
        <v>0</v>
      </c>
      <c r="G24" s="1493">
        <f t="shared" si="7"/>
        <v>0</v>
      </c>
      <c r="H24" s="1493">
        <f t="shared" si="7"/>
        <v>0</v>
      </c>
      <c r="I24" s="1493">
        <f t="shared" si="7"/>
        <v>0</v>
      </c>
      <c r="J24" s="1493">
        <f t="shared" si="7"/>
        <v>0</v>
      </c>
      <c r="K24" s="1493">
        <f t="shared" si="7"/>
        <v>0</v>
      </c>
    </row>
    <row r="25" spans="1:11">
      <c r="A25" s="22">
        <f t="shared" si="1"/>
        <v>18</v>
      </c>
      <c r="B25" s="1497"/>
      <c r="C25" s="1498"/>
      <c r="D25" s="1498"/>
      <c r="E25" s="1498"/>
      <c r="F25" s="1498"/>
      <c r="G25" s="1498"/>
      <c r="H25" s="1498"/>
      <c r="I25" s="1498"/>
      <c r="J25" s="1498"/>
      <c r="K25" s="1494"/>
    </row>
    <row r="26" spans="1:11" ht="12.75" customHeight="1">
      <c r="A26" s="22">
        <f t="shared" si="1"/>
        <v>19</v>
      </c>
      <c r="B26" s="1624" t="s">
        <v>4886</v>
      </c>
      <c r="C26" s="1493">
        <f>SUM(C27:C28)</f>
        <v>0</v>
      </c>
      <c r="D26" s="1493">
        <f t="shared" ref="D26:J26" si="8">SUM(D27:D28)</f>
        <v>0</v>
      </c>
      <c r="E26" s="1493">
        <f t="shared" si="8"/>
        <v>0</v>
      </c>
      <c r="F26" s="1493">
        <f t="shared" si="8"/>
        <v>0</v>
      </c>
      <c r="G26" s="1493">
        <f t="shared" si="8"/>
        <v>0</v>
      </c>
      <c r="H26" s="1493">
        <f t="shared" si="8"/>
        <v>0</v>
      </c>
      <c r="I26" s="1493">
        <f t="shared" si="8"/>
        <v>0</v>
      </c>
      <c r="J26" s="1493">
        <f t="shared" si="8"/>
        <v>0</v>
      </c>
      <c r="K26" s="1494">
        <f>SUM(C26:J26)</f>
        <v>0</v>
      </c>
    </row>
    <row r="27" spans="1:11" ht="15.5">
      <c r="A27" s="22">
        <f t="shared" si="1"/>
        <v>20</v>
      </c>
      <c r="B27" s="1524" t="s">
        <v>4883</v>
      </c>
      <c r="C27" s="1496"/>
      <c r="D27" s="1496"/>
      <c r="E27" s="1496"/>
      <c r="F27" s="1496"/>
      <c r="G27" s="1496"/>
      <c r="H27" s="1496"/>
      <c r="I27" s="1496"/>
      <c r="J27" s="1496"/>
      <c r="K27" s="1494">
        <f t="shared" ref="K27:K41" si="9">SUM(C27:J27)</f>
        <v>0</v>
      </c>
    </row>
    <row r="28" spans="1:11" ht="15.5">
      <c r="A28" s="22">
        <f t="shared" si="1"/>
        <v>21</v>
      </c>
      <c r="B28" s="1524" t="s">
        <v>4884</v>
      </c>
      <c r="C28" s="1496"/>
      <c r="D28" s="1496"/>
      <c r="E28" s="1496"/>
      <c r="F28" s="1496"/>
      <c r="G28" s="1496"/>
      <c r="H28" s="1496"/>
      <c r="I28" s="1496"/>
      <c r="J28" s="1496"/>
      <c r="K28" s="1494">
        <f t="shared" si="9"/>
        <v>0</v>
      </c>
    </row>
    <row r="29" spans="1:11" ht="15.5">
      <c r="A29" s="22">
        <f t="shared" si="1"/>
        <v>22</v>
      </c>
      <c r="B29" s="1524" t="s">
        <v>3895</v>
      </c>
      <c r="C29" s="1493">
        <f>SUM(C30,C38,C34)</f>
        <v>0</v>
      </c>
      <c r="D29" s="1493">
        <f t="shared" ref="D29:K29" si="10">SUM(D30,D38,D34)</f>
        <v>0</v>
      </c>
      <c r="E29" s="1493">
        <f t="shared" si="10"/>
        <v>0</v>
      </c>
      <c r="F29" s="1493">
        <f t="shared" si="10"/>
        <v>0</v>
      </c>
      <c r="G29" s="1493">
        <f t="shared" si="10"/>
        <v>0</v>
      </c>
      <c r="H29" s="1493">
        <f t="shared" si="10"/>
        <v>0</v>
      </c>
      <c r="I29" s="1493">
        <f t="shared" si="10"/>
        <v>0</v>
      </c>
      <c r="J29" s="1493">
        <f t="shared" si="10"/>
        <v>0</v>
      </c>
      <c r="K29" s="1493">
        <f t="shared" si="10"/>
        <v>0</v>
      </c>
    </row>
    <row r="30" spans="1:11" ht="15.5">
      <c r="A30" s="22">
        <f t="shared" si="1"/>
        <v>23</v>
      </c>
      <c r="B30" s="1629" t="s">
        <v>4918</v>
      </c>
      <c r="C30" s="1493">
        <f>SUM(C31:C33)</f>
        <v>0</v>
      </c>
      <c r="D30" s="1493">
        <f t="shared" ref="D30:J30" si="11">SUM(D31:D33)</f>
        <v>0</v>
      </c>
      <c r="E30" s="1493">
        <f t="shared" si="11"/>
        <v>0</v>
      </c>
      <c r="F30" s="1493">
        <f t="shared" si="11"/>
        <v>0</v>
      </c>
      <c r="G30" s="1493">
        <f t="shared" si="11"/>
        <v>0</v>
      </c>
      <c r="H30" s="1493">
        <f t="shared" si="11"/>
        <v>0</v>
      </c>
      <c r="I30" s="1493">
        <f t="shared" si="11"/>
        <v>0</v>
      </c>
      <c r="J30" s="1493">
        <f t="shared" si="11"/>
        <v>0</v>
      </c>
      <c r="K30" s="1494">
        <f t="shared" si="9"/>
        <v>0</v>
      </c>
    </row>
    <row r="31" spans="1:11" ht="15.5">
      <c r="A31" s="22">
        <f t="shared" si="1"/>
        <v>24</v>
      </c>
      <c r="B31" s="1522" t="s">
        <v>3886</v>
      </c>
      <c r="C31" s="1496"/>
      <c r="D31" s="1496"/>
      <c r="E31" s="1496"/>
      <c r="F31" s="1496"/>
      <c r="G31" s="1496"/>
      <c r="H31" s="1496"/>
      <c r="I31" s="1496"/>
      <c r="J31" s="1496"/>
      <c r="K31" s="1494">
        <f t="shared" si="9"/>
        <v>0</v>
      </c>
    </row>
    <row r="32" spans="1:11" ht="15.5">
      <c r="A32" s="22">
        <f t="shared" si="1"/>
        <v>25</v>
      </c>
      <c r="B32" s="1522" t="s">
        <v>3887</v>
      </c>
      <c r="C32" s="1496"/>
      <c r="D32" s="1496"/>
      <c r="E32" s="1496"/>
      <c r="F32" s="1496"/>
      <c r="G32" s="1496"/>
      <c r="H32" s="1496"/>
      <c r="I32" s="1496"/>
      <c r="J32" s="1496"/>
      <c r="K32" s="1494">
        <f t="shared" si="9"/>
        <v>0</v>
      </c>
    </row>
    <row r="33" spans="1:11" ht="15.5">
      <c r="A33" s="22">
        <f t="shared" si="1"/>
        <v>26</v>
      </c>
      <c r="B33" s="1522" t="s">
        <v>3888</v>
      </c>
      <c r="C33" s="1496"/>
      <c r="D33" s="1496"/>
      <c r="E33" s="1496"/>
      <c r="F33" s="1496"/>
      <c r="G33" s="1496"/>
      <c r="H33" s="1496"/>
      <c r="I33" s="1496"/>
      <c r="J33" s="1496"/>
      <c r="K33" s="1494">
        <f t="shared" si="9"/>
        <v>0</v>
      </c>
    </row>
    <row r="34" spans="1:11" ht="15.5">
      <c r="A34" s="1625">
        <f>A33+1</f>
        <v>27</v>
      </c>
      <c r="B34" s="1629" t="s">
        <v>4917</v>
      </c>
      <c r="C34" s="1493">
        <f>SUM(C35:C37)</f>
        <v>0</v>
      </c>
      <c r="D34" s="1493">
        <f t="shared" ref="D34:J34" si="12">SUM(D35:D37)</f>
        <v>0</v>
      </c>
      <c r="E34" s="1493">
        <f t="shared" si="12"/>
        <v>0</v>
      </c>
      <c r="F34" s="1493">
        <f t="shared" si="12"/>
        <v>0</v>
      </c>
      <c r="G34" s="1493">
        <f t="shared" si="12"/>
        <v>0</v>
      </c>
      <c r="H34" s="1493">
        <f t="shared" si="12"/>
        <v>0</v>
      </c>
      <c r="I34" s="1493">
        <f t="shared" si="12"/>
        <v>0</v>
      </c>
      <c r="J34" s="1493">
        <f t="shared" si="12"/>
        <v>0</v>
      </c>
      <c r="K34" s="1494">
        <f t="shared" si="9"/>
        <v>0</v>
      </c>
    </row>
    <row r="35" spans="1:11" ht="15.5">
      <c r="A35" s="1625">
        <f t="shared" ref="A35:A39" si="13">A34+1</f>
        <v>28</v>
      </c>
      <c r="B35" s="1522" t="s">
        <v>3886</v>
      </c>
      <c r="C35" s="1496"/>
      <c r="D35" s="1496"/>
      <c r="E35" s="1496"/>
      <c r="F35" s="1496"/>
      <c r="G35" s="1496"/>
      <c r="H35" s="1496"/>
      <c r="I35" s="1496"/>
      <c r="J35" s="1496"/>
      <c r="K35" s="1494">
        <f t="shared" si="9"/>
        <v>0</v>
      </c>
    </row>
    <row r="36" spans="1:11" ht="15.5">
      <c r="A36" s="1625">
        <f t="shared" si="13"/>
        <v>29</v>
      </c>
      <c r="B36" s="1522" t="s">
        <v>3887</v>
      </c>
      <c r="C36" s="1496"/>
      <c r="D36" s="1496"/>
      <c r="E36" s="1496"/>
      <c r="F36" s="1496"/>
      <c r="G36" s="1496"/>
      <c r="H36" s="1496"/>
      <c r="I36" s="1496"/>
      <c r="J36" s="1496"/>
      <c r="K36" s="1494">
        <f t="shared" si="9"/>
        <v>0</v>
      </c>
    </row>
    <row r="37" spans="1:11" ht="15.5">
      <c r="A37" s="1625">
        <f t="shared" si="13"/>
        <v>30</v>
      </c>
      <c r="B37" s="1522" t="s">
        <v>3888</v>
      </c>
      <c r="C37" s="1496"/>
      <c r="D37" s="1496"/>
      <c r="E37" s="1496"/>
      <c r="F37" s="1496"/>
      <c r="G37" s="1496"/>
      <c r="H37" s="1496"/>
      <c r="I37" s="1496"/>
      <c r="J37" s="1496"/>
      <c r="K37" s="1494">
        <f t="shared" si="9"/>
        <v>0</v>
      </c>
    </row>
    <row r="38" spans="1:11" ht="15.5">
      <c r="A38" s="1625">
        <f t="shared" si="13"/>
        <v>31</v>
      </c>
      <c r="B38" s="1629" t="s">
        <v>4916</v>
      </c>
      <c r="C38" s="1493">
        <f>SUM(C39:C41)</f>
        <v>0</v>
      </c>
      <c r="D38" s="1493">
        <f t="shared" ref="D38:J38" si="14">SUM(D39:D41)</f>
        <v>0</v>
      </c>
      <c r="E38" s="1493">
        <f t="shared" si="14"/>
        <v>0</v>
      </c>
      <c r="F38" s="1493">
        <f t="shared" si="14"/>
        <v>0</v>
      </c>
      <c r="G38" s="1493">
        <f t="shared" si="14"/>
        <v>0</v>
      </c>
      <c r="H38" s="1493">
        <f t="shared" si="14"/>
        <v>0</v>
      </c>
      <c r="I38" s="1493">
        <f t="shared" si="14"/>
        <v>0</v>
      </c>
      <c r="J38" s="1493">
        <f t="shared" si="14"/>
        <v>0</v>
      </c>
      <c r="K38" s="1494">
        <f t="shared" si="9"/>
        <v>0</v>
      </c>
    </row>
    <row r="39" spans="1:11" ht="15.5">
      <c r="A39" s="1625">
        <f t="shared" si="13"/>
        <v>32</v>
      </c>
      <c r="B39" s="1522" t="s">
        <v>3886</v>
      </c>
      <c r="C39" s="1496"/>
      <c r="D39" s="1496"/>
      <c r="E39" s="1496"/>
      <c r="F39" s="1496"/>
      <c r="G39" s="1496"/>
      <c r="H39" s="1496"/>
      <c r="I39" s="1496"/>
      <c r="J39" s="1496"/>
      <c r="K39" s="1494">
        <f t="shared" si="9"/>
        <v>0</v>
      </c>
    </row>
    <row r="40" spans="1:11" ht="15.5">
      <c r="A40" s="1625">
        <f t="shared" si="1"/>
        <v>33</v>
      </c>
      <c r="B40" s="1522" t="s">
        <v>3887</v>
      </c>
      <c r="C40" s="1496"/>
      <c r="D40" s="1496"/>
      <c r="E40" s="1496"/>
      <c r="F40" s="1496"/>
      <c r="G40" s="1496"/>
      <c r="H40" s="1496"/>
      <c r="I40" s="1496"/>
      <c r="J40" s="1496"/>
      <c r="K40" s="1494">
        <f t="shared" si="9"/>
        <v>0</v>
      </c>
    </row>
    <row r="41" spans="1:11" ht="15.5">
      <c r="A41" s="1625">
        <f t="shared" si="1"/>
        <v>34</v>
      </c>
      <c r="B41" s="1522" t="s">
        <v>3888</v>
      </c>
      <c r="C41" s="1496"/>
      <c r="D41" s="1496"/>
      <c r="E41" s="1496"/>
      <c r="F41" s="1496"/>
      <c r="G41" s="1496"/>
      <c r="H41" s="1496"/>
      <c r="I41" s="1496"/>
      <c r="J41" s="1496"/>
      <c r="K41" s="1494">
        <f t="shared" si="9"/>
        <v>0</v>
      </c>
    </row>
    <row r="42" spans="1:11" ht="15.5">
      <c r="A42" s="22">
        <f t="shared" si="1"/>
        <v>35</v>
      </c>
      <c r="B42" s="1492" t="s">
        <v>4904</v>
      </c>
      <c r="C42" s="1493">
        <f>SUM(C26,C30,C38,C34)</f>
        <v>0</v>
      </c>
      <c r="D42" s="1493">
        <f t="shared" ref="D42:K42" si="15">SUM(D26,D30,D38,D34)</f>
        <v>0</v>
      </c>
      <c r="E42" s="1493">
        <f t="shared" si="15"/>
        <v>0</v>
      </c>
      <c r="F42" s="1493">
        <f t="shared" si="15"/>
        <v>0</v>
      </c>
      <c r="G42" s="1493">
        <f t="shared" si="15"/>
        <v>0</v>
      </c>
      <c r="H42" s="1493">
        <f t="shared" si="15"/>
        <v>0</v>
      </c>
      <c r="I42" s="1493">
        <f t="shared" si="15"/>
        <v>0</v>
      </c>
      <c r="J42" s="1493">
        <f t="shared" si="15"/>
        <v>0</v>
      </c>
      <c r="K42" s="1493">
        <f t="shared" si="15"/>
        <v>0</v>
      </c>
    </row>
    <row r="43" spans="1:11" ht="15.5">
      <c r="A43" s="22">
        <f t="shared" si="1"/>
        <v>36</v>
      </c>
      <c r="B43" s="1492"/>
      <c r="C43" s="1498"/>
      <c r="D43" s="1498"/>
      <c r="E43" s="1498"/>
      <c r="F43" s="1498"/>
      <c r="G43" s="1498"/>
      <c r="H43" s="1498"/>
      <c r="I43" s="1498"/>
      <c r="J43" s="1498"/>
      <c r="K43" s="1494"/>
    </row>
    <row r="44" spans="1:11" ht="15.5">
      <c r="A44" s="22">
        <f t="shared" si="1"/>
        <v>37</v>
      </c>
      <c r="B44" s="1624" t="s">
        <v>3902</v>
      </c>
      <c r="C44" s="1498"/>
      <c r="D44" s="1498"/>
      <c r="E44" s="1498"/>
      <c r="F44" s="1498"/>
      <c r="G44" s="1498"/>
      <c r="H44" s="1498"/>
      <c r="I44" s="1498"/>
      <c r="J44" s="1498"/>
      <c r="K44" s="1494"/>
    </row>
    <row r="45" spans="1:11" ht="14">
      <c r="A45" s="22">
        <f t="shared" si="1"/>
        <v>38</v>
      </c>
      <c r="B45" s="1499" t="s">
        <v>4887</v>
      </c>
      <c r="C45" s="1496"/>
      <c r="D45" s="1496"/>
      <c r="E45" s="1496"/>
      <c r="F45" s="1496"/>
      <c r="G45" s="1496"/>
      <c r="H45" s="1496"/>
      <c r="I45" s="1496"/>
      <c r="J45" s="1496"/>
      <c r="K45" s="1494">
        <f t="shared" ref="K45:K52" si="16">SUM(C45:J45)</f>
        <v>0</v>
      </c>
    </row>
    <row r="46" spans="1:11" ht="14">
      <c r="A46" s="22">
        <f t="shared" si="1"/>
        <v>39</v>
      </c>
      <c r="B46" s="1499" t="s">
        <v>3889</v>
      </c>
      <c r="C46" s="1496"/>
      <c r="D46" s="1496"/>
      <c r="E46" s="1496"/>
      <c r="F46" s="1496"/>
      <c r="G46" s="1496"/>
      <c r="H46" s="1496"/>
      <c r="I46" s="1496"/>
      <c r="J46" s="1496"/>
      <c r="K46" s="1494">
        <f t="shared" si="16"/>
        <v>0</v>
      </c>
    </row>
    <row r="47" spans="1:11" ht="14">
      <c r="A47" s="22">
        <f t="shared" si="1"/>
        <v>40</v>
      </c>
      <c r="B47" s="1558" t="s">
        <v>4583</v>
      </c>
      <c r="C47" s="1496"/>
      <c r="D47" s="1496"/>
      <c r="E47" s="1496"/>
      <c r="F47" s="1496"/>
      <c r="G47" s="1496"/>
      <c r="H47" s="1496"/>
      <c r="I47" s="1496"/>
      <c r="J47" s="1496"/>
      <c r="K47" s="1494">
        <f t="shared" ref="K47" si="17">SUM(C47:J47)</f>
        <v>0</v>
      </c>
    </row>
    <row r="48" spans="1:11" ht="14">
      <c r="A48" s="22">
        <f t="shared" si="1"/>
        <v>41</v>
      </c>
      <c r="B48" s="1499" t="s">
        <v>3890</v>
      </c>
      <c r="C48" s="1496"/>
      <c r="D48" s="1496"/>
      <c r="E48" s="1496"/>
      <c r="F48" s="1496"/>
      <c r="G48" s="1496"/>
      <c r="H48" s="1496"/>
      <c r="I48" s="1496"/>
      <c r="J48" s="1496"/>
      <c r="K48" s="1494">
        <f t="shared" si="16"/>
        <v>0</v>
      </c>
    </row>
    <row r="49" spans="1:11" ht="14">
      <c r="A49" s="22">
        <f t="shared" si="1"/>
        <v>42</v>
      </c>
      <c r="B49" s="1499" t="s">
        <v>3891</v>
      </c>
      <c r="C49" s="1496"/>
      <c r="D49" s="1496"/>
      <c r="E49" s="1496"/>
      <c r="F49" s="1496"/>
      <c r="G49" s="1496"/>
      <c r="H49" s="1496"/>
      <c r="I49" s="1496"/>
      <c r="J49" s="1496"/>
      <c r="K49" s="1494">
        <f t="shared" si="16"/>
        <v>0</v>
      </c>
    </row>
    <row r="50" spans="1:11" ht="15.5">
      <c r="A50" s="22">
        <f t="shared" si="1"/>
        <v>43</v>
      </c>
      <c r="B50" s="1624" t="s">
        <v>4924</v>
      </c>
      <c r="C50" s="1493">
        <f>SUM(C51:C52,C65)</f>
        <v>0</v>
      </c>
      <c r="D50" s="1493">
        <f t="shared" ref="D50:K50" si="18">SUM(D51:D52,D65)</f>
        <v>0</v>
      </c>
      <c r="E50" s="1493">
        <f t="shared" si="18"/>
        <v>0</v>
      </c>
      <c r="F50" s="1493">
        <f t="shared" si="18"/>
        <v>0</v>
      </c>
      <c r="G50" s="1493">
        <f t="shared" si="18"/>
        <v>0</v>
      </c>
      <c r="H50" s="1493">
        <f t="shared" si="18"/>
        <v>0</v>
      </c>
      <c r="I50" s="1493">
        <f t="shared" si="18"/>
        <v>0</v>
      </c>
      <c r="J50" s="1493">
        <f t="shared" si="18"/>
        <v>0</v>
      </c>
      <c r="K50" s="1493">
        <f t="shared" si="18"/>
        <v>0</v>
      </c>
    </row>
    <row r="51" spans="1:11">
      <c r="A51" s="22">
        <f t="shared" si="1"/>
        <v>44</v>
      </c>
      <c r="B51" s="1495" t="s">
        <v>1117</v>
      </c>
      <c r="C51" s="1496"/>
      <c r="D51" s="1496"/>
      <c r="E51" s="1496"/>
      <c r="F51" s="1496"/>
      <c r="G51" s="1496"/>
      <c r="H51" s="1496"/>
      <c r="I51" s="1496"/>
      <c r="J51" s="1496"/>
      <c r="K51" s="1494">
        <f t="shared" si="16"/>
        <v>0</v>
      </c>
    </row>
    <row r="52" spans="1:11">
      <c r="A52" s="22">
        <f t="shared" si="1"/>
        <v>45</v>
      </c>
      <c r="B52" s="1495" t="s">
        <v>233</v>
      </c>
      <c r="C52" s="1496"/>
      <c r="D52" s="1496"/>
      <c r="E52" s="1496"/>
      <c r="F52" s="1496"/>
      <c r="G52" s="1496"/>
      <c r="H52" s="1496"/>
      <c r="I52" s="1496"/>
      <c r="J52" s="1496"/>
      <c r="K52" s="1494">
        <f t="shared" si="16"/>
        <v>0</v>
      </c>
    </row>
    <row r="53" spans="1:11" ht="14">
      <c r="A53" s="22">
        <f t="shared" si="1"/>
        <v>46</v>
      </c>
      <c r="B53" s="1628" t="s">
        <v>4920</v>
      </c>
      <c r="C53" s="1493">
        <f>SUM(C54:C56)</f>
        <v>0</v>
      </c>
      <c r="D53" s="1493">
        <f t="shared" ref="D53:J53" si="19">SUM(D54:D56)</f>
        <v>0</v>
      </c>
      <c r="E53" s="1493">
        <f t="shared" si="19"/>
        <v>0</v>
      </c>
      <c r="F53" s="1493">
        <f t="shared" si="19"/>
        <v>0</v>
      </c>
      <c r="G53" s="1493">
        <f t="shared" si="19"/>
        <v>0</v>
      </c>
      <c r="H53" s="1493">
        <f t="shared" si="19"/>
        <v>0</v>
      </c>
      <c r="I53" s="1493">
        <f t="shared" si="19"/>
        <v>0</v>
      </c>
      <c r="J53" s="1493">
        <f t="shared" si="19"/>
        <v>0</v>
      </c>
      <c r="K53" s="1494">
        <f t="shared" ref="K53:K64" si="20">SUM(C53:J53)</f>
        <v>0</v>
      </c>
    </row>
    <row r="54" spans="1:11">
      <c r="A54" s="22">
        <f t="shared" si="1"/>
        <v>47</v>
      </c>
      <c r="B54" s="1495" t="s">
        <v>3892</v>
      </c>
      <c r="C54" s="1496"/>
      <c r="D54" s="1496"/>
      <c r="E54" s="1496"/>
      <c r="F54" s="1496"/>
      <c r="G54" s="1496"/>
      <c r="H54" s="1496"/>
      <c r="I54" s="1496"/>
      <c r="J54" s="1496"/>
      <c r="K54" s="1494">
        <f t="shared" si="20"/>
        <v>0</v>
      </c>
    </row>
    <row r="55" spans="1:11">
      <c r="A55" s="22">
        <f t="shared" si="1"/>
        <v>48</v>
      </c>
      <c r="B55" s="1495" t="s">
        <v>3893</v>
      </c>
      <c r="C55" s="1496"/>
      <c r="D55" s="1496"/>
      <c r="E55" s="1496"/>
      <c r="F55" s="1496"/>
      <c r="G55" s="1496"/>
      <c r="H55" s="1496"/>
      <c r="I55" s="1496"/>
      <c r="J55" s="1496"/>
      <c r="K55" s="1494">
        <f t="shared" si="20"/>
        <v>0</v>
      </c>
    </row>
    <row r="56" spans="1:11">
      <c r="A56" s="22">
        <f t="shared" si="1"/>
        <v>49</v>
      </c>
      <c r="B56" s="1495" t="s">
        <v>3894</v>
      </c>
      <c r="C56" s="1496"/>
      <c r="D56" s="1496"/>
      <c r="E56" s="1496"/>
      <c r="F56" s="1496"/>
      <c r="G56" s="1496"/>
      <c r="H56" s="1496"/>
      <c r="I56" s="1496"/>
      <c r="J56" s="1496"/>
      <c r="K56" s="1494">
        <f t="shared" si="20"/>
        <v>0</v>
      </c>
    </row>
    <row r="57" spans="1:11" ht="14">
      <c r="A57" s="1625">
        <f t="shared" si="1"/>
        <v>50</v>
      </c>
      <c r="B57" s="1628" t="s">
        <v>4921</v>
      </c>
      <c r="C57" s="1493">
        <f>SUM(C58:C60)</f>
        <v>0</v>
      </c>
      <c r="D57" s="1493">
        <f t="shared" ref="D57:J57" si="21">SUM(D58:D60)</f>
        <v>0</v>
      </c>
      <c r="E57" s="1493">
        <f t="shared" si="21"/>
        <v>0</v>
      </c>
      <c r="F57" s="1493">
        <f t="shared" si="21"/>
        <v>0</v>
      </c>
      <c r="G57" s="1493">
        <f t="shared" si="21"/>
        <v>0</v>
      </c>
      <c r="H57" s="1493">
        <f t="shared" si="21"/>
        <v>0</v>
      </c>
      <c r="I57" s="1493">
        <f t="shared" si="21"/>
        <v>0</v>
      </c>
      <c r="J57" s="1493">
        <f t="shared" si="21"/>
        <v>0</v>
      </c>
      <c r="K57" s="1494">
        <f t="shared" si="20"/>
        <v>0</v>
      </c>
    </row>
    <row r="58" spans="1:11">
      <c r="A58" s="1625">
        <f t="shared" si="1"/>
        <v>51</v>
      </c>
      <c r="B58" s="1495" t="s">
        <v>3892</v>
      </c>
      <c r="C58" s="1496"/>
      <c r="D58" s="1496"/>
      <c r="E58" s="1496"/>
      <c r="F58" s="1496"/>
      <c r="G58" s="1496"/>
      <c r="H58" s="1496"/>
      <c r="I58" s="1496"/>
      <c r="J58" s="1496"/>
      <c r="K58" s="1494">
        <f t="shared" si="20"/>
        <v>0</v>
      </c>
    </row>
    <row r="59" spans="1:11">
      <c r="A59" s="1625">
        <f t="shared" si="1"/>
        <v>52</v>
      </c>
      <c r="B59" s="1495" t="s">
        <v>3893</v>
      </c>
      <c r="C59" s="1496"/>
      <c r="D59" s="1496"/>
      <c r="E59" s="1496"/>
      <c r="F59" s="1496"/>
      <c r="G59" s="1496"/>
      <c r="H59" s="1496"/>
      <c r="I59" s="1496"/>
      <c r="J59" s="1496"/>
      <c r="K59" s="1494">
        <f t="shared" si="20"/>
        <v>0</v>
      </c>
    </row>
    <row r="60" spans="1:11">
      <c r="A60" s="1625">
        <f t="shared" si="1"/>
        <v>53</v>
      </c>
      <c r="B60" s="1495" t="s">
        <v>3894</v>
      </c>
      <c r="C60" s="1496"/>
      <c r="D60" s="1496"/>
      <c r="E60" s="1496"/>
      <c r="F60" s="1496"/>
      <c r="G60" s="1496"/>
      <c r="H60" s="1496"/>
      <c r="I60" s="1496"/>
      <c r="J60" s="1496"/>
      <c r="K60" s="1494">
        <f t="shared" si="20"/>
        <v>0</v>
      </c>
    </row>
    <row r="61" spans="1:11" ht="14">
      <c r="A61" s="1625">
        <f t="shared" si="1"/>
        <v>54</v>
      </c>
      <c r="B61" s="1628" t="s">
        <v>4922</v>
      </c>
      <c r="C61" s="1493">
        <f>SUM(C62:C64)</f>
        <v>0</v>
      </c>
      <c r="D61" s="1493">
        <f t="shared" ref="D61:J61" si="22">SUM(D62:D64)</f>
        <v>0</v>
      </c>
      <c r="E61" s="1493">
        <f t="shared" si="22"/>
        <v>0</v>
      </c>
      <c r="F61" s="1493">
        <f t="shared" si="22"/>
        <v>0</v>
      </c>
      <c r="G61" s="1493">
        <f t="shared" si="22"/>
        <v>0</v>
      </c>
      <c r="H61" s="1493">
        <f t="shared" si="22"/>
        <v>0</v>
      </c>
      <c r="I61" s="1493">
        <f t="shared" si="22"/>
        <v>0</v>
      </c>
      <c r="J61" s="1493">
        <f t="shared" si="22"/>
        <v>0</v>
      </c>
      <c r="K61" s="1494">
        <f t="shared" si="20"/>
        <v>0</v>
      </c>
    </row>
    <row r="62" spans="1:11">
      <c r="A62" s="1625">
        <f t="shared" si="1"/>
        <v>55</v>
      </c>
      <c r="B62" s="1495" t="s">
        <v>3892</v>
      </c>
      <c r="C62" s="1496"/>
      <c r="D62" s="1496"/>
      <c r="E62" s="1496"/>
      <c r="F62" s="1496"/>
      <c r="G62" s="1496"/>
      <c r="H62" s="1496"/>
      <c r="I62" s="1496"/>
      <c r="J62" s="1496"/>
      <c r="K62" s="1494">
        <f t="shared" si="20"/>
        <v>0</v>
      </c>
    </row>
    <row r="63" spans="1:11">
      <c r="A63" s="1625">
        <f t="shared" si="1"/>
        <v>56</v>
      </c>
      <c r="B63" s="1495" t="s">
        <v>3893</v>
      </c>
      <c r="C63" s="1496"/>
      <c r="D63" s="1496"/>
      <c r="E63" s="1496"/>
      <c r="F63" s="1496"/>
      <c r="G63" s="1496"/>
      <c r="H63" s="1496"/>
      <c r="I63" s="1496"/>
      <c r="J63" s="1496"/>
      <c r="K63" s="1494">
        <f t="shared" si="20"/>
        <v>0</v>
      </c>
    </row>
    <row r="64" spans="1:11" ht="12.75" customHeight="1">
      <c r="A64" s="1625">
        <f t="shared" si="1"/>
        <v>57</v>
      </c>
      <c r="B64" s="1495" t="s">
        <v>3894</v>
      </c>
      <c r="C64" s="1496"/>
      <c r="D64" s="1496"/>
      <c r="E64" s="1496"/>
      <c r="F64" s="1496"/>
      <c r="G64" s="1496"/>
      <c r="H64" s="1496"/>
      <c r="I64" s="1496"/>
      <c r="J64" s="1496"/>
      <c r="K64" s="1494">
        <f t="shared" si="20"/>
        <v>0</v>
      </c>
    </row>
    <row r="65" spans="1:11" ht="15.5">
      <c r="A65" s="1625">
        <f t="shared" si="1"/>
        <v>58</v>
      </c>
      <c r="B65" s="1627" t="s">
        <v>4923</v>
      </c>
      <c r="C65" s="1493">
        <f>SUM(C61,C57,C53)</f>
        <v>0</v>
      </c>
      <c r="D65" s="1493">
        <f t="shared" ref="D65:K65" si="23">SUM(D61,D57,D53)</f>
        <v>0</v>
      </c>
      <c r="E65" s="1493">
        <f t="shared" si="23"/>
        <v>0</v>
      </c>
      <c r="F65" s="1493">
        <f t="shared" si="23"/>
        <v>0</v>
      </c>
      <c r="G65" s="1493">
        <f t="shared" si="23"/>
        <v>0</v>
      </c>
      <c r="H65" s="1493">
        <f t="shared" si="23"/>
        <v>0</v>
      </c>
      <c r="I65" s="1493">
        <f t="shared" si="23"/>
        <v>0</v>
      </c>
      <c r="J65" s="1493">
        <f t="shared" si="23"/>
        <v>0</v>
      </c>
      <c r="K65" s="1493">
        <f t="shared" si="23"/>
        <v>0</v>
      </c>
    </row>
    <row r="66" spans="1:11" ht="15.5">
      <c r="A66" s="22">
        <f t="shared" si="1"/>
        <v>59</v>
      </c>
      <c r="B66" s="1627" t="s">
        <v>4888</v>
      </c>
      <c r="C66" s="1496"/>
      <c r="D66" s="1496"/>
      <c r="E66" s="1496"/>
      <c r="F66" s="1496"/>
      <c r="G66" s="1496"/>
      <c r="H66" s="1496"/>
      <c r="I66" s="1496"/>
      <c r="J66" s="1496"/>
      <c r="K66" s="1494">
        <f t="shared" ref="K66" si="24">SUM(C66:J66)</f>
        <v>0</v>
      </c>
    </row>
    <row r="67" spans="1:11">
      <c r="A67" s="22">
        <f t="shared" si="1"/>
        <v>60</v>
      </c>
      <c r="B67" s="1497"/>
      <c r="C67" s="1498"/>
      <c r="D67" s="1498"/>
      <c r="E67" s="1498"/>
      <c r="F67" s="1498"/>
      <c r="G67" s="1498"/>
      <c r="H67" s="1498"/>
      <c r="I67" s="1498"/>
      <c r="J67" s="1498"/>
      <c r="K67" s="1494"/>
    </row>
    <row r="68" spans="1:11" ht="15.5">
      <c r="A68" s="22">
        <f t="shared" si="1"/>
        <v>61</v>
      </c>
      <c r="B68" s="1624" t="s">
        <v>3903</v>
      </c>
      <c r="C68" s="1493">
        <f>SUM(C69:C70)</f>
        <v>0</v>
      </c>
      <c r="D68" s="1493">
        <f t="shared" ref="D68:J68" si="25">SUM(D69:D70)</f>
        <v>0</v>
      </c>
      <c r="E68" s="1493">
        <f t="shared" si="25"/>
        <v>0</v>
      </c>
      <c r="F68" s="1493">
        <f t="shared" si="25"/>
        <v>0</v>
      </c>
      <c r="G68" s="1493">
        <f t="shared" si="25"/>
        <v>0</v>
      </c>
      <c r="H68" s="1493">
        <f t="shared" si="25"/>
        <v>0</v>
      </c>
      <c r="I68" s="1493">
        <f t="shared" si="25"/>
        <v>0</v>
      </c>
      <c r="J68" s="1493">
        <f t="shared" si="25"/>
        <v>0</v>
      </c>
      <c r="K68" s="1494">
        <f t="shared" ref="K68:K70" si="26">SUM(C68:J68)</f>
        <v>0</v>
      </c>
    </row>
    <row r="69" spans="1:11">
      <c r="A69" s="22">
        <f t="shared" si="1"/>
        <v>62</v>
      </c>
      <c r="B69" s="1495" t="s">
        <v>4885</v>
      </c>
      <c r="C69" s="1496"/>
      <c r="D69" s="1496"/>
      <c r="E69" s="1496"/>
      <c r="F69" s="1496"/>
      <c r="G69" s="1496"/>
      <c r="H69" s="1496"/>
      <c r="I69" s="1496"/>
      <c r="J69" s="1496"/>
      <c r="K69" s="1494">
        <f t="shared" si="26"/>
        <v>0</v>
      </c>
    </row>
    <row r="70" spans="1:11">
      <c r="A70" s="22">
        <f t="shared" si="1"/>
        <v>63</v>
      </c>
      <c r="B70" s="1495" t="s">
        <v>3895</v>
      </c>
      <c r="C70" s="1496"/>
      <c r="D70" s="1496"/>
      <c r="E70" s="1496"/>
      <c r="F70" s="1496"/>
      <c r="G70" s="1496"/>
      <c r="H70" s="1496"/>
      <c r="I70" s="1496"/>
      <c r="J70" s="1496"/>
      <c r="K70" s="1494">
        <f t="shared" si="26"/>
        <v>0</v>
      </c>
    </row>
    <row r="71" spans="1:11">
      <c r="A71" s="22">
        <f t="shared" si="1"/>
        <v>64</v>
      </c>
      <c r="B71" s="1497"/>
      <c r="C71" s="1498"/>
      <c r="D71" s="1498"/>
      <c r="E71" s="1498"/>
      <c r="F71" s="1498"/>
      <c r="G71" s="1498"/>
      <c r="H71" s="1498"/>
      <c r="I71" s="1498"/>
      <c r="J71" s="1498"/>
      <c r="K71" s="1494"/>
    </row>
    <row r="72" spans="1:11" ht="15.5">
      <c r="A72" s="22">
        <f t="shared" si="1"/>
        <v>65</v>
      </c>
      <c r="B72" s="1624" t="s">
        <v>3904</v>
      </c>
      <c r="C72" s="1496"/>
      <c r="D72" s="1496"/>
      <c r="E72" s="1496"/>
      <c r="F72" s="1496"/>
      <c r="G72" s="1496"/>
      <c r="H72" s="1496"/>
      <c r="I72" s="1496"/>
      <c r="J72" s="1496"/>
      <c r="K72" s="1494">
        <f t="shared" ref="K72" si="27">SUM(C72:J72)</f>
        <v>0</v>
      </c>
    </row>
    <row r="73" spans="1:11">
      <c r="A73" s="22">
        <f t="shared" si="1"/>
        <v>66</v>
      </c>
      <c r="B73" s="1497"/>
      <c r="C73" s="1498"/>
      <c r="D73" s="1498"/>
      <c r="E73" s="1498"/>
      <c r="F73" s="1498"/>
      <c r="G73" s="1498"/>
      <c r="H73" s="1498"/>
      <c r="I73" s="1498"/>
      <c r="J73" s="1498"/>
      <c r="K73" s="1494"/>
    </row>
    <row r="74" spans="1:11" ht="15.5">
      <c r="A74" s="22">
        <f t="shared" si="1"/>
        <v>67</v>
      </c>
      <c r="B74" s="1624" t="s">
        <v>3905</v>
      </c>
      <c r="C74" s="1500"/>
      <c r="D74" s="1500"/>
      <c r="E74" s="1500"/>
      <c r="F74" s="1500"/>
      <c r="G74" s="1500"/>
      <c r="H74" s="1500"/>
      <c r="I74" s="1500"/>
      <c r="J74" s="1500"/>
      <c r="K74" s="1494"/>
    </row>
    <row r="75" spans="1:11">
      <c r="A75" s="22">
        <f t="shared" si="1"/>
        <v>68</v>
      </c>
      <c r="B75" s="1495" t="s">
        <v>4883</v>
      </c>
      <c r="C75" s="1501"/>
      <c r="D75" s="1501"/>
      <c r="E75" s="1501"/>
      <c r="F75" s="1501"/>
      <c r="G75" s="1501"/>
      <c r="H75" s="1501"/>
      <c r="I75" s="1501"/>
      <c r="J75" s="1501"/>
      <c r="K75" s="1494"/>
    </row>
    <row r="76" spans="1:11">
      <c r="A76" s="22">
        <f t="shared" si="1"/>
        <v>69</v>
      </c>
      <c r="B76" s="1495" t="s">
        <v>4884</v>
      </c>
      <c r="C76" s="1501"/>
      <c r="D76" s="1501"/>
      <c r="E76" s="1501"/>
      <c r="F76" s="1501"/>
      <c r="G76" s="1501"/>
      <c r="H76" s="1501"/>
      <c r="I76" s="1501"/>
      <c r="J76" s="1501"/>
      <c r="K76" s="1494"/>
    </row>
    <row r="77" spans="1:11">
      <c r="A77" s="22">
        <f t="shared" si="1"/>
        <v>70</v>
      </c>
      <c r="B77" s="1495" t="s">
        <v>3895</v>
      </c>
      <c r="C77" s="1501"/>
      <c r="D77" s="1501"/>
      <c r="E77" s="1501"/>
      <c r="F77" s="1501"/>
      <c r="G77" s="1501"/>
      <c r="H77" s="1501"/>
      <c r="I77" s="1501"/>
      <c r="J77" s="1501"/>
      <c r="K77" s="1494"/>
    </row>
    <row r="78" spans="1:11">
      <c r="A78" s="22">
        <f t="shared" si="1"/>
        <v>71</v>
      </c>
      <c r="B78" s="1497"/>
      <c r="C78" s="1500"/>
      <c r="D78" s="1500"/>
      <c r="E78" s="1500"/>
      <c r="F78" s="1500"/>
      <c r="G78" s="1500"/>
      <c r="H78" s="1500"/>
      <c r="I78" s="1500"/>
      <c r="J78" s="1500"/>
      <c r="K78" s="1494"/>
    </row>
    <row r="79" spans="1:11" ht="15.5">
      <c r="A79" s="22">
        <f t="shared" si="1"/>
        <v>72</v>
      </c>
      <c r="B79" s="1624" t="s">
        <v>3906</v>
      </c>
      <c r="C79" s="1501"/>
      <c r="D79" s="1501"/>
      <c r="E79" s="1501"/>
      <c r="F79" s="1501"/>
      <c r="G79" s="1501"/>
      <c r="H79" s="1501"/>
      <c r="I79" s="1501"/>
      <c r="J79" s="1501"/>
      <c r="K79" s="1494"/>
    </row>
    <row r="80" spans="1:11">
      <c r="A80" s="22">
        <f t="shared" si="1"/>
        <v>73</v>
      </c>
      <c r="B80" s="1497"/>
      <c r="C80" s="1500"/>
      <c r="D80" s="1500"/>
      <c r="E80" s="1500"/>
      <c r="F80" s="1500"/>
      <c r="G80" s="1500"/>
      <c r="H80" s="1500"/>
      <c r="I80" s="1500"/>
      <c r="J80" s="1500"/>
      <c r="K80" s="1494"/>
    </row>
    <row r="81" spans="1:13" ht="15.5">
      <c r="A81" s="22">
        <f t="shared" si="1"/>
        <v>74</v>
      </c>
      <c r="B81" s="1624" t="s">
        <v>4889</v>
      </c>
      <c r="C81" s="1501"/>
      <c r="D81" s="1501"/>
      <c r="E81" s="1501"/>
      <c r="F81" s="1501"/>
      <c r="G81" s="1501"/>
      <c r="H81" s="1501"/>
      <c r="I81" s="1501"/>
      <c r="J81" s="1501"/>
      <c r="K81" s="1494"/>
    </row>
    <row r="82" spans="1:13">
      <c r="A82" s="22">
        <f t="shared" si="1"/>
        <v>75</v>
      </c>
      <c r="B82" s="1495" t="s">
        <v>3896</v>
      </c>
      <c r="C82" s="1501"/>
      <c r="D82" s="1501"/>
      <c r="E82" s="1501"/>
      <c r="F82" s="1501"/>
      <c r="G82" s="1501"/>
      <c r="H82" s="1501"/>
      <c r="I82" s="1501"/>
      <c r="J82" s="1501"/>
      <c r="K82" s="1494"/>
    </row>
    <row r="83" spans="1:13">
      <c r="A83" s="22">
        <f t="shared" ref="A83:A93" si="28">ROW()-7</f>
        <v>76</v>
      </c>
      <c r="B83" s="1495" t="s">
        <v>3897</v>
      </c>
      <c r="C83" s="1501"/>
      <c r="D83" s="1501"/>
      <c r="E83" s="1501"/>
      <c r="F83" s="1501"/>
      <c r="G83" s="1501"/>
      <c r="H83" s="1501"/>
      <c r="I83" s="1501"/>
      <c r="J83" s="1501"/>
      <c r="K83" s="1494"/>
    </row>
    <row r="84" spans="1:13">
      <c r="A84" s="22">
        <f t="shared" si="28"/>
        <v>77</v>
      </c>
      <c r="B84" s="1495" t="s">
        <v>3898</v>
      </c>
      <c r="C84" s="1501"/>
      <c r="D84" s="1501"/>
      <c r="E84" s="1501"/>
      <c r="F84" s="1501"/>
      <c r="G84" s="1501"/>
      <c r="H84" s="1501"/>
      <c r="I84" s="1501"/>
      <c r="J84" s="1501"/>
      <c r="K84" s="1494"/>
    </row>
    <row r="85" spans="1:13">
      <c r="A85" s="22">
        <f t="shared" si="28"/>
        <v>78</v>
      </c>
      <c r="B85" s="1495" t="s">
        <v>4890</v>
      </c>
      <c r="C85" s="1501"/>
      <c r="D85" s="1501"/>
      <c r="E85" s="1501"/>
      <c r="F85" s="1501"/>
      <c r="G85" s="1501"/>
      <c r="H85" s="1501"/>
      <c r="I85" s="1501"/>
      <c r="J85" s="1501"/>
      <c r="K85" s="1494"/>
    </row>
    <row r="86" spans="1:13">
      <c r="A86" s="22">
        <f t="shared" si="28"/>
        <v>79</v>
      </c>
      <c r="B86" s="1495" t="s">
        <v>4891</v>
      </c>
      <c r="C86" s="1501"/>
      <c r="D86" s="1501"/>
      <c r="E86" s="1501"/>
      <c r="F86" s="1501"/>
      <c r="G86" s="1501"/>
      <c r="H86" s="1501"/>
      <c r="I86" s="1501"/>
      <c r="J86" s="1501"/>
      <c r="K86" s="1494"/>
    </row>
    <row r="87" spans="1:13">
      <c r="A87" s="22">
        <f t="shared" si="28"/>
        <v>80</v>
      </c>
      <c r="B87" s="1495" t="s">
        <v>4892</v>
      </c>
      <c r="C87" s="1501"/>
      <c r="D87" s="1501"/>
      <c r="E87" s="1501"/>
      <c r="F87" s="1501"/>
      <c r="G87" s="1501"/>
      <c r="H87" s="1501"/>
      <c r="I87" s="1501"/>
      <c r="J87" s="1501"/>
      <c r="K87" s="1494"/>
      <c r="L87" s="1623"/>
      <c r="M87" s="1623"/>
    </row>
    <row r="88" spans="1:13">
      <c r="A88" s="22">
        <f t="shared" si="28"/>
        <v>81</v>
      </c>
      <c r="B88" s="1497"/>
      <c r="C88" s="1500"/>
      <c r="D88" s="1500"/>
      <c r="E88" s="1500"/>
      <c r="F88" s="1500"/>
      <c r="G88" s="1500"/>
      <c r="H88" s="1500"/>
      <c r="I88" s="1500"/>
      <c r="J88" s="1500"/>
      <c r="K88" s="1494"/>
      <c r="L88" s="1623"/>
      <c r="M88" s="1623"/>
    </row>
    <row r="89" spans="1:13" ht="15.5">
      <c r="A89" s="22">
        <f t="shared" si="28"/>
        <v>82</v>
      </c>
      <c r="B89" s="1624" t="s">
        <v>3907</v>
      </c>
      <c r="C89" s="1500"/>
      <c r="D89" s="1500"/>
      <c r="E89" s="1500"/>
      <c r="F89" s="1500"/>
      <c r="G89" s="1500"/>
      <c r="H89" s="1500"/>
      <c r="I89" s="1500"/>
      <c r="J89" s="1500"/>
      <c r="K89" s="1494"/>
      <c r="L89" s="1623"/>
      <c r="M89" s="1623"/>
    </row>
    <row r="90" spans="1:13">
      <c r="A90" s="22">
        <f t="shared" si="28"/>
        <v>83</v>
      </c>
      <c r="B90" s="1495" t="s">
        <v>3899</v>
      </c>
      <c r="C90" s="1501"/>
      <c r="D90" s="1501"/>
      <c r="E90" s="1501"/>
      <c r="F90" s="1501"/>
      <c r="G90" s="1501"/>
      <c r="H90" s="1501"/>
      <c r="I90" s="1501"/>
      <c r="J90" s="1501"/>
      <c r="K90" s="1494"/>
      <c r="L90" s="1623"/>
      <c r="M90" s="1623"/>
    </row>
    <row r="91" spans="1:13">
      <c r="A91" s="22">
        <f t="shared" si="28"/>
        <v>84</v>
      </c>
      <c r="B91" s="1495" t="s">
        <v>4925</v>
      </c>
      <c r="C91" s="1501"/>
      <c r="D91" s="1501"/>
      <c r="E91" s="1501"/>
      <c r="F91" s="1501"/>
      <c r="G91" s="1501"/>
      <c r="H91" s="1501"/>
      <c r="I91" s="1501"/>
      <c r="J91" s="1501"/>
      <c r="K91" s="1494"/>
      <c r="L91" s="1623"/>
      <c r="M91" s="1623"/>
    </row>
    <row r="92" spans="1:13" ht="39" customHeight="1">
      <c r="A92" s="1625">
        <f t="shared" si="28"/>
        <v>85</v>
      </c>
      <c r="B92" s="1626" t="s">
        <v>4917</v>
      </c>
      <c r="C92" s="1501"/>
      <c r="D92" s="1501"/>
      <c r="E92" s="1501"/>
      <c r="F92" s="1501"/>
      <c r="G92" s="1501"/>
      <c r="H92" s="1501"/>
      <c r="I92" s="1501"/>
      <c r="J92" s="1501"/>
      <c r="K92" s="1494"/>
      <c r="L92" s="1623"/>
      <c r="M92" s="1623"/>
    </row>
    <row r="93" spans="1:13">
      <c r="A93" s="1625">
        <f t="shared" si="28"/>
        <v>86</v>
      </c>
      <c r="B93" s="1495" t="s">
        <v>4916</v>
      </c>
      <c r="C93" s="1501"/>
      <c r="D93" s="1501"/>
      <c r="E93" s="1501"/>
      <c r="F93" s="1501"/>
      <c r="G93" s="1501"/>
      <c r="H93" s="1501"/>
      <c r="I93" s="1501"/>
      <c r="J93" s="1501"/>
      <c r="K93" s="1494"/>
      <c r="L93" s="1623"/>
      <c r="M93" s="1623"/>
    </row>
    <row r="94" spans="1:13" ht="42" customHeight="1">
      <c r="L94" s="1623"/>
      <c r="M94" s="1623"/>
    </row>
    <row r="95" spans="1:13">
      <c r="B95" s="1623"/>
      <c r="C95" s="1623"/>
      <c r="D95" s="1623"/>
      <c r="E95" s="1623"/>
      <c r="F95" s="1623"/>
      <c r="G95" s="1623"/>
      <c r="H95" s="1623"/>
      <c r="I95" s="1623"/>
      <c r="J95" s="1623"/>
      <c r="K95" s="1623"/>
      <c r="L95" s="1623"/>
      <c r="M95" s="1623"/>
    </row>
    <row r="96" spans="1:13">
      <c r="B96" s="1623"/>
      <c r="C96" s="1623"/>
      <c r="D96" s="1623"/>
      <c r="E96" s="1623"/>
      <c r="F96" s="1623"/>
      <c r="G96" s="1623"/>
      <c r="H96" s="1623"/>
      <c r="I96" s="1623"/>
      <c r="J96" s="1623"/>
      <c r="K96" s="1623"/>
      <c r="L96" s="1623"/>
      <c r="M96" s="1623"/>
    </row>
    <row r="97" spans="2:13" ht="25.5" customHeight="1">
      <c r="B97" s="1623"/>
      <c r="C97" s="1623"/>
      <c r="D97" s="1623"/>
      <c r="E97" s="1623"/>
      <c r="F97" s="1623"/>
      <c r="G97" s="1623"/>
      <c r="H97" s="1623"/>
      <c r="I97" s="1623"/>
      <c r="J97" s="1623"/>
      <c r="K97" s="1623"/>
      <c r="L97" s="1623"/>
      <c r="M97" s="1623"/>
    </row>
    <row r="98" spans="2:13">
      <c r="B98" s="1623"/>
      <c r="C98" s="1623"/>
      <c r="D98" s="1623"/>
      <c r="E98" s="1623"/>
      <c r="F98" s="1623"/>
      <c r="G98" s="1623"/>
      <c r="H98" s="1623"/>
      <c r="I98" s="1623"/>
      <c r="J98" s="1623"/>
      <c r="K98" s="1623"/>
      <c r="L98" s="1623"/>
      <c r="M98" s="1623"/>
    </row>
  </sheetData>
  <sheetProtection password="D22D" sheet="1" objects="1" scenarios="1" formatCells="0" formatColumns="0" formatRows="0" autoFilter="0"/>
  <mergeCells count="10">
    <mergeCell ref="K5:K6"/>
    <mergeCell ref="G3:J3"/>
    <mergeCell ref="D4:E4"/>
    <mergeCell ref="C5:C6"/>
    <mergeCell ref="D5:E5"/>
    <mergeCell ref="F5:F6"/>
    <mergeCell ref="G5:G6"/>
    <mergeCell ref="J5:J6"/>
    <mergeCell ref="H5:H6"/>
    <mergeCell ref="I5:I6"/>
  </mergeCells>
  <hyperlinks>
    <hyperlink ref="D1" location="Information!A1" display="חזרה"/>
    <hyperlink ref="G4" location="Dir1A!A1" display="Dir1A!A1"/>
    <hyperlink ref="J4" location="Dir1B!A1" display="Dir1B!A1"/>
  </hyperlinks>
  <pageMargins left="0" right="0" top="0" bottom="0.35433070866141736" header="0" footer="0.11811023622047245"/>
  <pageSetup paperSize="9" scale="70" orientation="portrait" verticalDpi="0" r:id="rId1"/>
  <headerFooter>
    <oddFooter>&amp;L&amp;Z&amp;F&amp;A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00B0F0"/>
    <pageSetUpPr fitToPage="1"/>
  </sheetPr>
  <dimension ref="A1:M103"/>
  <sheetViews>
    <sheetView rightToLeft="1" workbookViewId="0">
      <selection activeCell="C9" sqref="C9"/>
    </sheetView>
  </sheetViews>
  <sheetFormatPr defaultColWidth="9.1796875" defaultRowHeight="13"/>
  <cols>
    <col min="1" max="1" width="9.1796875" style="22"/>
    <col min="2" max="2" width="40.1796875" style="22" customWidth="1"/>
    <col min="3" max="3" width="13.1796875" style="22" customWidth="1"/>
    <col min="4" max="5" width="9.1796875" style="22"/>
    <col min="6" max="6" width="13.81640625" style="22" customWidth="1"/>
    <col min="7" max="8" width="9.54296875" style="22" customWidth="1"/>
    <col min="9" max="9" width="13.54296875" style="22" customWidth="1"/>
    <col min="10" max="16384" width="9.1796875" style="22"/>
  </cols>
  <sheetData>
    <row r="1" spans="1:11" s="1487" customFormat="1" ht="18" customHeight="1">
      <c r="B1" s="1502" t="str">
        <f>company</f>
        <v>_____חברה מנהלת</v>
      </c>
      <c r="C1" s="1488"/>
      <c r="D1" s="642" t="s">
        <v>263</v>
      </c>
    </row>
    <row r="2" spans="1:11" ht="3.75" customHeight="1">
      <c r="B2" s="23"/>
      <c r="C2" s="503"/>
    </row>
    <row r="3" spans="1:11" ht="15.5">
      <c r="B3" s="506" t="s">
        <v>4562</v>
      </c>
      <c r="C3" s="503"/>
      <c r="D3" s="503"/>
      <c r="G3" s="1863" t="s">
        <v>4561</v>
      </c>
      <c r="H3" s="1863"/>
      <c r="I3" s="1863"/>
      <c r="J3" s="1863"/>
    </row>
    <row r="4" spans="1:11" ht="18">
      <c r="B4" s="507" t="str">
        <f>Information!$C$53</f>
        <v>ד1. נתונים כללים</v>
      </c>
      <c r="C4" s="503"/>
      <c r="D4" s="1864" t="str">
        <f>IF(Information!$P$3=4,Date3,Date2)</f>
        <v>31.12.2020</v>
      </c>
      <c r="E4" s="1864"/>
      <c r="G4" s="1531" t="str">
        <f>Dir1A!D4</f>
        <v>31.12.2021</v>
      </c>
      <c r="H4" s="1531"/>
      <c r="I4" s="1531"/>
      <c r="J4" s="1531" t="str">
        <f>Dir1C!D4</f>
        <v>31.12.2019</v>
      </c>
    </row>
    <row r="5" spans="1:11" ht="21" customHeight="1">
      <c r="A5" s="22" t="s">
        <v>4552</v>
      </c>
      <c r="B5" s="1489"/>
      <c r="C5" s="1872" t="s">
        <v>772</v>
      </c>
      <c r="D5" s="1874" t="s">
        <v>314</v>
      </c>
      <c r="E5" s="1875"/>
      <c r="F5" s="1876" t="s">
        <v>3883</v>
      </c>
      <c r="G5" s="1860" t="s">
        <v>375</v>
      </c>
      <c r="H5" s="1860" t="s">
        <v>4581</v>
      </c>
      <c r="I5" s="1860" t="s">
        <v>4582</v>
      </c>
      <c r="J5" s="1872" t="s">
        <v>3908</v>
      </c>
      <c r="K5" s="1870" t="s">
        <v>1271</v>
      </c>
    </row>
    <row r="6" spans="1:11" ht="42.65" customHeight="1">
      <c r="B6" s="853"/>
      <c r="C6" s="1873"/>
      <c r="D6" s="1622" t="s">
        <v>3884</v>
      </c>
      <c r="E6" s="1622" t="s">
        <v>3885</v>
      </c>
      <c r="F6" s="1877"/>
      <c r="G6" s="1878"/>
      <c r="H6" s="1878"/>
      <c r="I6" s="1878"/>
      <c r="J6" s="1873"/>
      <c r="K6" s="1871"/>
    </row>
    <row r="7" spans="1:11">
      <c r="B7" s="1490"/>
      <c r="C7" s="1491" t="s">
        <v>29</v>
      </c>
      <c r="D7" s="1491" t="s">
        <v>41</v>
      </c>
      <c r="E7" s="1491" t="s">
        <v>63</v>
      </c>
      <c r="F7" s="1491" t="s">
        <v>65</v>
      </c>
      <c r="G7" s="1491" t="s">
        <v>86</v>
      </c>
      <c r="H7" s="1491" t="s">
        <v>88</v>
      </c>
      <c r="I7" s="1491" t="s">
        <v>195</v>
      </c>
      <c r="J7" s="1491" t="s">
        <v>197</v>
      </c>
      <c r="K7" s="1491" t="s">
        <v>199</v>
      </c>
    </row>
    <row r="8" spans="1:11" ht="15.5">
      <c r="A8" s="1525">
        <f>ROW()-7</f>
        <v>1</v>
      </c>
      <c r="B8" s="1624" t="s">
        <v>4919</v>
      </c>
      <c r="C8" s="1493">
        <f>SUM(C9:C10)</f>
        <v>0</v>
      </c>
      <c r="D8" s="1493">
        <f t="shared" ref="D8:J8" si="0">SUM(D9:D10)</f>
        <v>0</v>
      </c>
      <c r="E8" s="1493">
        <f t="shared" si="0"/>
        <v>0</v>
      </c>
      <c r="F8" s="1493">
        <f t="shared" si="0"/>
        <v>0</v>
      </c>
      <c r="G8" s="1493">
        <f t="shared" si="0"/>
        <v>0</v>
      </c>
      <c r="H8" s="1493">
        <f t="shared" si="0"/>
        <v>0</v>
      </c>
      <c r="I8" s="1493">
        <f t="shared" si="0"/>
        <v>0</v>
      </c>
      <c r="J8" s="1493">
        <f t="shared" si="0"/>
        <v>0</v>
      </c>
      <c r="K8" s="1494">
        <f>SUM(C8:J8)</f>
        <v>0</v>
      </c>
    </row>
    <row r="9" spans="1:11" ht="15.5">
      <c r="A9" s="22">
        <f t="shared" ref="A9:A82" si="1">ROW()-7</f>
        <v>2</v>
      </c>
      <c r="B9" s="1524" t="s">
        <v>4883</v>
      </c>
      <c r="C9" s="1496"/>
      <c r="D9" s="1496"/>
      <c r="E9" s="1496"/>
      <c r="F9" s="1496"/>
      <c r="G9" s="1496"/>
      <c r="H9" s="1496"/>
      <c r="I9" s="1496"/>
      <c r="J9" s="1496"/>
      <c r="K9" s="1494">
        <f t="shared" ref="K9:K23" si="2">SUM(C9:J9)</f>
        <v>0</v>
      </c>
    </row>
    <row r="10" spans="1:11" ht="15.5">
      <c r="A10" s="22">
        <f t="shared" si="1"/>
        <v>3</v>
      </c>
      <c r="B10" s="1524" t="s">
        <v>4884</v>
      </c>
      <c r="C10" s="1496"/>
      <c r="D10" s="1496"/>
      <c r="E10" s="1496"/>
      <c r="F10" s="1496"/>
      <c r="G10" s="1496"/>
      <c r="H10" s="1496"/>
      <c r="I10" s="1496"/>
      <c r="J10" s="1496"/>
      <c r="K10" s="1494">
        <f t="shared" si="2"/>
        <v>0</v>
      </c>
    </row>
    <row r="11" spans="1:11" ht="15.5">
      <c r="A11" s="22">
        <f t="shared" si="1"/>
        <v>4</v>
      </c>
      <c r="B11" s="1524" t="s">
        <v>3895</v>
      </c>
      <c r="C11" s="1493">
        <f>SUM(C12,C16,C20)</f>
        <v>0</v>
      </c>
      <c r="D11" s="1493">
        <f t="shared" ref="D11:K11" si="3">SUM(D12,D16,D20)</f>
        <v>0</v>
      </c>
      <c r="E11" s="1493">
        <f t="shared" si="3"/>
        <v>0</v>
      </c>
      <c r="F11" s="1493">
        <f t="shared" si="3"/>
        <v>0</v>
      </c>
      <c r="G11" s="1493">
        <f t="shared" si="3"/>
        <v>0</v>
      </c>
      <c r="H11" s="1493">
        <f t="shared" si="3"/>
        <v>0</v>
      </c>
      <c r="I11" s="1493">
        <f t="shared" si="3"/>
        <v>0</v>
      </c>
      <c r="J11" s="1493">
        <f t="shared" si="3"/>
        <v>0</v>
      </c>
      <c r="K11" s="1493">
        <f t="shared" si="3"/>
        <v>0</v>
      </c>
    </row>
    <row r="12" spans="1:11" ht="15.5">
      <c r="A12" s="22">
        <f t="shared" si="1"/>
        <v>5</v>
      </c>
      <c r="B12" s="1523" t="s">
        <v>4918</v>
      </c>
      <c r="C12" s="1493">
        <f>SUM(C13:C15)</f>
        <v>0</v>
      </c>
      <c r="D12" s="1493">
        <f t="shared" ref="D12:J12" si="4">SUM(D13:D15)</f>
        <v>0</v>
      </c>
      <c r="E12" s="1493">
        <f t="shared" si="4"/>
        <v>0</v>
      </c>
      <c r="F12" s="1493">
        <f t="shared" si="4"/>
        <v>0</v>
      </c>
      <c r="G12" s="1493">
        <f t="shared" si="4"/>
        <v>0</v>
      </c>
      <c r="H12" s="1493">
        <f t="shared" si="4"/>
        <v>0</v>
      </c>
      <c r="I12" s="1493">
        <f t="shared" si="4"/>
        <v>0</v>
      </c>
      <c r="J12" s="1493">
        <f t="shared" si="4"/>
        <v>0</v>
      </c>
      <c r="K12" s="1494">
        <f t="shared" si="2"/>
        <v>0</v>
      </c>
    </row>
    <row r="13" spans="1:11" ht="15.5">
      <c r="A13" s="22">
        <f t="shared" si="1"/>
        <v>6</v>
      </c>
      <c r="B13" s="1522" t="s">
        <v>3886</v>
      </c>
      <c r="C13" s="1496"/>
      <c r="D13" s="1496"/>
      <c r="E13" s="1496"/>
      <c r="F13" s="1496"/>
      <c r="G13" s="1496"/>
      <c r="H13" s="1496"/>
      <c r="I13" s="1496"/>
      <c r="J13" s="1496"/>
      <c r="K13" s="1494">
        <f t="shared" si="2"/>
        <v>0</v>
      </c>
    </row>
    <row r="14" spans="1:11" ht="15.5">
      <c r="A14" s="22">
        <f t="shared" si="1"/>
        <v>7</v>
      </c>
      <c r="B14" s="1522" t="s">
        <v>3887</v>
      </c>
      <c r="C14" s="1496"/>
      <c r="D14" s="1496"/>
      <c r="E14" s="1496"/>
      <c r="F14" s="1496"/>
      <c r="G14" s="1496"/>
      <c r="H14" s="1496"/>
      <c r="I14" s="1496"/>
      <c r="J14" s="1496"/>
      <c r="K14" s="1494">
        <f t="shared" si="2"/>
        <v>0</v>
      </c>
    </row>
    <row r="15" spans="1:11" ht="15.5">
      <c r="A15" s="22">
        <f t="shared" si="1"/>
        <v>8</v>
      </c>
      <c r="B15" s="1522" t="s">
        <v>3888</v>
      </c>
      <c r="C15" s="1496"/>
      <c r="D15" s="1496"/>
      <c r="E15" s="1496"/>
      <c r="F15" s="1496"/>
      <c r="G15" s="1496"/>
      <c r="H15" s="1496"/>
      <c r="I15" s="1496"/>
      <c r="J15" s="1496"/>
      <c r="K15" s="1494">
        <f t="shared" si="2"/>
        <v>0</v>
      </c>
    </row>
    <row r="16" spans="1:11" ht="15.5">
      <c r="A16" s="1525">
        <f>A15+1</f>
        <v>9</v>
      </c>
      <c r="B16" s="1523" t="s">
        <v>4917</v>
      </c>
      <c r="C16" s="1493">
        <f>SUM(C17:C19)</f>
        <v>0</v>
      </c>
      <c r="D16" s="1493">
        <f t="shared" ref="D16:J16" si="5">SUM(D17:D19)</f>
        <v>0</v>
      </c>
      <c r="E16" s="1493">
        <f t="shared" si="5"/>
        <v>0</v>
      </c>
      <c r="F16" s="1493">
        <f t="shared" si="5"/>
        <v>0</v>
      </c>
      <c r="G16" s="1493">
        <f t="shared" si="5"/>
        <v>0</v>
      </c>
      <c r="H16" s="1493">
        <f t="shared" si="5"/>
        <v>0</v>
      </c>
      <c r="I16" s="1493">
        <f t="shared" si="5"/>
        <v>0</v>
      </c>
      <c r="J16" s="1493">
        <f t="shared" si="5"/>
        <v>0</v>
      </c>
      <c r="K16" s="1494">
        <f t="shared" si="2"/>
        <v>0</v>
      </c>
    </row>
    <row r="17" spans="1:11" ht="15.5">
      <c r="A17" s="1525">
        <f t="shared" si="1"/>
        <v>10</v>
      </c>
      <c r="B17" s="1522" t="s">
        <v>3886</v>
      </c>
      <c r="C17" s="1496"/>
      <c r="D17" s="1496"/>
      <c r="E17" s="1496"/>
      <c r="F17" s="1496"/>
      <c r="G17" s="1496"/>
      <c r="H17" s="1496"/>
      <c r="I17" s="1496"/>
      <c r="J17" s="1496"/>
      <c r="K17" s="1494">
        <f t="shared" si="2"/>
        <v>0</v>
      </c>
    </row>
    <row r="18" spans="1:11" ht="15.5">
      <c r="A18" s="1525">
        <f t="shared" si="1"/>
        <v>11</v>
      </c>
      <c r="B18" s="1522" t="s">
        <v>3887</v>
      </c>
      <c r="C18" s="1496"/>
      <c r="D18" s="1496"/>
      <c r="E18" s="1496"/>
      <c r="F18" s="1496"/>
      <c r="G18" s="1496"/>
      <c r="H18" s="1496"/>
      <c r="I18" s="1496"/>
      <c r="J18" s="1496"/>
      <c r="K18" s="1494">
        <f t="shared" si="2"/>
        <v>0</v>
      </c>
    </row>
    <row r="19" spans="1:11" ht="15.5">
      <c r="A19" s="1525">
        <f t="shared" si="1"/>
        <v>12</v>
      </c>
      <c r="B19" s="1522" t="s">
        <v>3888</v>
      </c>
      <c r="C19" s="1496"/>
      <c r="D19" s="1496"/>
      <c r="E19" s="1496"/>
      <c r="F19" s="1496"/>
      <c r="G19" s="1496"/>
      <c r="H19" s="1496"/>
      <c r="I19" s="1496"/>
      <c r="J19" s="1496"/>
      <c r="K19" s="1494">
        <f t="shared" si="2"/>
        <v>0</v>
      </c>
    </row>
    <row r="20" spans="1:11" ht="15.5">
      <c r="A20" s="1525">
        <f t="shared" si="1"/>
        <v>13</v>
      </c>
      <c r="B20" s="1523" t="s">
        <v>4916</v>
      </c>
      <c r="C20" s="1493">
        <f>SUM(C21:C23)</f>
        <v>0</v>
      </c>
      <c r="D20" s="1493">
        <f t="shared" ref="D20:J20" si="6">SUM(D21:D23)</f>
        <v>0</v>
      </c>
      <c r="E20" s="1493">
        <f t="shared" si="6"/>
        <v>0</v>
      </c>
      <c r="F20" s="1493">
        <f t="shared" si="6"/>
        <v>0</v>
      </c>
      <c r="G20" s="1493">
        <f t="shared" si="6"/>
        <v>0</v>
      </c>
      <c r="H20" s="1493">
        <f t="shared" si="6"/>
        <v>0</v>
      </c>
      <c r="I20" s="1493">
        <f t="shared" si="6"/>
        <v>0</v>
      </c>
      <c r="J20" s="1493">
        <f t="shared" si="6"/>
        <v>0</v>
      </c>
      <c r="K20" s="1494">
        <f t="shared" si="2"/>
        <v>0</v>
      </c>
    </row>
    <row r="21" spans="1:11" ht="15.5">
      <c r="A21" s="1525">
        <f t="shared" si="1"/>
        <v>14</v>
      </c>
      <c r="B21" s="1522" t="s">
        <v>3886</v>
      </c>
      <c r="C21" s="1496"/>
      <c r="D21" s="1496"/>
      <c r="E21" s="1496"/>
      <c r="F21" s="1496"/>
      <c r="G21" s="1496"/>
      <c r="H21" s="1496"/>
      <c r="I21" s="1496"/>
      <c r="J21" s="1496"/>
      <c r="K21" s="1494">
        <f t="shared" si="2"/>
        <v>0</v>
      </c>
    </row>
    <row r="22" spans="1:11" ht="15.5">
      <c r="A22" s="1525">
        <f t="shared" si="1"/>
        <v>15</v>
      </c>
      <c r="B22" s="1522" t="s">
        <v>3887</v>
      </c>
      <c r="C22" s="1496"/>
      <c r="D22" s="1496"/>
      <c r="E22" s="1496"/>
      <c r="F22" s="1496"/>
      <c r="G22" s="1496"/>
      <c r="H22" s="1496"/>
      <c r="I22" s="1496"/>
      <c r="J22" s="1496"/>
      <c r="K22" s="1494">
        <f t="shared" si="2"/>
        <v>0</v>
      </c>
    </row>
    <row r="23" spans="1:11" ht="15.5">
      <c r="A23" s="1525">
        <f t="shared" si="1"/>
        <v>16</v>
      </c>
      <c r="B23" s="1522" t="s">
        <v>3888</v>
      </c>
      <c r="C23" s="1496"/>
      <c r="D23" s="1496"/>
      <c r="E23" s="1496"/>
      <c r="F23" s="1496"/>
      <c r="G23" s="1496"/>
      <c r="H23" s="1496"/>
      <c r="I23" s="1496"/>
      <c r="J23" s="1496"/>
      <c r="K23" s="1494">
        <f t="shared" si="2"/>
        <v>0</v>
      </c>
    </row>
    <row r="24" spans="1:11" ht="15.5">
      <c r="A24" s="22">
        <f t="shared" si="1"/>
        <v>17</v>
      </c>
      <c r="B24" s="1492" t="s">
        <v>5007</v>
      </c>
      <c r="C24" s="1493">
        <f>SUM(C8,C12,C16,C20)</f>
        <v>0</v>
      </c>
      <c r="D24" s="1493">
        <f t="shared" ref="D24:K24" si="7">SUM(D8,D12,D16,D20)</f>
        <v>0</v>
      </c>
      <c r="E24" s="1493">
        <f t="shared" si="7"/>
        <v>0</v>
      </c>
      <c r="F24" s="1493">
        <f t="shared" si="7"/>
        <v>0</v>
      </c>
      <c r="G24" s="1493">
        <f t="shared" si="7"/>
        <v>0</v>
      </c>
      <c r="H24" s="1493">
        <f t="shared" si="7"/>
        <v>0</v>
      </c>
      <c r="I24" s="1493">
        <f t="shared" si="7"/>
        <v>0</v>
      </c>
      <c r="J24" s="1493">
        <f t="shared" si="7"/>
        <v>0</v>
      </c>
      <c r="K24" s="1493">
        <f t="shared" si="7"/>
        <v>0</v>
      </c>
    </row>
    <row r="25" spans="1:11">
      <c r="A25" s="22">
        <f t="shared" si="1"/>
        <v>18</v>
      </c>
      <c r="B25" s="1497"/>
      <c r="C25" s="1498"/>
      <c r="D25" s="1498"/>
      <c r="E25" s="1498"/>
      <c r="F25" s="1498"/>
      <c r="G25" s="1498"/>
      <c r="H25" s="1498"/>
      <c r="I25" s="1498"/>
      <c r="J25" s="1498"/>
      <c r="K25" s="1494"/>
    </row>
    <row r="26" spans="1:11" ht="12.75" customHeight="1">
      <c r="A26" s="22">
        <f t="shared" si="1"/>
        <v>19</v>
      </c>
      <c r="B26" s="1624" t="s">
        <v>4886</v>
      </c>
      <c r="C26" s="1493">
        <f>SUM(C27:C28)</f>
        <v>0</v>
      </c>
      <c r="D26" s="1493">
        <f t="shared" ref="D26:J26" si="8">SUM(D27:D28)</f>
        <v>0</v>
      </c>
      <c r="E26" s="1493">
        <f t="shared" si="8"/>
        <v>0</v>
      </c>
      <c r="F26" s="1493">
        <f t="shared" si="8"/>
        <v>0</v>
      </c>
      <c r="G26" s="1493">
        <f t="shared" si="8"/>
        <v>0</v>
      </c>
      <c r="H26" s="1493">
        <f t="shared" si="8"/>
        <v>0</v>
      </c>
      <c r="I26" s="1493">
        <f t="shared" si="8"/>
        <v>0</v>
      </c>
      <c r="J26" s="1493">
        <f t="shared" si="8"/>
        <v>0</v>
      </c>
      <c r="K26" s="1494">
        <f>SUM(C26:J26)</f>
        <v>0</v>
      </c>
    </row>
    <row r="27" spans="1:11" ht="15.5">
      <c r="A27" s="22">
        <f t="shared" si="1"/>
        <v>20</v>
      </c>
      <c r="B27" s="1524" t="s">
        <v>4883</v>
      </c>
      <c r="C27" s="1496"/>
      <c r="D27" s="1496"/>
      <c r="E27" s="1496"/>
      <c r="F27" s="1496"/>
      <c r="G27" s="1496"/>
      <c r="H27" s="1496"/>
      <c r="I27" s="1496"/>
      <c r="J27" s="1496"/>
      <c r="K27" s="1494">
        <f t="shared" ref="K27:K41" si="9">SUM(C27:J27)</f>
        <v>0</v>
      </c>
    </row>
    <row r="28" spans="1:11" ht="15.5">
      <c r="A28" s="22">
        <f t="shared" si="1"/>
        <v>21</v>
      </c>
      <c r="B28" s="1524" t="s">
        <v>4884</v>
      </c>
      <c r="C28" s="1496"/>
      <c r="D28" s="1496"/>
      <c r="E28" s="1496"/>
      <c r="F28" s="1496"/>
      <c r="G28" s="1496"/>
      <c r="H28" s="1496"/>
      <c r="I28" s="1496"/>
      <c r="J28" s="1496"/>
      <c r="K28" s="1494">
        <f t="shared" si="9"/>
        <v>0</v>
      </c>
    </row>
    <row r="29" spans="1:11" ht="15.5">
      <c r="A29" s="22">
        <f t="shared" si="1"/>
        <v>22</v>
      </c>
      <c r="B29" s="1524" t="s">
        <v>3895</v>
      </c>
      <c r="C29" s="1493">
        <f>SUM(C30,C38,C34)</f>
        <v>0</v>
      </c>
      <c r="D29" s="1493">
        <f t="shared" ref="D29:K29" si="10">SUM(D30,D38,D34)</f>
        <v>0</v>
      </c>
      <c r="E29" s="1493">
        <f t="shared" si="10"/>
        <v>0</v>
      </c>
      <c r="F29" s="1493">
        <f t="shared" si="10"/>
        <v>0</v>
      </c>
      <c r="G29" s="1493">
        <f t="shared" si="10"/>
        <v>0</v>
      </c>
      <c r="H29" s="1493">
        <f t="shared" si="10"/>
        <v>0</v>
      </c>
      <c r="I29" s="1493">
        <f t="shared" si="10"/>
        <v>0</v>
      </c>
      <c r="J29" s="1493">
        <f t="shared" si="10"/>
        <v>0</v>
      </c>
      <c r="K29" s="1493">
        <f t="shared" si="10"/>
        <v>0</v>
      </c>
    </row>
    <row r="30" spans="1:11" ht="15.5">
      <c r="A30" s="22">
        <f t="shared" si="1"/>
        <v>23</v>
      </c>
      <c r="B30" s="1629" t="s">
        <v>4918</v>
      </c>
      <c r="C30" s="1493">
        <f>SUM(C31:C33)</f>
        <v>0</v>
      </c>
      <c r="D30" s="1493">
        <f t="shared" ref="D30:J30" si="11">SUM(D31:D33)</f>
        <v>0</v>
      </c>
      <c r="E30" s="1493">
        <f t="shared" si="11"/>
        <v>0</v>
      </c>
      <c r="F30" s="1493">
        <f t="shared" si="11"/>
        <v>0</v>
      </c>
      <c r="G30" s="1493">
        <f t="shared" si="11"/>
        <v>0</v>
      </c>
      <c r="H30" s="1493">
        <f t="shared" si="11"/>
        <v>0</v>
      </c>
      <c r="I30" s="1493">
        <f t="shared" si="11"/>
        <v>0</v>
      </c>
      <c r="J30" s="1493">
        <f t="shared" si="11"/>
        <v>0</v>
      </c>
      <c r="K30" s="1494">
        <f t="shared" si="9"/>
        <v>0</v>
      </c>
    </row>
    <row r="31" spans="1:11" ht="15.5">
      <c r="A31" s="22">
        <f t="shared" si="1"/>
        <v>24</v>
      </c>
      <c r="B31" s="1522" t="s">
        <v>3886</v>
      </c>
      <c r="C31" s="1496"/>
      <c r="D31" s="1496"/>
      <c r="E31" s="1496"/>
      <c r="F31" s="1496"/>
      <c r="G31" s="1496"/>
      <c r="H31" s="1496"/>
      <c r="I31" s="1496"/>
      <c r="J31" s="1496"/>
      <c r="K31" s="1494">
        <f t="shared" si="9"/>
        <v>0</v>
      </c>
    </row>
    <row r="32" spans="1:11" ht="15.5">
      <c r="A32" s="22">
        <f t="shared" si="1"/>
        <v>25</v>
      </c>
      <c r="B32" s="1522" t="s">
        <v>3887</v>
      </c>
      <c r="C32" s="1496"/>
      <c r="D32" s="1496"/>
      <c r="E32" s="1496"/>
      <c r="F32" s="1496"/>
      <c r="G32" s="1496"/>
      <c r="H32" s="1496"/>
      <c r="I32" s="1496"/>
      <c r="J32" s="1496"/>
      <c r="K32" s="1494">
        <f t="shared" si="9"/>
        <v>0</v>
      </c>
    </row>
    <row r="33" spans="1:11" ht="15.5">
      <c r="A33" s="22">
        <f t="shared" si="1"/>
        <v>26</v>
      </c>
      <c r="B33" s="1522" t="s">
        <v>3888</v>
      </c>
      <c r="C33" s="1496"/>
      <c r="D33" s="1496"/>
      <c r="E33" s="1496"/>
      <c r="F33" s="1496"/>
      <c r="G33" s="1496"/>
      <c r="H33" s="1496"/>
      <c r="I33" s="1496"/>
      <c r="J33" s="1496"/>
      <c r="K33" s="1494">
        <f t="shared" si="9"/>
        <v>0</v>
      </c>
    </row>
    <row r="34" spans="1:11" ht="15.5">
      <c r="A34" s="1625">
        <f>A33+1</f>
        <v>27</v>
      </c>
      <c r="B34" s="1629" t="s">
        <v>4917</v>
      </c>
      <c r="C34" s="1493">
        <f>SUM(C35:C37)</f>
        <v>0</v>
      </c>
      <c r="D34" s="1493">
        <f t="shared" ref="D34:J34" si="12">SUM(D35:D37)</f>
        <v>0</v>
      </c>
      <c r="E34" s="1493">
        <f t="shared" si="12"/>
        <v>0</v>
      </c>
      <c r="F34" s="1493">
        <f t="shared" si="12"/>
        <v>0</v>
      </c>
      <c r="G34" s="1493">
        <f t="shared" si="12"/>
        <v>0</v>
      </c>
      <c r="H34" s="1493">
        <f t="shared" si="12"/>
        <v>0</v>
      </c>
      <c r="I34" s="1493">
        <f t="shared" si="12"/>
        <v>0</v>
      </c>
      <c r="J34" s="1493">
        <f t="shared" si="12"/>
        <v>0</v>
      </c>
      <c r="K34" s="1494">
        <f t="shared" si="9"/>
        <v>0</v>
      </c>
    </row>
    <row r="35" spans="1:11" ht="15.5">
      <c r="A35" s="1625">
        <f t="shared" ref="A35:A39" si="13">A34+1</f>
        <v>28</v>
      </c>
      <c r="B35" s="1522" t="s">
        <v>3886</v>
      </c>
      <c r="C35" s="1496"/>
      <c r="D35" s="1496"/>
      <c r="E35" s="1496"/>
      <c r="F35" s="1496"/>
      <c r="G35" s="1496"/>
      <c r="H35" s="1496"/>
      <c r="I35" s="1496"/>
      <c r="J35" s="1496"/>
      <c r="K35" s="1494">
        <f t="shared" si="9"/>
        <v>0</v>
      </c>
    </row>
    <row r="36" spans="1:11" ht="15.5">
      <c r="A36" s="1625">
        <f t="shared" si="13"/>
        <v>29</v>
      </c>
      <c r="B36" s="1522" t="s">
        <v>3887</v>
      </c>
      <c r="C36" s="1496"/>
      <c r="D36" s="1496"/>
      <c r="E36" s="1496"/>
      <c r="F36" s="1496"/>
      <c r="G36" s="1496"/>
      <c r="H36" s="1496"/>
      <c r="I36" s="1496"/>
      <c r="J36" s="1496"/>
      <c r="K36" s="1494">
        <f t="shared" si="9"/>
        <v>0</v>
      </c>
    </row>
    <row r="37" spans="1:11" ht="15.5">
      <c r="A37" s="1625">
        <f t="shared" si="13"/>
        <v>30</v>
      </c>
      <c r="B37" s="1522" t="s">
        <v>3888</v>
      </c>
      <c r="C37" s="1496"/>
      <c r="D37" s="1496"/>
      <c r="E37" s="1496"/>
      <c r="F37" s="1496"/>
      <c r="G37" s="1496"/>
      <c r="H37" s="1496"/>
      <c r="I37" s="1496"/>
      <c r="J37" s="1496"/>
      <c r="K37" s="1494">
        <f t="shared" si="9"/>
        <v>0</v>
      </c>
    </row>
    <row r="38" spans="1:11" ht="15.5">
      <c r="A38" s="1625">
        <f t="shared" si="13"/>
        <v>31</v>
      </c>
      <c r="B38" s="1629" t="s">
        <v>4916</v>
      </c>
      <c r="C38" s="1493">
        <f>SUM(C39:C41)</f>
        <v>0</v>
      </c>
      <c r="D38" s="1493">
        <f t="shared" ref="D38:J38" si="14">SUM(D39:D41)</f>
        <v>0</v>
      </c>
      <c r="E38" s="1493">
        <f t="shared" si="14"/>
        <v>0</v>
      </c>
      <c r="F38" s="1493">
        <f t="shared" si="14"/>
        <v>0</v>
      </c>
      <c r="G38" s="1493">
        <f t="shared" si="14"/>
        <v>0</v>
      </c>
      <c r="H38" s="1493">
        <f t="shared" si="14"/>
        <v>0</v>
      </c>
      <c r="I38" s="1493">
        <f t="shared" si="14"/>
        <v>0</v>
      </c>
      <c r="J38" s="1493">
        <f t="shared" si="14"/>
        <v>0</v>
      </c>
      <c r="K38" s="1494">
        <f t="shared" si="9"/>
        <v>0</v>
      </c>
    </row>
    <row r="39" spans="1:11" ht="15.5">
      <c r="A39" s="1625">
        <f t="shared" si="13"/>
        <v>32</v>
      </c>
      <c r="B39" s="1522" t="s">
        <v>3886</v>
      </c>
      <c r="C39" s="1496"/>
      <c r="D39" s="1496"/>
      <c r="E39" s="1496"/>
      <c r="F39" s="1496"/>
      <c r="G39" s="1496"/>
      <c r="H39" s="1496"/>
      <c r="I39" s="1496"/>
      <c r="J39" s="1496"/>
      <c r="K39" s="1494">
        <f t="shared" si="9"/>
        <v>0</v>
      </c>
    </row>
    <row r="40" spans="1:11" ht="15.5">
      <c r="A40" s="1625">
        <f t="shared" si="1"/>
        <v>33</v>
      </c>
      <c r="B40" s="1522" t="s">
        <v>3887</v>
      </c>
      <c r="C40" s="1496"/>
      <c r="D40" s="1496"/>
      <c r="E40" s="1496"/>
      <c r="F40" s="1496"/>
      <c r="G40" s="1496"/>
      <c r="H40" s="1496"/>
      <c r="I40" s="1496"/>
      <c r="J40" s="1496"/>
      <c r="K40" s="1494">
        <f t="shared" si="9"/>
        <v>0</v>
      </c>
    </row>
    <row r="41" spans="1:11" ht="15.5">
      <c r="A41" s="1625">
        <f t="shared" si="1"/>
        <v>34</v>
      </c>
      <c r="B41" s="1522" t="s">
        <v>3888</v>
      </c>
      <c r="C41" s="1496"/>
      <c r="D41" s="1496"/>
      <c r="E41" s="1496"/>
      <c r="F41" s="1496"/>
      <c r="G41" s="1496"/>
      <c r="H41" s="1496"/>
      <c r="I41" s="1496"/>
      <c r="J41" s="1496"/>
      <c r="K41" s="1494">
        <f t="shared" si="9"/>
        <v>0</v>
      </c>
    </row>
    <row r="42" spans="1:11" ht="15.5">
      <c r="A42" s="22">
        <f t="shared" si="1"/>
        <v>35</v>
      </c>
      <c r="B42" s="1492" t="s">
        <v>4904</v>
      </c>
      <c r="C42" s="1493">
        <f>SUM(C26,C30,C38,C34)</f>
        <v>0</v>
      </c>
      <c r="D42" s="1493">
        <f t="shared" ref="D42:K42" si="15">SUM(D26,D30,D38,D34)</f>
        <v>0</v>
      </c>
      <c r="E42" s="1493">
        <f t="shared" si="15"/>
        <v>0</v>
      </c>
      <c r="F42" s="1493">
        <f t="shared" si="15"/>
        <v>0</v>
      </c>
      <c r="G42" s="1493">
        <f t="shared" si="15"/>
        <v>0</v>
      </c>
      <c r="H42" s="1493">
        <f t="shared" si="15"/>
        <v>0</v>
      </c>
      <c r="I42" s="1493">
        <f t="shared" si="15"/>
        <v>0</v>
      </c>
      <c r="J42" s="1493">
        <f t="shared" si="15"/>
        <v>0</v>
      </c>
      <c r="K42" s="1493">
        <f t="shared" si="15"/>
        <v>0</v>
      </c>
    </row>
    <row r="43" spans="1:11" ht="15.5">
      <c r="A43" s="22">
        <f t="shared" si="1"/>
        <v>36</v>
      </c>
      <c r="B43" s="1492"/>
      <c r="C43" s="1498"/>
      <c r="D43" s="1498"/>
      <c r="E43" s="1498"/>
      <c r="F43" s="1498"/>
      <c r="G43" s="1498"/>
      <c r="H43" s="1498"/>
      <c r="I43" s="1498"/>
      <c r="J43" s="1498"/>
      <c r="K43" s="1494"/>
    </row>
    <row r="44" spans="1:11" ht="15.5">
      <c r="A44" s="22">
        <f t="shared" si="1"/>
        <v>37</v>
      </c>
      <c r="B44" s="1624" t="s">
        <v>3902</v>
      </c>
      <c r="C44" s="1498"/>
      <c r="D44" s="1498"/>
      <c r="E44" s="1498"/>
      <c r="F44" s="1498"/>
      <c r="G44" s="1498"/>
      <c r="H44" s="1498"/>
      <c r="I44" s="1498"/>
      <c r="J44" s="1498"/>
      <c r="K44" s="1494"/>
    </row>
    <row r="45" spans="1:11" ht="14">
      <c r="A45" s="22">
        <f t="shared" si="1"/>
        <v>38</v>
      </c>
      <c r="B45" s="1499" t="s">
        <v>4887</v>
      </c>
      <c r="C45" s="1496"/>
      <c r="D45" s="1496"/>
      <c r="E45" s="1496"/>
      <c r="F45" s="1496"/>
      <c r="G45" s="1496"/>
      <c r="H45" s="1496"/>
      <c r="I45" s="1496"/>
      <c r="J45" s="1496"/>
      <c r="K45" s="1494">
        <f t="shared" ref="K45:K52" si="16">SUM(C45:J45)</f>
        <v>0</v>
      </c>
    </row>
    <row r="46" spans="1:11" ht="14">
      <c r="A46" s="22">
        <f t="shared" si="1"/>
        <v>39</v>
      </c>
      <c r="B46" s="1499" t="s">
        <v>3889</v>
      </c>
      <c r="C46" s="1496"/>
      <c r="D46" s="1496"/>
      <c r="E46" s="1496"/>
      <c r="F46" s="1496"/>
      <c r="G46" s="1496"/>
      <c r="H46" s="1496"/>
      <c r="I46" s="1496"/>
      <c r="J46" s="1496"/>
      <c r="K46" s="1494">
        <f t="shared" si="16"/>
        <v>0</v>
      </c>
    </row>
    <row r="47" spans="1:11" ht="14">
      <c r="A47" s="22">
        <f t="shared" si="1"/>
        <v>40</v>
      </c>
      <c r="B47" s="1558" t="s">
        <v>4583</v>
      </c>
      <c r="C47" s="1496"/>
      <c r="D47" s="1496"/>
      <c r="E47" s="1496"/>
      <c r="F47" s="1496"/>
      <c r="G47" s="1496"/>
      <c r="H47" s="1496"/>
      <c r="I47" s="1496"/>
      <c r="J47" s="1496"/>
      <c r="K47" s="1494">
        <f t="shared" ref="K47" si="17">SUM(C47:J47)</f>
        <v>0</v>
      </c>
    </row>
    <row r="48" spans="1:11" ht="14">
      <c r="A48" s="22">
        <f t="shared" si="1"/>
        <v>41</v>
      </c>
      <c r="B48" s="1499" t="s">
        <v>3890</v>
      </c>
      <c r="C48" s="1496"/>
      <c r="D48" s="1496"/>
      <c r="E48" s="1496"/>
      <c r="F48" s="1496"/>
      <c r="G48" s="1496"/>
      <c r="H48" s="1496"/>
      <c r="I48" s="1496"/>
      <c r="J48" s="1496"/>
      <c r="K48" s="1494">
        <f t="shared" si="16"/>
        <v>0</v>
      </c>
    </row>
    <row r="49" spans="1:11" ht="14">
      <c r="A49" s="22">
        <f t="shared" si="1"/>
        <v>42</v>
      </c>
      <c r="B49" s="1499" t="s">
        <v>3891</v>
      </c>
      <c r="C49" s="1496"/>
      <c r="D49" s="1496"/>
      <c r="E49" s="1496"/>
      <c r="F49" s="1496"/>
      <c r="G49" s="1496"/>
      <c r="H49" s="1496"/>
      <c r="I49" s="1496"/>
      <c r="J49" s="1496"/>
      <c r="K49" s="1494">
        <f t="shared" si="16"/>
        <v>0</v>
      </c>
    </row>
    <row r="50" spans="1:11" ht="15.5">
      <c r="A50" s="22">
        <f t="shared" si="1"/>
        <v>43</v>
      </c>
      <c r="B50" s="1624" t="s">
        <v>4924</v>
      </c>
      <c r="C50" s="1493">
        <f>SUM(C51:C52,C65)</f>
        <v>0</v>
      </c>
      <c r="D50" s="1493">
        <f t="shared" ref="D50:K50" si="18">SUM(D51:D52,D65)</f>
        <v>0</v>
      </c>
      <c r="E50" s="1493">
        <f t="shared" si="18"/>
        <v>0</v>
      </c>
      <c r="F50" s="1493">
        <f t="shared" si="18"/>
        <v>0</v>
      </c>
      <c r="G50" s="1493">
        <f t="shared" si="18"/>
        <v>0</v>
      </c>
      <c r="H50" s="1493">
        <f t="shared" si="18"/>
        <v>0</v>
      </c>
      <c r="I50" s="1493">
        <f t="shared" si="18"/>
        <v>0</v>
      </c>
      <c r="J50" s="1493">
        <f t="shared" si="18"/>
        <v>0</v>
      </c>
      <c r="K50" s="1493">
        <f t="shared" si="18"/>
        <v>0</v>
      </c>
    </row>
    <row r="51" spans="1:11">
      <c r="A51" s="22">
        <f t="shared" si="1"/>
        <v>44</v>
      </c>
      <c r="B51" s="1495" t="s">
        <v>1117</v>
      </c>
      <c r="C51" s="1496"/>
      <c r="D51" s="1496"/>
      <c r="E51" s="1496"/>
      <c r="F51" s="1496"/>
      <c r="G51" s="1496"/>
      <c r="H51" s="1496"/>
      <c r="I51" s="1496"/>
      <c r="J51" s="1496"/>
      <c r="K51" s="1494">
        <f t="shared" si="16"/>
        <v>0</v>
      </c>
    </row>
    <row r="52" spans="1:11">
      <c r="A52" s="22">
        <f t="shared" si="1"/>
        <v>45</v>
      </c>
      <c r="B52" s="1495" t="s">
        <v>233</v>
      </c>
      <c r="C52" s="1496"/>
      <c r="D52" s="1496"/>
      <c r="E52" s="1496"/>
      <c r="F52" s="1496"/>
      <c r="G52" s="1496"/>
      <c r="H52" s="1496"/>
      <c r="I52" s="1496"/>
      <c r="J52" s="1496"/>
      <c r="K52" s="1494">
        <f t="shared" si="16"/>
        <v>0</v>
      </c>
    </row>
    <row r="53" spans="1:11" ht="14">
      <c r="A53" s="22">
        <f t="shared" si="1"/>
        <v>46</v>
      </c>
      <c r="B53" s="1628" t="s">
        <v>4920</v>
      </c>
      <c r="C53" s="1493">
        <f>SUM(C54:C56)</f>
        <v>0</v>
      </c>
      <c r="D53" s="1493">
        <f t="shared" ref="D53:J53" si="19">SUM(D54:D56)</f>
        <v>0</v>
      </c>
      <c r="E53" s="1493">
        <f t="shared" si="19"/>
        <v>0</v>
      </c>
      <c r="F53" s="1493">
        <f t="shared" si="19"/>
        <v>0</v>
      </c>
      <c r="G53" s="1493">
        <f t="shared" si="19"/>
        <v>0</v>
      </c>
      <c r="H53" s="1493">
        <f t="shared" si="19"/>
        <v>0</v>
      </c>
      <c r="I53" s="1493">
        <f t="shared" si="19"/>
        <v>0</v>
      </c>
      <c r="J53" s="1493">
        <f t="shared" si="19"/>
        <v>0</v>
      </c>
      <c r="K53" s="1494">
        <f t="shared" ref="K53:K64" si="20">SUM(C53:J53)</f>
        <v>0</v>
      </c>
    </row>
    <row r="54" spans="1:11">
      <c r="A54" s="22">
        <f t="shared" si="1"/>
        <v>47</v>
      </c>
      <c r="B54" s="1495" t="s">
        <v>3892</v>
      </c>
      <c r="C54" s="1496"/>
      <c r="D54" s="1496"/>
      <c r="E54" s="1496"/>
      <c r="F54" s="1496"/>
      <c r="G54" s="1496"/>
      <c r="H54" s="1496"/>
      <c r="I54" s="1496"/>
      <c r="J54" s="1496"/>
      <c r="K54" s="1494">
        <f t="shared" si="20"/>
        <v>0</v>
      </c>
    </row>
    <row r="55" spans="1:11">
      <c r="A55" s="22">
        <f t="shared" si="1"/>
        <v>48</v>
      </c>
      <c r="B55" s="1495" t="s">
        <v>3893</v>
      </c>
      <c r="C55" s="1496"/>
      <c r="D55" s="1496"/>
      <c r="E55" s="1496"/>
      <c r="F55" s="1496"/>
      <c r="G55" s="1496"/>
      <c r="H55" s="1496"/>
      <c r="I55" s="1496"/>
      <c r="J55" s="1496"/>
      <c r="K55" s="1494">
        <f t="shared" si="20"/>
        <v>0</v>
      </c>
    </row>
    <row r="56" spans="1:11">
      <c r="A56" s="22">
        <f t="shared" si="1"/>
        <v>49</v>
      </c>
      <c r="B56" s="1495" t="s">
        <v>3894</v>
      </c>
      <c r="C56" s="1496"/>
      <c r="D56" s="1496"/>
      <c r="E56" s="1496"/>
      <c r="F56" s="1496"/>
      <c r="G56" s="1496"/>
      <c r="H56" s="1496"/>
      <c r="I56" s="1496"/>
      <c r="J56" s="1496"/>
      <c r="K56" s="1494">
        <f t="shared" si="20"/>
        <v>0</v>
      </c>
    </row>
    <row r="57" spans="1:11" ht="14">
      <c r="A57" s="1625">
        <f t="shared" si="1"/>
        <v>50</v>
      </c>
      <c r="B57" s="1628" t="s">
        <v>4921</v>
      </c>
      <c r="C57" s="1493">
        <f>SUM(C58:C60)</f>
        <v>0</v>
      </c>
      <c r="D57" s="1493">
        <f t="shared" ref="D57:J57" si="21">SUM(D58:D60)</f>
        <v>0</v>
      </c>
      <c r="E57" s="1493">
        <f t="shared" si="21"/>
        <v>0</v>
      </c>
      <c r="F57" s="1493">
        <f t="shared" si="21"/>
        <v>0</v>
      </c>
      <c r="G57" s="1493">
        <f t="shared" si="21"/>
        <v>0</v>
      </c>
      <c r="H57" s="1493">
        <f t="shared" si="21"/>
        <v>0</v>
      </c>
      <c r="I57" s="1493">
        <f t="shared" si="21"/>
        <v>0</v>
      </c>
      <c r="J57" s="1493">
        <f t="shared" si="21"/>
        <v>0</v>
      </c>
      <c r="K57" s="1494">
        <f t="shared" si="20"/>
        <v>0</v>
      </c>
    </row>
    <row r="58" spans="1:11">
      <c r="A58" s="1625">
        <f t="shared" si="1"/>
        <v>51</v>
      </c>
      <c r="B58" s="1495" t="s">
        <v>3892</v>
      </c>
      <c r="C58" s="1496"/>
      <c r="D58" s="1496"/>
      <c r="E58" s="1496"/>
      <c r="F58" s="1496"/>
      <c r="G58" s="1496"/>
      <c r="H58" s="1496"/>
      <c r="I58" s="1496"/>
      <c r="J58" s="1496"/>
      <c r="K58" s="1494">
        <f t="shared" si="20"/>
        <v>0</v>
      </c>
    </row>
    <row r="59" spans="1:11">
      <c r="A59" s="1625">
        <f t="shared" si="1"/>
        <v>52</v>
      </c>
      <c r="B59" s="1495" t="s">
        <v>3893</v>
      </c>
      <c r="C59" s="1496"/>
      <c r="D59" s="1496"/>
      <c r="E59" s="1496"/>
      <c r="F59" s="1496"/>
      <c r="G59" s="1496"/>
      <c r="H59" s="1496"/>
      <c r="I59" s="1496"/>
      <c r="J59" s="1496"/>
      <c r="K59" s="1494">
        <f t="shared" si="20"/>
        <v>0</v>
      </c>
    </row>
    <row r="60" spans="1:11">
      <c r="A60" s="1625">
        <f t="shared" si="1"/>
        <v>53</v>
      </c>
      <c r="B60" s="1495" t="s">
        <v>3894</v>
      </c>
      <c r="C60" s="1496"/>
      <c r="D60" s="1496"/>
      <c r="E60" s="1496"/>
      <c r="F60" s="1496"/>
      <c r="G60" s="1496"/>
      <c r="H60" s="1496"/>
      <c r="I60" s="1496"/>
      <c r="J60" s="1496"/>
      <c r="K60" s="1494">
        <f t="shared" si="20"/>
        <v>0</v>
      </c>
    </row>
    <row r="61" spans="1:11" ht="14">
      <c r="A61" s="1625">
        <f t="shared" si="1"/>
        <v>54</v>
      </c>
      <c r="B61" s="1628" t="s">
        <v>4922</v>
      </c>
      <c r="C61" s="1493">
        <f>SUM(C62:C64)</f>
        <v>0</v>
      </c>
      <c r="D61" s="1493">
        <f t="shared" ref="D61:J61" si="22">SUM(D62:D64)</f>
        <v>0</v>
      </c>
      <c r="E61" s="1493">
        <f t="shared" si="22"/>
        <v>0</v>
      </c>
      <c r="F61" s="1493">
        <f t="shared" si="22"/>
        <v>0</v>
      </c>
      <c r="G61" s="1493">
        <f t="shared" si="22"/>
        <v>0</v>
      </c>
      <c r="H61" s="1493">
        <f t="shared" si="22"/>
        <v>0</v>
      </c>
      <c r="I61" s="1493">
        <f t="shared" si="22"/>
        <v>0</v>
      </c>
      <c r="J61" s="1493">
        <f t="shared" si="22"/>
        <v>0</v>
      </c>
      <c r="K61" s="1494">
        <f t="shared" si="20"/>
        <v>0</v>
      </c>
    </row>
    <row r="62" spans="1:11">
      <c r="A62" s="1625">
        <f t="shared" si="1"/>
        <v>55</v>
      </c>
      <c r="B62" s="1495" t="s">
        <v>3892</v>
      </c>
      <c r="C62" s="1496"/>
      <c r="D62" s="1496"/>
      <c r="E62" s="1496"/>
      <c r="F62" s="1496"/>
      <c r="G62" s="1496"/>
      <c r="H62" s="1496"/>
      <c r="I62" s="1496"/>
      <c r="J62" s="1496"/>
      <c r="K62" s="1494">
        <f t="shared" si="20"/>
        <v>0</v>
      </c>
    </row>
    <row r="63" spans="1:11">
      <c r="A63" s="1625">
        <f t="shared" si="1"/>
        <v>56</v>
      </c>
      <c r="B63" s="1495" t="s">
        <v>3893</v>
      </c>
      <c r="C63" s="1496"/>
      <c r="D63" s="1496"/>
      <c r="E63" s="1496"/>
      <c r="F63" s="1496"/>
      <c r="G63" s="1496"/>
      <c r="H63" s="1496"/>
      <c r="I63" s="1496"/>
      <c r="J63" s="1496"/>
      <c r="K63" s="1494">
        <f t="shared" si="20"/>
        <v>0</v>
      </c>
    </row>
    <row r="64" spans="1:11" ht="12.75" customHeight="1">
      <c r="A64" s="1625">
        <f t="shared" si="1"/>
        <v>57</v>
      </c>
      <c r="B64" s="1495" t="s">
        <v>3894</v>
      </c>
      <c r="C64" s="1496"/>
      <c r="D64" s="1496"/>
      <c r="E64" s="1496"/>
      <c r="F64" s="1496"/>
      <c r="G64" s="1496"/>
      <c r="H64" s="1496"/>
      <c r="I64" s="1496"/>
      <c r="J64" s="1496"/>
      <c r="K64" s="1494">
        <f t="shared" si="20"/>
        <v>0</v>
      </c>
    </row>
    <row r="65" spans="1:11" ht="15.5">
      <c r="A65" s="1625">
        <f t="shared" si="1"/>
        <v>58</v>
      </c>
      <c r="B65" s="1627" t="s">
        <v>4923</v>
      </c>
      <c r="C65" s="1493">
        <f>SUM(C61,C57,C53)</f>
        <v>0</v>
      </c>
      <c r="D65" s="1493">
        <f t="shared" ref="D65:K65" si="23">SUM(D61,D57,D53)</f>
        <v>0</v>
      </c>
      <c r="E65" s="1493">
        <f t="shared" si="23"/>
        <v>0</v>
      </c>
      <c r="F65" s="1493">
        <f t="shared" si="23"/>
        <v>0</v>
      </c>
      <c r="G65" s="1493">
        <f t="shared" si="23"/>
        <v>0</v>
      </c>
      <c r="H65" s="1493">
        <f t="shared" si="23"/>
        <v>0</v>
      </c>
      <c r="I65" s="1493">
        <f t="shared" si="23"/>
        <v>0</v>
      </c>
      <c r="J65" s="1493">
        <f t="shared" si="23"/>
        <v>0</v>
      </c>
      <c r="K65" s="1493">
        <f t="shared" si="23"/>
        <v>0</v>
      </c>
    </row>
    <row r="66" spans="1:11" ht="15.5">
      <c r="A66" s="22">
        <f t="shared" si="1"/>
        <v>59</v>
      </c>
      <c r="B66" s="1627" t="s">
        <v>4888</v>
      </c>
      <c r="C66" s="1496"/>
      <c r="D66" s="1496"/>
      <c r="E66" s="1496"/>
      <c r="F66" s="1496"/>
      <c r="G66" s="1496"/>
      <c r="H66" s="1496"/>
      <c r="I66" s="1496"/>
      <c r="J66" s="1496"/>
      <c r="K66" s="1494">
        <f t="shared" ref="K66" si="24">SUM(C66:J66)</f>
        <v>0</v>
      </c>
    </row>
    <row r="67" spans="1:11">
      <c r="A67" s="22">
        <f t="shared" si="1"/>
        <v>60</v>
      </c>
      <c r="B67" s="1497"/>
      <c r="C67" s="1498"/>
      <c r="D67" s="1498"/>
      <c r="E67" s="1498"/>
      <c r="F67" s="1498"/>
      <c r="G67" s="1498"/>
      <c r="H67" s="1498"/>
      <c r="I67" s="1498"/>
      <c r="J67" s="1498"/>
      <c r="K67" s="1494"/>
    </row>
    <row r="68" spans="1:11" ht="15.5">
      <c r="A68" s="22">
        <f t="shared" si="1"/>
        <v>61</v>
      </c>
      <c r="B68" s="1624" t="s">
        <v>3903</v>
      </c>
      <c r="C68" s="1493">
        <f>SUM(C69:C70)</f>
        <v>0</v>
      </c>
      <c r="D68" s="1493">
        <f t="shared" ref="D68:J68" si="25">SUM(D69:D70)</f>
        <v>0</v>
      </c>
      <c r="E68" s="1493">
        <f t="shared" si="25"/>
        <v>0</v>
      </c>
      <c r="F68" s="1493">
        <f t="shared" si="25"/>
        <v>0</v>
      </c>
      <c r="G68" s="1493">
        <f t="shared" si="25"/>
        <v>0</v>
      </c>
      <c r="H68" s="1493">
        <f t="shared" si="25"/>
        <v>0</v>
      </c>
      <c r="I68" s="1493">
        <f t="shared" si="25"/>
        <v>0</v>
      </c>
      <c r="J68" s="1493">
        <f t="shared" si="25"/>
        <v>0</v>
      </c>
      <c r="K68" s="1494">
        <f t="shared" ref="K68:K70" si="26">SUM(C68:J68)</f>
        <v>0</v>
      </c>
    </row>
    <row r="69" spans="1:11">
      <c r="A69" s="22">
        <f t="shared" si="1"/>
        <v>62</v>
      </c>
      <c r="B69" s="1495" t="s">
        <v>4885</v>
      </c>
      <c r="C69" s="1496"/>
      <c r="D69" s="1496"/>
      <c r="E69" s="1496"/>
      <c r="F69" s="1496"/>
      <c r="G69" s="1496"/>
      <c r="H69" s="1496"/>
      <c r="I69" s="1496"/>
      <c r="J69" s="1496"/>
      <c r="K69" s="1494">
        <f t="shared" si="26"/>
        <v>0</v>
      </c>
    </row>
    <row r="70" spans="1:11">
      <c r="A70" s="22">
        <f t="shared" si="1"/>
        <v>63</v>
      </c>
      <c r="B70" s="1495" t="s">
        <v>3895</v>
      </c>
      <c r="C70" s="1496"/>
      <c r="D70" s="1496"/>
      <c r="E70" s="1496"/>
      <c r="F70" s="1496"/>
      <c r="G70" s="1496"/>
      <c r="H70" s="1496"/>
      <c r="I70" s="1496"/>
      <c r="J70" s="1496"/>
      <c r="K70" s="1494">
        <f t="shared" si="26"/>
        <v>0</v>
      </c>
    </row>
    <row r="71" spans="1:11">
      <c r="A71" s="22">
        <f t="shared" si="1"/>
        <v>64</v>
      </c>
      <c r="B71" s="1497"/>
      <c r="C71" s="1498"/>
      <c r="D71" s="1498"/>
      <c r="E71" s="1498"/>
      <c r="F71" s="1498"/>
      <c r="G71" s="1498"/>
      <c r="H71" s="1498"/>
      <c r="I71" s="1498"/>
      <c r="J71" s="1498"/>
      <c r="K71" s="1494"/>
    </row>
    <row r="72" spans="1:11" ht="15.5">
      <c r="A72" s="22">
        <f t="shared" si="1"/>
        <v>65</v>
      </c>
      <c r="B72" s="1624" t="s">
        <v>3904</v>
      </c>
      <c r="C72" s="1496"/>
      <c r="D72" s="1496"/>
      <c r="E72" s="1496"/>
      <c r="F72" s="1496"/>
      <c r="G72" s="1496"/>
      <c r="H72" s="1496"/>
      <c r="I72" s="1496"/>
      <c r="J72" s="1496"/>
      <c r="K72" s="1494">
        <f t="shared" ref="K72" si="27">SUM(C72:J72)</f>
        <v>0</v>
      </c>
    </row>
    <row r="73" spans="1:11">
      <c r="A73" s="22">
        <f t="shared" si="1"/>
        <v>66</v>
      </c>
      <c r="B73" s="1497"/>
      <c r="C73" s="1498"/>
      <c r="D73" s="1498"/>
      <c r="E73" s="1498"/>
      <c r="F73" s="1498"/>
      <c r="G73" s="1498"/>
      <c r="H73" s="1498"/>
      <c r="I73" s="1498"/>
      <c r="J73" s="1498"/>
      <c r="K73" s="1494"/>
    </row>
    <row r="74" spans="1:11" ht="15.5">
      <c r="A74" s="22">
        <f t="shared" si="1"/>
        <v>67</v>
      </c>
      <c r="B74" s="1624" t="s">
        <v>3905</v>
      </c>
      <c r="C74" s="1500"/>
      <c r="D74" s="1500"/>
      <c r="E74" s="1500"/>
      <c r="F74" s="1500"/>
      <c r="G74" s="1500"/>
      <c r="H74" s="1500"/>
      <c r="I74" s="1500"/>
      <c r="J74" s="1500"/>
      <c r="K74" s="1494"/>
    </row>
    <row r="75" spans="1:11">
      <c r="A75" s="22">
        <f t="shared" si="1"/>
        <v>68</v>
      </c>
      <c r="B75" s="1495" t="s">
        <v>4883</v>
      </c>
      <c r="C75" s="1501"/>
      <c r="D75" s="1501"/>
      <c r="E75" s="1501"/>
      <c r="F75" s="1501"/>
      <c r="G75" s="1501"/>
      <c r="H75" s="1501"/>
      <c r="I75" s="1501"/>
      <c r="J75" s="1501"/>
      <c r="K75" s="1494"/>
    </row>
    <row r="76" spans="1:11">
      <c r="A76" s="22">
        <f t="shared" si="1"/>
        <v>69</v>
      </c>
      <c r="B76" s="1495" t="s">
        <v>4884</v>
      </c>
      <c r="C76" s="1501"/>
      <c r="D76" s="1501"/>
      <c r="E76" s="1501"/>
      <c r="F76" s="1501"/>
      <c r="G76" s="1501"/>
      <c r="H76" s="1501"/>
      <c r="I76" s="1501"/>
      <c r="J76" s="1501"/>
      <c r="K76" s="1494"/>
    </row>
    <row r="77" spans="1:11">
      <c r="A77" s="22">
        <f t="shared" si="1"/>
        <v>70</v>
      </c>
      <c r="B77" s="1495" t="s">
        <v>3895</v>
      </c>
      <c r="C77" s="1501"/>
      <c r="D77" s="1501"/>
      <c r="E77" s="1501"/>
      <c r="F77" s="1501"/>
      <c r="G77" s="1501"/>
      <c r="H77" s="1501"/>
      <c r="I77" s="1501"/>
      <c r="J77" s="1501"/>
      <c r="K77" s="1494"/>
    </row>
    <row r="78" spans="1:11">
      <c r="A78" s="22">
        <f t="shared" si="1"/>
        <v>71</v>
      </c>
      <c r="B78" s="1497"/>
      <c r="C78" s="1500"/>
      <c r="D78" s="1500"/>
      <c r="E78" s="1500"/>
      <c r="F78" s="1500"/>
      <c r="G78" s="1500"/>
      <c r="H78" s="1500"/>
      <c r="I78" s="1500"/>
      <c r="J78" s="1500"/>
      <c r="K78" s="1494"/>
    </row>
    <row r="79" spans="1:11" ht="15.5">
      <c r="A79" s="22">
        <f t="shared" si="1"/>
        <v>72</v>
      </c>
      <c r="B79" s="1624" t="s">
        <v>3906</v>
      </c>
      <c r="C79" s="1501"/>
      <c r="D79" s="1501"/>
      <c r="E79" s="1501"/>
      <c r="F79" s="1501"/>
      <c r="G79" s="1501"/>
      <c r="H79" s="1501"/>
      <c r="I79" s="1501"/>
      <c r="J79" s="1501"/>
      <c r="K79" s="1494"/>
    </row>
    <row r="80" spans="1:11">
      <c r="A80" s="22">
        <f t="shared" si="1"/>
        <v>73</v>
      </c>
      <c r="B80" s="1497"/>
      <c r="C80" s="1500"/>
      <c r="D80" s="1500"/>
      <c r="E80" s="1500"/>
      <c r="F80" s="1500"/>
      <c r="G80" s="1500"/>
      <c r="H80" s="1500"/>
      <c r="I80" s="1500"/>
      <c r="J80" s="1500"/>
      <c r="K80" s="1494"/>
    </row>
    <row r="81" spans="1:13" ht="15.5">
      <c r="A81" s="22">
        <f t="shared" si="1"/>
        <v>74</v>
      </c>
      <c r="B81" s="1624" t="s">
        <v>4889</v>
      </c>
      <c r="C81" s="1501"/>
      <c r="D81" s="1501"/>
      <c r="E81" s="1501"/>
      <c r="F81" s="1501"/>
      <c r="G81" s="1501"/>
      <c r="H81" s="1501"/>
      <c r="I81" s="1501"/>
      <c r="J81" s="1501"/>
      <c r="K81" s="1494"/>
    </row>
    <row r="82" spans="1:13">
      <c r="A82" s="22">
        <f t="shared" si="1"/>
        <v>75</v>
      </c>
      <c r="B82" s="1495" t="s">
        <v>3896</v>
      </c>
      <c r="C82" s="1501"/>
      <c r="D82" s="1501"/>
      <c r="E82" s="1501"/>
      <c r="F82" s="1501"/>
      <c r="G82" s="1501"/>
      <c r="H82" s="1501"/>
      <c r="I82" s="1501"/>
      <c r="J82" s="1501"/>
      <c r="K82" s="1494"/>
    </row>
    <row r="83" spans="1:13">
      <c r="A83" s="22">
        <f t="shared" ref="A83:A93" si="28">ROW()-7</f>
        <v>76</v>
      </c>
      <c r="B83" s="1495" t="s">
        <v>3897</v>
      </c>
      <c r="C83" s="1501"/>
      <c r="D83" s="1501"/>
      <c r="E83" s="1501"/>
      <c r="F83" s="1501"/>
      <c r="G83" s="1501"/>
      <c r="H83" s="1501"/>
      <c r="I83" s="1501"/>
      <c r="J83" s="1501"/>
      <c r="K83" s="1494"/>
    </row>
    <row r="84" spans="1:13">
      <c r="A84" s="22">
        <f t="shared" si="28"/>
        <v>77</v>
      </c>
      <c r="B84" s="1495" t="s">
        <v>3898</v>
      </c>
      <c r="C84" s="1501"/>
      <c r="D84" s="1501"/>
      <c r="E84" s="1501"/>
      <c r="F84" s="1501"/>
      <c r="G84" s="1501"/>
      <c r="H84" s="1501"/>
      <c r="I84" s="1501"/>
      <c r="J84" s="1501"/>
      <c r="K84" s="1494"/>
    </row>
    <row r="85" spans="1:13">
      <c r="A85" s="22">
        <f t="shared" si="28"/>
        <v>78</v>
      </c>
      <c r="B85" s="1495" t="s">
        <v>4890</v>
      </c>
      <c r="C85" s="1501"/>
      <c r="D85" s="1501"/>
      <c r="E85" s="1501"/>
      <c r="F85" s="1501"/>
      <c r="G85" s="1501"/>
      <c r="H85" s="1501"/>
      <c r="I85" s="1501"/>
      <c r="J85" s="1501"/>
      <c r="K85" s="1494"/>
    </row>
    <row r="86" spans="1:13">
      <c r="A86" s="22">
        <f t="shared" si="28"/>
        <v>79</v>
      </c>
      <c r="B86" s="1495" t="s">
        <v>4891</v>
      </c>
      <c r="C86" s="1501"/>
      <c r="D86" s="1501"/>
      <c r="E86" s="1501"/>
      <c r="F86" s="1501"/>
      <c r="G86" s="1501"/>
      <c r="H86" s="1501"/>
      <c r="I86" s="1501"/>
      <c r="J86" s="1501"/>
      <c r="K86" s="1494"/>
      <c r="L86" s="1623"/>
      <c r="M86" s="1623"/>
    </row>
    <row r="87" spans="1:13">
      <c r="A87" s="22">
        <f t="shared" si="28"/>
        <v>80</v>
      </c>
      <c r="B87" s="1495" t="s">
        <v>4892</v>
      </c>
      <c r="C87" s="1501"/>
      <c r="D87" s="1501"/>
      <c r="E87" s="1501"/>
      <c r="F87" s="1501"/>
      <c r="G87" s="1501"/>
      <c r="H87" s="1501"/>
      <c r="I87" s="1501"/>
      <c r="J87" s="1501"/>
      <c r="K87" s="1494"/>
      <c r="L87" s="1623"/>
      <c r="M87" s="1623"/>
    </row>
    <row r="88" spans="1:13">
      <c r="A88" s="22">
        <f t="shared" si="28"/>
        <v>81</v>
      </c>
      <c r="B88" s="1497"/>
      <c r="C88" s="1500"/>
      <c r="D88" s="1500"/>
      <c r="E88" s="1500"/>
      <c r="F88" s="1500"/>
      <c r="G88" s="1500"/>
      <c r="H88" s="1500"/>
      <c r="I88" s="1500"/>
      <c r="J88" s="1500"/>
      <c r="K88" s="1494"/>
      <c r="L88" s="1623"/>
      <c r="M88" s="1623"/>
    </row>
    <row r="89" spans="1:13" ht="15.5">
      <c r="A89" s="22">
        <f t="shared" si="28"/>
        <v>82</v>
      </c>
      <c r="B89" s="1624" t="s">
        <v>3907</v>
      </c>
      <c r="C89" s="1500"/>
      <c r="D89" s="1500"/>
      <c r="E89" s="1500"/>
      <c r="F89" s="1500"/>
      <c r="G89" s="1500"/>
      <c r="H89" s="1500"/>
      <c r="I89" s="1500"/>
      <c r="J89" s="1500"/>
      <c r="K89" s="1494"/>
      <c r="L89" s="1623"/>
      <c r="M89" s="1623"/>
    </row>
    <row r="90" spans="1:13">
      <c r="A90" s="22">
        <f t="shared" si="28"/>
        <v>83</v>
      </c>
      <c r="B90" s="1495" t="s">
        <v>3899</v>
      </c>
      <c r="C90" s="1501"/>
      <c r="D90" s="1501"/>
      <c r="E90" s="1501"/>
      <c r="F90" s="1501"/>
      <c r="G90" s="1501"/>
      <c r="H90" s="1501"/>
      <c r="I90" s="1501"/>
      <c r="J90" s="1501"/>
      <c r="K90" s="1494"/>
      <c r="L90" s="1623"/>
      <c r="M90" s="1623"/>
    </row>
    <row r="91" spans="1:13">
      <c r="A91" s="22">
        <f t="shared" si="28"/>
        <v>84</v>
      </c>
      <c r="B91" s="1495" t="s">
        <v>4925</v>
      </c>
      <c r="C91" s="1501"/>
      <c r="D91" s="1501"/>
      <c r="E91" s="1501"/>
      <c r="F91" s="1501"/>
      <c r="G91" s="1501"/>
      <c r="H91" s="1501"/>
      <c r="I91" s="1501"/>
      <c r="J91" s="1501"/>
      <c r="K91" s="1494"/>
      <c r="L91" s="1623"/>
      <c r="M91" s="1623"/>
    </row>
    <row r="92" spans="1:13" ht="39" customHeight="1">
      <c r="A92" s="1625">
        <f t="shared" si="28"/>
        <v>85</v>
      </c>
      <c r="B92" s="1626" t="s">
        <v>4917</v>
      </c>
      <c r="C92" s="1501"/>
      <c r="D92" s="1501"/>
      <c r="E92" s="1501"/>
      <c r="F92" s="1501"/>
      <c r="G92" s="1501"/>
      <c r="H92" s="1501"/>
      <c r="I92" s="1501"/>
      <c r="J92" s="1501"/>
      <c r="K92" s="1494"/>
      <c r="L92" s="1623"/>
      <c r="M92" s="1623"/>
    </row>
    <row r="93" spans="1:13">
      <c r="A93" s="1625">
        <f t="shared" si="28"/>
        <v>86</v>
      </c>
      <c r="B93" s="1495" t="s">
        <v>4916</v>
      </c>
      <c r="C93" s="1501"/>
      <c r="D93" s="1501"/>
      <c r="E93" s="1501"/>
      <c r="F93" s="1501"/>
      <c r="G93" s="1501"/>
      <c r="H93" s="1501"/>
      <c r="I93" s="1501"/>
      <c r="J93" s="1501"/>
      <c r="K93" s="1494"/>
      <c r="L93" s="1623"/>
      <c r="M93" s="1623"/>
    </row>
    <row r="94" spans="1:13" ht="42" customHeight="1">
      <c r="L94" s="1623"/>
      <c r="M94" s="1623"/>
    </row>
    <row r="95" spans="1:13">
      <c r="B95" s="1623"/>
      <c r="C95" s="1623"/>
      <c r="D95" s="1623"/>
      <c r="E95" s="1623"/>
      <c r="F95" s="1623"/>
      <c r="G95" s="1623"/>
      <c r="H95" s="1623"/>
      <c r="I95" s="1623"/>
      <c r="J95" s="1623"/>
      <c r="K95" s="1623"/>
      <c r="L95" s="1623"/>
      <c r="M95" s="1623"/>
    </row>
    <row r="96" spans="1:13">
      <c r="B96" s="1623"/>
      <c r="C96" s="1623"/>
      <c r="D96" s="1623"/>
      <c r="E96" s="1623"/>
      <c r="F96" s="1623"/>
      <c r="G96" s="1623"/>
      <c r="H96" s="1623"/>
      <c r="I96" s="1623"/>
      <c r="J96" s="1623"/>
      <c r="K96" s="1623"/>
      <c r="L96" s="1623"/>
      <c r="M96" s="1623"/>
    </row>
    <row r="97" spans="2:13" ht="25.5" customHeight="1">
      <c r="B97" s="1623"/>
      <c r="C97" s="1623"/>
      <c r="D97" s="1623"/>
      <c r="E97" s="1623"/>
      <c r="F97" s="1623"/>
      <c r="G97" s="1623"/>
      <c r="H97" s="1623"/>
      <c r="I97" s="1623"/>
      <c r="J97" s="1623"/>
      <c r="K97" s="1623"/>
      <c r="L97" s="1623"/>
      <c r="M97" s="1623"/>
    </row>
    <row r="98" spans="2:13">
      <c r="B98" s="1623"/>
      <c r="C98" s="1623"/>
      <c r="D98" s="1623"/>
      <c r="E98" s="1623"/>
      <c r="F98" s="1623"/>
      <c r="G98" s="1623"/>
      <c r="H98" s="1623"/>
      <c r="I98" s="1623"/>
      <c r="J98" s="1623"/>
      <c r="K98" s="1623"/>
      <c r="L98" s="1623"/>
      <c r="M98" s="1623"/>
    </row>
    <row r="99" spans="2:13">
      <c r="B99" s="1623"/>
      <c r="C99" s="1623"/>
      <c r="D99" s="1623"/>
      <c r="E99" s="1623"/>
      <c r="F99" s="1623"/>
      <c r="G99" s="1623"/>
      <c r="H99" s="1623"/>
      <c r="I99" s="1623"/>
      <c r="J99" s="1623"/>
      <c r="K99" s="1623"/>
      <c r="L99" s="1623"/>
      <c r="M99" s="1623"/>
    </row>
    <row r="100" spans="2:13">
      <c r="B100" s="1623"/>
      <c r="C100" s="1623"/>
      <c r="D100" s="1623"/>
      <c r="E100" s="1623"/>
      <c r="F100" s="1623"/>
      <c r="G100" s="1623"/>
      <c r="H100" s="1623"/>
      <c r="I100" s="1623"/>
      <c r="J100" s="1623"/>
      <c r="K100" s="1623"/>
      <c r="L100" s="1623"/>
      <c r="M100" s="1623"/>
    </row>
    <row r="101" spans="2:13">
      <c r="B101" s="1623"/>
      <c r="C101" s="1623"/>
      <c r="D101" s="1623"/>
      <c r="E101" s="1623"/>
      <c r="F101" s="1623"/>
      <c r="G101" s="1623"/>
      <c r="H101" s="1623"/>
      <c r="I101" s="1623"/>
      <c r="J101" s="1623"/>
      <c r="K101" s="1623"/>
      <c r="L101" s="1623"/>
      <c r="M101" s="1623"/>
    </row>
    <row r="102" spans="2:13">
      <c r="B102" s="1623"/>
      <c r="C102" s="1623"/>
      <c r="D102" s="1623"/>
      <c r="E102" s="1623"/>
      <c r="F102" s="1623"/>
      <c r="G102" s="1623"/>
      <c r="H102" s="1623"/>
      <c r="I102" s="1623"/>
      <c r="J102" s="1623"/>
      <c r="K102" s="1623"/>
      <c r="L102" s="1623"/>
      <c r="M102" s="1623"/>
    </row>
    <row r="103" spans="2:13">
      <c r="B103" s="1623"/>
      <c r="C103" s="1623"/>
      <c r="D103" s="1623"/>
      <c r="E103" s="1623"/>
      <c r="F103" s="1623"/>
      <c r="G103" s="1623"/>
      <c r="H103" s="1623"/>
      <c r="I103" s="1623"/>
      <c r="J103" s="1623"/>
      <c r="K103" s="1623"/>
      <c r="L103" s="1623"/>
      <c r="M103" s="1623"/>
    </row>
  </sheetData>
  <sheetProtection password="D223" sheet="1" objects="1" scenarios="1" formatCells="0" formatColumns="0" formatRows="0" autoFilter="0"/>
  <mergeCells count="10">
    <mergeCell ref="K5:K6"/>
    <mergeCell ref="G3:J3"/>
    <mergeCell ref="D4:E4"/>
    <mergeCell ref="C5:C6"/>
    <mergeCell ref="D5:E5"/>
    <mergeCell ref="F5:F6"/>
    <mergeCell ref="G5:G6"/>
    <mergeCell ref="J5:J6"/>
    <mergeCell ref="H5:H6"/>
    <mergeCell ref="I5:I6"/>
  </mergeCells>
  <hyperlinks>
    <hyperlink ref="D1" location="Information!A1" display="חזרה"/>
    <hyperlink ref="G4" location="Dir1A!A1" display="Dir1A!A1"/>
    <hyperlink ref="J4" location="Dir1C!A1" display="Dir1C!A1"/>
  </hyperlinks>
  <pageMargins left="0" right="0" top="0" bottom="0.35433070866141736" header="0" footer="0.11811023622047245"/>
  <pageSetup paperSize="9" scale="70" orientation="portrait" verticalDpi="0" r:id="rId1"/>
  <headerFooter>
    <oddFooter>&amp;L&amp;Z&amp;F&amp;A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00B0F0"/>
    <pageSetUpPr fitToPage="1"/>
  </sheetPr>
  <dimension ref="A1:R102"/>
  <sheetViews>
    <sheetView rightToLeft="1" topLeftCell="A78" workbookViewId="0">
      <selection activeCell="C26" sqref="C26"/>
    </sheetView>
  </sheetViews>
  <sheetFormatPr defaultColWidth="9.1796875" defaultRowHeight="13"/>
  <cols>
    <col min="1" max="1" width="9.1796875" style="22"/>
    <col min="2" max="2" width="40.1796875" style="22" customWidth="1"/>
    <col min="3" max="3" width="13.1796875" style="22" customWidth="1"/>
    <col min="4" max="5" width="9.1796875" style="22"/>
    <col min="6" max="6" width="13.81640625" style="22" customWidth="1"/>
    <col min="7" max="9" width="10.81640625" style="22" customWidth="1"/>
    <col min="10" max="10" width="9.54296875" style="22" customWidth="1"/>
    <col min="11" max="16384" width="9.1796875" style="22"/>
  </cols>
  <sheetData>
    <row r="1" spans="1:18" s="1487" customFormat="1" ht="18" customHeight="1">
      <c r="B1" s="1502" t="str">
        <f>company</f>
        <v>_____חברה מנהלת</v>
      </c>
      <c r="C1" s="1488"/>
      <c r="D1" s="642" t="s">
        <v>263</v>
      </c>
    </row>
    <row r="2" spans="1:18" ht="10.5" customHeight="1">
      <c r="B2" s="23"/>
      <c r="C2" s="503"/>
      <c r="L2" s="22" t="str">
        <f>MID(L6,4,2)</f>
        <v>12</v>
      </c>
      <c r="M2" s="22" t="str">
        <f>MID(M6,4,2)</f>
        <v>12</v>
      </c>
    </row>
    <row r="3" spans="1:18" ht="15.5">
      <c r="B3" s="506" t="s">
        <v>4562</v>
      </c>
      <c r="C3" s="503"/>
      <c r="D3" s="503"/>
      <c r="G3" s="1863" t="s">
        <v>4561</v>
      </c>
      <c r="H3" s="1863"/>
      <c r="I3" s="1863"/>
      <c r="J3" s="1863"/>
      <c r="L3" s="1458" t="s">
        <v>4565</v>
      </c>
      <c r="O3" s="22" t="s">
        <v>4566</v>
      </c>
    </row>
    <row r="4" spans="1:18" ht="37.5" customHeight="1">
      <c r="B4" s="507" t="str">
        <f>Information!$C$53</f>
        <v>ד1. נתונים כללים</v>
      </c>
      <c r="C4" s="503"/>
      <c r="D4" s="1864" t="str">
        <f>Date1</f>
        <v>31.12.2021</v>
      </c>
      <c r="E4" s="1864"/>
      <c r="G4" s="1531" t="str">
        <f>Dir1B!D4</f>
        <v>31.12.2020</v>
      </c>
      <c r="H4" s="1531"/>
      <c r="I4" s="1531"/>
      <c r="J4" s="1531" t="str">
        <f>Dir1C!D4</f>
        <v>31.12.2019</v>
      </c>
      <c r="L4" s="1458" t="s">
        <v>4563</v>
      </c>
    </row>
    <row r="5" spans="1:18" ht="12.75" customHeight="1">
      <c r="B5" s="1489"/>
      <c r="C5" s="1859" t="s">
        <v>772</v>
      </c>
      <c r="D5" s="1865" t="s">
        <v>314</v>
      </c>
      <c r="E5" s="1866"/>
      <c r="F5" s="1867" t="s">
        <v>3883</v>
      </c>
      <c r="G5" s="1860" t="s">
        <v>375</v>
      </c>
      <c r="H5" s="1860" t="s">
        <v>4581</v>
      </c>
      <c r="I5" s="1860" t="s">
        <v>4582</v>
      </c>
      <c r="J5" s="1859" t="s">
        <v>4926</v>
      </c>
      <c r="K5" s="1857" t="s">
        <v>1271</v>
      </c>
      <c r="L5" s="1458" t="s">
        <v>4564</v>
      </c>
    </row>
    <row r="6" spans="1:18" ht="62.5" customHeight="1">
      <c r="B6" s="853"/>
      <c r="C6" s="1862"/>
      <c r="D6" s="1486" t="s">
        <v>3884</v>
      </c>
      <c r="E6" s="1486" t="s">
        <v>3885</v>
      </c>
      <c r="F6" s="1868"/>
      <c r="G6" s="1861"/>
      <c r="H6" s="1869"/>
      <c r="I6" s="1869"/>
      <c r="J6" s="1862"/>
      <c r="K6" s="1858"/>
      <c r="L6" s="1538" t="str">
        <f>Dir1B!D4</f>
        <v>31.12.2020</v>
      </c>
      <c r="M6" s="1539" t="str">
        <f>Dir1C!D4</f>
        <v>31.12.2019</v>
      </c>
      <c r="N6" s="1644" t="str">
        <f>CONCATENATE(R6,D4," - ",G4)</f>
        <v>השינוי 31.12.2021 - 31.12.2020</v>
      </c>
      <c r="O6" s="1644" t="str">
        <f>IF(L2&lt;&gt;"12","",CONCATENATE(R6,G4,"-",,J4))</f>
        <v>השינוי 31.12.2020-31.12.2019</v>
      </c>
      <c r="R6" s="22" t="s">
        <v>5017</v>
      </c>
    </row>
    <row r="7" spans="1:18" ht="18" customHeight="1">
      <c r="B7" s="1490"/>
      <c r="C7" s="1491" t="s">
        <v>29</v>
      </c>
      <c r="D7" s="1491" t="s">
        <v>41</v>
      </c>
      <c r="E7" s="1491" t="s">
        <v>63</v>
      </c>
      <c r="F7" s="1491" t="s">
        <v>65</v>
      </c>
      <c r="G7" s="1491" t="s">
        <v>86</v>
      </c>
      <c r="H7" s="1491" t="s">
        <v>88</v>
      </c>
      <c r="I7" s="1491" t="s">
        <v>195</v>
      </c>
      <c r="J7" s="1491" t="s">
        <v>197</v>
      </c>
      <c r="K7" s="1491" t="s">
        <v>199</v>
      </c>
      <c r="L7" s="1540"/>
      <c r="M7" s="1541"/>
      <c r="N7" s="1542"/>
      <c r="O7" s="1542">
        <f>IF($L$2="12",L7-N7,"")</f>
        <v>0</v>
      </c>
    </row>
    <row r="8" spans="1:18" ht="15.5">
      <c r="A8" s="1525">
        <f>ROW()-7</f>
        <v>1</v>
      </c>
      <c r="B8" s="1624" t="s">
        <v>4919</v>
      </c>
      <c r="C8" s="1493">
        <f>SUM(C9:C10)</f>
        <v>0</v>
      </c>
      <c r="D8" s="1493">
        <f t="shared" ref="D8:J8" si="0">SUM(D9:D10)</f>
        <v>0</v>
      </c>
      <c r="E8" s="1493">
        <f t="shared" si="0"/>
        <v>0</v>
      </c>
      <c r="F8" s="1493">
        <f t="shared" si="0"/>
        <v>0</v>
      </c>
      <c r="G8" s="1493">
        <f t="shared" si="0"/>
        <v>0</v>
      </c>
      <c r="H8" s="1493">
        <f t="shared" si="0"/>
        <v>0</v>
      </c>
      <c r="I8" s="1493">
        <f t="shared" si="0"/>
        <v>0</v>
      </c>
      <c r="J8" s="1493">
        <f t="shared" si="0"/>
        <v>0</v>
      </c>
      <c r="K8" s="1494">
        <f>SUM(C8:J8)</f>
        <v>0</v>
      </c>
      <c r="L8" s="1543">
        <f>Dir1B!K8</f>
        <v>0</v>
      </c>
      <c r="M8" s="1544">
        <f>Dir1C!K8</f>
        <v>0</v>
      </c>
      <c r="N8" s="1542">
        <f>K8-L8</f>
        <v>0</v>
      </c>
      <c r="O8" s="1542">
        <f>IF($L$2="12",L8-M8,"")</f>
        <v>0</v>
      </c>
    </row>
    <row r="9" spans="1:18" ht="15.5">
      <c r="A9" s="22">
        <f t="shared" ref="A9:A82" si="1">ROW()-7</f>
        <v>2</v>
      </c>
      <c r="B9" s="1524" t="s">
        <v>4883</v>
      </c>
      <c r="C9" s="1496"/>
      <c r="D9" s="1496"/>
      <c r="E9" s="1496"/>
      <c r="F9" s="1496"/>
      <c r="G9" s="1496"/>
      <c r="H9" s="1496"/>
      <c r="I9" s="1496"/>
      <c r="J9" s="1496"/>
      <c r="K9" s="1494">
        <f t="shared" ref="K9:K23" si="2">SUM(C9:J9)</f>
        <v>0</v>
      </c>
      <c r="L9" s="1543">
        <f>Dir1B!K9</f>
        <v>0</v>
      </c>
      <c r="M9" s="1544">
        <f>Dir1C!K9</f>
        <v>0</v>
      </c>
      <c r="N9" s="1542">
        <f t="shared" ref="N9:N72" si="3">K9-L9</f>
        <v>0</v>
      </c>
      <c r="O9" s="1542">
        <f t="shared" ref="O9:O72" si="4">IF($L$2="12",L9-M9,"")</f>
        <v>0</v>
      </c>
    </row>
    <row r="10" spans="1:18" ht="15.5">
      <c r="A10" s="22">
        <f t="shared" si="1"/>
        <v>3</v>
      </c>
      <c r="B10" s="1524" t="s">
        <v>4884</v>
      </c>
      <c r="C10" s="1496"/>
      <c r="D10" s="1496"/>
      <c r="E10" s="1496"/>
      <c r="F10" s="1496"/>
      <c r="G10" s="1496"/>
      <c r="H10" s="1496"/>
      <c r="I10" s="1496"/>
      <c r="J10" s="1496"/>
      <c r="K10" s="1494">
        <f t="shared" si="2"/>
        <v>0</v>
      </c>
      <c r="L10" s="1543">
        <f>Dir1B!K10</f>
        <v>0</v>
      </c>
      <c r="M10" s="1544">
        <f>Dir1C!K10</f>
        <v>0</v>
      </c>
      <c r="N10" s="1542">
        <f t="shared" si="3"/>
        <v>0</v>
      </c>
      <c r="O10" s="1542">
        <f t="shared" si="4"/>
        <v>0</v>
      </c>
    </row>
    <row r="11" spans="1:18" ht="15.5">
      <c r="A11" s="22">
        <f t="shared" si="1"/>
        <v>4</v>
      </c>
      <c r="B11" s="1524" t="s">
        <v>3895</v>
      </c>
      <c r="C11" s="1493">
        <f>SUM(C12,C16,C20)</f>
        <v>0</v>
      </c>
      <c r="D11" s="1493">
        <f t="shared" ref="D11:K11" si="5">SUM(D12,D16,D20)</f>
        <v>0</v>
      </c>
      <c r="E11" s="1493">
        <f t="shared" si="5"/>
        <v>0</v>
      </c>
      <c r="F11" s="1493">
        <f t="shared" si="5"/>
        <v>0</v>
      </c>
      <c r="G11" s="1493">
        <f t="shared" si="5"/>
        <v>0</v>
      </c>
      <c r="H11" s="1493">
        <f t="shared" si="5"/>
        <v>0</v>
      </c>
      <c r="I11" s="1493">
        <f t="shared" si="5"/>
        <v>0</v>
      </c>
      <c r="J11" s="1493">
        <f t="shared" si="5"/>
        <v>0</v>
      </c>
      <c r="K11" s="1493">
        <f t="shared" si="5"/>
        <v>0</v>
      </c>
      <c r="L11" s="1543">
        <f>Dir1B!K11</f>
        <v>0</v>
      </c>
      <c r="M11" s="1544">
        <f>Dir1C!K11</f>
        <v>0</v>
      </c>
      <c r="N11" s="1542">
        <f t="shared" si="3"/>
        <v>0</v>
      </c>
      <c r="O11" s="1542">
        <f t="shared" si="4"/>
        <v>0</v>
      </c>
    </row>
    <row r="12" spans="1:18" ht="15.5">
      <c r="A12" s="22">
        <f t="shared" si="1"/>
        <v>5</v>
      </c>
      <c r="B12" s="1523" t="s">
        <v>4918</v>
      </c>
      <c r="C12" s="1493">
        <f>SUM(C13:C15)</f>
        <v>0</v>
      </c>
      <c r="D12" s="1493">
        <f t="shared" ref="D12:J12" si="6">SUM(D13:D15)</f>
        <v>0</v>
      </c>
      <c r="E12" s="1493">
        <f t="shared" si="6"/>
        <v>0</v>
      </c>
      <c r="F12" s="1493">
        <f t="shared" si="6"/>
        <v>0</v>
      </c>
      <c r="G12" s="1493">
        <f t="shared" si="6"/>
        <v>0</v>
      </c>
      <c r="H12" s="1493">
        <f t="shared" ref="H12:I12" si="7">SUM(H13:H15)</f>
        <v>0</v>
      </c>
      <c r="I12" s="1493">
        <f t="shared" si="7"/>
        <v>0</v>
      </c>
      <c r="J12" s="1493">
        <f t="shared" si="6"/>
        <v>0</v>
      </c>
      <c r="K12" s="1494">
        <f t="shared" si="2"/>
        <v>0</v>
      </c>
      <c r="L12" s="1543">
        <f>Dir1B!K12</f>
        <v>0</v>
      </c>
      <c r="M12" s="1544">
        <f>Dir1C!K12</f>
        <v>0</v>
      </c>
      <c r="N12" s="1542">
        <f t="shared" si="3"/>
        <v>0</v>
      </c>
      <c r="O12" s="1542">
        <f t="shared" si="4"/>
        <v>0</v>
      </c>
    </row>
    <row r="13" spans="1:18" ht="15.5">
      <c r="A13" s="22">
        <f t="shared" si="1"/>
        <v>6</v>
      </c>
      <c r="B13" s="1522" t="s">
        <v>3886</v>
      </c>
      <c r="C13" s="1496"/>
      <c r="D13" s="1496"/>
      <c r="E13" s="1496"/>
      <c r="F13" s="1496"/>
      <c r="G13" s="1496"/>
      <c r="H13" s="1496"/>
      <c r="I13" s="1496"/>
      <c r="J13" s="1496"/>
      <c r="K13" s="1494">
        <f t="shared" si="2"/>
        <v>0</v>
      </c>
      <c r="L13" s="1543">
        <f>Dir1B!K13</f>
        <v>0</v>
      </c>
      <c r="M13" s="1544">
        <f>Dir1C!K13</f>
        <v>0</v>
      </c>
      <c r="N13" s="1542">
        <f t="shared" si="3"/>
        <v>0</v>
      </c>
      <c r="O13" s="1542">
        <f t="shared" si="4"/>
        <v>0</v>
      </c>
    </row>
    <row r="14" spans="1:18" ht="15.5">
      <c r="A14" s="22">
        <f t="shared" si="1"/>
        <v>7</v>
      </c>
      <c r="B14" s="1522" t="s">
        <v>3887</v>
      </c>
      <c r="C14" s="1496"/>
      <c r="D14" s="1496"/>
      <c r="E14" s="1496"/>
      <c r="F14" s="1496"/>
      <c r="G14" s="1496"/>
      <c r="H14" s="1496"/>
      <c r="I14" s="1496"/>
      <c r="J14" s="1496"/>
      <c r="K14" s="1494">
        <f t="shared" si="2"/>
        <v>0</v>
      </c>
      <c r="L14" s="1543">
        <f>Dir1B!K14</f>
        <v>0</v>
      </c>
      <c r="M14" s="1544">
        <f>Dir1C!K14</f>
        <v>0</v>
      </c>
      <c r="N14" s="1542">
        <f t="shared" si="3"/>
        <v>0</v>
      </c>
      <c r="O14" s="1542">
        <f t="shared" si="4"/>
        <v>0</v>
      </c>
    </row>
    <row r="15" spans="1:18" ht="15.5">
      <c r="A15" s="22">
        <f t="shared" si="1"/>
        <v>8</v>
      </c>
      <c r="B15" s="1522" t="s">
        <v>3888</v>
      </c>
      <c r="C15" s="1496"/>
      <c r="D15" s="1496"/>
      <c r="E15" s="1496"/>
      <c r="F15" s="1496"/>
      <c r="G15" s="1496"/>
      <c r="H15" s="1496"/>
      <c r="I15" s="1496"/>
      <c r="J15" s="1496"/>
      <c r="K15" s="1494">
        <f t="shared" si="2"/>
        <v>0</v>
      </c>
      <c r="L15" s="1543">
        <f>Dir1B!K15</f>
        <v>0</v>
      </c>
      <c r="M15" s="1544">
        <f>Dir1C!K15</f>
        <v>0</v>
      </c>
      <c r="N15" s="1542">
        <f t="shared" si="3"/>
        <v>0</v>
      </c>
      <c r="O15" s="1542">
        <f t="shared" si="4"/>
        <v>0</v>
      </c>
    </row>
    <row r="16" spans="1:18" ht="15.5">
      <c r="A16" s="1525">
        <f>A15+1</f>
        <v>9</v>
      </c>
      <c r="B16" s="1523" t="s">
        <v>4917</v>
      </c>
      <c r="C16" s="1493">
        <f>SUM(C17:C19)</f>
        <v>0</v>
      </c>
      <c r="D16" s="1493">
        <f t="shared" ref="D16:J16" si="8">SUM(D17:D19)</f>
        <v>0</v>
      </c>
      <c r="E16" s="1493">
        <f t="shared" si="8"/>
        <v>0</v>
      </c>
      <c r="F16" s="1493">
        <f t="shared" si="8"/>
        <v>0</v>
      </c>
      <c r="G16" s="1493">
        <f t="shared" si="8"/>
        <v>0</v>
      </c>
      <c r="H16" s="1493">
        <f t="shared" si="8"/>
        <v>0</v>
      </c>
      <c r="I16" s="1493">
        <f t="shared" si="8"/>
        <v>0</v>
      </c>
      <c r="J16" s="1493">
        <f t="shared" si="8"/>
        <v>0</v>
      </c>
      <c r="K16" s="1494">
        <f t="shared" ref="K16:K19" si="9">SUM(C16:J16)</f>
        <v>0</v>
      </c>
      <c r="L16" s="1543">
        <f>Dir1B!K16</f>
        <v>0</v>
      </c>
      <c r="M16" s="1544">
        <f>Dir1C!K16</f>
        <v>0</v>
      </c>
      <c r="N16" s="1542">
        <f t="shared" si="3"/>
        <v>0</v>
      </c>
      <c r="O16" s="1542">
        <f t="shared" si="4"/>
        <v>0</v>
      </c>
    </row>
    <row r="17" spans="1:15" ht="15.5">
      <c r="A17" s="1525">
        <f t="shared" si="1"/>
        <v>10</v>
      </c>
      <c r="B17" s="1522" t="s">
        <v>3886</v>
      </c>
      <c r="C17" s="1496"/>
      <c r="D17" s="1496"/>
      <c r="E17" s="1496"/>
      <c r="F17" s="1496"/>
      <c r="G17" s="1496"/>
      <c r="H17" s="1496"/>
      <c r="I17" s="1496"/>
      <c r="J17" s="1496"/>
      <c r="K17" s="1494">
        <f t="shared" si="9"/>
        <v>0</v>
      </c>
      <c r="L17" s="1543">
        <f>Dir1B!K17</f>
        <v>0</v>
      </c>
      <c r="M17" s="1544">
        <f>Dir1C!K17</f>
        <v>0</v>
      </c>
      <c r="N17" s="1542">
        <f t="shared" si="3"/>
        <v>0</v>
      </c>
      <c r="O17" s="1542">
        <f t="shared" si="4"/>
        <v>0</v>
      </c>
    </row>
    <row r="18" spans="1:15" ht="15.5">
      <c r="A18" s="1525">
        <f t="shared" si="1"/>
        <v>11</v>
      </c>
      <c r="B18" s="1522" t="s">
        <v>3887</v>
      </c>
      <c r="C18" s="1496"/>
      <c r="D18" s="1496"/>
      <c r="E18" s="1496"/>
      <c r="F18" s="1496"/>
      <c r="G18" s="1496"/>
      <c r="H18" s="1496"/>
      <c r="I18" s="1496"/>
      <c r="J18" s="1496"/>
      <c r="K18" s="1494">
        <f t="shared" si="9"/>
        <v>0</v>
      </c>
      <c r="L18" s="1543">
        <f>Dir1B!K18</f>
        <v>0</v>
      </c>
      <c r="M18" s="1544">
        <f>Dir1C!K18</f>
        <v>0</v>
      </c>
      <c r="N18" s="1542">
        <f t="shared" si="3"/>
        <v>0</v>
      </c>
      <c r="O18" s="1542">
        <f t="shared" si="4"/>
        <v>0</v>
      </c>
    </row>
    <row r="19" spans="1:15" ht="15.5">
      <c r="A19" s="1525">
        <f t="shared" si="1"/>
        <v>12</v>
      </c>
      <c r="B19" s="1522" t="s">
        <v>3888</v>
      </c>
      <c r="C19" s="1496"/>
      <c r="D19" s="1496"/>
      <c r="E19" s="1496"/>
      <c r="F19" s="1496"/>
      <c r="G19" s="1496"/>
      <c r="H19" s="1496"/>
      <c r="I19" s="1496"/>
      <c r="J19" s="1496"/>
      <c r="K19" s="1494">
        <f t="shared" si="9"/>
        <v>0</v>
      </c>
      <c r="L19" s="1543">
        <f>Dir1B!K19</f>
        <v>0</v>
      </c>
      <c r="M19" s="1544">
        <f>Dir1C!K19</f>
        <v>0</v>
      </c>
      <c r="N19" s="1542">
        <f t="shared" si="3"/>
        <v>0</v>
      </c>
      <c r="O19" s="1542">
        <f t="shared" si="4"/>
        <v>0</v>
      </c>
    </row>
    <row r="20" spans="1:15" ht="15.5">
      <c r="A20" s="1525">
        <f t="shared" si="1"/>
        <v>13</v>
      </c>
      <c r="B20" s="1523" t="s">
        <v>4916</v>
      </c>
      <c r="C20" s="1493">
        <f>SUM(C21:C23)</f>
        <v>0</v>
      </c>
      <c r="D20" s="1493">
        <f t="shared" ref="D20" si="10">SUM(D21:D23)</f>
        <v>0</v>
      </c>
      <c r="E20" s="1493">
        <f t="shared" ref="E20" si="11">SUM(E21:E23)</f>
        <v>0</v>
      </c>
      <c r="F20" s="1493">
        <f t="shared" ref="F20" si="12">SUM(F21:F23)</f>
        <v>0</v>
      </c>
      <c r="G20" s="1493">
        <f t="shared" ref="G20:I20" si="13">SUM(G21:G23)</f>
        <v>0</v>
      </c>
      <c r="H20" s="1493">
        <f t="shared" si="13"/>
        <v>0</v>
      </c>
      <c r="I20" s="1493">
        <f t="shared" si="13"/>
        <v>0</v>
      </c>
      <c r="J20" s="1493">
        <f t="shared" ref="J20" si="14">SUM(J21:J23)</f>
        <v>0</v>
      </c>
      <c r="K20" s="1494">
        <f t="shared" si="2"/>
        <v>0</v>
      </c>
      <c r="L20" s="1543">
        <f>Dir1B!K20</f>
        <v>0</v>
      </c>
      <c r="M20" s="1544">
        <f>Dir1C!K20</f>
        <v>0</v>
      </c>
      <c r="N20" s="1542">
        <f t="shared" si="3"/>
        <v>0</v>
      </c>
      <c r="O20" s="1542">
        <f t="shared" si="4"/>
        <v>0</v>
      </c>
    </row>
    <row r="21" spans="1:15" ht="15.5">
      <c r="A21" s="1525">
        <f t="shared" si="1"/>
        <v>14</v>
      </c>
      <c r="B21" s="1522" t="s">
        <v>3886</v>
      </c>
      <c r="C21" s="1496"/>
      <c r="D21" s="1496"/>
      <c r="E21" s="1496"/>
      <c r="F21" s="1496"/>
      <c r="G21" s="1496"/>
      <c r="H21" s="1496"/>
      <c r="I21" s="1496"/>
      <c r="J21" s="1496"/>
      <c r="K21" s="1494">
        <f t="shared" si="2"/>
        <v>0</v>
      </c>
      <c r="L21" s="1543">
        <f>Dir1B!K21</f>
        <v>0</v>
      </c>
      <c r="M21" s="1544">
        <f>Dir1C!K21</f>
        <v>0</v>
      </c>
      <c r="N21" s="1542">
        <f t="shared" si="3"/>
        <v>0</v>
      </c>
      <c r="O21" s="1542">
        <f t="shared" si="4"/>
        <v>0</v>
      </c>
    </row>
    <row r="22" spans="1:15" ht="15.5">
      <c r="A22" s="1525">
        <f t="shared" si="1"/>
        <v>15</v>
      </c>
      <c r="B22" s="1522" t="s">
        <v>3887</v>
      </c>
      <c r="C22" s="1496"/>
      <c r="D22" s="1496"/>
      <c r="E22" s="1496"/>
      <c r="F22" s="1496"/>
      <c r="G22" s="1496"/>
      <c r="H22" s="1496"/>
      <c r="I22" s="1496"/>
      <c r="J22" s="1496"/>
      <c r="K22" s="1494">
        <f t="shared" si="2"/>
        <v>0</v>
      </c>
      <c r="L22" s="1543">
        <f>Dir1B!K22</f>
        <v>0</v>
      </c>
      <c r="M22" s="1544">
        <f>Dir1C!K22</f>
        <v>0</v>
      </c>
      <c r="N22" s="1542">
        <f t="shared" si="3"/>
        <v>0</v>
      </c>
      <c r="O22" s="1542">
        <f t="shared" si="4"/>
        <v>0</v>
      </c>
    </row>
    <row r="23" spans="1:15" ht="15.5">
      <c r="A23" s="1525">
        <f t="shared" si="1"/>
        <v>16</v>
      </c>
      <c r="B23" s="1522" t="s">
        <v>3888</v>
      </c>
      <c r="C23" s="1496"/>
      <c r="D23" s="1496"/>
      <c r="E23" s="1496"/>
      <c r="F23" s="1496"/>
      <c r="G23" s="1496"/>
      <c r="H23" s="1496"/>
      <c r="I23" s="1496"/>
      <c r="J23" s="1496"/>
      <c r="K23" s="1494">
        <f t="shared" si="2"/>
        <v>0</v>
      </c>
      <c r="L23" s="1543">
        <f>Dir1B!K23</f>
        <v>0</v>
      </c>
      <c r="M23" s="1544">
        <f>Dir1C!K23</f>
        <v>0</v>
      </c>
      <c r="N23" s="1542">
        <f t="shared" si="3"/>
        <v>0</v>
      </c>
      <c r="O23" s="1542">
        <f t="shared" si="4"/>
        <v>0</v>
      </c>
    </row>
    <row r="24" spans="1:15" ht="15.5">
      <c r="A24" s="22">
        <f t="shared" si="1"/>
        <v>17</v>
      </c>
      <c r="B24" s="1492" t="s">
        <v>5007</v>
      </c>
      <c r="C24" s="1493">
        <f>SUM(C8,C12,C16,C20)</f>
        <v>0</v>
      </c>
      <c r="D24" s="1493">
        <f t="shared" ref="D24:K24" si="15">SUM(D8,D12,D16,D20)</f>
        <v>0</v>
      </c>
      <c r="E24" s="1493">
        <f t="shared" si="15"/>
        <v>0</v>
      </c>
      <c r="F24" s="1493">
        <f t="shared" si="15"/>
        <v>0</v>
      </c>
      <c r="G24" s="1493">
        <f t="shared" si="15"/>
        <v>0</v>
      </c>
      <c r="H24" s="1493">
        <f t="shared" si="15"/>
        <v>0</v>
      </c>
      <c r="I24" s="1493">
        <f t="shared" si="15"/>
        <v>0</v>
      </c>
      <c r="J24" s="1493">
        <f t="shared" si="15"/>
        <v>0</v>
      </c>
      <c r="K24" s="1493">
        <f t="shared" si="15"/>
        <v>0</v>
      </c>
      <c r="L24" s="1543">
        <f>Dir1B!K24</f>
        <v>0</v>
      </c>
      <c r="M24" s="1544">
        <f>Dir1C!K24</f>
        <v>0</v>
      </c>
      <c r="N24" s="1542">
        <f t="shared" si="3"/>
        <v>0</v>
      </c>
      <c r="O24" s="1542">
        <f t="shared" si="4"/>
        <v>0</v>
      </c>
    </row>
    <row r="25" spans="1:15">
      <c r="A25" s="22">
        <f t="shared" si="1"/>
        <v>18</v>
      </c>
      <c r="B25" s="1497"/>
      <c r="C25" s="1498"/>
      <c r="D25" s="1498"/>
      <c r="E25" s="1498"/>
      <c r="F25" s="1498"/>
      <c r="G25" s="1498"/>
      <c r="H25" s="1498"/>
      <c r="I25" s="1498"/>
      <c r="J25" s="1498"/>
      <c r="K25" s="1494"/>
      <c r="L25" s="1543">
        <f>Dir1B!K25</f>
        <v>0</v>
      </c>
      <c r="M25" s="1544">
        <f>Dir1C!K25</f>
        <v>0</v>
      </c>
      <c r="N25" s="1542">
        <f t="shared" si="3"/>
        <v>0</v>
      </c>
      <c r="O25" s="1542">
        <f t="shared" si="4"/>
        <v>0</v>
      </c>
    </row>
    <row r="26" spans="1:15" ht="12.75" customHeight="1">
      <c r="A26" s="22">
        <f t="shared" si="1"/>
        <v>19</v>
      </c>
      <c r="B26" s="1624" t="s">
        <v>4886</v>
      </c>
      <c r="C26" s="1493">
        <f>SUM(C27:C28)</f>
        <v>0</v>
      </c>
      <c r="D26" s="1493">
        <f t="shared" ref="D26" si="16">SUM(D27:D28)</f>
        <v>0</v>
      </c>
      <c r="E26" s="1493">
        <f t="shared" ref="E26" si="17">SUM(E27:E28)</f>
        <v>0</v>
      </c>
      <c r="F26" s="1493">
        <f t="shared" ref="F26" si="18">SUM(F27:F28)</f>
        <v>0</v>
      </c>
      <c r="G26" s="1493">
        <f t="shared" ref="G26:I26" si="19">SUM(G27:G28)</f>
        <v>0</v>
      </c>
      <c r="H26" s="1493">
        <f t="shared" si="19"/>
        <v>0</v>
      </c>
      <c r="I26" s="1493">
        <f t="shared" si="19"/>
        <v>0</v>
      </c>
      <c r="J26" s="1493">
        <f t="shared" ref="J26" si="20">SUM(J27:J28)</f>
        <v>0</v>
      </c>
      <c r="K26" s="1494">
        <f>SUM(C26:J26)</f>
        <v>0</v>
      </c>
      <c r="L26" s="1543">
        <f>Dir1B!K26</f>
        <v>0</v>
      </c>
      <c r="M26" s="1544">
        <f>Dir1C!K26</f>
        <v>0</v>
      </c>
      <c r="N26" s="1542">
        <f t="shared" si="3"/>
        <v>0</v>
      </c>
      <c r="O26" s="1542">
        <f t="shared" si="4"/>
        <v>0</v>
      </c>
    </row>
    <row r="27" spans="1:15" ht="15.5">
      <c r="A27" s="22">
        <f t="shared" si="1"/>
        <v>20</v>
      </c>
      <c r="B27" s="1524" t="s">
        <v>4883</v>
      </c>
      <c r="C27" s="1496"/>
      <c r="D27" s="1496"/>
      <c r="E27" s="1496"/>
      <c r="F27" s="1496"/>
      <c r="G27" s="1496"/>
      <c r="H27" s="1496"/>
      <c r="I27" s="1496"/>
      <c r="J27" s="1496"/>
      <c r="K27" s="1494">
        <f t="shared" ref="K27:K41" si="21">SUM(C27:J27)</f>
        <v>0</v>
      </c>
      <c r="L27" s="1543">
        <f>Dir1B!K27</f>
        <v>0</v>
      </c>
      <c r="M27" s="1544">
        <f>Dir1C!K27</f>
        <v>0</v>
      </c>
      <c r="N27" s="1542">
        <f t="shared" si="3"/>
        <v>0</v>
      </c>
      <c r="O27" s="1542">
        <f t="shared" si="4"/>
        <v>0</v>
      </c>
    </row>
    <row r="28" spans="1:15" ht="15.5">
      <c r="A28" s="22">
        <f t="shared" si="1"/>
        <v>21</v>
      </c>
      <c r="B28" s="1524" t="s">
        <v>4884</v>
      </c>
      <c r="C28" s="1496"/>
      <c r="D28" s="1496"/>
      <c r="E28" s="1496"/>
      <c r="F28" s="1496"/>
      <c r="G28" s="1496"/>
      <c r="H28" s="1496"/>
      <c r="I28" s="1496"/>
      <c r="J28" s="1496"/>
      <c r="K28" s="1494">
        <f t="shared" si="21"/>
        <v>0</v>
      </c>
      <c r="L28" s="1543">
        <f>Dir1B!K28</f>
        <v>0</v>
      </c>
      <c r="M28" s="1544">
        <f>Dir1C!K28</f>
        <v>0</v>
      </c>
      <c r="N28" s="1542">
        <f t="shared" si="3"/>
        <v>0</v>
      </c>
      <c r="O28" s="1542">
        <f t="shared" si="4"/>
        <v>0</v>
      </c>
    </row>
    <row r="29" spans="1:15" ht="15.5">
      <c r="A29" s="22">
        <f t="shared" si="1"/>
        <v>22</v>
      </c>
      <c r="B29" s="1524" t="s">
        <v>3895</v>
      </c>
      <c r="C29" s="1493">
        <f>SUM(C30,C38,C34)</f>
        <v>0</v>
      </c>
      <c r="D29" s="1493">
        <f t="shared" ref="D29:K29" si="22">SUM(D30,D38,D34)</f>
        <v>0</v>
      </c>
      <c r="E29" s="1493">
        <f t="shared" si="22"/>
        <v>0</v>
      </c>
      <c r="F29" s="1493">
        <f t="shared" si="22"/>
        <v>0</v>
      </c>
      <c r="G29" s="1493">
        <f t="shared" si="22"/>
        <v>0</v>
      </c>
      <c r="H29" s="1493">
        <f t="shared" si="22"/>
        <v>0</v>
      </c>
      <c r="I29" s="1493">
        <f t="shared" si="22"/>
        <v>0</v>
      </c>
      <c r="J29" s="1493">
        <f t="shared" si="22"/>
        <v>0</v>
      </c>
      <c r="K29" s="1493">
        <f t="shared" si="22"/>
        <v>0</v>
      </c>
      <c r="L29" s="1543">
        <f>Dir1B!K29</f>
        <v>0</v>
      </c>
      <c r="M29" s="1544">
        <f>Dir1C!K29</f>
        <v>0</v>
      </c>
      <c r="N29" s="1542">
        <f t="shared" si="3"/>
        <v>0</v>
      </c>
      <c r="O29" s="1542">
        <f t="shared" si="4"/>
        <v>0</v>
      </c>
    </row>
    <row r="30" spans="1:15" ht="15.5">
      <c r="A30" s="22">
        <f t="shared" si="1"/>
        <v>23</v>
      </c>
      <c r="B30" s="1629" t="s">
        <v>4918</v>
      </c>
      <c r="C30" s="1493">
        <f>SUM(C31:C33)</f>
        <v>0</v>
      </c>
      <c r="D30" s="1493">
        <f t="shared" ref="D30" si="23">SUM(D31:D33)</f>
        <v>0</v>
      </c>
      <c r="E30" s="1493">
        <f t="shared" ref="E30" si="24">SUM(E31:E33)</f>
        <v>0</v>
      </c>
      <c r="F30" s="1493">
        <f t="shared" ref="F30" si="25">SUM(F31:F33)</f>
        <v>0</v>
      </c>
      <c r="G30" s="1493">
        <f t="shared" ref="G30:I30" si="26">SUM(G31:G33)</f>
        <v>0</v>
      </c>
      <c r="H30" s="1493">
        <f t="shared" si="26"/>
        <v>0</v>
      </c>
      <c r="I30" s="1493">
        <f t="shared" si="26"/>
        <v>0</v>
      </c>
      <c r="J30" s="1493">
        <f t="shared" ref="J30" si="27">SUM(J31:J33)</f>
        <v>0</v>
      </c>
      <c r="K30" s="1494">
        <f t="shared" si="21"/>
        <v>0</v>
      </c>
      <c r="L30" s="1543">
        <f>Dir1B!K30</f>
        <v>0</v>
      </c>
      <c r="M30" s="1544">
        <f>Dir1C!K30</f>
        <v>0</v>
      </c>
      <c r="N30" s="1542">
        <f t="shared" si="3"/>
        <v>0</v>
      </c>
      <c r="O30" s="1542">
        <f t="shared" si="4"/>
        <v>0</v>
      </c>
    </row>
    <row r="31" spans="1:15" ht="15.5">
      <c r="A31" s="22">
        <f t="shared" si="1"/>
        <v>24</v>
      </c>
      <c r="B31" s="1522" t="s">
        <v>3886</v>
      </c>
      <c r="C31" s="1496"/>
      <c r="D31" s="1496"/>
      <c r="E31" s="1496"/>
      <c r="F31" s="1496"/>
      <c r="G31" s="1496"/>
      <c r="H31" s="1496"/>
      <c r="I31" s="1496"/>
      <c r="J31" s="1496"/>
      <c r="K31" s="1494">
        <f t="shared" si="21"/>
        <v>0</v>
      </c>
      <c r="L31" s="1543">
        <f>Dir1B!K31</f>
        <v>0</v>
      </c>
      <c r="M31" s="1544">
        <f>Dir1C!K31</f>
        <v>0</v>
      </c>
      <c r="N31" s="1542">
        <f t="shared" si="3"/>
        <v>0</v>
      </c>
      <c r="O31" s="1542">
        <f t="shared" si="4"/>
        <v>0</v>
      </c>
    </row>
    <row r="32" spans="1:15" ht="15.5">
      <c r="A32" s="22">
        <f t="shared" si="1"/>
        <v>25</v>
      </c>
      <c r="B32" s="1522" t="s">
        <v>3887</v>
      </c>
      <c r="C32" s="1496"/>
      <c r="D32" s="1496"/>
      <c r="E32" s="1496"/>
      <c r="F32" s="1496"/>
      <c r="G32" s="1496"/>
      <c r="H32" s="1496"/>
      <c r="I32" s="1496"/>
      <c r="J32" s="1496"/>
      <c r="K32" s="1494">
        <f t="shared" si="21"/>
        <v>0</v>
      </c>
      <c r="L32" s="1543">
        <f>Dir1B!K32</f>
        <v>0</v>
      </c>
      <c r="M32" s="1544">
        <f>Dir1C!K32</f>
        <v>0</v>
      </c>
      <c r="N32" s="1542">
        <f t="shared" si="3"/>
        <v>0</v>
      </c>
      <c r="O32" s="1542">
        <f t="shared" si="4"/>
        <v>0</v>
      </c>
    </row>
    <row r="33" spans="1:15" ht="15.5">
      <c r="A33" s="22">
        <f t="shared" si="1"/>
        <v>26</v>
      </c>
      <c r="B33" s="1522" t="s">
        <v>3888</v>
      </c>
      <c r="C33" s="1496"/>
      <c r="D33" s="1496"/>
      <c r="E33" s="1496"/>
      <c r="F33" s="1496"/>
      <c r="G33" s="1496"/>
      <c r="H33" s="1496"/>
      <c r="I33" s="1496"/>
      <c r="J33" s="1496"/>
      <c r="K33" s="1494">
        <f t="shared" si="21"/>
        <v>0</v>
      </c>
      <c r="L33" s="1543">
        <f>Dir1B!K33</f>
        <v>0</v>
      </c>
      <c r="M33" s="1544">
        <f>Dir1C!K33</f>
        <v>0</v>
      </c>
      <c r="N33" s="1542">
        <f t="shared" si="3"/>
        <v>0</v>
      </c>
      <c r="O33" s="1542">
        <f t="shared" si="4"/>
        <v>0</v>
      </c>
    </row>
    <row r="34" spans="1:15" ht="15.5">
      <c r="A34" s="1625">
        <f>A33+1</f>
        <v>27</v>
      </c>
      <c r="B34" s="1629" t="s">
        <v>4917</v>
      </c>
      <c r="C34" s="1493">
        <f>SUM(C35:C37)</f>
        <v>0</v>
      </c>
      <c r="D34" s="1493">
        <f t="shared" ref="D34:J34" si="28">SUM(D35:D37)</f>
        <v>0</v>
      </c>
      <c r="E34" s="1493">
        <f t="shared" si="28"/>
        <v>0</v>
      </c>
      <c r="F34" s="1493">
        <f t="shared" si="28"/>
        <v>0</v>
      </c>
      <c r="G34" s="1493">
        <f t="shared" si="28"/>
        <v>0</v>
      </c>
      <c r="H34" s="1493">
        <f t="shared" si="28"/>
        <v>0</v>
      </c>
      <c r="I34" s="1493">
        <f t="shared" si="28"/>
        <v>0</v>
      </c>
      <c r="J34" s="1493">
        <f t="shared" si="28"/>
        <v>0</v>
      </c>
      <c r="K34" s="1494">
        <f t="shared" ref="K34:K37" si="29">SUM(C34:J34)</f>
        <v>0</v>
      </c>
      <c r="L34" s="1543">
        <f>Dir1B!K34</f>
        <v>0</v>
      </c>
      <c r="M34" s="1544">
        <f>Dir1C!K34</f>
        <v>0</v>
      </c>
      <c r="N34" s="1542">
        <f t="shared" si="3"/>
        <v>0</v>
      </c>
      <c r="O34" s="1542">
        <f t="shared" si="4"/>
        <v>0</v>
      </c>
    </row>
    <row r="35" spans="1:15" ht="15.5">
      <c r="A35" s="1625">
        <f t="shared" ref="A35:A39" si="30">A34+1</f>
        <v>28</v>
      </c>
      <c r="B35" s="1522" t="s">
        <v>3886</v>
      </c>
      <c r="C35" s="1496"/>
      <c r="D35" s="1496"/>
      <c r="E35" s="1496"/>
      <c r="F35" s="1496"/>
      <c r="G35" s="1496"/>
      <c r="H35" s="1496"/>
      <c r="I35" s="1496"/>
      <c r="J35" s="1496"/>
      <c r="K35" s="1494">
        <f t="shared" si="29"/>
        <v>0</v>
      </c>
      <c r="L35" s="1543">
        <f>Dir1B!K35</f>
        <v>0</v>
      </c>
      <c r="M35" s="1544">
        <f>Dir1C!K35</f>
        <v>0</v>
      </c>
      <c r="N35" s="1542">
        <f t="shared" si="3"/>
        <v>0</v>
      </c>
      <c r="O35" s="1542">
        <f t="shared" si="4"/>
        <v>0</v>
      </c>
    </row>
    <row r="36" spans="1:15" ht="15.5">
      <c r="A36" s="1625">
        <f t="shared" si="30"/>
        <v>29</v>
      </c>
      <c r="B36" s="1522" t="s">
        <v>3887</v>
      </c>
      <c r="C36" s="1496"/>
      <c r="D36" s="1496"/>
      <c r="E36" s="1496"/>
      <c r="F36" s="1496"/>
      <c r="G36" s="1496"/>
      <c r="H36" s="1496"/>
      <c r="I36" s="1496"/>
      <c r="J36" s="1496"/>
      <c r="K36" s="1494">
        <f t="shared" si="29"/>
        <v>0</v>
      </c>
      <c r="L36" s="1543">
        <f>Dir1B!K36</f>
        <v>0</v>
      </c>
      <c r="M36" s="1544">
        <f>Dir1C!K36</f>
        <v>0</v>
      </c>
      <c r="N36" s="1542">
        <f t="shared" si="3"/>
        <v>0</v>
      </c>
      <c r="O36" s="1542">
        <f t="shared" si="4"/>
        <v>0</v>
      </c>
    </row>
    <row r="37" spans="1:15" ht="15.5">
      <c r="A37" s="1625">
        <f t="shared" si="30"/>
        <v>30</v>
      </c>
      <c r="B37" s="1522" t="s">
        <v>3888</v>
      </c>
      <c r="C37" s="1496"/>
      <c r="D37" s="1496"/>
      <c r="E37" s="1496"/>
      <c r="F37" s="1496"/>
      <c r="G37" s="1496"/>
      <c r="H37" s="1496"/>
      <c r="I37" s="1496"/>
      <c r="J37" s="1496"/>
      <c r="K37" s="1494">
        <f t="shared" si="29"/>
        <v>0</v>
      </c>
      <c r="L37" s="1543">
        <f>Dir1B!K37</f>
        <v>0</v>
      </c>
      <c r="M37" s="1544">
        <f>Dir1C!K37</f>
        <v>0</v>
      </c>
      <c r="N37" s="1542">
        <f t="shared" si="3"/>
        <v>0</v>
      </c>
      <c r="O37" s="1542">
        <f t="shared" si="4"/>
        <v>0</v>
      </c>
    </row>
    <row r="38" spans="1:15" ht="15.5">
      <c r="A38" s="1625">
        <f t="shared" si="30"/>
        <v>31</v>
      </c>
      <c r="B38" s="1629" t="s">
        <v>4916</v>
      </c>
      <c r="C38" s="1493">
        <f>SUM(C39:C41)</f>
        <v>0</v>
      </c>
      <c r="D38" s="1493">
        <f t="shared" ref="D38" si="31">SUM(D39:D41)</f>
        <v>0</v>
      </c>
      <c r="E38" s="1493">
        <f t="shared" ref="E38" si="32">SUM(E39:E41)</f>
        <v>0</v>
      </c>
      <c r="F38" s="1493">
        <f t="shared" ref="F38" si="33">SUM(F39:F41)</f>
        <v>0</v>
      </c>
      <c r="G38" s="1493">
        <f t="shared" ref="G38:I38" si="34">SUM(G39:G41)</f>
        <v>0</v>
      </c>
      <c r="H38" s="1493">
        <f t="shared" si="34"/>
        <v>0</v>
      </c>
      <c r="I38" s="1493">
        <f t="shared" si="34"/>
        <v>0</v>
      </c>
      <c r="J38" s="1493">
        <f t="shared" ref="J38" si="35">SUM(J39:J41)</f>
        <v>0</v>
      </c>
      <c r="K38" s="1494">
        <f t="shared" si="21"/>
        <v>0</v>
      </c>
      <c r="L38" s="1543">
        <f>Dir1B!K38</f>
        <v>0</v>
      </c>
      <c r="M38" s="1544">
        <f>Dir1C!K38</f>
        <v>0</v>
      </c>
      <c r="N38" s="1542">
        <f t="shared" si="3"/>
        <v>0</v>
      </c>
      <c r="O38" s="1542">
        <f t="shared" si="4"/>
        <v>0</v>
      </c>
    </row>
    <row r="39" spans="1:15" ht="15.5">
      <c r="A39" s="1625">
        <f t="shared" si="30"/>
        <v>32</v>
      </c>
      <c r="B39" s="1522" t="s">
        <v>3886</v>
      </c>
      <c r="C39" s="1496"/>
      <c r="D39" s="1496"/>
      <c r="E39" s="1496"/>
      <c r="F39" s="1496"/>
      <c r="G39" s="1496"/>
      <c r="H39" s="1496"/>
      <c r="I39" s="1496"/>
      <c r="J39" s="1496"/>
      <c r="K39" s="1494">
        <f t="shared" si="21"/>
        <v>0</v>
      </c>
      <c r="L39" s="1543">
        <f>Dir1B!K39</f>
        <v>0</v>
      </c>
      <c r="M39" s="1544">
        <f>Dir1C!K39</f>
        <v>0</v>
      </c>
      <c r="N39" s="1542">
        <f t="shared" si="3"/>
        <v>0</v>
      </c>
      <c r="O39" s="1542">
        <f t="shared" si="4"/>
        <v>0</v>
      </c>
    </row>
    <row r="40" spans="1:15" ht="15.5">
      <c r="A40" s="1625">
        <f t="shared" si="1"/>
        <v>33</v>
      </c>
      <c r="B40" s="1522" t="s">
        <v>3887</v>
      </c>
      <c r="C40" s="1496"/>
      <c r="D40" s="1496"/>
      <c r="E40" s="1496"/>
      <c r="F40" s="1496"/>
      <c r="G40" s="1496"/>
      <c r="H40" s="1496"/>
      <c r="I40" s="1496"/>
      <c r="J40" s="1496"/>
      <c r="K40" s="1494">
        <f t="shared" si="21"/>
        <v>0</v>
      </c>
      <c r="L40" s="1543">
        <f>Dir1B!K40</f>
        <v>0</v>
      </c>
      <c r="M40" s="1544">
        <f>Dir1C!K40</f>
        <v>0</v>
      </c>
      <c r="N40" s="1542">
        <f t="shared" si="3"/>
        <v>0</v>
      </c>
      <c r="O40" s="1542">
        <f t="shared" si="4"/>
        <v>0</v>
      </c>
    </row>
    <row r="41" spans="1:15" ht="15.5">
      <c r="A41" s="1625">
        <f t="shared" si="1"/>
        <v>34</v>
      </c>
      <c r="B41" s="1522" t="s">
        <v>3888</v>
      </c>
      <c r="C41" s="1496"/>
      <c r="D41" s="1496"/>
      <c r="E41" s="1496"/>
      <c r="F41" s="1496"/>
      <c r="G41" s="1496"/>
      <c r="H41" s="1496"/>
      <c r="I41" s="1496"/>
      <c r="J41" s="1496"/>
      <c r="K41" s="1494">
        <f t="shared" si="21"/>
        <v>0</v>
      </c>
      <c r="L41" s="1543">
        <f>Dir1B!K41</f>
        <v>0</v>
      </c>
      <c r="M41" s="1544">
        <f>Dir1C!K41</f>
        <v>0</v>
      </c>
      <c r="N41" s="1542">
        <f t="shared" si="3"/>
        <v>0</v>
      </c>
      <c r="O41" s="1542">
        <f t="shared" si="4"/>
        <v>0</v>
      </c>
    </row>
    <row r="42" spans="1:15" ht="15.5">
      <c r="A42" s="22">
        <f t="shared" si="1"/>
        <v>35</v>
      </c>
      <c r="B42" s="1492" t="s">
        <v>4904</v>
      </c>
      <c r="C42" s="1493">
        <f>SUM(C26,C30,C38,C34)</f>
        <v>0</v>
      </c>
      <c r="D42" s="1493">
        <f t="shared" ref="D42:K42" si="36">SUM(D26,D30,D38,D34)</f>
        <v>0</v>
      </c>
      <c r="E42" s="1493">
        <f t="shared" si="36"/>
        <v>0</v>
      </c>
      <c r="F42" s="1493">
        <f t="shared" si="36"/>
        <v>0</v>
      </c>
      <c r="G42" s="1493">
        <f t="shared" si="36"/>
        <v>0</v>
      </c>
      <c r="H42" s="1493">
        <f t="shared" si="36"/>
        <v>0</v>
      </c>
      <c r="I42" s="1493">
        <f t="shared" si="36"/>
        <v>0</v>
      </c>
      <c r="J42" s="1493">
        <f t="shared" si="36"/>
        <v>0</v>
      </c>
      <c r="K42" s="1493">
        <f t="shared" si="36"/>
        <v>0</v>
      </c>
      <c r="L42" s="1543">
        <f>Dir1B!K42</f>
        <v>0</v>
      </c>
      <c r="M42" s="1544">
        <f>Dir1C!K42</f>
        <v>0</v>
      </c>
      <c r="N42" s="1542">
        <f t="shared" si="3"/>
        <v>0</v>
      </c>
      <c r="O42" s="1542">
        <f t="shared" si="4"/>
        <v>0</v>
      </c>
    </row>
    <row r="43" spans="1:15" ht="15.5">
      <c r="A43" s="22">
        <f t="shared" si="1"/>
        <v>36</v>
      </c>
      <c r="B43" s="1492"/>
      <c r="C43" s="1498"/>
      <c r="D43" s="1498"/>
      <c r="E43" s="1498"/>
      <c r="F43" s="1498"/>
      <c r="G43" s="1498"/>
      <c r="H43" s="1498"/>
      <c r="I43" s="1498"/>
      <c r="J43" s="1498"/>
      <c r="K43" s="1494"/>
      <c r="L43" s="1543">
        <f>Dir1B!K43</f>
        <v>0</v>
      </c>
      <c r="M43" s="1544">
        <f>Dir1C!K43</f>
        <v>0</v>
      </c>
      <c r="N43" s="1542">
        <f t="shared" si="3"/>
        <v>0</v>
      </c>
      <c r="O43" s="1542">
        <f t="shared" si="4"/>
        <v>0</v>
      </c>
    </row>
    <row r="44" spans="1:15" ht="15.5">
      <c r="A44" s="22">
        <f t="shared" si="1"/>
        <v>37</v>
      </c>
      <c r="B44" s="1624" t="s">
        <v>3902</v>
      </c>
      <c r="C44" s="1498"/>
      <c r="D44" s="1498"/>
      <c r="E44" s="1498"/>
      <c r="F44" s="1498"/>
      <c r="G44" s="1498"/>
      <c r="H44" s="1498"/>
      <c r="I44" s="1498"/>
      <c r="J44" s="1498"/>
      <c r="K44" s="1494"/>
      <c r="L44" s="1543">
        <f>Dir1B!K44</f>
        <v>0</v>
      </c>
      <c r="M44" s="1544">
        <f>Dir1C!K44</f>
        <v>0</v>
      </c>
      <c r="N44" s="1542">
        <f t="shared" si="3"/>
        <v>0</v>
      </c>
      <c r="O44" s="1542">
        <f t="shared" si="4"/>
        <v>0</v>
      </c>
    </row>
    <row r="45" spans="1:15" ht="14">
      <c r="A45" s="22">
        <f t="shared" si="1"/>
        <v>38</v>
      </c>
      <c r="B45" s="1499" t="s">
        <v>4887</v>
      </c>
      <c r="C45" s="1496"/>
      <c r="D45" s="1496"/>
      <c r="E45" s="1496"/>
      <c r="F45" s="1496"/>
      <c r="G45" s="1496"/>
      <c r="H45" s="1496"/>
      <c r="I45" s="1496"/>
      <c r="J45" s="1496"/>
      <c r="K45" s="1494">
        <f t="shared" ref="K45:K52" si="37">SUM(C45:J45)</f>
        <v>0</v>
      </c>
      <c r="L45" s="1543">
        <f>Dir1B!K45</f>
        <v>0</v>
      </c>
      <c r="M45" s="1544">
        <f>Dir1C!K45</f>
        <v>0</v>
      </c>
      <c r="N45" s="1542">
        <f t="shared" si="3"/>
        <v>0</v>
      </c>
      <c r="O45" s="1542">
        <f t="shared" si="4"/>
        <v>0</v>
      </c>
    </row>
    <row r="46" spans="1:15" ht="14">
      <c r="A46" s="22">
        <f t="shared" si="1"/>
        <v>39</v>
      </c>
      <c r="B46" s="1499" t="s">
        <v>3889</v>
      </c>
      <c r="C46" s="1496"/>
      <c r="D46" s="1496"/>
      <c r="E46" s="1496"/>
      <c r="F46" s="1496"/>
      <c r="G46" s="1496"/>
      <c r="H46" s="1496"/>
      <c r="I46" s="1496"/>
      <c r="J46" s="1496"/>
      <c r="K46" s="1494">
        <f t="shared" si="37"/>
        <v>0</v>
      </c>
      <c r="L46" s="1543">
        <f>Dir1B!K46</f>
        <v>0</v>
      </c>
      <c r="M46" s="1544">
        <f>Dir1C!K46</f>
        <v>0</v>
      </c>
      <c r="N46" s="1542">
        <f t="shared" si="3"/>
        <v>0</v>
      </c>
      <c r="O46" s="1542">
        <f t="shared" si="4"/>
        <v>0</v>
      </c>
    </row>
    <row r="47" spans="1:15" ht="14">
      <c r="A47" s="22">
        <f t="shared" si="1"/>
        <v>40</v>
      </c>
      <c r="B47" s="1558" t="s">
        <v>4583</v>
      </c>
      <c r="C47" s="1496"/>
      <c r="D47" s="1496"/>
      <c r="E47" s="1496"/>
      <c r="F47" s="1496"/>
      <c r="G47" s="1496"/>
      <c r="H47" s="1496"/>
      <c r="I47" s="1496"/>
      <c r="J47" s="1496"/>
      <c r="K47" s="1494">
        <f t="shared" ref="K47" si="38">SUM(C47:J47)</f>
        <v>0</v>
      </c>
      <c r="L47" s="1543">
        <f>Dir1B!K47</f>
        <v>0</v>
      </c>
      <c r="M47" s="1544">
        <f>Dir1C!K47</f>
        <v>0</v>
      </c>
      <c r="N47" s="1542">
        <f t="shared" si="3"/>
        <v>0</v>
      </c>
      <c r="O47" s="1542">
        <f t="shared" si="4"/>
        <v>0</v>
      </c>
    </row>
    <row r="48" spans="1:15" ht="14">
      <c r="A48" s="22">
        <f t="shared" si="1"/>
        <v>41</v>
      </c>
      <c r="B48" s="1499" t="s">
        <v>3890</v>
      </c>
      <c r="C48" s="1496"/>
      <c r="D48" s="1496"/>
      <c r="E48" s="1496"/>
      <c r="F48" s="1496"/>
      <c r="G48" s="1496"/>
      <c r="H48" s="1496"/>
      <c r="I48" s="1496"/>
      <c r="J48" s="1496"/>
      <c r="K48" s="1494">
        <f t="shared" si="37"/>
        <v>0</v>
      </c>
      <c r="L48" s="1543">
        <f>Dir1B!K48</f>
        <v>0</v>
      </c>
      <c r="M48" s="1544">
        <f>Dir1C!K48</f>
        <v>0</v>
      </c>
      <c r="N48" s="1542">
        <f t="shared" si="3"/>
        <v>0</v>
      </c>
      <c r="O48" s="1542">
        <f t="shared" si="4"/>
        <v>0</v>
      </c>
    </row>
    <row r="49" spans="1:15" ht="14">
      <c r="A49" s="22">
        <f t="shared" si="1"/>
        <v>42</v>
      </c>
      <c r="B49" s="1499" t="s">
        <v>3891</v>
      </c>
      <c r="C49" s="1496"/>
      <c r="D49" s="1496"/>
      <c r="E49" s="1496"/>
      <c r="F49" s="1496"/>
      <c r="G49" s="1496"/>
      <c r="H49" s="1496"/>
      <c r="I49" s="1496"/>
      <c r="J49" s="1496"/>
      <c r="K49" s="1494">
        <f t="shared" si="37"/>
        <v>0</v>
      </c>
      <c r="L49" s="1543">
        <f>Dir1B!K49</f>
        <v>0</v>
      </c>
      <c r="M49" s="1544">
        <f>Dir1C!K49</f>
        <v>0</v>
      </c>
      <c r="N49" s="1542">
        <f t="shared" si="3"/>
        <v>0</v>
      </c>
      <c r="O49" s="1542">
        <f t="shared" si="4"/>
        <v>0</v>
      </c>
    </row>
    <row r="50" spans="1:15" ht="15.5">
      <c r="A50" s="22">
        <f t="shared" si="1"/>
        <v>43</v>
      </c>
      <c r="B50" s="1624" t="s">
        <v>4924</v>
      </c>
      <c r="C50" s="1493">
        <f>SUM(C51:C52,C65)</f>
        <v>0</v>
      </c>
      <c r="D50" s="1493">
        <f t="shared" ref="D50:K50" si="39">SUM(D51:D52,D65)</f>
        <v>0</v>
      </c>
      <c r="E50" s="1493">
        <f t="shared" si="39"/>
        <v>0</v>
      </c>
      <c r="F50" s="1493">
        <f t="shared" si="39"/>
        <v>0</v>
      </c>
      <c r="G50" s="1493">
        <f t="shared" si="39"/>
        <v>0</v>
      </c>
      <c r="H50" s="1493">
        <f t="shared" si="39"/>
        <v>0</v>
      </c>
      <c r="I50" s="1493">
        <f t="shared" si="39"/>
        <v>0</v>
      </c>
      <c r="J50" s="1493">
        <f t="shared" si="39"/>
        <v>0</v>
      </c>
      <c r="K50" s="1493">
        <f t="shared" si="39"/>
        <v>0</v>
      </c>
      <c r="L50" s="1543">
        <f>Dir1B!K50</f>
        <v>0</v>
      </c>
      <c r="M50" s="1544">
        <f>Dir1C!K50</f>
        <v>0</v>
      </c>
      <c r="N50" s="1542">
        <f t="shared" si="3"/>
        <v>0</v>
      </c>
      <c r="O50" s="1542">
        <f t="shared" si="4"/>
        <v>0</v>
      </c>
    </row>
    <row r="51" spans="1:15">
      <c r="A51" s="22">
        <f t="shared" si="1"/>
        <v>44</v>
      </c>
      <c r="B51" s="1495" t="s">
        <v>1117</v>
      </c>
      <c r="C51" s="1496"/>
      <c r="D51" s="1496"/>
      <c r="E51" s="1496"/>
      <c r="F51" s="1496"/>
      <c r="G51" s="1496"/>
      <c r="H51" s="1496"/>
      <c r="I51" s="1496"/>
      <c r="J51" s="1496"/>
      <c r="K51" s="1494">
        <f t="shared" si="37"/>
        <v>0</v>
      </c>
      <c r="L51" s="1543">
        <f>Dir1B!K51</f>
        <v>0</v>
      </c>
      <c r="M51" s="1544">
        <f>Dir1C!K51</f>
        <v>0</v>
      </c>
      <c r="N51" s="1542">
        <f t="shared" si="3"/>
        <v>0</v>
      </c>
      <c r="O51" s="1542">
        <f t="shared" si="4"/>
        <v>0</v>
      </c>
    </row>
    <row r="52" spans="1:15">
      <c r="A52" s="22">
        <f t="shared" si="1"/>
        <v>45</v>
      </c>
      <c r="B52" s="1495" t="s">
        <v>233</v>
      </c>
      <c r="C52" s="1496"/>
      <c r="D52" s="1496"/>
      <c r="E52" s="1496"/>
      <c r="F52" s="1496"/>
      <c r="G52" s="1496"/>
      <c r="H52" s="1496"/>
      <c r="I52" s="1496"/>
      <c r="J52" s="1496"/>
      <c r="K52" s="1494">
        <f t="shared" si="37"/>
        <v>0</v>
      </c>
      <c r="L52" s="1543">
        <f>Dir1B!K52</f>
        <v>0</v>
      </c>
      <c r="M52" s="1544">
        <f>Dir1C!K52</f>
        <v>0</v>
      </c>
      <c r="N52" s="1542">
        <f t="shared" si="3"/>
        <v>0</v>
      </c>
      <c r="O52" s="1542">
        <f t="shared" si="4"/>
        <v>0</v>
      </c>
    </row>
    <row r="53" spans="1:15" ht="14">
      <c r="A53" s="22">
        <f t="shared" si="1"/>
        <v>46</v>
      </c>
      <c r="B53" s="1628" t="s">
        <v>4920</v>
      </c>
      <c r="C53" s="1493">
        <f>SUM(C54:C56)</f>
        <v>0</v>
      </c>
      <c r="D53" s="1493">
        <f t="shared" ref="D53" si="40">SUM(D54:D56)</f>
        <v>0</v>
      </c>
      <c r="E53" s="1493">
        <f t="shared" ref="E53" si="41">SUM(E54:E56)</f>
        <v>0</v>
      </c>
      <c r="F53" s="1493">
        <f t="shared" ref="F53" si="42">SUM(F54:F56)</f>
        <v>0</v>
      </c>
      <c r="G53" s="1493">
        <f t="shared" ref="G53:I53" si="43">SUM(G54:G56)</f>
        <v>0</v>
      </c>
      <c r="H53" s="1493">
        <f t="shared" si="43"/>
        <v>0</v>
      </c>
      <c r="I53" s="1493">
        <f t="shared" si="43"/>
        <v>0</v>
      </c>
      <c r="J53" s="1493">
        <f t="shared" ref="J53" si="44">SUM(J54:J56)</f>
        <v>0</v>
      </c>
      <c r="K53" s="1494">
        <f t="shared" ref="K53:K64" si="45">SUM(C53:J53)</f>
        <v>0</v>
      </c>
      <c r="L53" s="1543">
        <f>Dir1B!K53</f>
        <v>0</v>
      </c>
      <c r="M53" s="1544">
        <f>Dir1C!K53</f>
        <v>0</v>
      </c>
      <c r="N53" s="1542">
        <f t="shared" si="3"/>
        <v>0</v>
      </c>
      <c r="O53" s="1542">
        <f t="shared" si="4"/>
        <v>0</v>
      </c>
    </row>
    <row r="54" spans="1:15">
      <c r="A54" s="22">
        <f t="shared" si="1"/>
        <v>47</v>
      </c>
      <c r="B54" s="1495" t="s">
        <v>3892</v>
      </c>
      <c r="C54" s="1496"/>
      <c r="D54" s="1496"/>
      <c r="E54" s="1496"/>
      <c r="F54" s="1496"/>
      <c r="G54" s="1496"/>
      <c r="H54" s="1496"/>
      <c r="I54" s="1496"/>
      <c r="J54" s="1496"/>
      <c r="K54" s="1494">
        <f t="shared" si="45"/>
        <v>0</v>
      </c>
      <c r="L54" s="1543">
        <f>Dir1B!K54</f>
        <v>0</v>
      </c>
      <c r="M54" s="1544">
        <f>Dir1C!K54</f>
        <v>0</v>
      </c>
      <c r="N54" s="1542">
        <f t="shared" si="3"/>
        <v>0</v>
      </c>
      <c r="O54" s="1542">
        <f t="shared" si="4"/>
        <v>0</v>
      </c>
    </row>
    <row r="55" spans="1:15">
      <c r="A55" s="22">
        <f t="shared" si="1"/>
        <v>48</v>
      </c>
      <c r="B55" s="1495" t="s">
        <v>3893</v>
      </c>
      <c r="C55" s="1496"/>
      <c r="D55" s="1496"/>
      <c r="E55" s="1496"/>
      <c r="F55" s="1496"/>
      <c r="G55" s="1496"/>
      <c r="H55" s="1496"/>
      <c r="I55" s="1496"/>
      <c r="J55" s="1496"/>
      <c r="K55" s="1494">
        <f t="shared" si="45"/>
        <v>0</v>
      </c>
      <c r="L55" s="1543">
        <f>Dir1B!K55</f>
        <v>0</v>
      </c>
      <c r="M55" s="1544">
        <f>Dir1C!K55</f>
        <v>0</v>
      </c>
      <c r="N55" s="1542">
        <f t="shared" si="3"/>
        <v>0</v>
      </c>
      <c r="O55" s="1542">
        <f t="shared" si="4"/>
        <v>0</v>
      </c>
    </row>
    <row r="56" spans="1:15">
      <c r="A56" s="22">
        <f t="shared" si="1"/>
        <v>49</v>
      </c>
      <c r="B56" s="1495" t="s">
        <v>3894</v>
      </c>
      <c r="C56" s="1496"/>
      <c r="D56" s="1496"/>
      <c r="E56" s="1496"/>
      <c r="F56" s="1496"/>
      <c r="G56" s="1496"/>
      <c r="H56" s="1496"/>
      <c r="I56" s="1496"/>
      <c r="J56" s="1496"/>
      <c r="K56" s="1494">
        <f t="shared" si="45"/>
        <v>0</v>
      </c>
      <c r="L56" s="1543">
        <f>Dir1B!K56</f>
        <v>0</v>
      </c>
      <c r="M56" s="1544">
        <f>Dir1C!K56</f>
        <v>0</v>
      </c>
      <c r="N56" s="1542">
        <f t="shared" si="3"/>
        <v>0</v>
      </c>
      <c r="O56" s="1542">
        <f t="shared" si="4"/>
        <v>0</v>
      </c>
    </row>
    <row r="57" spans="1:15" ht="14">
      <c r="A57" s="1625">
        <f t="shared" si="1"/>
        <v>50</v>
      </c>
      <c r="B57" s="1628" t="s">
        <v>4921</v>
      </c>
      <c r="C57" s="1493">
        <f>SUM(C58:C60)</f>
        <v>0</v>
      </c>
      <c r="D57" s="1493">
        <f t="shared" ref="D57:J57" si="46">SUM(D58:D60)</f>
        <v>0</v>
      </c>
      <c r="E57" s="1493">
        <f t="shared" si="46"/>
        <v>0</v>
      </c>
      <c r="F57" s="1493">
        <f t="shared" si="46"/>
        <v>0</v>
      </c>
      <c r="G57" s="1493">
        <f t="shared" si="46"/>
        <v>0</v>
      </c>
      <c r="H57" s="1493">
        <f t="shared" si="46"/>
        <v>0</v>
      </c>
      <c r="I57" s="1493">
        <f t="shared" si="46"/>
        <v>0</v>
      </c>
      <c r="J57" s="1493">
        <f t="shared" si="46"/>
        <v>0</v>
      </c>
      <c r="K57" s="1494">
        <f t="shared" ref="K57:K60" si="47">SUM(C57:J57)</f>
        <v>0</v>
      </c>
      <c r="L57" s="1543">
        <f>Dir1B!K57</f>
        <v>0</v>
      </c>
      <c r="M57" s="1544">
        <f>Dir1C!K57</f>
        <v>0</v>
      </c>
      <c r="N57" s="1542">
        <f t="shared" si="3"/>
        <v>0</v>
      </c>
      <c r="O57" s="1542">
        <f t="shared" si="4"/>
        <v>0</v>
      </c>
    </row>
    <row r="58" spans="1:15">
      <c r="A58" s="1625">
        <f t="shared" si="1"/>
        <v>51</v>
      </c>
      <c r="B58" s="1495" t="s">
        <v>3892</v>
      </c>
      <c r="C58" s="1496"/>
      <c r="D58" s="1496"/>
      <c r="E58" s="1496"/>
      <c r="F58" s="1496"/>
      <c r="G58" s="1496"/>
      <c r="H58" s="1496"/>
      <c r="I58" s="1496"/>
      <c r="J58" s="1496"/>
      <c r="K58" s="1494">
        <f t="shared" si="47"/>
        <v>0</v>
      </c>
      <c r="L58" s="1543">
        <f>Dir1B!K58</f>
        <v>0</v>
      </c>
      <c r="M58" s="1544">
        <f>Dir1C!K58</f>
        <v>0</v>
      </c>
      <c r="N58" s="1542">
        <f t="shared" si="3"/>
        <v>0</v>
      </c>
      <c r="O58" s="1542">
        <f t="shared" si="4"/>
        <v>0</v>
      </c>
    </row>
    <row r="59" spans="1:15">
      <c r="A59" s="1625">
        <f t="shared" si="1"/>
        <v>52</v>
      </c>
      <c r="B59" s="1495" t="s">
        <v>3893</v>
      </c>
      <c r="C59" s="1496"/>
      <c r="D59" s="1496"/>
      <c r="E59" s="1496"/>
      <c r="F59" s="1496"/>
      <c r="G59" s="1496"/>
      <c r="H59" s="1496"/>
      <c r="I59" s="1496"/>
      <c r="J59" s="1496"/>
      <c r="K59" s="1494">
        <f t="shared" si="47"/>
        <v>0</v>
      </c>
      <c r="L59" s="1543">
        <f>Dir1B!K59</f>
        <v>0</v>
      </c>
      <c r="M59" s="1544">
        <f>Dir1C!K59</f>
        <v>0</v>
      </c>
      <c r="N59" s="1542">
        <f t="shared" si="3"/>
        <v>0</v>
      </c>
      <c r="O59" s="1542">
        <f t="shared" si="4"/>
        <v>0</v>
      </c>
    </row>
    <row r="60" spans="1:15">
      <c r="A60" s="1625">
        <f t="shared" si="1"/>
        <v>53</v>
      </c>
      <c r="B60" s="1495" t="s">
        <v>3894</v>
      </c>
      <c r="C60" s="1496"/>
      <c r="D60" s="1496"/>
      <c r="E60" s="1496"/>
      <c r="F60" s="1496"/>
      <c r="G60" s="1496"/>
      <c r="H60" s="1496"/>
      <c r="I60" s="1496"/>
      <c r="J60" s="1496"/>
      <c r="K60" s="1494">
        <f t="shared" si="47"/>
        <v>0</v>
      </c>
      <c r="L60" s="1543">
        <f>Dir1B!K60</f>
        <v>0</v>
      </c>
      <c r="M60" s="1544">
        <f>Dir1C!K60</f>
        <v>0</v>
      </c>
      <c r="N60" s="1542">
        <f t="shared" si="3"/>
        <v>0</v>
      </c>
      <c r="O60" s="1542">
        <f t="shared" si="4"/>
        <v>0</v>
      </c>
    </row>
    <row r="61" spans="1:15" ht="14">
      <c r="A61" s="1625">
        <f t="shared" si="1"/>
        <v>54</v>
      </c>
      <c r="B61" s="1628" t="s">
        <v>4922</v>
      </c>
      <c r="C61" s="1493">
        <f>SUM(C62:C64)</f>
        <v>0</v>
      </c>
      <c r="D61" s="1493">
        <f t="shared" ref="D61" si="48">SUM(D62:D64)</f>
        <v>0</v>
      </c>
      <c r="E61" s="1493">
        <f t="shared" ref="E61" si="49">SUM(E62:E64)</f>
        <v>0</v>
      </c>
      <c r="F61" s="1493">
        <f t="shared" ref="F61" si="50">SUM(F62:F64)</f>
        <v>0</v>
      </c>
      <c r="G61" s="1493">
        <f t="shared" ref="G61:I61" si="51">SUM(G62:G64)</f>
        <v>0</v>
      </c>
      <c r="H61" s="1493">
        <f t="shared" si="51"/>
        <v>0</v>
      </c>
      <c r="I61" s="1493">
        <f t="shared" si="51"/>
        <v>0</v>
      </c>
      <c r="J61" s="1493">
        <f t="shared" ref="J61" si="52">SUM(J62:J64)</f>
        <v>0</v>
      </c>
      <c r="K61" s="1494">
        <f t="shared" si="45"/>
        <v>0</v>
      </c>
      <c r="L61" s="1543">
        <f>Dir1B!K61</f>
        <v>0</v>
      </c>
      <c r="M61" s="1544">
        <f>Dir1C!K61</f>
        <v>0</v>
      </c>
      <c r="N61" s="1542">
        <f t="shared" si="3"/>
        <v>0</v>
      </c>
      <c r="O61" s="1542">
        <f t="shared" si="4"/>
        <v>0</v>
      </c>
    </row>
    <row r="62" spans="1:15">
      <c r="A62" s="1625">
        <f t="shared" si="1"/>
        <v>55</v>
      </c>
      <c r="B62" s="1495" t="s">
        <v>3892</v>
      </c>
      <c r="C62" s="1496"/>
      <c r="D62" s="1496"/>
      <c r="E62" s="1496"/>
      <c r="F62" s="1496"/>
      <c r="G62" s="1496"/>
      <c r="H62" s="1496"/>
      <c r="I62" s="1496"/>
      <c r="J62" s="1496"/>
      <c r="K62" s="1494">
        <f t="shared" si="45"/>
        <v>0</v>
      </c>
      <c r="L62" s="1543">
        <f>Dir1B!K62</f>
        <v>0</v>
      </c>
      <c r="M62" s="1544">
        <f>Dir1C!K62</f>
        <v>0</v>
      </c>
      <c r="N62" s="1542">
        <f t="shared" si="3"/>
        <v>0</v>
      </c>
      <c r="O62" s="1542">
        <f t="shared" si="4"/>
        <v>0</v>
      </c>
    </row>
    <row r="63" spans="1:15">
      <c r="A63" s="1625">
        <f t="shared" si="1"/>
        <v>56</v>
      </c>
      <c r="B63" s="1495" t="s">
        <v>3893</v>
      </c>
      <c r="C63" s="1496"/>
      <c r="D63" s="1496"/>
      <c r="E63" s="1496"/>
      <c r="F63" s="1496"/>
      <c r="G63" s="1496"/>
      <c r="H63" s="1496"/>
      <c r="I63" s="1496"/>
      <c r="J63" s="1496"/>
      <c r="K63" s="1494">
        <f t="shared" si="45"/>
        <v>0</v>
      </c>
      <c r="L63" s="1543">
        <f>Dir1B!K63</f>
        <v>0</v>
      </c>
      <c r="M63" s="1544">
        <f>Dir1C!K63</f>
        <v>0</v>
      </c>
      <c r="N63" s="1542">
        <f t="shared" si="3"/>
        <v>0</v>
      </c>
      <c r="O63" s="1542">
        <f t="shared" si="4"/>
        <v>0</v>
      </c>
    </row>
    <row r="64" spans="1:15">
      <c r="A64" s="1625">
        <f t="shared" si="1"/>
        <v>57</v>
      </c>
      <c r="B64" s="1495" t="s">
        <v>3894</v>
      </c>
      <c r="C64" s="1496"/>
      <c r="D64" s="1496"/>
      <c r="E64" s="1496"/>
      <c r="F64" s="1496"/>
      <c r="G64" s="1496"/>
      <c r="H64" s="1496"/>
      <c r="I64" s="1496"/>
      <c r="J64" s="1496"/>
      <c r="K64" s="1494">
        <f t="shared" si="45"/>
        <v>0</v>
      </c>
      <c r="L64" s="1543">
        <f>Dir1B!K64</f>
        <v>0</v>
      </c>
      <c r="M64" s="1544">
        <f>Dir1C!K64</f>
        <v>0</v>
      </c>
      <c r="N64" s="1542">
        <f t="shared" si="3"/>
        <v>0</v>
      </c>
      <c r="O64" s="1542">
        <f t="shared" si="4"/>
        <v>0</v>
      </c>
    </row>
    <row r="65" spans="1:15" ht="15.5">
      <c r="A65" s="1625">
        <f t="shared" si="1"/>
        <v>58</v>
      </c>
      <c r="B65" s="1627" t="s">
        <v>4923</v>
      </c>
      <c r="C65" s="1493">
        <f>SUM(C61,C57,C53)</f>
        <v>0</v>
      </c>
      <c r="D65" s="1493">
        <f t="shared" ref="D65:K65" si="53">SUM(D61,D57,D53)</f>
        <v>0</v>
      </c>
      <c r="E65" s="1493">
        <f t="shared" si="53"/>
        <v>0</v>
      </c>
      <c r="F65" s="1493">
        <f t="shared" si="53"/>
        <v>0</v>
      </c>
      <c r="G65" s="1493">
        <f t="shared" si="53"/>
        <v>0</v>
      </c>
      <c r="H65" s="1493">
        <f t="shared" si="53"/>
        <v>0</v>
      </c>
      <c r="I65" s="1493">
        <f t="shared" si="53"/>
        <v>0</v>
      </c>
      <c r="J65" s="1493">
        <f t="shared" si="53"/>
        <v>0</v>
      </c>
      <c r="K65" s="1493">
        <f t="shared" si="53"/>
        <v>0</v>
      </c>
      <c r="L65" s="1543">
        <f>Dir1B!K65</f>
        <v>0</v>
      </c>
      <c r="M65" s="1544">
        <f>Dir1C!K65</f>
        <v>0</v>
      </c>
      <c r="N65" s="1542">
        <f t="shared" si="3"/>
        <v>0</v>
      </c>
      <c r="O65" s="1542">
        <f t="shared" si="4"/>
        <v>0</v>
      </c>
    </row>
    <row r="66" spans="1:15" ht="15.5">
      <c r="A66" s="22">
        <f t="shared" si="1"/>
        <v>59</v>
      </c>
      <c r="B66" s="1627" t="s">
        <v>4888</v>
      </c>
      <c r="C66" s="1496"/>
      <c r="D66" s="1496"/>
      <c r="E66" s="1496"/>
      <c r="F66" s="1496"/>
      <c r="G66" s="1496"/>
      <c r="H66" s="1496"/>
      <c r="I66" s="1496"/>
      <c r="J66" s="1496"/>
      <c r="K66" s="1494">
        <f t="shared" ref="K66" si="54">SUM(C66:J66)</f>
        <v>0</v>
      </c>
      <c r="L66" s="1543">
        <f>Dir1B!K66</f>
        <v>0</v>
      </c>
      <c r="M66" s="1544">
        <f>Dir1C!K66</f>
        <v>0</v>
      </c>
      <c r="N66" s="1542">
        <f t="shared" si="3"/>
        <v>0</v>
      </c>
      <c r="O66" s="1542">
        <f t="shared" si="4"/>
        <v>0</v>
      </c>
    </row>
    <row r="67" spans="1:15">
      <c r="A67" s="22">
        <f t="shared" si="1"/>
        <v>60</v>
      </c>
      <c r="B67" s="1497"/>
      <c r="C67" s="1498"/>
      <c r="D67" s="1498"/>
      <c r="E67" s="1498"/>
      <c r="F67" s="1498"/>
      <c r="G67" s="1498"/>
      <c r="H67" s="1498"/>
      <c r="I67" s="1498"/>
      <c r="J67" s="1498"/>
      <c r="K67" s="1494"/>
      <c r="L67" s="1543">
        <f>Dir1B!K67</f>
        <v>0</v>
      </c>
      <c r="M67" s="1544">
        <f>Dir1C!K67</f>
        <v>0</v>
      </c>
      <c r="N67" s="1542">
        <f t="shared" si="3"/>
        <v>0</v>
      </c>
      <c r="O67" s="1542">
        <f t="shared" si="4"/>
        <v>0</v>
      </c>
    </row>
    <row r="68" spans="1:15" ht="15.5">
      <c r="A68" s="22">
        <f t="shared" si="1"/>
        <v>61</v>
      </c>
      <c r="B68" s="1624" t="s">
        <v>3903</v>
      </c>
      <c r="C68" s="1493">
        <f>SUM(C69:C70)</f>
        <v>0</v>
      </c>
      <c r="D68" s="1493">
        <f t="shared" ref="D68" si="55">SUM(D69:D70)</f>
        <v>0</v>
      </c>
      <c r="E68" s="1493">
        <f t="shared" ref="E68" si="56">SUM(E69:E70)</f>
        <v>0</v>
      </c>
      <c r="F68" s="1493">
        <f t="shared" ref="F68" si="57">SUM(F69:F70)</f>
        <v>0</v>
      </c>
      <c r="G68" s="1493">
        <f t="shared" ref="G68:I68" si="58">SUM(G69:G70)</f>
        <v>0</v>
      </c>
      <c r="H68" s="1493">
        <f t="shared" si="58"/>
        <v>0</v>
      </c>
      <c r="I68" s="1493">
        <f t="shared" si="58"/>
        <v>0</v>
      </c>
      <c r="J68" s="1493">
        <f t="shared" ref="J68" si="59">SUM(J69:J70)</f>
        <v>0</v>
      </c>
      <c r="K68" s="1494">
        <f t="shared" ref="K68:K70" si="60">SUM(C68:J68)</f>
        <v>0</v>
      </c>
      <c r="L68" s="1543">
        <f>Dir1B!K68</f>
        <v>0</v>
      </c>
      <c r="M68" s="1544">
        <f>Dir1C!K68</f>
        <v>0</v>
      </c>
      <c r="N68" s="1542">
        <f t="shared" si="3"/>
        <v>0</v>
      </c>
      <c r="O68" s="1542">
        <f t="shared" si="4"/>
        <v>0</v>
      </c>
    </row>
    <row r="69" spans="1:15">
      <c r="A69" s="22">
        <f t="shared" si="1"/>
        <v>62</v>
      </c>
      <c r="B69" s="1495" t="s">
        <v>4885</v>
      </c>
      <c r="C69" s="1496"/>
      <c r="D69" s="1496"/>
      <c r="E69" s="1496"/>
      <c r="F69" s="1496"/>
      <c r="G69" s="1496"/>
      <c r="H69" s="1496"/>
      <c r="I69" s="1496"/>
      <c r="J69" s="1496"/>
      <c r="K69" s="1494">
        <f t="shared" si="60"/>
        <v>0</v>
      </c>
      <c r="L69" s="1543">
        <f>Dir1B!K69</f>
        <v>0</v>
      </c>
      <c r="M69" s="1544">
        <f>Dir1C!K69</f>
        <v>0</v>
      </c>
      <c r="N69" s="1542">
        <f t="shared" si="3"/>
        <v>0</v>
      </c>
      <c r="O69" s="1542">
        <f t="shared" si="4"/>
        <v>0</v>
      </c>
    </row>
    <row r="70" spans="1:15">
      <c r="A70" s="22">
        <f t="shared" si="1"/>
        <v>63</v>
      </c>
      <c r="B70" s="1495" t="s">
        <v>3895</v>
      </c>
      <c r="C70" s="1496"/>
      <c r="D70" s="1496"/>
      <c r="E70" s="1496"/>
      <c r="F70" s="1496"/>
      <c r="G70" s="1496"/>
      <c r="H70" s="1496"/>
      <c r="I70" s="1496"/>
      <c r="J70" s="1496"/>
      <c r="K70" s="1494">
        <f t="shared" si="60"/>
        <v>0</v>
      </c>
      <c r="L70" s="1543">
        <f>Dir1B!K70</f>
        <v>0</v>
      </c>
      <c r="M70" s="1544">
        <f>Dir1C!K70</f>
        <v>0</v>
      </c>
      <c r="N70" s="1542">
        <f t="shared" si="3"/>
        <v>0</v>
      </c>
      <c r="O70" s="1542">
        <f t="shared" si="4"/>
        <v>0</v>
      </c>
    </row>
    <row r="71" spans="1:15">
      <c r="A71" s="22">
        <f t="shared" si="1"/>
        <v>64</v>
      </c>
      <c r="B71" s="1497"/>
      <c r="C71" s="1498"/>
      <c r="D71" s="1498"/>
      <c r="E71" s="1498"/>
      <c r="F71" s="1498"/>
      <c r="G71" s="1498"/>
      <c r="H71" s="1498"/>
      <c r="I71" s="1498"/>
      <c r="J71" s="1498"/>
      <c r="K71" s="1494"/>
      <c r="L71" s="1543">
        <f>Dir1B!K71</f>
        <v>0</v>
      </c>
      <c r="M71" s="1544">
        <f>Dir1C!K71</f>
        <v>0</v>
      </c>
      <c r="N71" s="1542">
        <f t="shared" si="3"/>
        <v>0</v>
      </c>
      <c r="O71" s="1542">
        <f t="shared" si="4"/>
        <v>0</v>
      </c>
    </row>
    <row r="72" spans="1:15" ht="15.5">
      <c r="A72" s="22">
        <f t="shared" si="1"/>
        <v>65</v>
      </c>
      <c r="B72" s="1624" t="s">
        <v>3904</v>
      </c>
      <c r="C72" s="1496"/>
      <c r="D72" s="1496"/>
      <c r="E72" s="1496"/>
      <c r="F72" s="1496"/>
      <c r="G72" s="1496"/>
      <c r="H72" s="1496"/>
      <c r="I72" s="1496"/>
      <c r="J72" s="1496"/>
      <c r="K72" s="1494">
        <f t="shared" ref="K72" si="61">SUM(C72:J72)</f>
        <v>0</v>
      </c>
      <c r="L72" s="1543">
        <f>Dir1B!K72</f>
        <v>0</v>
      </c>
      <c r="M72" s="1544">
        <f>Dir1C!K72</f>
        <v>0</v>
      </c>
      <c r="N72" s="1542">
        <f t="shared" si="3"/>
        <v>0</v>
      </c>
      <c r="O72" s="1542">
        <f t="shared" si="4"/>
        <v>0</v>
      </c>
    </row>
    <row r="73" spans="1:15" ht="12.75" customHeight="1">
      <c r="A73" s="22">
        <f t="shared" si="1"/>
        <v>66</v>
      </c>
      <c r="B73" s="1497"/>
      <c r="C73" s="1498"/>
      <c r="D73" s="1498"/>
      <c r="E73" s="1498"/>
      <c r="F73" s="1498"/>
      <c r="G73" s="1498"/>
      <c r="H73" s="1498"/>
      <c r="I73" s="1498"/>
      <c r="J73" s="1498"/>
      <c r="K73" s="1494"/>
      <c r="L73" s="1543">
        <f>Dir1B!K64</f>
        <v>0</v>
      </c>
      <c r="M73" s="1544">
        <f>Dir1C!K64</f>
        <v>0</v>
      </c>
      <c r="N73" s="1542">
        <f t="shared" ref="N73" si="62">K73-L73</f>
        <v>0</v>
      </c>
      <c r="O73" s="1542">
        <f t="shared" ref="O73:O93" si="63">IF($L$2="12",L73-M73,"")</f>
        <v>0</v>
      </c>
    </row>
    <row r="74" spans="1:15" ht="15.5">
      <c r="A74" s="22">
        <f t="shared" si="1"/>
        <v>67</v>
      </c>
      <c r="B74" s="1624" t="s">
        <v>3905</v>
      </c>
      <c r="C74" s="1500"/>
      <c r="D74" s="1500"/>
      <c r="E74" s="1500"/>
      <c r="F74" s="1500"/>
      <c r="G74" s="1500"/>
      <c r="H74" s="1500"/>
      <c r="I74" s="1500"/>
      <c r="J74" s="1500"/>
      <c r="K74" s="1494"/>
      <c r="L74" s="1543"/>
      <c r="M74" s="1544"/>
      <c r="N74" s="1542"/>
      <c r="O74" s="1542">
        <f t="shared" si="63"/>
        <v>0</v>
      </c>
    </row>
    <row r="75" spans="1:15">
      <c r="A75" s="22">
        <f t="shared" si="1"/>
        <v>68</v>
      </c>
      <c r="B75" s="1495" t="s">
        <v>4883</v>
      </c>
      <c r="C75" s="1501"/>
      <c r="D75" s="1501"/>
      <c r="E75" s="1501"/>
      <c r="F75" s="1501"/>
      <c r="G75" s="1501"/>
      <c r="H75" s="1501"/>
      <c r="I75" s="1501"/>
      <c r="J75" s="1501"/>
      <c r="K75" s="1494"/>
      <c r="L75" s="1543"/>
      <c r="M75" s="1544"/>
      <c r="N75" s="1542"/>
      <c r="O75" s="1542">
        <f t="shared" si="63"/>
        <v>0</v>
      </c>
    </row>
    <row r="76" spans="1:15">
      <c r="A76" s="22">
        <f t="shared" si="1"/>
        <v>69</v>
      </c>
      <c r="B76" s="1495" t="s">
        <v>4884</v>
      </c>
      <c r="C76" s="1501"/>
      <c r="D76" s="1501"/>
      <c r="E76" s="1501"/>
      <c r="F76" s="1501"/>
      <c r="G76" s="1501"/>
      <c r="H76" s="1501"/>
      <c r="I76" s="1501"/>
      <c r="J76" s="1501"/>
      <c r="K76" s="1494"/>
      <c r="L76" s="1543"/>
      <c r="M76" s="1544"/>
      <c r="N76" s="1542"/>
      <c r="O76" s="1542">
        <f t="shared" si="63"/>
        <v>0</v>
      </c>
    </row>
    <row r="77" spans="1:15">
      <c r="A77" s="22">
        <f t="shared" si="1"/>
        <v>70</v>
      </c>
      <c r="B77" s="1495" t="s">
        <v>3895</v>
      </c>
      <c r="C77" s="1501"/>
      <c r="D77" s="1501"/>
      <c r="E77" s="1501"/>
      <c r="F77" s="1501"/>
      <c r="G77" s="1501"/>
      <c r="H77" s="1501"/>
      <c r="I77" s="1501"/>
      <c r="J77" s="1501"/>
      <c r="K77" s="1494"/>
      <c r="L77" s="1543"/>
      <c r="M77" s="1544"/>
      <c r="N77" s="1542"/>
      <c r="O77" s="1542">
        <f t="shared" si="63"/>
        <v>0</v>
      </c>
    </row>
    <row r="78" spans="1:15">
      <c r="A78" s="22">
        <f t="shared" si="1"/>
        <v>71</v>
      </c>
      <c r="B78" s="1497"/>
      <c r="C78" s="1500"/>
      <c r="D78" s="1500"/>
      <c r="E78" s="1500"/>
      <c r="F78" s="1500"/>
      <c r="G78" s="1500"/>
      <c r="H78" s="1500"/>
      <c r="I78" s="1500"/>
      <c r="J78" s="1500"/>
      <c r="K78" s="1494"/>
      <c r="L78" s="1543"/>
      <c r="M78" s="1544"/>
      <c r="N78" s="1542"/>
      <c r="O78" s="1542">
        <f t="shared" si="63"/>
        <v>0</v>
      </c>
    </row>
    <row r="79" spans="1:15" ht="15.5">
      <c r="A79" s="22">
        <f t="shared" si="1"/>
        <v>72</v>
      </c>
      <c r="B79" s="1624" t="s">
        <v>3906</v>
      </c>
      <c r="C79" s="1501"/>
      <c r="D79" s="1501"/>
      <c r="E79" s="1501"/>
      <c r="F79" s="1501"/>
      <c r="G79" s="1501"/>
      <c r="H79" s="1501"/>
      <c r="I79" s="1501"/>
      <c r="J79" s="1501"/>
      <c r="K79" s="1494"/>
      <c r="L79" s="1543"/>
      <c r="M79" s="1544"/>
      <c r="N79" s="1542"/>
      <c r="O79" s="1542">
        <f t="shared" si="63"/>
        <v>0</v>
      </c>
    </row>
    <row r="80" spans="1:15">
      <c r="A80" s="22">
        <f t="shared" si="1"/>
        <v>73</v>
      </c>
      <c r="B80" s="1497"/>
      <c r="C80" s="1500"/>
      <c r="D80" s="1500"/>
      <c r="E80" s="1500"/>
      <c r="F80" s="1500"/>
      <c r="G80" s="1500"/>
      <c r="H80" s="1500"/>
      <c r="I80" s="1500"/>
      <c r="J80" s="1500"/>
      <c r="K80" s="1494"/>
      <c r="L80" s="1543"/>
      <c r="M80" s="1544"/>
      <c r="N80" s="1542"/>
      <c r="O80" s="1542">
        <f t="shared" si="63"/>
        <v>0</v>
      </c>
    </row>
    <row r="81" spans="1:16" ht="15.5">
      <c r="A81" s="22">
        <f t="shared" si="1"/>
        <v>74</v>
      </c>
      <c r="B81" s="1624" t="s">
        <v>4889</v>
      </c>
      <c r="C81" s="1501"/>
      <c r="D81" s="1501"/>
      <c r="E81" s="1501"/>
      <c r="F81" s="1501"/>
      <c r="G81" s="1501"/>
      <c r="H81" s="1501"/>
      <c r="I81" s="1501"/>
      <c r="J81" s="1501"/>
      <c r="K81" s="1494"/>
      <c r="L81" s="1543"/>
      <c r="M81" s="1544"/>
      <c r="N81" s="1542"/>
      <c r="O81" s="1542">
        <f t="shared" si="63"/>
        <v>0</v>
      </c>
    </row>
    <row r="82" spans="1:16">
      <c r="A82" s="22">
        <f t="shared" si="1"/>
        <v>75</v>
      </c>
      <c r="B82" s="1495" t="s">
        <v>3896</v>
      </c>
      <c r="C82" s="1501"/>
      <c r="D82" s="1501"/>
      <c r="E82" s="1501"/>
      <c r="F82" s="1501"/>
      <c r="G82" s="1501"/>
      <c r="H82" s="1501"/>
      <c r="I82" s="1501"/>
      <c r="J82" s="1501"/>
      <c r="K82" s="1494"/>
      <c r="L82" s="1543"/>
      <c r="M82" s="1544"/>
      <c r="N82" s="1542"/>
      <c r="O82" s="1542">
        <f t="shared" si="63"/>
        <v>0</v>
      </c>
      <c r="P82" s="1640" t="s">
        <v>4960</v>
      </c>
    </row>
    <row r="83" spans="1:16">
      <c r="A83" s="22">
        <f t="shared" ref="A83:A93" si="64">ROW()-7</f>
        <v>76</v>
      </c>
      <c r="B83" s="1495" t="s">
        <v>3897</v>
      </c>
      <c r="C83" s="1501"/>
      <c r="D83" s="1501"/>
      <c r="E83" s="1501"/>
      <c r="F83" s="1501"/>
      <c r="G83" s="1501"/>
      <c r="H83" s="1501"/>
      <c r="I83" s="1501"/>
      <c r="J83" s="1501"/>
      <c r="K83" s="1494"/>
      <c r="L83" s="1543"/>
      <c r="M83" s="1544"/>
      <c r="N83" s="1542"/>
      <c r="O83" s="1542">
        <f t="shared" si="63"/>
        <v>0</v>
      </c>
    </row>
    <row r="84" spans="1:16">
      <c r="A84" s="22">
        <f t="shared" si="64"/>
        <v>77</v>
      </c>
      <c r="B84" s="1495" t="s">
        <v>3898</v>
      </c>
      <c r="C84" s="1501"/>
      <c r="D84" s="1501"/>
      <c r="E84" s="1501"/>
      <c r="F84" s="1501"/>
      <c r="G84" s="1501"/>
      <c r="H84" s="1501"/>
      <c r="I84" s="1501"/>
      <c r="J84" s="1501"/>
      <c r="K84" s="1494"/>
      <c r="L84" s="1543"/>
      <c r="M84" s="1544"/>
      <c r="N84" s="1542"/>
      <c r="O84" s="1542">
        <f t="shared" si="63"/>
        <v>0</v>
      </c>
    </row>
    <row r="85" spans="1:16">
      <c r="A85" s="22">
        <f t="shared" si="64"/>
        <v>78</v>
      </c>
      <c r="B85" s="1495" t="s">
        <v>4890</v>
      </c>
      <c r="C85" s="1501"/>
      <c r="D85" s="1501"/>
      <c r="E85" s="1501"/>
      <c r="F85" s="1501"/>
      <c r="G85" s="1501"/>
      <c r="H85" s="1501"/>
      <c r="I85" s="1501"/>
      <c r="J85" s="1501"/>
      <c r="K85" s="1494"/>
      <c r="L85" s="1543"/>
      <c r="M85" s="1544"/>
      <c r="N85" s="1542"/>
      <c r="O85" s="1542">
        <f t="shared" si="63"/>
        <v>0</v>
      </c>
    </row>
    <row r="86" spans="1:16">
      <c r="A86" s="22">
        <f t="shared" si="64"/>
        <v>79</v>
      </c>
      <c r="B86" s="1495" t="s">
        <v>4891</v>
      </c>
      <c r="C86" s="1501"/>
      <c r="D86" s="1501"/>
      <c r="E86" s="1501"/>
      <c r="F86" s="1501"/>
      <c r="G86" s="1501"/>
      <c r="H86" s="1501"/>
      <c r="I86" s="1501"/>
      <c r="J86" s="1501"/>
      <c r="K86" s="1494"/>
      <c r="L86" s="1543"/>
      <c r="M86" s="1544"/>
      <c r="N86" s="1542"/>
      <c r="O86" s="1542">
        <f t="shared" si="63"/>
        <v>0</v>
      </c>
    </row>
    <row r="87" spans="1:16">
      <c r="A87" s="22">
        <f t="shared" si="64"/>
        <v>80</v>
      </c>
      <c r="B87" s="1495" t="s">
        <v>4892</v>
      </c>
      <c r="C87" s="1501"/>
      <c r="D87" s="1501"/>
      <c r="E87" s="1501"/>
      <c r="F87" s="1501"/>
      <c r="G87" s="1501"/>
      <c r="H87" s="1501"/>
      <c r="I87" s="1501"/>
      <c r="J87" s="1501"/>
      <c r="K87" s="1494"/>
      <c r="L87" s="1543"/>
      <c r="M87" s="1544"/>
      <c r="N87" s="1542"/>
      <c r="O87" s="1542">
        <f t="shared" si="63"/>
        <v>0</v>
      </c>
    </row>
    <row r="88" spans="1:16">
      <c r="A88" s="22">
        <f t="shared" si="64"/>
        <v>81</v>
      </c>
      <c r="B88" s="1497"/>
      <c r="C88" s="1500"/>
      <c r="D88" s="1500"/>
      <c r="E88" s="1500"/>
      <c r="F88" s="1500"/>
      <c r="G88" s="1500"/>
      <c r="H88" s="1500"/>
      <c r="I88" s="1500"/>
      <c r="J88" s="1500"/>
      <c r="K88" s="1494"/>
      <c r="L88" s="1543"/>
      <c r="M88" s="1544"/>
      <c r="N88" s="1542"/>
      <c r="O88" s="1542">
        <f t="shared" si="63"/>
        <v>0</v>
      </c>
    </row>
    <row r="89" spans="1:16" ht="15.5">
      <c r="A89" s="22">
        <f t="shared" si="64"/>
        <v>82</v>
      </c>
      <c r="B89" s="1624" t="s">
        <v>3907</v>
      </c>
      <c r="C89" s="1500"/>
      <c r="D89" s="1500"/>
      <c r="E89" s="1500"/>
      <c r="F89" s="1500"/>
      <c r="G89" s="1500"/>
      <c r="H89" s="1500"/>
      <c r="I89" s="1500"/>
      <c r="J89" s="1500"/>
      <c r="K89" s="1494"/>
      <c r="L89" s="1543"/>
      <c r="M89" s="1544"/>
      <c r="N89" s="1542"/>
      <c r="O89" s="1542">
        <f t="shared" si="63"/>
        <v>0</v>
      </c>
    </row>
    <row r="90" spans="1:16">
      <c r="A90" s="22">
        <f t="shared" si="64"/>
        <v>83</v>
      </c>
      <c r="B90" s="1495" t="s">
        <v>3899</v>
      </c>
      <c r="C90" s="1501"/>
      <c r="D90" s="1501"/>
      <c r="E90" s="1501"/>
      <c r="F90" s="1501"/>
      <c r="G90" s="1501"/>
      <c r="H90" s="1501"/>
      <c r="I90" s="1501"/>
      <c r="J90" s="1501"/>
      <c r="K90" s="1494"/>
      <c r="L90" s="1543"/>
      <c r="M90" s="1544"/>
      <c r="N90" s="1542"/>
      <c r="O90" s="1542">
        <f t="shared" si="63"/>
        <v>0</v>
      </c>
    </row>
    <row r="91" spans="1:16">
      <c r="A91" s="22">
        <f t="shared" si="64"/>
        <v>84</v>
      </c>
      <c r="B91" s="1495" t="s">
        <v>4925</v>
      </c>
      <c r="C91" s="1501"/>
      <c r="D91" s="1501"/>
      <c r="E91" s="1501"/>
      <c r="F91" s="1501"/>
      <c r="G91" s="1501"/>
      <c r="H91" s="1501"/>
      <c r="I91" s="1501"/>
      <c r="J91" s="1501"/>
      <c r="K91" s="1494"/>
      <c r="L91" s="1543"/>
      <c r="M91" s="1544"/>
      <c r="N91" s="1542"/>
      <c r="O91" s="1542">
        <f t="shared" si="63"/>
        <v>0</v>
      </c>
    </row>
    <row r="92" spans="1:16">
      <c r="A92" s="1625">
        <f t="shared" si="64"/>
        <v>85</v>
      </c>
      <c r="B92" s="1626" t="s">
        <v>4917</v>
      </c>
      <c r="C92" s="1501"/>
      <c r="D92" s="1501"/>
      <c r="E92" s="1501"/>
      <c r="F92" s="1501"/>
      <c r="G92" s="1501"/>
      <c r="H92" s="1501"/>
      <c r="I92" s="1501"/>
      <c r="J92" s="1501"/>
      <c r="K92" s="1494"/>
      <c r="L92" s="1630"/>
      <c r="M92" s="1631"/>
      <c r="N92" s="1542"/>
      <c r="O92" s="1542">
        <f t="shared" si="63"/>
        <v>0</v>
      </c>
    </row>
    <row r="93" spans="1:16">
      <c r="A93" s="1625">
        <f t="shared" si="64"/>
        <v>86</v>
      </c>
      <c r="B93" s="1495" t="s">
        <v>4916</v>
      </c>
      <c r="C93" s="1501"/>
      <c r="D93" s="1501"/>
      <c r="E93" s="1501"/>
      <c r="F93" s="1501"/>
      <c r="G93" s="1501"/>
      <c r="H93" s="1501"/>
      <c r="I93" s="1501"/>
      <c r="J93" s="1501"/>
      <c r="K93" s="1494"/>
      <c r="L93" s="1545"/>
      <c r="M93" s="1546"/>
      <c r="N93" s="1542"/>
      <c r="O93" s="1542">
        <f t="shared" si="63"/>
        <v>0</v>
      </c>
    </row>
    <row r="95" spans="1:16" ht="27" customHeight="1">
      <c r="A95" s="1570"/>
      <c r="B95" s="1880" t="s">
        <v>4927</v>
      </c>
      <c r="C95" s="1851"/>
      <c r="D95" s="1851"/>
      <c r="E95" s="1851"/>
      <c r="F95" s="1851"/>
      <c r="G95" s="1851"/>
      <c r="H95" s="1851"/>
      <c r="I95" s="1851"/>
      <c r="J95" s="1851"/>
      <c r="K95" s="1851"/>
      <c r="L95" s="1851"/>
      <c r="M95" s="1851"/>
    </row>
    <row r="96" spans="1:16" ht="39.65" customHeight="1">
      <c r="A96" s="1570"/>
      <c r="B96" s="1880" t="s">
        <v>4928</v>
      </c>
      <c r="C96" s="1851"/>
      <c r="D96" s="1851"/>
      <c r="E96" s="1851"/>
      <c r="F96" s="1851"/>
      <c r="G96" s="1851"/>
      <c r="H96" s="1851"/>
      <c r="I96" s="1851"/>
      <c r="J96" s="1851"/>
      <c r="K96" s="1851"/>
      <c r="L96" s="1851"/>
      <c r="M96" s="1851"/>
    </row>
    <row r="97" spans="1:13" ht="29.15" customHeight="1">
      <c r="B97" s="1880" t="s">
        <v>4929</v>
      </c>
      <c r="C97" s="1851"/>
      <c r="D97" s="1851"/>
      <c r="E97" s="1851"/>
      <c r="F97" s="1851"/>
      <c r="G97" s="1851"/>
      <c r="H97" s="1851"/>
      <c r="I97" s="1851"/>
      <c r="J97" s="1851"/>
      <c r="K97" s="1851"/>
      <c r="L97" s="1851"/>
      <c r="M97" s="1851"/>
    </row>
    <row r="98" spans="1:13" ht="13.4" customHeight="1">
      <c r="A98" s="1570"/>
      <c r="B98" s="1880" t="s">
        <v>4930</v>
      </c>
      <c r="C98" s="1851"/>
      <c r="D98" s="1851"/>
      <c r="E98" s="1851"/>
      <c r="F98" s="1851"/>
      <c r="G98" s="1851"/>
      <c r="H98" s="1851"/>
      <c r="I98" s="1851"/>
      <c r="J98" s="1851"/>
      <c r="K98" s="1851"/>
      <c r="L98" s="1851"/>
      <c r="M98" s="1851"/>
    </row>
    <row r="99" spans="1:13" ht="13.4" customHeight="1">
      <c r="B99" s="1880"/>
      <c r="C99" s="1851"/>
      <c r="D99" s="1851"/>
      <c r="E99" s="1851"/>
      <c r="F99" s="1851"/>
      <c r="G99" s="1851"/>
      <c r="H99" s="1851"/>
      <c r="I99" s="1851"/>
      <c r="J99" s="1851"/>
      <c r="K99" s="1851"/>
      <c r="L99" s="1851"/>
      <c r="M99" s="1851"/>
    </row>
    <row r="100" spans="1:13" ht="36.65" customHeight="1">
      <c r="B100" s="1879"/>
      <c r="C100" s="1879"/>
      <c r="D100" s="1879"/>
      <c r="E100" s="1879"/>
      <c r="F100" s="1879"/>
      <c r="G100" s="1879"/>
      <c r="H100" s="1879"/>
      <c r="I100" s="1879"/>
      <c r="J100" s="1879"/>
      <c r="K100" s="1879"/>
      <c r="L100" s="1879"/>
      <c r="M100" s="1879"/>
    </row>
    <row r="101" spans="1:13">
      <c r="M101" s="1569"/>
    </row>
    <row r="102" spans="1:13" ht="40.4" customHeight="1">
      <c r="M102" s="1569"/>
    </row>
  </sheetData>
  <sheetProtection password="A5E7" sheet="1" objects="1" scenarios="1" formatCells="0" formatColumns="0" formatRows="0" autoFilter="0"/>
  <mergeCells count="16">
    <mergeCell ref="G3:J3"/>
    <mergeCell ref="D4:E4"/>
    <mergeCell ref="B96:M96"/>
    <mergeCell ref="B95:M95"/>
    <mergeCell ref="C5:C6"/>
    <mergeCell ref="F5:F6"/>
    <mergeCell ref="J5:J6"/>
    <mergeCell ref="K5:K6"/>
    <mergeCell ref="G5:G6"/>
    <mergeCell ref="D5:E5"/>
    <mergeCell ref="I5:I6"/>
    <mergeCell ref="B100:M100"/>
    <mergeCell ref="B99:M99"/>
    <mergeCell ref="H5:H6"/>
    <mergeCell ref="B97:M97"/>
    <mergeCell ref="B98:M98"/>
  </mergeCells>
  <hyperlinks>
    <hyperlink ref="D1" location="Information!A1" display="חזרה"/>
    <hyperlink ref="G4" location="Dir1B!A1" display="Dir1B!A1"/>
    <hyperlink ref="J4" location="Dir1C!A1" display="Dir1C!A1"/>
    <hyperlink ref="L5" r:id="rId1"/>
    <hyperlink ref="L3" r:id="rId2"/>
  </hyperlinks>
  <pageMargins left="0" right="0" top="0" bottom="0.35433070866141736" header="0" footer="0.11811023622047245"/>
  <pageSetup paperSize="9" scale="70" orientation="portrait" verticalDpi="0" r:id="rId3"/>
  <headerFooter>
    <oddFooter>&amp;L&amp;Z&amp;F&amp;A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B0F0"/>
  </sheetPr>
  <dimension ref="A1:H57"/>
  <sheetViews>
    <sheetView rightToLeft="1" workbookViewId="0"/>
  </sheetViews>
  <sheetFormatPr defaultColWidth="8.81640625" defaultRowHeight="12.5"/>
  <cols>
    <col min="1" max="1" width="4.453125" style="505" customWidth="1"/>
    <col min="2" max="2" width="50" style="505" customWidth="1"/>
    <col min="3" max="6" width="10.453125" style="505" customWidth="1"/>
    <col min="7" max="7" width="14.453125" style="505" customWidth="1"/>
    <col min="8" max="8" width="50" style="505" customWidth="1"/>
    <col min="9" max="16384" width="8.81640625" style="505"/>
  </cols>
  <sheetData>
    <row r="1" spans="1:8" ht="18">
      <c r="A1" s="501">
        <f>SUM(C9:F19)</f>
        <v>0</v>
      </c>
      <c r="B1" s="502" t="str">
        <f>company</f>
        <v>_____חברה מנהלת</v>
      </c>
      <c r="C1" s="503"/>
      <c r="D1" s="503"/>
      <c r="E1" s="503"/>
      <c r="F1" s="503"/>
    </row>
    <row r="2" spans="1:8" ht="18">
      <c r="A2" s="503"/>
      <c r="B2" s="23" t="s">
        <v>881</v>
      </c>
      <c r="C2" s="503"/>
      <c r="D2" s="642" t="s">
        <v>263</v>
      </c>
      <c r="E2" s="503"/>
      <c r="F2" s="503"/>
    </row>
    <row r="3" spans="1:8" ht="14">
      <c r="A3" s="503"/>
      <c r="B3" s="506" t="str">
        <f>line3</f>
        <v>הנתונים באלפי ש"ח</v>
      </c>
      <c r="C3" s="503"/>
      <c r="D3" s="503"/>
      <c r="E3" s="503"/>
      <c r="F3" s="503"/>
    </row>
    <row r="4" spans="1:8" ht="15.5">
      <c r="A4" s="503"/>
      <c r="B4" s="507" t="str">
        <f>Information!$C$15</f>
        <v>באור 3א' מגזרי פעילות  - סולו</v>
      </c>
      <c r="C4" s="503"/>
      <c r="D4" s="503"/>
      <c r="E4" s="503"/>
      <c r="F4" s="503"/>
    </row>
    <row r="5" spans="1:8" ht="42">
      <c r="A5" s="503"/>
      <c r="B5" s="1470" t="s">
        <v>3876</v>
      </c>
      <c r="C5" s="509" t="s">
        <v>327</v>
      </c>
      <c r="D5" s="509" t="s">
        <v>328</v>
      </c>
      <c r="E5" s="509" t="s">
        <v>886</v>
      </c>
      <c r="F5" s="510" t="s">
        <v>272</v>
      </c>
    </row>
    <row r="6" spans="1:8" ht="18">
      <c r="A6" s="503"/>
      <c r="B6" s="1060"/>
      <c r="C6" s="481" t="s">
        <v>29</v>
      </c>
      <c r="D6" s="481" t="s">
        <v>41</v>
      </c>
      <c r="E6" s="481" t="s">
        <v>63</v>
      </c>
      <c r="F6" s="482" t="s">
        <v>65</v>
      </c>
    </row>
    <row r="7" spans="1:8" ht="18">
      <c r="A7" s="503"/>
      <c r="B7" s="959" t="str">
        <f>Period1</f>
        <v>שנת 2021</v>
      </c>
      <c r="C7" s="473"/>
      <c r="D7" s="473"/>
      <c r="E7" s="473"/>
      <c r="F7" s="512"/>
    </row>
    <row r="8" spans="1:8" ht="14">
      <c r="A8" s="503">
        <v>1</v>
      </c>
      <c r="B8" s="513" t="s">
        <v>882</v>
      </c>
      <c r="C8" s="1206"/>
      <c r="D8" s="1206"/>
      <c r="E8" s="1206"/>
      <c r="F8" s="515">
        <f t="shared" ref="F8:F18" si="0">SUM(C8:E8)</f>
        <v>0</v>
      </c>
    </row>
    <row r="9" spans="1:8" ht="14.5">
      <c r="A9" s="503">
        <f>A8+1</f>
        <v>2</v>
      </c>
      <c r="B9" s="513" t="s">
        <v>856</v>
      </c>
      <c r="C9" s="1205"/>
      <c r="D9" s="1205"/>
      <c r="E9" s="1205"/>
      <c r="F9" s="515">
        <f t="shared" si="0"/>
        <v>0</v>
      </c>
      <c r="H9" s="518"/>
    </row>
    <row r="10" spans="1:8" ht="14.5">
      <c r="A10" s="503">
        <f>A9+1</f>
        <v>3</v>
      </c>
      <c r="B10" s="513" t="s">
        <v>857</v>
      </c>
      <c r="C10" s="1205"/>
      <c r="D10" s="1205"/>
      <c r="E10" s="1205"/>
      <c r="F10" s="515">
        <f t="shared" si="0"/>
        <v>0</v>
      </c>
      <c r="H10" s="518"/>
    </row>
    <row r="11" spans="1:8" ht="14.5">
      <c r="A11" s="503">
        <f t="shared" ref="A11:A21" si="1">A10+1</f>
        <v>4</v>
      </c>
      <c r="B11" s="516" t="s">
        <v>883</v>
      </c>
      <c r="C11" s="517">
        <f>SUM(C8:C10)</f>
        <v>0</v>
      </c>
      <c r="D11" s="517">
        <f>SUM(D8:D10)</f>
        <v>0</v>
      </c>
      <c r="E11" s="517">
        <f>SUM(E8:E10)</f>
        <v>0</v>
      </c>
      <c r="F11" s="515">
        <f t="shared" si="0"/>
        <v>0</v>
      </c>
      <c r="H11" s="519"/>
    </row>
    <row r="12" spans="1:8" ht="14.5">
      <c r="A12" s="503">
        <f t="shared" si="1"/>
        <v>5</v>
      </c>
      <c r="B12" s="513" t="s">
        <v>859</v>
      </c>
      <c r="C12" s="1206"/>
      <c r="D12" s="1206"/>
      <c r="E12" s="1206"/>
      <c r="F12" s="515">
        <f t="shared" si="0"/>
        <v>0</v>
      </c>
      <c r="H12" s="518"/>
    </row>
    <row r="13" spans="1:8" ht="14.5">
      <c r="A13" s="503">
        <f t="shared" si="1"/>
        <v>6</v>
      </c>
      <c r="B13" s="513" t="s">
        <v>884</v>
      </c>
      <c r="C13" s="1206"/>
      <c r="D13" s="1206"/>
      <c r="E13" s="1206"/>
      <c r="F13" s="515">
        <f t="shared" si="0"/>
        <v>0</v>
      </c>
      <c r="H13" s="518"/>
    </row>
    <row r="14" spans="1:8" ht="14.5">
      <c r="A14" s="503">
        <f t="shared" si="1"/>
        <v>7</v>
      </c>
      <c r="B14" s="513" t="s">
        <v>861</v>
      </c>
      <c r="C14" s="1206"/>
      <c r="D14" s="1206"/>
      <c r="E14" s="1206"/>
      <c r="F14" s="515">
        <f t="shared" si="0"/>
        <v>0</v>
      </c>
      <c r="H14" s="518"/>
    </row>
    <row r="15" spans="1:8" ht="14.5">
      <c r="A15" s="503">
        <f t="shared" si="1"/>
        <v>8</v>
      </c>
      <c r="B15" s="513" t="s">
        <v>862</v>
      </c>
      <c r="C15" s="1206"/>
      <c r="D15" s="1206"/>
      <c r="E15" s="1206"/>
      <c r="F15" s="515">
        <f t="shared" si="0"/>
        <v>0</v>
      </c>
      <c r="H15" s="518"/>
    </row>
    <row r="16" spans="1:8" ht="14.5">
      <c r="A16" s="503">
        <f t="shared" si="1"/>
        <v>9</v>
      </c>
      <c r="B16" s="516" t="s">
        <v>863</v>
      </c>
      <c r="C16" s="517">
        <f>SUM(C12:C15)</f>
        <v>0</v>
      </c>
      <c r="D16" s="517">
        <f>SUM(D12:D15)</f>
        <v>0</v>
      </c>
      <c r="E16" s="517">
        <f>SUM(E12:E15)</f>
        <v>0</v>
      </c>
      <c r="F16" s="515">
        <f t="shared" si="0"/>
        <v>0</v>
      </c>
      <c r="H16" s="519"/>
    </row>
    <row r="17" spans="1:8" ht="14.5">
      <c r="A17" s="503">
        <f t="shared" si="1"/>
        <v>10</v>
      </c>
      <c r="B17" s="516" t="s">
        <v>965</v>
      </c>
      <c r="C17" s="517">
        <f>C11-C16</f>
        <v>0</v>
      </c>
      <c r="D17" s="517">
        <f>D11-D16</f>
        <v>0</v>
      </c>
      <c r="E17" s="517">
        <f>E11-E16</f>
        <v>0</v>
      </c>
      <c r="F17" s="515">
        <f>F11-F16</f>
        <v>0</v>
      </c>
      <c r="H17" s="519"/>
    </row>
    <row r="18" spans="1:8" ht="26.5">
      <c r="A18" s="503">
        <f t="shared" si="1"/>
        <v>11</v>
      </c>
      <c r="B18" s="513" t="s">
        <v>1518</v>
      </c>
      <c r="C18" s="1206"/>
      <c r="D18" s="1206"/>
      <c r="E18" s="1206"/>
      <c r="F18" s="515">
        <f t="shared" si="0"/>
        <v>0</v>
      </c>
      <c r="H18" s="518"/>
    </row>
    <row r="19" spans="1:8" ht="14.5">
      <c r="A19" s="503">
        <f t="shared" si="1"/>
        <v>12</v>
      </c>
      <c r="B19" s="516" t="s">
        <v>865</v>
      </c>
      <c r="C19" s="517">
        <f>C11-C16+C18</f>
        <v>0</v>
      </c>
      <c r="D19" s="517">
        <f>D11-D16+D18</f>
        <v>0</v>
      </c>
      <c r="E19" s="517">
        <f>E11-E16+E18</f>
        <v>0</v>
      </c>
      <c r="F19" s="515">
        <f>SUM(C19:E19)</f>
        <v>0</v>
      </c>
      <c r="H19" s="519"/>
    </row>
    <row r="20" spans="1:8" ht="14.5">
      <c r="A20" s="503">
        <f t="shared" si="1"/>
        <v>13</v>
      </c>
      <c r="B20" s="1041" t="s">
        <v>966</v>
      </c>
      <c r="C20" s="1206"/>
      <c r="D20" s="1206"/>
      <c r="E20" s="1206"/>
      <c r="F20" s="515">
        <f>SUM(C20:E20)</f>
        <v>0</v>
      </c>
      <c r="H20" s="519"/>
    </row>
    <row r="21" spans="1:8" ht="14.5">
      <c r="A21" s="503">
        <f t="shared" si="1"/>
        <v>14</v>
      </c>
      <c r="B21" s="1042" t="s">
        <v>967</v>
      </c>
      <c r="C21" s="520">
        <f>C19+C20</f>
        <v>0</v>
      </c>
      <c r="D21" s="520">
        <f>D19+D20</f>
        <v>0</v>
      </c>
      <c r="E21" s="520">
        <f>E19+E20</f>
        <v>0</v>
      </c>
      <c r="F21" s="521">
        <f>SUM(C21:E21)</f>
        <v>0</v>
      </c>
      <c r="H21" s="519"/>
    </row>
    <row r="22" spans="1:8">
      <c r="A22" s="522"/>
      <c r="B22" s="522"/>
      <c r="C22" s="522"/>
      <c r="D22" s="522"/>
      <c r="E22" s="522"/>
      <c r="F22" s="522"/>
    </row>
    <row r="23" spans="1:8" ht="48.75" customHeight="1">
      <c r="B23" s="1061"/>
      <c r="C23" s="509" t="s">
        <v>327</v>
      </c>
      <c r="D23" s="509" t="s">
        <v>328</v>
      </c>
      <c r="E23" s="509" t="s">
        <v>886</v>
      </c>
      <c r="F23" s="510" t="s">
        <v>272</v>
      </c>
    </row>
    <row r="24" spans="1:8" ht="18">
      <c r="B24" s="1060"/>
      <c r="C24" s="481" t="s">
        <v>29</v>
      </c>
      <c r="D24" s="481" t="s">
        <v>41</v>
      </c>
      <c r="E24" s="481" t="s">
        <v>63</v>
      </c>
      <c r="F24" s="482" t="s">
        <v>65</v>
      </c>
    </row>
    <row r="25" spans="1:8" ht="18">
      <c r="B25" s="959" t="str">
        <f>Period2</f>
        <v>שנת 2020</v>
      </c>
      <c r="C25" s="473"/>
      <c r="D25" s="473"/>
      <c r="E25" s="473"/>
      <c r="F25" s="512"/>
    </row>
    <row r="26" spans="1:8" ht="14">
      <c r="A26" s="505">
        <v>1</v>
      </c>
      <c r="B26" s="513" t="s">
        <v>882</v>
      </c>
      <c r="C26" s="1206"/>
      <c r="D26" s="1206"/>
      <c r="E26" s="1206"/>
      <c r="F26" s="515">
        <f t="shared" ref="F26:F34" si="2">SUM(C26:E26)</f>
        <v>0</v>
      </c>
    </row>
    <row r="27" spans="1:8" ht="13">
      <c r="A27" s="505">
        <f>A26+1</f>
        <v>2</v>
      </c>
      <c r="B27" s="513" t="s">
        <v>856</v>
      </c>
      <c r="C27" s="1205"/>
      <c r="D27" s="1205"/>
      <c r="E27" s="1205"/>
      <c r="F27" s="515">
        <f t="shared" si="2"/>
        <v>0</v>
      </c>
    </row>
    <row r="28" spans="1:8" ht="14.5">
      <c r="A28" s="505">
        <f t="shared" ref="A28:A39" si="3">A27+1</f>
        <v>3</v>
      </c>
      <c r="B28" s="513" t="s">
        <v>857</v>
      </c>
      <c r="C28" s="1205"/>
      <c r="D28" s="1205"/>
      <c r="E28" s="1205"/>
      <c r="F28" s="515">
        <f t="shared" si="2"/>
        <v>0</v>
      </c>
      <c r="H28" s="518"/>
    </row>
    <row r="29" spans="1:8" ht="13">
      <c r="A29" s="505">
        <f t="shared" si="3"/>
        <v>4</v>
      </c>
      <c r="B29" s="516" t="s">
        <v>883</v>
      </c>
      <c r="C29" s="517">
        <f>SUM(C26:C28)</f>
        <v>0</v>
      </c>
      <c r="D29" s="517">
        <f>SUM(D26:D28)</f>
        <v>0</v>
      </c>
      <c r="E29" s="517">
        <f>SUM(E26:E28)</f>
        <v>0</v>
      </c>
      <c r="F29" s="515">
        <f t="shared" si="2"/>
        <v>0</v>
      </c>
    </row>
    <row r="30" spans="1:8" ht="14">
      <c r="A30" s="505">
        <f t="shared" si="3"/>
        <v>5</v>
      </c>
      <c r="B30" s="513" t="s">
        <v>859</v>
      </c>
      <c r="C30" s="1206"/>
      <c r="D30" s="1206"/>
      <c r="E30" s="1206"/>
      <c r="F30" s="515">
        <f t="shared" si="2"/>
        <v>0</v>
      </c>
    </row>
    <row r="31" spans="1:8" ht="14">
      <c r="A31" s="505">
        <f t="shared" si="3"/>
        <v>6</v>
      </c>
      <c r="B31" s="513" t="s">
        <v>884</v>
      </c>
      <c r="C31" s="1206"/>
      <c r="D31" s="1206"/>
      <c r="E31" s="1206"/>
      <c r="F31" s="515">
        <f t="shared" si="2"/>
        <v>0</v>
      </c>
    </row>
    <row r="32" spans="1:8" ht="14">
      <c r="A32" s="505">
        <f t="shared" si="3"/>
        <v>7</v>
      </c>
      <c r="B32" s="513" t="s">
        <v>861</v>
      </c>
      <c r="C32" s="1206"/>
      <c r="D32" s="1206"/>
      <c r="E32" s="1206"/>
      <c r="F32" s="515">
        <f t="shared" si="2"/>
        <v>0</v>
      </c>
    </row>
    <row r="33" spans="1:6" ht="14">
      <c r="A33" s="505">
        <f t="shared" si="3"/>
        <v>8</v>
      </c>
      <c r="B33" s="513" t="s">
        <v>862</v>
      </c>
      <c r="C33" s="1206"/>
      <c r="D33" s="1206"/>
      <c r="E33" s="1206"/>
      <c r="F33" s="515">
        <f t="shared" si="2"/>
        <v>0</v>
      </c>
    </row>
    <row r="34" spans="1:6" ht="13">
      <c r="A34" s="505">
        <f t="shared" si="3"/>
        <v>9</v>
      </c>
      <c r="B34" s="516" t="s">
        <v>863</v>
      </c>
      <c r="C34" s="517">
        <f>SUM(C30:C33)</f>
        <v>0</v>
      </c>
      <c r="D34" s="517">
        <f>SUM(D30:D33)</f>
        <v>0</v>
      </c>
      <c r="E34" s="517">
        <f>SUM(E30:E33)</f>
        <v>0</v>
      </c>
      <c r="F34" s="515">
        <f t="shared" si="2"/>
        <v>0</v>
      </c>
    </row>
    <row r="35" spans="1:6" ht="13">
      <c r="A35" s="505">
        <f t="shared" si="3"/>
        <v>10</v>
      </c>
      <c r="B35" s="516" t="s">
        <v>965</v>
      </c>
      <c r="C35" s="517">
        <f>C29-C34</f>
        <v>0</v>
      </c>
      <c r="D35" s="517">
        <f>D29-D34</f>
        <v>0</v>
      </c>
      <c r="E35" s="517">
        <f>E29-E34</f>
        <v>0</v>
      </c>
      <c r="F35" s="515">
        <f>F29-F34</f>
        <v>0</v>
      </c>
    </row>
    <row r="36" spans="1:6" ht="26">
      <c r="A36" s="505">
        <f t="shared" si="3"/>
        <v>11</v>
      </c>
      <c r="B36" s="513" t="s">
        <v>1518</v>
      </c>
      <c r="C36" s="1206"/>
      <c r="D36" s="1206"/>
      <c r="E36" s="1206"/>
      <c r="F36" s="515">
        <f>SUM(C36:E36)</f>
        <v>0</v>
      </c>
    </row>
    <row r="37" spans="1:6" ht="13">
      <c r="A37" s="505">
        <f t="shared" si="3"/>
        <v>12</v>
      </c>
      <c r="B37" s="516" t="s">
        <v>865</v>
      </c>
      <c r="C37" s="517">
        <f>C29-C34+C36</f>
        <v>0</v>
      </c>
      <c r="D37" s="517">
        <f>D29-D34+D36</f>
        <v>0</v>
      </c>
      <c r="E37" s="517">
        <f>E29-E34+E36</f>
        <v>0</v>
      </c>
      <c r="F37" s="515">
        <f>SUM(C37:E37)</f>
        <v>0</v>
      </c>
    </row>
    <row r="38" spans="1:6" ht="14">
      <c r="A38" s="505">
        <f t="shared" si="3"/>
        <v>13</v>
      </c>
      <c r="B38" s="1041" t="s">
        <v>966</v>
      </c>
      <c r="C38" s="1206"/>
      <c r="D38" s="1206"/>
      <c r="E38" s="1206"/>
      <c r="F38" s="515">
        <f>SUM(C38:E38)</f>
        <v>0</v>
      </c>
    </row>
    <row r="39" spans="1:6" ht="13">
      <c r="A39" s="505">
        <f t="shared" si="3"/>
        <v>14</v>
      </c>
      <c r="B39" s="1042" t="s">
        <v>967</v>
      </c>
      <c r="C39" s="520">
        <f>C37+C38</f>
        <v>0</v>
      </c>
      <c r="D39" s="520">
        <f>D37+D38</f>
        <v>0</v>
      </c>
      <c r="E39" s="520">
        <f>E37+E38</f>
        <v>0</v>
      </c>
      <c r="F39" s="521">
        <f>SUM(C39:E39)</f>
        <v>0</v>
      </c>
    </row>
    <row r="41" spans="1:6" ht="42">
      <c r="B41" s="1061"/>
      <c r="C41" s="509" t="s">
        <v>327</v>
      </c>
      <c r="D41" s="509" t="s">
        <v>328</v>
      </c>
      <c r="E41" s="509" t="s">
        <v>886</v>
      </c>
      <c r="F41" s="510" t="s">
        <v>272</v>
      </c>
    </row>
    <row r="42" spans="1:6" ht="18">
      <c r="B42" s="1060"/>
      <c r="C42" s="481" t="s">
        <v>29</v>
      </c>
      <c r="D42" s="481" t="s">
        <v>41</v>
      </c>
      <c r="E42" s="481" t="s">
        <v>63</v>
      </c>
      <c r="F42" s="482" t="s">
        <v>65</v>
      </c>
    </row>
    <row r="43" spans="1:6" ht="18">
      <c r="B43" s="959" t="str">
        <f>Period5</f>
        <v>שנת 2019</v>
      </c>
      <c r="C43" s="473"/>
      <c r="D43" s="473"/>
      <c r="E43" s="473"/>
      <c r="F43" s="512"/>
    </row>
    <row r="44" spans="1:6" ht="14">
      <c r="A44" s="505">
        <v>1</v>
      </c>
      <c r="B44" s="513" t="s">
        <v>882</v>
      </c>
      <c r="C44" s="1206"/>
      <c r="D44" s="1206"/>
      <c r="E44" s="1206"/>
      <c r="F44" s="515">
        <f t="shared" ref="F44:F52" si="4">SUM(C44:E44)</f>
        <v>0</v>
      </c>
    </row>
    <row r="45" spans="1:6" ht="13">
      <c r="A45" s="505">
        <f>A44+1</f>
        <v>2</v>
      </c>
      <c r="B45" s="513" t="s">
        <v>856</v>
      </c>
      <c r="C45" s="1205"/>
      <c r="D45" s="1205"/>
      <c r="E45" s="1205"/>
      <c r="F45" s="515">
        <f t="shared" si="4"/>
        <v>0</v>
      </c>
    </row>
    <row r="46" spans="1:6" ht="13">
      <c r="A46" s="505">
        <f t="shared" ref="A46:A57" si="5">A45+1</f>
        <v>3</v>
      </c>
      <c r="B46" s="513" t="s">
        <v>857</v>
      </c>
      <c r="C46" s="1205"/>
      <c r="D46" s="1205"/>
      <c r="E46" s="1205"/>
      <c r="F46" s="515">
        <f t="shared" si="4"/>
        <v>0</v>
      </c>
    </row>
    <row r="47" spans="1:6" ht="13">
      <c r="A47" s="505">
        <f t="shared" si="5"/>
        <v>4</v>
      </c>
      <c r="B47" s="516" t="s">
        <v>883</v>
      </c>
      <c r="C47" s="517">
        <f>SUM(C44:C46)</f>
        <v>0</v>
      </c>
      <c r="D47" s="517">
        <f>SUM(D44:D46)</f>
        <v>0</v>
      </c>
      <c r="E47" s="517">
        <f>SUM(E44:E46)</f>
        <v>0</v>
      </c>
      <c r="F47" s="515">
        <f t="shared" si="4"/>
        <v>0</v>
      </c>
    </row>
    <row r="48" spans="1:6" ht="14">
      <c r="A48" s="505">
        <f t="shared" si="5"/>
        <v>5</v>
      </c>
      <c r="B48" s="513" t="s">
        <v>859</v>
      </c>
      <c r="C48" s="1206"/>
      <c r="D48" s="1206"/>
      <c r="E48" s="1206"/>
      <c r="F48" s="515">
        <f t="shared" si="4"/>
        <v>0</v>
      </c>
    </row>
    <row r="49" spans="1:6" ht="14">
      <c r="A49" s="505">
        <f t="shared" si="5"/>
        <v>6</v>
      </c>
      <c r="B49" s="513" t="s">
        <v>884</v>
      </c>
      <c r="C49" s="1206"/>
      <c r="D49" s="1206"/>
      <c r="E49" s="1206"/>
      <c r="F49" s="515">
        <f t="shared" si="4"/>
        <v>0</v>
      </c>
    </row>
    <row r="50" spans="1:6" ht="14">
      <c r="A50" s="505">
        <f t="shared" si="5"/>
        <v>7</v>
      </c>
      <c r="B50" s="513" t="s">
        <v>861</v>
      </c>
      <c r="C50" s="1206"/>
      <c r="D50" s="1206"/>
      <c r="E50" s="1206"/>
      <c r="F50" s="515">
        <f t="shared" si="4"/>
        <v>0</v>
      </c>
    </row>
    <row r="51" spans="1:6" ht="14">
      <c r="A51" s="505">
        <f t="shared" si="5"/>
        <v>8</v>
      </c>
      <c r="B51" s="513" t="s">
        <v>862</v>
      </c>
      <c r="C51" s="1206"/>
      <c r="D51" s="1206"/>
      <c r="E51" s="1206"/>
      <c r="F51" s="515">
        <f t="shared" si="4"/>
        <v>0</v>
      </c>
    </row>
    <row r="52" spans="1:6" ht="13">
      <c r="A52" s="505">
        <f t="shared" si="5"/>
        <v>9</v>
      </c>
      <c r="B52" s="516" t="s">
        <v>863</v>
      </c>
      <c r="C52" s="517">
        <f>SUM(C48:C51)</f>
        <v>0</v>
      </c>
      <c r="D52" s="517">
        <f>SUM(D48:D51)</f>
        <v>0</v>
      </c>
      <c r="E52" s="517">
        <f>SUM(E48:E51)</f>
        <v>0</v>
      </c>
      <c r="F52" s="515">
        <f t="shared" si="4"/>
        <v>0</v>
      </c>
    </row>
    <row r="53" spans="1:6" ht="18" customHeight="1">
      <c r="A53" s="505">
        <f t="shared" si="5"/>
        <v>10</v>
      </c>
      <c r="B53" s="516" t="s">
        <v>965</v>
      </c>
      <c r="C53" s="517">
        <f>C47-C52</f>
        <v>0</v>
      </c>
      <c r="D53" s="517">
        <f>D47-D52</f>
        <v>0</v>
      </c>
      <c r="E53" s="517">
        <f>E47-E52</f>
        <v>0</v>
      </c>
      <c r="F53" s="515">
        <f>F47-F52</f>
        <v>0</v>
      </c>
    </row>
    <row r="54" spans="1:6" ht="26">
      <c r="A54" s="505">
        <f t="shared" si="5"/>
        <v>11</v>
      </c>
      <c r="B54" s="513" t="s">
        <v>1518</v>
      </c>
      <c r="C54" s="1206"/>
      <c r="D54" s="1206"/>
      <c r="E54" s="1206"/>
      <c r="F54" s="515">
        <f>SUM(C54:E54)</f>
        <v>0</v>
      </c>
    </row>
    <row r="55" spans="1:6" ht="13">
      <c r="A55" s="505">
        <f t="shared" si="5"/>
        <v>12</v>
      </c>
      <c r="B55" s="516" t="s">
        <v>865</v>
      </c>
      <c r="C55" s="517">
        <f>C47-C52+C54</f>
        <v>0</v>
      </c>
      <c r="D55" s="517">
        <f>D47-D52+D54</f>
        <v>0</v>
      </c>
      <c r="E55" s="517">
        <f>E47-E52+E54</f>
        <v>0</v>
      </c>
      <c r="F55" s="515">
        <f>SUM(C55:E55)</f>
        <v>0</v>
      </c>
    </row>
    <row r="56" spans="1:6" ht="14">
      <c r="A56" s="505">
        <f t="shared" si="5"/>
        <v>13</v>
      </c>
      <c r="B56" s="1041" t="s">
        <v>966</v>
      </c>
      <c r="C56" s="1206"/>
      <c r="D56" s="1206"/>
      <c r="E56" s="1206"/>
      <c r="F56" s="515">
        <f>SUM(C56:E56)</f>
        <v>0</v>
      </c>
    </row>
    <row r="57" spans="1:6" ht="13">
      <c r="A57" s="505">
        <f t="shared" si="5"/>
        <v>14</v>
      </c>
      <c r="B57" s="1042" t="s">
        <v>967</v>
      </c>
      <c r="C57" s="520">
        <f>C55+C56</f>
        <v>0</v>
      </c>
      <c r="D57" s="520">
        <f>D55+D56</f>
        <v>0</v>
      </c>
      <c r="E57" s="520">
        <f>E55+E56</f>
        <v>0</v>
      </c>
      <c r="F57" s="521">
        <f>SUM(C57:E57)</f>
        <v>0</v>
      </c>
    </row>
  </sheetData>
  <sheetProtection password="D2DE" sheet="1" objects="1" scenarios="1" formatCells="0" formatColumns="0" formatRows="0"/>
  <hyperlinks>
    <hyperlink ref="D2" location="Information!A1" display="חזרה"/>
    <hyperlink ref="B5" location="Information!A60" display="הערות"/>
  </hyperlinks>
  <pageMargins left="0" right="0" top="0" bottom="0.98425196850393704" header="0" footer="0.23622047244094491"/>
  <pageSetup paperSize="9" scale="95" fitToHeight="2" orientation="portrait" r:id="rId1"/>
  <headerFooter alignWithMargins="0">
    <oddFooter>&amp;L&amp;Z&amp;F&amp;C&amp;A&amp;R&amp;D</oddFooter>
  </headerFooter>
  <rowBreaks count="1" manualBreakCount="1">
    <brk id="39" min="1" max="5" man="1"/>
  </rowBreaks>
  <extLst>
    <ext xmlns:x14="http://schemas.microsoft.com/office/spreadsheetml/2009/9/main" uri="{78C0D931-6437-407d-A8EE-F0AAD7539E65}">
      <x14:conditionalFormattings>
        <x14:conditionalFormatting xmlns:xm="http://schemas.microsoft.com/office/excel/2006/main">
          <x14:cfRule type="expression" priority="1" id="{FBE98382-1F88-49B5-A545-7A1EBDF4BE97}">
            <xm:f>Information!$G$54&gt;0</xm:f>
            <x14:dxf>
              <font>
                <b/>
                <i val="0"/>
                <color theme="1"/>
              </font>
              <fill>
                <patternFill>
                  <bgColor rgb="FFFFFF00"/>
                </patternFill>
              </fill>
            </x14:dxf>
          </x14:cfRule>
          <xm:sqref>B5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F0"/>
    <pageSetUpPr fitToPage="1"/>
  </sheetPr>
  <dimension ref="A1:V127"/>
  <sheetViews>
    <sheetView rightToLeft="1" workbookViewId="0"/>
  </sheetViews>
  <sheetFormatPr defaultRowHeight="12.5"/>
  <cols>
    <col min="1" max="1" width="6.54296875" customWidth="1"/>
    <col min="2" max="2" width="49" customWidth="1"/>
    <col min="3" max="3" width="11.81640625" customWidth="1"/>
    <col min="4" max="4" width="12.453125" customWidth="1"/>
    <col min="5" max="5" width="17.1796875" customWidth="1"/>
    <col min="6" max="6" width="17.54296875" customWidth="1"/>
    <col min="7" max="8" width="12.54296875" customWidth="1"/>
    <col min="9" max="9" width="11.1796875" customWidth="1"/>
    <col min="18" max="18" width="14.453125" customWidth="1"/>
    <col min="19" max="19" width="23.81640625" bestFit="1" customWidth="1"/>
    <col min="20" max="20" width="18.453125" customWidth="1"/>
  </cols>
  <sheetData>
    <row r="1" spans="2:22" ht="18">
      <c r="B1" s="15" t="str">
        <f>company</f>
        <v>_____חברה מנהלת</v>
      </c>
      <c r="S1" s="528" t="s">
        <v>905</v>
      </c>
      <c r="T1" s="528" t="s">
        <v>906</v>
      </c>
      <c r="U1" s="465">
        <f>quarter</f>
        <v>4</v>
      </c>
      <c r="V1" s="465" t="str">
        <f>year</f>
        <v>2021</v>
      </c>
    </row>
    <row r="2" spans="2:22" ht="18">
      <c r="B2" s="23" t="str">
        <f>Information!C11</f>
        <v>דוח על השינוי במצב ההון - סולו</v>
      </c>
      <c r="D2" s="642" t="s">
        <v>263</v>
      </c>
      <c r="S2" s="526" t="s">
        <v>902</v>
      </c>
      <c r="T2" s="465" t="s">
        <v>907</v>
      </c>
    </row>
    <row r="3" spans="2:22" ht="16.5" customHeight="1">
      <c r="B3" s="28" t="str">
        <f>Information!$M$21</f>
        <v>הנתונים באלפי ש"ח</v>
      </c>
      <c r="I3" s="460"/>
      <c r="Q3" t="e">
        <f>FIND("-",R3)</f>
        <v>#VALUE!</v>
      </c>
      <c r="R3" s="527" t="str">
        <f>Period1</f>
        <v>שנת 2021</v>
      </c>
      <c r="S3" s="526" t="str">
        <f>IF(quarter=4,CONCATENATE("יתרתה ליום 1 בינואר ",'S3'!R3),CONCATENATE($S$2,LEFT(R3,Q3-1),RIGHT(R3,4)))</f>
        <v>יתרתה ליום 1 בינואר שנת 2021</v>
      </c>
      <c r="T3" t="str">
        <f>CONCATENATE("יתרה לסוף ",VLOOKUP($U$1,$U$3:$V$6,2,0)," ",$V$1)</f>
        <v>יתרה לסוף דצמבר 2021</v>
      </c>
      <c r="U3">
        <v>1</v>
      </c>
      <c r="V3" s="465" t="s">
        <v>908</v>
      </c>
    </row>
    <row r="4" spans="2:22" ht="28.5" customHeight="1">
      <c r="B4" s="1470" t="s">
        <v>3876</v>
      </c>
      <c r="C4" s="1125" t="s">
        <v>821</v>
      </c>
      <c r="D4" s="1125" t="s">
        <v>894</v>
      </c>
      <c r="E4" s="1125" t="s">
        <v>895</v>
      </c>
      <c r="F4" s="1125" t="s">
        <v>896</v>
      </c>
      <c r="G4" s="1125" t="s">
        <v>1516</v>
      </c>
      <c r="H4" s="1125" t="s">
        <v>897</v>
      </c>
      <c r="I4" s="1127" t="s">
        <v>1460</v>
      </c>
      <c r="Q4" t="e">
        <f>FIND("-",R4)</f>
        <v>#VALUE!</v>
      </c>
      <c r="R4" s="465" t="str">
        <f>Period2</f>
        <v>שנת 2020</v>
      </c>
      <c r="S4" s="526" t="str">
        <f>IF(quarter=4,CONCATENATE("יתרתה ליום 1 בינואר ",'S3'!R4),CONCATENATE($S$2,LEFT(R4,Q4-1),RIGHT(R4,4)))</f>
        <v>יתרתה ליום 1 בינואר שנת 2020</v>
      </c>
      <c r="T4" t="str">
        <f>CONCATENATE("יתרה לסוף ",VLOOKUP($U$1,$U$3:$V$6,2,0)," ",$V$1-1)</f>
        <v>יתרה לסוף דצמבר 2020</v>
      </c>
      <c r="U4">
        <v>2</v>
      </c>
      <c r="V4" s="465" t="s">
        <v>909</v>
      </c>
    </row>
    <row r="5" spans="2:22" ht="15.5">
      <c r="B5" s="1242" t="str">
        <f>Period1</f>
        <v>שנת 2021</v>
      </c>
      <c r="C5" s="1123" t="s">
        <v>29</v>
      </c>
      <c r="D5" s="1123" t="s">
        <v>41</v>
      </c>
      <c r="E5" s="1123" t="s">
        <v>63</v>
      </c>
      <c r="F5" s="1123" t="s">
        <v>65</v>
      </c>
      <c r="G5" s="1123" t="s">
        <v>86</v>
      </c>
      <c r="H5" s="1123" t="s">
        <v>88</v>
      </c>
      <c r="I5" s="1124" t="s">
        <v>195</v>
      </c>
      <c r="Q5" t="e">
        <f>FIND("-",R5)</f>
        <v>#VALUE!</v>
      </c>
      <c r="R5" s="465" t="str">
        <f>Period3</f>
        <v>לא לדווח</v>
      </c>
      <c r="S5" s="526" t="str">
        <f>IF(OR(quarter=1,quarter=4),"לא לדווח",CONCATENATE($S$2,LEFT(R5,Q5-1),RIGHT(R5,4)))</f>
        <v>לא לדווח</v>
      </c>
      <c r="T5" t="str">
        <f>IF(OR($U$1=1,$U$1=4),"לא לדווח ",CONCATENATE("יתרה לסוף ",VLOOKUP($U$1,$U$3:$V$6,2,0)," ",$V$1))</f>
        <v xml:space="preserve">לא לדווח </v>
      </c>
      <c r="U5">
        <v>3</v>
      </c>
      <c r="V5" s="465" t="s">
        <v>910</v>
      </c>
    </row>
    <row r="6" spans="2:22" ht="15.5">
      <c r="B6" s="469" t="s">
        <v>2806</v>
      </c>
      <c r="C6" s="493"/>
      <c r="D6" s="493"/>
      <c r="E6" s="493"/>
      <c r="F6" s="493"/>
      <c r="G6" s="493"/>
      <c r="H6" s="493"/>
      <c r="I6" s="923">
        <f>SUM(C6:H6)</f>
        <v>0</v>
      </c>
      <c r="Q6" t="e">
        <f>FIND("-",R6)</f>
        <v>#VALUE!</v>
      </c>
      <c r="R6" s="465" t="str">
        <f>Period4</f>
        <v>לא לדווח</v>
      </c>
      <c r="S6" s="526" t="str">
        <f>IF(OR(quarter=1,quarter=4),"לא לדווח",CONCATENATE($S$2,LEFT(R6,Q6-1),RIGHT(R6,4)))</f>
        <v>לא לדווח</v>
      </c>
      <c r="T6" t="str">
        <f>IF(OR($U$1=1,$U$1=4),"לא לדווח ",CONCATENATE("יתרה לסוף ",VLOOKUP($U$1,$U$3:$V$6,2,0)," ",$V$1-1))</f>
        <v xml:space="preserve">לא לדווח </v>
      </c>
      <c r="U6">
        <v>4</v>
      </c>
      <c r="V6" s="465" t="s">
        <v>911</v>
      </c>
    </row>
    <row r="7" spans="2:22" ht="15.5">
      <c r="B7" s="469" t="s">
        <v>867</v>
      </c>
      <c r="C7" s="493"/>
      <c r="D7" s="493"/>
      <c r="E7" s="493"/>
      <c r="F7" s="493"/>
      <c r="G7" s="493"/>
      <c r="H7" s="493"/>
      <c r="I7" s="923">
        <f>SUM(C7:H7)</f>
        <v>0</v>
      </c>
      <c r="R7" s="465" t="str">
        <f>Period5</f>
        <v>שנת 2019</v>
      </c>
      <c r="S7" s="526" t="str">
        <f>IF(quarter=4,CONCATENATE("יתרתה ליום 1 בינואר ",'S3'!R7),S4)</f>
        <v>יתרתה ליום 1 בינואר שנת 2019</v>
      </c>
      <c r="T7" t="str">
        <f>IF(U1=4,CONCATENATE(T2," ",V6," ",V1-2),CONCATENATE(T2," ",V6," ",V1-1))</f>
        <v>יתרת לסוף דצמבר 2019</v>
      </c>
    </row>
    <row r="8" spans="2:22" ht="15.5">
      <c r="B8" s="469" t="s">
        <v>1515</v>
      </c>
      <c r="C8" s="524"/>
      <c r="D8" s="524"/>
      <c r="E8" s="524"/>
      <c r="F8" s="524"/>
      <c r="G8" s="524"/>
      <c r="H8" s="524"/>
      <c r="I8" s="920"/>
    </row>
    <row r="9" spans="2:22" ht="15.5">
      <c r="B9" s="472" t="s">
        <v>871</v>
      </c>
      <c r="C9" s="493"/>
      <c r="D9" s="493"/>
      <c r="E9" s="493"/>
      <c r="F9" s="493"/>
      <c r="G9" s="493"/>
      <c r="H9" s="493"/>
      <c r="I9" s="923">
        <f t="shared" ref="I9:I15" si="0">SUM(C9:H9)</f>
        <v>0</v>
      </c>
    </row>
    <row r="10" spans="2:22" ht="31">
      <c r="B10" s="472" t="s">
        <v>872</v>
      </c>
      <c r="C10" s="493"/>
      <c r="D10" s="493"/>
      <c r="E10" s="493"/>
      <c r="F10" s="493"/>
      <c r="G10" s="493"/>
      <c r="H10" s="493"/>
      <c r="I10" s="923">
        <f t="shared" si="0"/>
        <v>0</v>
      </c>
    </row>
    <row r="11" spans="2:22" ht="35.25" customHeight="1">
      <c r="B11" s="472" t="s">
        <v>873</v>
      </c>
      <c r="C11" s="493"/>
      <c r="D11" s="493"/>
      <c r="E11" s="493"/>
      <c r="F11" s="493"/>
      <c r="G11" s="493"/>
      <c r="H11" s="493"/>
      <c r="I11" s="923">
        <f t="shared" si="0"/>
        <v>0</v>
      </c>
    </row>
    <row r="12" spans="2:22" ht="31">
      <c r="B12" s="472" t="s">
        <v>880</v>
      </c>
      <c r="C12" s="493"/>
      <c r="D12" s="493"/>
      <c r="E12" s="493"/>
      <c r="F12" s="493"/>
      <c r="G12" s="493"/>
      <c r="H12" s="493"/>
      <c r="I12" s="923">
        <f t="shared" si="0"/>
        <v>0</v>
      </c>
    </row>
    <row r="13" spans="2:22" ht="31">
      <c r="B13" s="472" t="s">
        <v>874</v>
      </c>
      <c r="C13" s="493"/>
      <c r="D13" s="493"/>
      <c r="E13" s="493"/>
      <c r="F13" s="493"/>
      <c r="G13" s="493"/>
      <c r="H13" s="493"/>
      <c r="I13" s="923">
        <f t="shared" si="0"/>
        <v>0</v>
      </c>
    </row>
    <row r="14" spans="2:22" ht="31">
      <c r="B14" s="472" t="s">
        <v>875</v>
      </c>
      <c r="C14" s="493"/>
      <c r="D14" s="493"/>
      <c r="E14" s="493"/>
      <c r="F14" s="493"/>
      <c r="G14" s="493"/>
      <c r="H14" s="493"/>
      <c r="I14" s="923">
        <f t="shared" si="0"/>
        <v>0</v>
      </c>
    </row>
    <row r="15" spans="2:22" ht="15.5">
      <c r="B15" s="472" t="s">
        <v>70</v>
      </c>
      <c r="C15" s="493"/>
      <c r="D15" s="493"/>
      <c r="E15" s="493"/>
      <c r="F15" s="493"/>
      <c r="G15" s="493"/>
      <c r="H15" s="493"/>
      <c r="I15" s="923">
        <f t="shared" si="0"/>
        <v>0</v>
      </c>
    </row>
    <row r="16" spans="2:22" ht="15.5">
      <c r="B16" s="496" t="s">
        <v>899</v>
      </c>
      <c r="C16" s="478">
        <f t="shared" ref="C16:I16" si="1">SUM(C9:C15)</f>
        <v>0</v>
      </c>
      <c r="D16" s="478">
        <f t="shared" si="1"/>
        <v>0</v>
      </c>
      <c r="E16" s="478">
        <f t="shared" si="1"/>
        <v>0</v>
      </c>
      <c r="F16" s="478">
        <f t="shared" si="1"/>
        <v>0</v>
      </c>
      <c r="G16" s="478">
        <f t="shared" si="1"/>
        <v>0</v>
      </c>
      <c r="H16" s="478">
        <f t="shared" si="1"/>
        <v>0</v>
      </c>
      <c r="I16" s="483">
        <f t="shared" si="1"/>
        <v>0</v>
      </c>
    </row>
    <row r="17" spans="1:9" ht="15.5">
      <c r="B17" s="916" t="s">
        <v>876</v>
      </c>
      <c r="C17" s="493"/>
      <c r="D17" s="493"/>
      <c r="E17" s="493"/>
      <c r="F17" s="493"/>
      <c r="G17" s="493"/>
      <c r="H17" s="493"/>
      <c r="I17" s="923">
        <f>SUM(C17:H17)</f>
        <v>0</v>
      </c>
    </row>
    <row r="18" spans="1:9" ht="15.5">
      <c r="B18" s="469" t="s">
        <v>888</v>
      </c>
      <c r="C18" s="478">
        <f t="shared" ref="C18:I18" si="2">C16-C17</f>
        <v>0</v>
      </c>
      <c r="D18" s="478">
        <f t="shared" si="2"/>
        <v>0</v>
      </c>
      <c r="E18" s="478">
        <f t="shared" si="2"/>
        <v>0</v>
      </c>
      <c r="F18" s="478">
        <f t="shared" si="2"/>
        <v>0</v>
      </c>
      <c r="G18" s="478">
        <f t="shared" si="2"/>
        <v>0</v>
      </c>
      <c r="H18" s="478">
        <f t="shared" si="2"/>
        <v>0</v>
      </c>
      <c r="I18" s="483">
        <f t="shared" si="2"/>
        <v>0</v>
      </c>
    </row>
    <row r="19" spans="1:9" ht="15.5">
      <c r="B19" s="469" t="s">
        <v>889</v>
      </c>
      <c r="C19" s="525"/>
      <c r="D19" s="525"/>
      <c r="E19" s="525"/>
      <c r="F19" s="525"/>
      <c r="G19" s="525"/>
      <c r="H19" s="525"/>
      <c r="I19" s="921"/>
    </row>
    <row r="20" spans="1:9" ht="15.5">
      <c r="B20" s="472" t="s">
        <v>890</v>
      </c>
      <c r="C20" s="497"/>
      <c r="D20" s="497"/>
      <c r="E20" s="497"/>
      <c r="F20" s="497"/>
      <c r="G20" s="497"/>
      <c r="H20" s="497"/>
      <c r="I20" s="923">
        <f t="shared" ref="I20:I25" si="3">SUM(C20:H20)</f>
        <v>0</v>
      </c>
    </row>
    <row r="21" spans="1:9" ht="15.5">
      <c r="B21" s="472" t="s">
        <v>891</v>
      </c>
      <c r="C21" s="497"/>
      <c r="D21" s="497"/>
      <c r="E21" s="497"/>
      <c r="F21" s="497"/>
      <c r="G21" s="497"/>
      <c r="H21" s="497"/>
      <c r="I21" s="923">
        <f t="shared" si="3"/>
        <v>0</v>
      </c>
    </row>
    <row r="22" spans="1:9" ht="15.5">
      <c r="B22" s="472" t="s">
        <v>892</v>
      </c>
      <c r="C22" s="497"/>
      <c r="D22" s="497"/>
      <c r="E22" s="497"/>
      <c r="F22" s="497"/>
      <c r="G22" s="497"/>
      <c r="H22" s="497"/>
      <c r="I22" s="923">
        <f t="shared" si="3"/>
        <v>0</v>
      </c>
    </row>
    <row r="23" spans="1:9" ht="15.5">
      <c r="B23" s="472" t="s">
        <v>893</v>
      </c>
      <c r="C23" s="497"/>
      <c r="D23" s="497"/>
      <c r="E23" s="497"/>
      <c r="F23" s="497"/>
      <c r="G23" s="497"/>
      <c r="H23" s="497"/>
      <c r="I23" s="923">
        <f t="shared" si="3"/>
        <v>0</v>
      </c>
    </row>
    <row r="24" spans="1:9" ht="15.5">
      <c r="A24" s="1021"/>
      <c r="B24" s="472" t="s">
        <v>2716</v>
      </c>
      <c r="C24" s="497"/>
      <c r="D24" s="497"/>
      <c r="E24" s="497"/>
      <c r="F24" s="497"/>
      <c r="G24" s="497"/>
      <c r="H24" s="497"/>
      <c r="I24" s="923">
        <f t="shared" si="3"/>
        <v>0</v>
      </c>
    </row>
    <row r="25" spans="1:9" ht="15.5">
      <c r="A25" s="1021"/>
      <c r="B25" s="472" t="s">
        <v>70</v>
      </c>
      <c r="C25" s="497"/>
      <c r="D25" s="497"/>
      <c r="E25" s="497"/>
      <c r="F25" s="497"/>
      <c r="G25" s="497"/>
      <c r="H25" s="497"/>
      <c r="I25" s="923">
        <f t="shared" si="3"/>
        <v>0</v>
      </c>
    </row>
    <row r="26" spans="1:9" ht="15.5">
      <c r="B26" s="469" t="s">
        <v>900</v>
      </c>
      <c r="C26" s="478">
        <f>SUM(C20:C25)</f>
        <v>0</v>
      </c>
      <c r="D26" s="478">
        <f t="shared" ref="D26:I26" si="4">SUM(D20:D25)</f>
        <v>0</v>
      </c>
      <c r="E26" s="478">
        <f t="shared" si="4"/>
        <v>0</v>
      </c>
      <c r="F26" s="478">
        <f t="shared" si="4"/>
        <v>0</v>
      </c>
      <c r="G26" s="478">
        <f t="shared" si="4"/>
        <v>0</v>
      </c>
      <c r="H26" s="478">
        <f t="shared" si="4"/>
        <v>0</v>
      </c>
      <c r="I26" s="483">
        <f t="shared" si="4"/>
        <v>0</v>
      </c>
    </row>
    <row r="27" spans="1:9" ht="15.5">
      <c r="B27" s="471" t="s">
        <v>2796</v>
      </c>
      <c r="C27" s="918">
        <f t="shared" ref="C27:I27" si="5">C6+C7+C18+C26</f>
        <v>0</v>
      </c>
      <c r="D27" s="918">
        <f t="shared" si="5"/>
        <v>0</v>
      </c>
      <c r="E27" s="918">
        <f t="shared" si="5"/>
        <v>0</v>
      </c>
      <c r="F27" s="918">
        <f t="shared" si="5"/>
        <v>0</v>
      </c>
      <c r="G27" s="918">
        <f t="shared" si="5"/>
        <v>0</v>
      </c>
      <c r="H27" s="918">
        <f t="shared" si="5"/>
        <v>0</v>
      </c>
      <c r="I27" s="919">
        <f t="shared" si="5"/>
        <v>0</v>
      </c>
    </row>
    <row r="29" spans="1:9" ht="35.25" customHeight="1">
      <c r="B29" s="466"/>
      <c r="C29" s="1125" t="s">
        <v>821</v>
      </c>
      <c r="D29" s="1125" t="s">
        <v>894</v>
      </c>
      <c r="E29" s="1125" t="s">
        <v>895</v>
      </c>
      <c r="F29" s="1125" t="s">
        <v>896</v>
      </c>
      <c r="G29" s="1125" t="s">
        <v>1516</v>
      </c>
      <c r="H29" s="1125" t="s">
        <v>897</v>
      </c>
      <c r="I29" s="1127" t="s">
        <v>1460</v>
      </c>
    </row>
    <row r="30" spans="1:9" ht="15.5">
      <c r="B30" s="1242" t="str">
        <f>Period2</f>
        <v>שנת 2020</v>
      </c>
      <c r="C30" s="1123" t="s">
        <v>29</v>
      </c>
      <c r="D30" s="1123" t="s">
        <v>41</v>
      </c>
      <c r="E30" s="1123" t="s">
        <v>63</v>
      </c>
      <c r="F30" s="1123" t="s">
        <v>65</v>
      </c>
      <c r="G30" s="1123" t="s">
        <v>86</v>
      </c>
      <c r="H30" s="1123" t="s">
        <v>88</v>
      </c>
      <c r="I30" s="1124" t="s">
        <v>195</v>
      </c>
    </row>
    <row r="31" spans="1:9" ht="15.5">
      <c r="B31" s="469" t="s">
        <v>2806</v>
      </c>
      <c r="C31" s="493"/>
      <c r="D31" s="493"/>
      <c r="E31" s="493"/>
      <c r="F31" s="493"/>
      <c r="G31" s="493"/>
      <c r="H31" s="493"/>
      <c r="I31" s="923">
        <f>SUM(C31:H31)</f>
        <v>0</v>
      </c>
    </row>
    <row r="32" spans="1:9" ht="15.5">
      <c r="B32" s="469" t="s">
        <v>867</v>
      </c>
      <c r="C32" s="493"/>
      <c r="D32" s="493"/>
      <c r="E32" s="493"/>
      <c r="F32" s="493"/>
      <c r="G32" s="493"/>
      <c r="H32" s="493"/>
      <c r="I32" s="923">
        <f>SUM(C32:H32)</f>
        <v>0</v>
      </c>
    </row>
    <row r="33" spans="2:9" ht="15.5">
      <c r="B33" s="469" t="s">
        <v>1515</v>
      </c>
      <c r="C33" s="524"/>
      <c r="D33" s="524"/>
      <c r="E33" s="524"/>
      <c r="F33" s="524"/>
      <c r="G33" s="524"/>
      <c r="H33" s="524"/>
      <c r="I33" s="920"/>
    </row>
    <row r="34" spans="2:9" ht="15.5">
      <c r="B34" s="472" t="s">
        <v>871</v>
      </c>
      <c r="C34" s="493"/>
      <c r="D34" s="493"/>
      <c r="E34" s="493"/>
      <c r="F34" s="493"/>
      <c r="G34" s="493"/>
      <c r="H34" s="493"/>
      <c r="I34" s="923">
        <f t="shared" ref="I34:I40" si="6">SUM(C34:H34)</f>
        <v>0</v>
      </c>
    </row>
    <row r="35" spans="2:9" ht="31">
      <c r="B35" s="472" t="s">
        <v>872</v>
      </c>
      <c r="C35" s="493"/>
      <c r="D35" s="493"/>
      <c r="E35" s="493"/>
      <c r="F35" s="493"/>
      <c r="G35" s="493"/>
      <c r="H35" s="493"/>
      <c r="I35" s="923">
        <f t="shared" si="6"/>
        <v>0</v>
      </c>
    </row>
    <row r="36" spans="2:9" ht="40.5" customHeight="1">
      <c r="B36" s="472" t="s">
        <v>873</v>
      </c>
      <c r="C36" s="493"/>
      <c r="D36" s="493"/>
      <c r="E36" s="493"/>
      <c r="F36" s="493"/>
      <c r="G36" s="493"/>
      <c r="H36" s="493"/>
      <c r="I36" s="923">
        <f t="shared" si="6"/>
        <v>0</v>
      </c>
    </row>
    <row r="37" spans="2:9" ht="31">
      <c r="B37" s="472" t="s">
        <v>880</v>
      </c>
      <c r="C37" s="493"/>
      <c r="D37" s="493"/>
      <c r="E37" s="493"/>
      <c r="F37" s="493"/>
      <c r="G37" s="493"/>
      <c r="H37" s="493"/>
      <c r="I37" s="923">
        <f t="shared" si="6"/>
        <v>0</v>
      </c>
    </row>
    <row r="38" spans="2:9" ht="31">
      <c r="B38" s="472" t="s">
        <v>874</v>
      </c>
      <c r="C38" s="493"/>
      <c r="D38" s="493"/>
      <c r="E38" s="493"/>
      <c r="F38" s="493"/>
      <c r="G38" s="493"/>
      <c r="H38" s="493"/>
      <c r="I38" s="923">
        <f t="shared" si="6"/>
        <v>0</v>
      </c>
    </row>
    <row r="39" spans="2:9" ht="31">
      <c r="B39" s="472" t="s">
        <v>875</v>
      </c>
      <c r="C39" s="493"/>
      <c r="D39" s="493"/>
      <c r="E39" s="493"/>
      <c r="F39" s="493"/>
      <c r="G39" s="493"/>
      <c r="H39" s="493"/>
      <c r="I39" s="923">
        <f t="shared" si="6"/>
        <v>0</v>
      </c>
    </row>
    <row r="40" spans="2:9" ht="15.5">
      <c r="B40" s="472" t="s">
        <v>70</v>
      </c>
      <c r="C40" s="493"/>
      <c r="D40" s="493"/>
      <c r="E40" s="493"/>
      <c r="F40" s="493"/>
      <c r="G40" s="493"/>
      <c r="H40" s="493"/>
      <c r="I40" s="923">
        <f t="shared" si="6"/>
        <v>0</v>
      </c>
    </row>
    <row r="41" spans="2:9" ht="15.5">
      <c r="B41" s="496" t="s">
        <v>899</v>
      </c>
      <c r="C41" s="478">
        <f t="shared" ref="C41:I41" si="7">SUM(C34:C40)</f>
        <v>0</v>
      </c>
      <c r="D41" s="478">
        <f t="shared" si="7"/>
        <v>0</v>
      </c>
      <c r="E41" s="478">
        <f t="shared" si="7"/>
        <v>0</v>
      </c>
      <c r="F41" s="478">
        <f t="shared" si="7"/>
        <v>0</v>
      </c>
      <c r="G41" s="478">
        <f t="shared" si="7"/>
        <v>0</v>
      </c>
      <c r="H41" s="478">
        <f t="shared" si="7"/>
        <v>0</v>
      </c>
      <c r="I41" s="483">
        <f t="shared" si="7"/>
        <v>0</v>
      </c>
    </row>
    <row r="42" spans="2:9" ht="15.5">
      <c r="B42" s="916" t="s">
        <v>876</v>
      </c>
      <c r="C42" s="493"/>
      <c r="D42" s="493"/>
      <c r="E42" s="493"/>
      <c r="F42" s="493"/>
      <c r="G42" s="493"/>
      <c r="H42" s="493"/>
      <c r="I42" s="923">
        <f>SUM(C42:H42)</f>
        <v>0</v>
      </c>
    </row>
    <row r="43" spans="2:9" ht="15.5">
      <c r="B43" s="469" t="s">
        <v>888</v>
      </c>
      <c r="C43" s="478">
        <f t="shared" ref="C43:I43" si="8">C41-C42</f>
        <v>0</v>
      </c>
      <c r="D43" s="478">
        <f t="shared" si="8"/>
        <v>0</v>
      </c>
      <c r="E43" s="478">
        <f t="shared" si="8"/>
        <v>0</v>
      </c>
      <c r="F43" s="478">
        <f t="shared" si="8"/>
        <v>0</v>
      </c>
      <c r="G43" s="478">
        <f t="shared" si="8"/>
        <v>0</v>
      </c>
      <c r="H43" s="478">
        <f t="shared" si="8"/>
        <v>0</v>
      </c>
      <c r="I43" s="483">
        <f t="shared" si="8"/>
        <v>0</v>
      </c>
    </row>
    <row r="44" spans="2:9" ht="15.5">
      <c r="B44" s="469" t="s">
        <v>889</v>
      </c>
      <c r="C44" s="525"/>
      <c r="D44" s="525"/>
      <c r="E44" s="525"/>
      <c r="F44" s="525"/>
      <c r="G44" s="525"/>
      <c r="H44" s="525"/>
      <c r="I44" s="921"/>
    </row>
    <row r="45" spans="2:9" ht="15.5">
      <c r="B45" s="472" t="s">
        <v>890</v>
      </c>
      <c r="C45" s="497"/>
      <c r="D45" s="497"/>
      <c r="E45" s="497"/>
      <c r="F45" s="497"/>
      <c r="G45" s="497"/>
      <c r="H45" s="497"/>
      <c r="I45" s="923">
        <f t="shared" ref="I45:I50" si="9">SUM(C45:H45)</f>
        <v>0</v>
      </c>
    </row>
    <row r="46" spans="2:9" ht="15.5">
      <c r="B46" s="472" t="s">
        <v>891</v>
      </c>
      <c r="C46" s="497"/>
      <c r="D46" s="497"/>
      <c r="E46" s="497"/>
      <c r="F46" s="497"/>
      <c r="G46" s="497"/>
      <c r="H46" s="497"/>
      <c r="I46" s="923">
        <f t="shared" si="9"/>
        <v>0</v>
      </c>
    </row>
    <row r="47" spans="2:9" ht="15.5">
      <c r="B47" s="472" t="s">
        <v>892</v>
      </c>
      <c r="C47" s="497"/>
      <c r="D47" s="497"/>
      <c r="E47" s="497"/>
      <c r="F47" s="497"/>
      <c r="G47" s="497"/>
      <c r="H47" s="497"/>
      <c r="I47" s="923">
        <f t="shared" si="9"/>
        <v>0</v>
      </c>
    </row>
    <row r="48" spans="2:9" ht="15.5">
      <c r="B48" s="472" t="s">
        <v>893</v>
      </c>
      <c r="C48" s="497"/>
      <c r="D48" s="497"/>
      <c r="E48" s="497"/>
      <c r="F48" s="497"/>
      <c r="G48" s="497"/>
      <c r="H48" s="497"/>
      <c r="I48" s="923">
        <f t="shared" si="9"/>
        <v>0</v>
      </c>
    </row>
    <row r="49" spans="1:9" ht="15.5">
      <c r="A49" s="1021"/>
      <c r="B49" s="472" t="s">
        <v>2716</v>
      </c>
      <c r="C49" s="497"/>
      <c r="D49" s="497"/>
      <c r="E49" s="497"/>
      <c r="F49" s="497"/>
      <c r="G49" s="497"/>
      <c r="H49" s="497"/>
      <c r="I49" s="923">
        <f t="shared" si="9"/>
        <v>0</v>
      </c>
    </row>
    <row r="50" spans="1:9" ht="15.5">
      <c r="A50" s="1021"/>
      <c r="B50" s="472" t="s">
        <v>70</v>
      </c>
      <c r="C50" s="497"/>
      <c r="D50" s="497"/>
      <c r="E50" s="497"/>
      <c r="F50" s="497"/>
      <c r="G50" s="497"/>
      <c r="H50" s="497"/>
      <c r="I50" s="923">
        <f t="shared" si="9"/>
        <v>0</v>
      </c>
    </row>
    <row r="51" spans="1:9" ht="15.5">
      <c r="B51" s="469" t="s">
        <v>900</v>
      </c>
      <c r="C51" s="478">
        <f t="shared" ref="C51:I51" si="10">SUM(C45:C50)</f>
        <v>0</v>
      </c>
      <c r="D51" s="478">
        <f t="shared" si="10"/>
        <v>0</v>
      </c>
      <c r="E51" s="478">
        <f t="shared" si="10"/>
        <v>0</v>
      </c>
      <c r="F51" s="478">
        <f t="shared" si="10"/>
        <v>0</v>
      </c>
      <c r="G51" s="478">
        <f t="shared" si="10"/>
        <v>0</v>
      </c>
      <c r="H51" s="478">
        <f t="shared" si="10"/>
        <v>0</v>
      </c>
      <c r="I51" s="483">
        <f t="shared" si="10"/>
        <v>0</v>
      </c>
    </row>
    <row r="52" spans="1:9" ht="15.5">
      <c r="B52" s="471" t="s">
        <v>2796</v>
      </c>
      <c r="C52" s="918">
        <f t="shared" ref="C52:H52" si="11">C31+C32+C43+C51</f>
        <v>0</v>
      </c>
      <c r="D52" s="918">
        <f t="shared" si="11"/>
        <v>0</v>
      </c>
      <c r="E52" s="918">
        <f t="shared" si="11"/>
        <v>0</v>
      </c>
      <c r="F52" s="918">
        <f t="shared" si="11"/>
        <v>0</v>
      </c>
      <c r="G52" s="918">
        <f t="shared" si="11"/>
        <v>0</v>
      </c>
      <c r="H52" s="918">
        <f t="shared" si="11"/>
        <v>0</v>
      </c>
      <c r="I52" s="919">
        <f>I31+I32+I43+I51</f>
        <v>0</v>
      </c>
    </row>
    <row r="54" spans="1:9" ht="34.5" hidden="1" customHeight="1">
      <c r="B54" s="466"/>
      <c r="C54" s="1125" t="s">
        <v>821</v>
      </c>
      <c r="D54" s="1125" t="s">
        <v>894</v>
      </c>
      <c r="E54" s="1125" t="s">
        <v>895</v>
      </c>
      <c r="F54" s="1125" t="s">
        <v>896</v>
      </c>
      <c r="G54" s="1125" t="s">
        <v>1516</v>
      </c>
      <c r="H54" s="1125" t="s">
        <v>897</v>
      </c>
      <c r="I54" s="1127" t="s">
        <v>1460</v>
      </c>
    </row>
    <row r="55" spans="1:9" ht="15.5" hidden="1">
      <c r="B55" s="1242" t="str">
        <f>Period3</f>
        <v>לא לדווח</v>
      </c>
      <c r="C55" s="1123" t="s">
        <v>29</v>
      </c>
      <c r="D55" s="1123" t="s">
        <v>41</v>
      </c>
      <c r="E55" s="1123" t="s">
        <v>63</v>
      </c>
      <c r="F55" s="1123" t="s">
        <v>65</v>
      </c>
      <c r="G55" s="1123" t="s">
        <v>86</v>
      </c>
      <c r="H55" s="1123" t="s">
        <v>88</v>
      </c>
      <c r="I55" s="1124" t="s">
        <v>195</v>
      </c>
    </row>
    <row r="56" spans="1:9" ht="15.5" hidden="1">
      <c r="B56" s="469" t="s">
        <v>2806</v>
      </c>
      <c r="C56" s="493"/>
      <c r="D56" s="493"/>
      <c r="E56" s="493"/>
      <c r="F56" s="493"/>
      <c r="G56" s="493"/>
      <c r="H56" s="493"/>
      <c r="I56" s="923">
        <f>SUM(C56:H56)</f>
        <v>0</v>
      </c>
    </row>
    <row r="57" spans="1:9" ht="15.5" hidden="1">
      <c r="B57" s="469" t="s">
        <v>867</v>
      </c>
      <c r="C57" s="493"/>
      <c r="D57" s="493"/>
      <c r="E57" s="493"/>
      <c r="F57" s="493"/>
      <c r="G57" s="493"/>
      <c r="H57" s="493"/>
      <c r="I57" s="923">
        <f>SUM(C57:H57)</f>
        <v>0</v>
      </c>
    </row>
    <row r="58" spans="1:9" ht="15.5" hidden="1">
      <c r="B58" s="469" t="s">
        <v>1515</v>
      </c>
      <c r="C58" s="524"/>
      <c r="D58" s="524"/>
      <c r="E58" s="524"/>
      <c r="F58" s="524"/>
      <c r="G58" s="524"/>
      <c r="H58" s="524"/>
      <c r="I58" s="920"/>
    </row>
    <row r="59" spans="1:9" ht="15.5" hidden="1">
      <c r="B59" s="472" t="s">
        <v>871</v>
      </c>
      <c r="C59" s="493"/>
      <c r="D59" s="493"/>
      <c r="E59" s="493"/>
      <c r="F59" s="493"/>
      <c r="G59" s="493"/>
      <c r="H59" s="493"/>
      <c r="I59" s="923">
        <f t="shared" ref="I59:I65" si="12">SUM(C59:H59)</f>
        <v>0</v>
      </c>
    </row>
    <row r="60" spans="1:9" ht="31" hidden="1">
      <c r="B60" s="472" t="s">
        <v>872</v>
      </c>
      <c r="C60" s="493"/>
      <c r="D60" s="493"/>
      <c r="E60" s="493"/>
      <c r="F60" s="493"/>
      <c r="G60" s="493"/>
      <c r="H60" s="493"/>
      <c r="I60" s="923">
        <f t="shared" si="12"/>
        <v>0</v>
      </c>
    </row>
    <row r="61" spans="1:9" ht="31" hidden="1">
      <c r="B61" s="472" t="s">
        <v>873</v>
      </c>
      <c r="C61" s="493"/>
      <c r="D61" s="493"/>
      <c r="E61" s="493"/>
      <c r="F61" s="493"/>
      <c r="G61" s="493"/>
      <c r="H61" s="493"/>
      <c r="I61" s="923">
        <f t="shared" si="12"/>
        <v>0</v>
      </c>
    </row>
    <row r="62" spans="1:9" ht="31" hidden="1">
      <c r="B62" s="472" t="s">
        <v>880</v>
      </c>
      <c r="C62" s="493"/>
      <c r="D62" s="493"/>
      <c r="E62" s="493"/>
      <c r="F62" s="493"/>
      <c r="G62" s="493"/>
      <c r="H62" s="493"/>
      <c r="I62" s="923">
        <f t="shared" si="12"/>
        <v>0</v>
      </c>
    </row>
    <row r="63" spans="1:9" ht="31" hidden="1">
      <c r="B63" s="472" t="s">
        <v>874</v>
      </c>
      <c r="C63" s="493"/>
      <c r="D63" s="493"/>
      <c r="E63" s="493"/>
      <c r="F63" s="493"/>
      <c r="G63" s="493"/>
      <c r="H63" s="493"/>
      <c r="I63" s="923">
        <f t="shared" si="12"/>
        <v>0</v>
      </c>
    </row>
    <row r="64" spans="1:9" ht="31" hidden="1">
      <c r="B64" s="472" t="s">
        <v>875</v>
      </c>
      <c r="C64" s="493"/>
      <c r="D64" s="493"/>
      <c r="E64" s="493"/>
      <c r="F64" s="493"/>
      <c r="G64" s="493"/>
      <c r="H64" s="493"/>
      <c r="I64" s="923">
        <f t="shared" si="12"/>
        <v>0</v>
      </c>
    </row>
    <row r="65" spans="1:9" ht="15.5" hidden="1">
      <c r="B65" s="472" t="s">
        <v>70</v>
      </c>
      <c r="C65" s="493"/>
      <c r="D65" s="493"/>
      <c r="E65" s="493"/>
      <c r="F65" s="493"/>
      <c r="G65" s="493"/>
      <c r="H65" s="493"/>
      <c r="I65" s="923">
        <f t="shared" si="12"/>
        <v>0</v>
      </c>
    </row>
    <row r="66" spans="1:9" ht="15.5" hidden="1">
      <c r="B66" s="496" t="s">
        <v>899</v>
      </c>
      <c r="C66" s="478">
        <f t="shared" ref="C66:I66" si="13">SUM(C59:C65)</f>
        <v>0</v>
      </c>
      <c r="D66" s="478">
        <f t="shared" si="13"/>
        <v>0</v>
      </c>
      <c r="E66" s="478">
        <f t="shared" si="13"/>
        <v>0</v>
      </c>
      <c r="F66" s="478">
        <f t="shared" si="13"/>
        <v>0</v>
      </c>
      <c r="G66" s="478">
        <f t="shared" si="13"/>
        <v>0</v>
      </c>
      <c r="H66" s="478">
        <f t="shared" si="13"/>
        <v>0</v>
      </c>
      <c r="I66" s="483">
        <f t="shared" si="13"/>
        <v>0</v>
      </c>
    </row>
    <row r="67" spans="1:9" ht="15.5" hidden="1">
      <c r="B67" s="916" t="s">
        <v>876</v>
      </c>
      <c r="C67" s="493"/>
      <c r="D67" s="493"/>
      <c r="E67" s="493"/>
      <c r="F67" s="493"/>
      <c r="G67" s="493"/>
      <c r="H67" s="493"/>
      <c r="I67" s="923">
        <f>SUM(C67:H67)</f>
        <v>0</v>
      </c>
    </row>
    <row r="68" spans="1:9" ht="15.5" hidden="1">
      <c r="B68" s="469" t="s">
        <v>888</v>
      </c>
      <c r="C68" s="478">
        <f t="shared" ref="C68:I68" si="14">C66-C67</f>
        <v>0</v>
      </c>
      <c r="D68" s="478">
        <f t="shared" si="14"/>
        <v>0</v>
      </c>
      <c r="E68" s="478">
        <f t="shared" si="14"/>
        <v>0</v>
      </c>
      <c r="F68" s="478">
        <f t="shared" si="14"/>
        <v>0</v>
      </c>
      <c r="G68" s="478">
        <f t="shared" si="14"/>
        <v>0</v>
      </c>
      <c r="H68" s="478">
        <f t="shared" si="14"/>
        <v>0</v>
      </c>
      <c r="I68" s="483">
        <f t="shared" si="14"/>
        <v>0</v>
      </c>
    </row>
    <row r="69" spans="1:9" ht="15.5" hidden="1">
      <c r="B69" s="469" t="s">
        <v>889</v>
      </c>
      <c r="C69" s="525"/>
      <c r="D69" s="525"/>
      <c r="E69" s="525"/>
      <c r="F69" s="525"/>
      <c r="G69" s="525"/>
      <c r="H69" s="525"/>
      <c r="I69" s="921"/>
    </row>
    <row r="70" spans="1:9" ht="15.5" hidden="1">
      <c r="B70" s="472" t="s">
        <v>890</v>
      </c>
      <c r="C70" s="497"/>
      <c r="D70" s="497"/>
      <c r="E70" s="497"/>
      <c r="F70" s="497"/>
      <c r="G70" s="497"/>
      <c r="H70" s="497"/>
      <c r="I70" s="923">
        <f t="shared" ref="I70:I75" si="15">SUM(C70:H70)</f>
        <v>0</v>
      </c>
    </row>
    <row r="71" spans="1:9" ht="15.5" hidden="1">
      <c r="B71" s="472" t="s">
        <v>891</v>
      </c>
      <c r="C71" s="497"/>
      <c r="D71" s="497"/>
      <c r="E71" s="497"/>
      <c r="F71" s="497"/>
      <c r="G71" s="497"/>
      <c r="H71" s="497"/>
      <c r="I71" s="923">
        <f t="shared" si="15"/>
        <v>0</v>
      </c>
    </row>
    <row r="72" spans="1:9" ht="15.5" hidden="1">
      <c r="B72" s="472" t="s">
        <v>892</v>
      </c>
      <c r="C72" s="497"/>
      <c r="D72" s="497"/>
      <c r="E72" s="497"/>
      <c r="F72" s="497"/>
      <c r="G72" s="497"/>
      <c r="H72" s="497"/>
      <c r="I72" s="923">
        <f t="shared" si="15"/>
        <v>0</v>
      </c>
    </row>
    <row r="73" spans="1:9" ht="15.5" hidden="1">
      <c r="B73" s="472" t="s">
        <v>893</v>
      </c>
      <c r="C73" s="497"/>
      <c r="D73" s="497"/>
      <c r="E73" s="497"/>
      <c r="F73" s="497"/>
      <c r="G73" s="497"/>
      <c r="H73" s="497"/>
      <c r="I73" s="923">
        <f t="shared" si="15"/>
        <v>0</v>
      </c>
    </row>
    <row r="74" spans="1:9" ht="15.5" hidden="1">
      <c r="A74" s="1021"/>
      <c r="B74" s="472" t="s">
        <v>2716</v>
      </c>
      <c r="C74" s="497"/>
      <c r="D74" s="497"/>
      <c r="E74" s="497"/>
      <c r="F74" s="497"/>
      <c r="G74" s="497"/>
      <c r="H74" s="497"/>
      <c r="I74" s="923">
        <f t="shared" si="15"/>
        <v>0</v>
      </c>
    </row>
    <row r="75" spans="1:9" ht="15.5" hidden="1">
      <c r="A75" s="1021"/>
      <c r="B75" s="472" t="s">
        <v>70</v>
      </c>
      <c r="C75" s="497"/>
      <c r="D75" s="497"/>
      <c r="E75" s="497"/>
      <c r="F75" s="497"/>
      <c r="G75" s="497"/>
      <c r="H75" s="497"/>
      <c r="I75" s="923">
        <f t="shared" si="15"/>
        <v>0</v>
      </c>
    </row>
    <row r="76" spans="1:9" ht="15.5" hidden="1">
      <c r="B76" s="469" t="s">
        <v>900</v>
      </c>
      <c r="C76" s="478">
        <f t="shared" ref="C76:I76" si="16">SUM(C70:C75)</f>
        <v>0</v>
      </c>
      <c r="D76" s="478">
        <f t="shared" si="16"/>
        <v>0</v>
      </c>
      <c r="E76" s="478">
        <f t="shared" si="16"/>
        <v>0</v>
      </c>
      <c r="F76" s="478">
        <f t="shared" si="16"/>
        <v>0</v>
      </c>
      <c r="G76" s="478">
        <f t="shared" si="16"/>
        <v>0</v>
      </c>
      <c r="H76" s="478">
        <f t="shared" si="16"/>
        <v>0</v>
      </c>
      <c r="I76" s="483">
        <f t="shared" si="16"/>
        <v>0</v>
      </c>
    </row>
    <row r="77" spans="1:9" ht="15.5" hidden="1">
      <c r="B77" s="471" t="s">
        <v>2796</v>
      </c>
      <c r="C77" s="918">
        <f t="shared" ref="C77:H77" si="17">C56+C57+C68+C76</f>
        <v>0</v>
      </c>
      <c r="D77" s="918">
        <f t="shared" si="17"/>
        <v>0</v>
      </c>
      <c r="E77" s="918">
        <f t="shared" si="17"/>
        <v>0</v>
      </c>
      <c r="F77" s="918">
        <f t="shared" si="17"/>
        <v>0</v>
      </c>
      <c r="G77" s="918">
        <f t="shared" si="17"/>
        <v>0</v>
      </c>
      <c r="H77" s="918">
        <f t="shared" si="17"/>
        <v>0</v>
      </c>
      <c r="I77" s="919">
        <f>I56+I57+I68+I76</f>
        <v>0</v>
      </c>
    </row>
    <row r="78" spans="1:9" hidden="1"/>
    <row r="79" spans="1:9" ht="33.75" hidden="1" customHeight="1">
      <c r="B79" s="466"/>
      <c r="C79" s="1125" t="s">
        <v>821</v>
      </c>
      <c r="D79" s="1125" t="s">
        <v>894</v>
      </c>
      <c r="E79" s="1125" t="s">
        <v>895</v>
      </c>
      <c r="F79" s="1125" t="s">
        <v>896</v>
      </c>
      <c r="G79" s="1125" t="s">
        <v>1516</v>
      </c>
      <c r="H79" s="1125" t="s">
        <v>897</v>
      </c>
      <c r="I79" s="1127" t="s">
        <v>1460</v>
      </c>
    </row>
    <row r="80" spans="1:9" ht="15.5" hidden="1">
      <c r="B80" s="1242" t="str">
        <f>Period4</f>
        <v>לא לדווח</v>
      </c>
      <c r="C80" s="1123" t="s">
        <v>29</v>
      </c>
      <c r="D80" s="1123" t="s">
        <v>41</v>
      </c>
      <c r="E80" s="1123" t="s">
        <v>63</v>
      </c>
      <c r="F80" s="1123" t="s">
        <v>65</v>
      </c>
      <c r="G80" s="1123" t="s">
        <v>86</v>
      </c>
      <c r="H80" s="1123" t="s">
        <v>88</v>
      </c>
      <c r="I80" s="1124" t="s">
        <v>195</v>
      </c>
    </row>
    <row r="81" spans="2:9" ht="15.5" hidden="1">
      <c r="B81" s="469" t="s">
        <v>2806</v>
      </c>
      <c r="C81" s="493"/>
      <c r="D81" s="493"/>
      <c r="E81" s="493"/>
      <c r="F81" s="493"/>
      <c r="G81" s="493"/>
      <c r="H81" s="493"/>
      <c r="I81" s="923">
        <f>SUM(C81:H81)</f>
        <v>0</v>
      </c>
    </row>
    <row r="82" spans="2:9" ht="15.5" hidden="1">
      <c r="B82" s="469" t="s">
        <v>867</v>
      </c>
      <c r="C82" s="493"/>
      <c r="D82" s="493"/>
      <c r="E82" s="493"/>
      <c r="F82" s="493"/>
      <c r="G82" s="493"/>
      <c r="H82" s="493"/>
      <c r="I82" s="923">
        <f>SUM(C82:H82)</f>
        <v>0</v>
      </c>
    </row>
    <row r="83" spans="2:9" ht="15.5" hidden="1">
      <c r="B83" s="469" t="s">
        <v>1515</v>
      </c>
      <c r="C83" s="524"/>
      <c r="D83" s="524"/>
      <c r="E83" s="524"/>
      <c r="F83" s="524"/>
      <c r="G83" s="524"/>
      <c r="H83" s="524"/>
      <c r="I83" s="920"/>
    </row>
    <row r="84" spans="2:9" ht="15.5" hidden="1">
      <c r="B84" s="472" t="s">
        <v>871</v>
      </c>
      <c r="C84" s="493"/>
      <c r="D84" s="493"/>
      <c r="E84" s="493"/>
      <c r="F84" s="493"/>
      <c r="G84" s="493"/>
      <c r="H84" s="493"/>
      <c r="I84" s="923">
        <f t="shared" ref="I84:I90" si="18">SUM(C84:H84)</f>
        <v>0</v>
      </c>
    </row>
    <row r="85" spans="2:9" ht="31" hidden="1">
      <c r="B85" s="472" t="s">
        <v>872</v>
      </c>
      <c r="C85" s="493"/>
      <c r="D85" s="493"/>
      <c r="E85" s="493"/>
      <c r="F85" s="493"/>
      <c r="G85" s="493"/>
      <c r="H85" s="493"/>
      <c r="I85" s="923">
        <f t="shared" si="18"/>
        <v>0</v>
      </c>
    </row>
    <row r="86" spans="2:9" ht="31" hidden="1">
      <c r="B86" s="472" t="s">
        <v>873</v>
      </c>
      <c r="C86" s="493"/>
      <c r="D86" s="493"/>
      <c r="E86" s="493"/>
      <c r="F86" s="493"/>
      <c r="G86" s="493"/>
      <c r="H86" s="493"/>
      <c r="I86" s="923">
        <f t="shared" si="18"/>
        <v>0</v>
      </c>
    </row>
    <row r="87" spans="2:9" ht="31" hidden="1">
      <c r="B87" s="472" t="s">
        <v>880</v>
      </c>
      <c r="C87" s="493"/>
      <c r="D87" s="493"/>
      <c r="E87" s="493"/>
      <c r="F87" s="493"/>
      <c r="G87" s="493"/>
      <c r="H87" s="493"/>
      <c r="I87" s="923">
        <f t="shared" si="18"/>
        <v>0</v>
      </c>
    </row>
    <row r="88" spans="2:9" ht="31" hidden="1">
      <c r="B88" s="472" t="s">
        <v>874</v>
      </c>
      <c r="C88" s="493"/>
      <c r="D88" s="493"/>
      <c r="E88" s="493"/>
      <c r="F88" s="493"/>
      <c r="G88" s="493"/>
      <c r="H88" s="493"/>
      <c r="I88" s="923">
        <f t="shared" si="18"/>
        <v>0</v>
      </c>
    </row>
    <row r="89" spans="2:9" ht="31" hidden="1">
      <c r="B89" s="472" t="s">
        <v>875</v>
      </c>
      <c r="C89" s="493"/>
      <c r="D89" s="493"/>
      <c r="E89" s="493"/>
      <c r="F89" s="493"/>
      <c r="G89" s="493"/>
      <c r="H89" s="493"/>
      <c r="I89" s="923">
        <f t="shared" si="18"/>
        <v>0</v>
      </c>
    </row>
    <row r="90" spans="2:9" ht="15.5" hidden="1">
      <c r="B90" s="472" t="s">
        <v>70</v>
      </c>
      <c r="C90" s="493"/>
      <c r="D90" s="493"/>
      <c r="E90" s="493"/>
      <c r="F90" s="493"/>
      <c r="G90" s="493"/>
      <c r="H90" s="493"/>
      <c r="I90" s="923">
        <f t="shared" si="18"/>
        <v>0</v>
      </c>
    </row>
    <row r="91" spans="2:9" ht="15.5" hidden="1">
      <c r="B91" s="496" t="s">
        <v>899</v>
      </c>
      <c r="C91" s="478">
        <f t="shared" ref="C91:I91" si="19">SUM(C84:C90)</f>
        <v>0</v>
      </c>
      <c r="D91" s="478">
        <f t="shared" si="19"/>
        <v>0</v>
      </c>
      <c r="E91" s="478">
        <f t="shared" si="19"/>
        <v>0</v>
      </c>
      <c r="F91" s="478">
        <f t="shared" si="19"/>
        <v>0</v>
      </c>
      <c r="G91" s="478">
        <f t="shared" si="19"/>
        <v>0</v>
      </c>
      <c r="H91" s="478">
        <f t="shared" si="19"/>
        <v>0</v>
      </c>
      <c r="I91" s="483">
        <f t="shared" si="19"/>
        <v>0</v>
      </c>
    </row>
    <row r="92" spans="2:9" ht="15.5" hidden="1">
      <c r="B92" s="916" t="s">
        <v>876</v>
      </c>
      <c r="C92" s="493"/>
      <c r="D92" s="493"/>
      <c r="E92" s="493"/>
      <c r="F92" s="493"/>
      <c r="G92" s="493"/>
      <c r="H92" s="493"/>
      <c r="I92" s="923">
        <f>SUM(C92:H92)</f>
        <v>0</v>
      </c>
    </row>
    <row r="93" spans="2:9" ht="15.5" hidden="1">
      <c r="B93" s="469" t="s">
        <v>888</v>
      </c>
      <c r="C93" s="478">
        <f t="shared" ref="C93:I93" si="20">C91-C92</f>
        <v>0</v>
      </c>
      <c r="D93" s="478">
        <f t="shared" si="20"/>
        <v>0</v>
      </c>
      <c r="E93" s="478">
        <f t="shared" si="20"/>
        <v>0</v>
      </c>
      <c r="F93" s="478">
        <f t="shared" si="20"/>
        <v>0</v>
      </c>
      <c r="G93" s="478">
        <f t="shared" si="20"/>
        <v>0</v>
      </c>
      <c r="H93" s="478">
        <f t="shared" si="20"/>
        <v>0</v>
      </c>
      <c r="I93" s="483">
        <f t="shared" si="20"/>
        <v>0</v>
      </c>
    </row>
    <row r="94" spans="2:9" ht="15.5" hidden="1">
      <c r="B94" s="469" t="s">
        <v>889</v>
      </c>
      <c r="C94" s="525"/>
      <c r="D94" s="525"/>
      <c r="E94" s="525"/>
      <c r="F94" s="525"/>
      <c r="G94" s="525"/>
      <c r="H94" s="525"/>
      <c r="I94" s="921"/>
    </row>
    <row r="95" spans="2:9" ht="15.5" hidden="1">
      <c r="B95" s="472" t="s">
        <v>890</v>
      </c>
      <c r="C95" s="497"/>
      <c r="D95" s="497"/>
      <c r="E95" s="497"/>
      <c r="F95" s="497"/>
      <c r="G95" s="497"/>
      <c r="H95" s="497"/>
      <c r="I95" s="923">
        <f t="shared" ref="I95:I100" si="21">SUM(C95:H95)</f>
        <v>0</v>
      </c>
    </row>
    <row r="96" spans="2:9" ht="15.5" hidden="1">
      <c r="B96" s="472" t="s">
        <v>891</v>
      </c>
      <c r="C96" s="497"/>
      <c r="D96" s="497"/>
      <c r="E96" s="497"/>
      <c r="F96" s="497"/>
      <c r="G96" s="497"/>
      <c r="H96" s="497"/>
      <c r="I96" s="923">
        <f t="shared" si="21"/>
        <v>0</v>
      </c>
    </row>
    <row r="97" spans="1:9" ht="15.5" hidden="1">
      <c r="B97" s="472" t="s">
        <v>892</v>
      </c>
      <c r="C97" s="497"/>
      <c r="D97" s="497"/>
      <c r="E97" s="497"/>
      <c r="F97" s="497"/>
      <c r="G97" s="497"/>
      <c r="H97" s="497"/>
      <c r="I97" s="923">
        <f t="shared" si="21"/>
        <v>0</v>
      </c>
    </row>
    <row r="98" spans="1:9" ht="15.5" hidden="1">
      <c r="B98" s="472" t="s">
        <v>893</v>
      </c>
      <c r="C98" s="497"/>
      <c r="D98" s="497"/>
      <c r="E98" s="497"/>
      <c r="F98" s="497"/>
      <c r="G98" s="497"/>
      <c r="H98" s="497"/>
      <c r="I98" s="923">
        <f t="shared" si="21"/>
        <v>0</v>
      </c>
    </row>
    <row r="99" spans="1:9" ht="15.5" hidden="1">
      <c r="A99" s="1021"/>
      <c r="B99" s="472" t="s">
        <v>2716</v>
      </c>
      <c r="C99" s="497"/>
      <c r="D99" s="497"/>
      <c r="E99" s="497"/>
      <c r="F99" s="497"/>
      <c r="G99" s="497"/>
      <c r="H99" s="497"/>
      <c r="I99" s="923">
        <f t="shared" si="21"/>
        <v>0</v>
      </c>
    </row>
    <row r="100" spans="1:9" ht="15.5" hidden="1">
      <c r="A100" s="1021"/>
      <c r="B100" s="472" t="s">
        <v>70</v>
      </c>
      <c r="C100" s="497"/>
      <c r="D100" s="497"/>
      <c r="E100" s="497"/>
      <c r="F100" s="497"/>
      <c r="G100" s="497"/>
      <c r="H100" s="497"/>
      <c r="I100" s="923">
        <f t="shared" si="21"/>
        <v>0</v>
      </c>
    </row>
    <row r="101" spans="1:9" ht="15.5" hidden="1">
      <c r="B101" s="469" t="s">
        <v>900</v>
      </c>
      <c r="C101" s="478">
        <f t="shared" ref="C101:I101" si="22">SUM(C95:C100)</f>
        <v>0</v>
      </c>
      <c r="D101" s="478">
        <f t="shared" si="22"/>
        <v>0</v>
      </c>
      <c r="E101" s="478">
        <f t="shared" si="22"/>
        <v>0</v>
      </c>
      <c r="F101" s="478">
        <f t="shared" si="22"/>
        <v>0</v>
      </c>
      <c r="G101" s="478">
        <f t="shared" si="22"/>
        <v>0</v>
      </c>
      <c r="H101" s="478">
        <f t="shared" si="22"/>
        <v>0</v>
      </c>
      <c r="I101" s="483">
        <f t="shared" si="22"/>
        <v>0</v>
      </c>
    </row>
    <row r="102" spans="1:9" ht="15.5" hidden="1">
      <c r="B102" s="471" t="s">
        <v>2796</v>
      </c>
      <c r="C102" s="918">
        <f t="shared" ref="C102:H102" si="23">C81+C82+C93+C101</f>
        <v>0</v>
      </c>
      <c r="D102" s="918">
        <f t="shared" si="23"/>
        <v>0</v>
      </c>
      <c r="E102" s="918">
        <f t="shared" si="23"/>
        <v>0</v>
      </c>
      <c r="F102" s="918">
        <f t="shared" si="23"/>
        <v>0</v>
      </c>
      <c r="G102" s="918">
        <f t="shared" si="23"/>
        <v>0</v>
      </c>
      <c r="H102" s="918">
        <f t="shared" si="23"/>
        <v>0</v>
      </c>
      <c r="I102" s="919">
        <f>I81+I82+I93+I101</f>
        <v>0</v>
      </c>
    </row>
    <row r="104" spans="1:9" ht="31.5" customHeight="1">
      <c r="B104" s="466"/>
      <c r="C104" s="1125" t="s">
        <v>821</v>
      </c>
      <c r="D104" s="1125" t="s">
        <v>894</v>
      </c>
      <c r="E104" s="1125" t="s">
        <v>895</v>
      </c>
      <c r="F104" s="1125" t="s">
        <v>896</v>
      </c>
      <c r="G104" s="1125" t="s">
        <v>1516</v>
      </c>
      <c r="H104" s="1125" t="s">
        <v>897</v>
      </c>
      <c r="I104" s="1127" t="s">
        <v>1460</v>
      </c>
    </row>
    <row r="105" spans="1:9" ht="15.5">
      <c r="B105" s="1242" t="str">
        <f>Period5</f>
        <v>שנת 2019</v>
      </c>
      <c r="C105" s="1123" t="s">
        <v>29</v>
      </c>
      <c r="D105" s="1123" t="s">
        <v>41</v>
      </c>
      <c r="E105" s="1123" t="s">
        <v>63</v>
      </c>
      <c r="F105" s="1123" t="s">
        <v>65</v>
      </c>
      <c r="G105" s="1123" t="s">
        <v>86</v>
      </c>
      <c r="H105" s="1123" t="s">
        <v>88</v>
      </c>
      <c r="I105" s="1124" t="s">
        <v>195</v>
      </c>
    </row>
    <row r="106" spans="1:9" ht="15.5">
      <c r="B106" s="469" t="s">
        <v>2806</v>
      </c>
      <c r="C106" s="493"/>
      <c r="D106" s="493"/>
      <c r="E106" s="493"/>
      <c r="F106" s="493"/>
      <c r="G106" s="493"/>
      <c r="H106" s="493"/>
      <c r="I106" s="923">
        <f>SUM(C106:H106)</f>
        <v>0</v>
      </c>
    </row>
    <row r="107" spans="1:9" ht="15.5">
      <c r="B107" s="469" t="s">
        <v>867</v>
      </c>
      <c r="C107" s="493"/>
      <c r="D107" s="493"/>
      <c r="E107" s="493"/>
      <c r="F107" s="493"/>
      <c r="G107" s="493"/>
      <c r="H107" s="493"/>
      <c r="I107" s="923">
        <f>SUM(C107:H107)</f>
        <v>0</v>
      </c>
    </row>
    <row r="108" spans="1:9" ht="15.5">
      <c r="B108" s="469" t="s">
        <v>1515</v>
      </c>
      <c r="C108" s="524"/>
      <c r="D108" s="524"/>
      <c r="E108" s="524"/>
      <c r="F108" s="524"/>
      <c r="G108" s="524"/>
      <c r="H108" s="524"/>
      <c r="I108" s="920"/>
    </row>
    <row r="109" spans="1:9" ht="15.5">
      <c r="B109" s="472" t="s">
        <v>871</v>
      </c>
      <c r="C109" s="493"/>
      <c r="D109" s="493"/>
      <c r="E109" s="493"/>
      <c r="F109" s="493"/>
      <c r="G109" s="493"/>
      <c r="H109" s="493"/>
      <c r="I109" s="923">
        <f t="shared" ref="I109:I115" si="24">SUM(C109:H109)</f>
        <v>0</v>
      </c>
    </row>
    <row r="110" spans="1:9" ht="31">
      <c r="B110" s="472" t="s">
        <v>872</v>
      </c>
      <c r="C110" s="493"/>
      <c r="D110" s="493"/>
      <c r="E110" s="493"/>
      <c r="F110" s="493"/>
      <c r="G110" s="493"/>
      <c r="H110" s="493"/>
      <c r="I110" s="923">
        <f t="shared" si="24"/>
        <v>0</v>
      </c>
    </row>
    <row r="111" spans="1:9" ht="31">
      <c r="B111" s="472" t="s">
        <v>873</v>
      </c>
      <c r="C111" s="493"/>
      <c r="D111" s="493"/>
      <c r="E111" s="493"/>
      <c r="F111" s="493"/>
      <c r="G111" s="493"/>
      <c r="H111" s="493"/>
      <c r="I111" s="923">
        <f t="shared" si="24"/>
        <v>0</v>
      </c>
    </row>
    <row r="112" spans="1:9" ht="31">
      <c r="B112" s="472" t="s">
        <v>880</v>
      </c>
      <c r="C112" s="493"/>
      <c r="D112" s="493"/>
      <c r="E112" s="493"/>
      <c r="F112" s="493"/>
      <c r="G112" s="493"/>
      <c r="H112" s="493"/>
      <c r="I112" s="923">
        <f t="shared" si="24"/>
        <v>0</v>
      </c>
    </row>
    <row r="113" spans="1:9" ht="31">
      <c r="B113" s="472" t="s">
        <v>874</v>
      </c>
      <c r="C113" s="493"/>
      <c r="D113" s="493"/>
      <c r="E113" s="493"/>
      <c r="F113" s="493"/>
      <c r="G113" s="493"/>
      <c r="H113" s="493"/>
      <c r="I113" s="923">
        <f t="shared" si="24"/>
        <v>0</v>
      </c>
    </row>
    <row r="114" spans="1:9" ht="31">
      <c r="B114" s="472" t="s">
        <v>875</v>
      </c>
      <c r="C114" s="493"/>
      <c r="D114" s="493"/>
      <c r="E114" s="493"/>
      <c r="F114" s="493"/>
      <c r="G114" s="493"/>
      <c r="H114" s="493"/>
      <c r="I114" s="923">
        <f t="shared" si="24"/>
        <v>0</v>
      </c>
    </row>
    <row r="115" spans="1:9" ht="15.5">
      <c r="B115" s="472" t="s">
        <v>70</v>
      </c>
      <c r="C115" s="493"/>
      <c r="D115" s="493"/>
      <c r="E115" s="493"/>
      <c r="F115" s="493"/>
      <c r="G115" s="493"/>
      <c r="H115" s="493"/>
      <c r="I115" s="923">
        <f t="shared" si="24"/>
        <v>0</v>
      </c>
    </row>
    <row r="116" spans="1:9" ht="15.5">
      <c r="B116" s="496" t="s">
        <v>899</v>
      </c>
      <c r="C116" s="478">
        <f t="shared" ref="C116:I116" si="25">SUM(C109:C115)</f>
        <v>0</v>
      </c>
      <c r="D116" s="478">
        <f t="shared" si="25"/>
        <v>0</v>
      </c>
      <c r="E116" s="478">
        <f t="shared" si="25"/>
        <v>0</v>
      </c>
      <c r="F116" s="478">
        <f t="shared" si="25"/>
        <v>0</v>
      </c>
      <c r="G116" s="478">
        <f t="shared" si="25"/>
        <v>0</v>
      </c>
      <c r="H116" s="478">
        <f t="shared" si="25"/>
        <v>0</v>
      </c>
      <c r="I116" s="483">
        <f t="shared" si="25"/>
        <v>0</v>
      </c>
    </row>
    <row r="117" spans="1:9" ht="15.5">
      <c r="B117" s="916" t="s">
        <v>876</v>
      </c>
      <c r="C117" s="493"/>
      <c r="D117" s="493"/>
      <c r="E117" s="493"/>
      <c r="F117" s="493"/>
      <c r="G117" s="493"/>
      <c r="H117" s="493"/>
      <c r="I117" s="923">
        <f>SUM(C117:H117)</f>
        <v>0</v>
      </c>
    </row>
    <row r="118" spans="1:9" ht="15.5">
      <c r="B118" s="469" t="s">
        <v>888</v>
      </c>
      <c r="C118" s="478">
        <f t="shared" ref="C118:I118" si="26">C116-C117</f>
        <v>0</v>
      </c>
      <c r="D118" s="478">
        <f t="shared" si="26"/>
        <v>0</v>
      </c>
      <c r="E118" s="478">
        <f t="shared" si="26"/>
        <v>0</v>
      </c>
      <c r="F118" s="478">
        <f t="shared" si="26"/>
        <v>0</v>
      </c>
      <c r="G118" s="478">
        <f t="shared" si="26"/>
        <v>0</v>
      </c>
      <c r="H118" s="478">
        <f t="shared" si="26"/>
        <v>0</v>
      </c>
      <c r="I118" s="483">
        <f t="shared" si="26"/>
        <v>0</v>
      </c>
    </row>
    <row r="119" spans="1:9" ht="15.5">
      <c r="B119" s="469" t="s">
        <v>889</v>
      </c>
      <c r="C119" s="525"/>
      <c r="D119" s="525"/>
      <c r="E119" s="525"/>
      <c r="F119" s="525"/>
      <c r="G119" s="525"/>
      <c r="H119" s="525"/>
      <c r="I119" s="921"/>
    </row>
    <row r="120" spans="1:9" ht="15.5">
      <c r="B120" s="472" t="s">
        <v>890</v>
      </c>
      <c r="C120" s="497"/>
      <c r="D120" s="497"/>
      <c r="E120" s="497"/>
      <c r="F120" s="497"/>
      <c r="G120" s="497"/>
      <c r="H120" s="497"/>
      <c r="I120" s="923">
        <f t="shared" ref="I120:I125" si="27">SUM(C120:H120)</f>
        <v>0</v>
      </c>
    </row>
    <row r="121" spans="1:9" ht="15.5">
      <c r="B121" s="472" t="s">
        <v>891</v>
      </c>
      <c r="C121" s="497"/>
      <c r="D121" s="497"/>
      <c r="E121" s="497"/>
      <c r="F121" s="497"/>
      <c r="G121" s="497"/>
      <c r="H121" s="497"/>
      <c r="I121" s="923">
        <f t="shared" si="27"/>
        <v>0</v>
      </c>
    </row>
    <row r="122" spans="1:9" ht="15.5">
      <c r="B122" s="472" t="s">
        <v>892</v>
      </c>
      <c r="C122" s="497"/>
      <c r="D122" s="497"/>
      <c r="E122" s="497"/>
      <c r="F122" s="497"/>
      <c r="G122" s="497"/>
      <c r="H122" s="497"/>
      <c r="I122" s="923">
        <f t="shared" si="27"/>
        <v>0</v>
      </c>
    </row>
    <row r="123" spans="1:9" ht="15.5">
      <c r="B123" s="472" t="s">
        <v>893</v>
      </c>
      <c r="C123" s="497"/>
      <c r="D123" s="497"/>
      <c r="E123" s="497"/>
      <c r="F123" s="497"/>
      <c r="G123" s="497"/>
      <c r="H123" s="497"/>
      <c r="I123" s="923">
        <f t="shared" si="27"/>
        <v>0</v>
      </c>
    </row>
    <row r="124" spans="1:9" ht="15.5">
      <c r="A124" s="1021"/>
      <c r="B124" s="472" t="s">
        <v>2716</v>
      </c>
      <c r="C124" s="497"/>
      <c r="D124" s="497"/>
      <c r="E124" s="497"/>
      <c r="F124" s="497"/>
      <c r="G124" s="497"/>
      <c r="H124" s="497"/>
      <c r="I124" s="923">
        <f t="shared" si="27"/>
        <v>0</v>
      </c>
    </row>
    <row r="125" spans="1:9" ht="15.5">
      <c r="A125" s="1021"/>
      <c r="B125" s="472" t="s">
        <v>70</v>
      </c>
      <c r="C125" s="497"/>
      <c r="D125" s="497"/>
      <c r="E125" s="497"/>
      <c r="F125" s="497"/>
      <c r="G125" s="497"/>
      <c r="H125" s="497"/>
      <c r="I125" s="923">
        <f t="shared" si="27"/>
        <v>0</v>
      </c>
    </row>
    <row r="126" spans="1:9" ht="15.5">
      <c r="B126" s="469" t="s">
        <v>900</v>
      </c>
      <c r="C126" s="478">
        <f t="shared" ref="C126:I126" si="28">SUM(C120:C125)</f>
        <v>0</v>
      </c>
      <c r="D126" s="478">
        <f t="shared" si="28"/>
        <v>0</v>
      </c>
      <c r="E126" s="478">
        <f t="shared" si="28"/>
        <v>0</v>
      </c>
      <c r="F126" s="478">
        <f t="shared" si="28"/>
        <v>0</v>
      </c>
      <c r="G126" s="478">
        <f t="shared" si="28"/>
        <v>0</v>
      </c>
      <c r="H126" s="478">
        <f t="shared" si="28"/>
        <v>0</v>
      </c>
      <c r="I126" s="483">
        <f t="shared" si="28"/>
        <v>0</v>
      </c>
    </row>
    <row r="127" spans="1:9" ht="15.5">
      <c r="B127" s="471" t="s">
        <v>2796</v>
      </c>
      <c r="C127" s="918">
        <f t="shared" ref="C127:H127" si="29">C106+C107+C118+C126</f>
        <v>0</v>
      </c>
      <c r="D127" s="918">
        <f t="shared" si="29"/>
        <v>0</v>
      </c>
      <c r="E127" s="918">
        <f t="shared" si="29"/>
        <v>0</v>
      </c>
      <c r="F127" s="918">
        <f t="shared" si="29"/>
        <v>0</v>
      </c>
      <c r="G127" s="918">
        <f t="shared" si="29"/>
        <v>0</v>
      </c>
      <c r="H127" s="918">
        <f t="shared" si="29"/>
        <v>0</v>
      </c>
      <c r="I127" s="919">
        <f>I106+I107+I118+I126</f>
        <v>0</v>
      </c>
    </row>
  </sheetData>
  <sheetProtection password="CA9F" sheet="1" objects="1" scenarios="1" formatCells="0" formatColumns="0" formatRows="0" autoFilter="0"/>
  <hyperlinks>
    <hyperlink ref="D2" location="Information!A1" display="חזרה"/>
    <hyperlink ref="B4" location="Information!A60" display="הערות"/>
  </hyperlinks>
  <pageMargins left="0" right="0" top="0.74803149606299213" bottom="0.74803149606299213" header="0.31496062992125984" footer="0.31496062992125984"/>
  <pageSetup paperSize="9" scale="59" fitToHeight="2"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5C2EE272-023D-4EA1-B69F-CDBD9A5507DC}">
            <xm:f>Information!$G$54&gt;0</xm:f>
            <x14:dxf>
              <font>
                <b/>
                <i val="0"/>
                <color theme="1"/>
              </font>
              <fill>
                <patternFill>
                  <bgColor rgb="FFFFFF00"/>
                </patternFill>
              </fill>
            </x14:dxf>
          </x14:cfRule>
          <xm:sqref>B4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F0"/>
    <pageSetUpPr fitToPage="1"/>
  </sheetPr>
  <dimension ref="A1:K46"/>
  <sheetViews>
    <sheetView rightToLeft="1" workbookViewId="0"/>
  </sheetViews>
  <sheetFormatPr defaultRowHeight="12.5"/>
  <cols>
    <col min="2" max="2" width="49" customWidth="1"/>
    <col min="3" max="4" width="11.54296875" customWidth="1"/>
    <col min="5" max="6" width="11.54296875" hidden="1" customWidth="1"/>
    <col min="7" max="7" width="11.54296875" customWidth="1"/>
  </cols>
  <sheetData>
    <row r="1" spans="2:10" ht="18">
      <c r="B1" s="15" t="str">
        <f>company</f>
        <v>_____חברה מנהלת</v>
      </c>
    </row>
    <row r="2" spans="2:10" ht="18">
      <c r="B2" s="23" t="str">
        <f>Information!C10</f>
        <v>דוח רווח והפסד - סולו</v>
      </c>
      <c r="D2" s="642" t="s">
        <v>263</v>
      </c>
    </row>
    <row r="3" spans="2:10" ht="16.5" customHeight="1">
      <c r="B3" s="28" t="str">
        <f>Information!$M$21</f>
        <v>הנתונים באלפי ש"ח</v>
      </c>
      <c r="J3" s="460"/>
    </row>
    <row r="4" spans="2:10" ht="25.5" customHeight="1">
      <c r="B4" s="1469" t="s">
        <v>3876</v>
      </c>
      <c r="C4" s="1125" t="str">
        <f>Period1</f>
        <v>שנת 2021</v>
      </c>
      <c r="D4" s="1125" t="str">
        <f>Period2</f>
        <v>שנת 2020</v>
      </c>
      <c r="E4" s="1126" t="str">
        <f>Period3</f>
        <v>לא לדווח</v>
      </c>
      <c r="F4" s="1126" t="str">
        <f>Period4</f>
        <v>לא לדווח</v>
      </c>
      <c r="G4" s="1127" t="str">
        <f>Period5</f>
        <v>שנת 2019</v>
      </c>
      <c r="J4" s="462"/>
    </row>
    <row r="5" spans="2:10" ht="15.5">
      <c r="B5" s="480"/>
      <c r="C5" s="1123" t="s">
        <v>29</v>
      </c>
      <c r="D5" s="1123" t="s">
        <v>41</v>
      </c>
      <c r="E5" s="1123" t="s">
        <v>63</v>
      </c>
      <c r="F5" s="1123" t="s">
        <v>65</v>
      </c>
      <c r="G5" s="1124" t="s">
        <v>86</v>
      </c>
      <c r="J5" s="462"/>
    </row>
    <row r="6" spans="2:10" ht="15.5">
      <c r="B6" s="1128" t="s">
        <v>855</v>
      </c>
      <c r="C6" s="493"/>
      <c r="D6" s="493"/>
      <c r="E6" s="494"/>
      <c r="F6" s="494"/>
      <c r="G6" s="495"/>
      <c r="J6" s="462"/>
    </row>
    <row r="7" spans="2:10" ht="15.5">
      <c r="B7" s="1128" t="s">
        <v>856</v>
      </c>
      <c r="C7" s="493"/>
      <c r="D7" s="493"/>
      <c r="E7" s="494"/>
      <c r="F7" s="494"/>
      <c r="G7" s="495"/>
      <c r="J7" s="462"/>
    </row>
    <row r="8" spans="2:10" ht="15.5">
      <c r="B8" s="1128" t="s">
        <v>857</v>
      </c>
      <c r="C8" s="493"/>
      <c r="D8" s="493"/>
      <c r="E8" s="494"/>
      <c r="F8" s="494"/>
      <c r="G8" s="495"/>
      <c r="J8" s="462"/>
    </row>
    <row r="9" spans="2:10" ht="15.5">
      <c r="B9" s="469" t="s">
        <v>858</v>
      </c>
      <c r="C9" s="478">
        <f>SUM(C6:C8)</f>
        <v>0</v>
      </c>
      <c r="D9" s="478">
        <f>SUM(D6:D8)</f>
        <v>0</v>
      </c>
      <c r="E9" s="478">
        <f>SUM(E6:E8)</f>
        <v>0</v>
      </c>
      <c r="F9" s="478">
        <f>SUM(F6:F8)</f>
        <v>0</v>
      </c>
      <c r="G9" s="483">
        <f>SUM(G6:G8)</f>
        <v>0</v>
      </c>
      <c r="J9" s="462"/>
    </row>
    <row r="10" spans="2:10" ht="15.5">
      <c r="B10" s="1128" t="s">
        <v>859</v>
      </c>
      <c r="C10" s="493"/>
      <c r="D10" s="493"/>
      <c r="E10" s="494"/>
      <c r="F10" s="494"/>
      <c r="G10" s="495"/>
      <c r="J10" s="464"/>
    </row>
    <row r="11" spans="2:10" ht="15.5">
      <c r="B11" s="1128" t="s">
        <v>860</v>
      </c>
      <c r="C11" s="493"/>
      <c r="D11" s="493"/>
      <c r="E11" s="494"/>
      <c r="F11" s="494"/>
      <c r="G11" s="495"/>
      <c r="J11" s="464"/>
    </row>
    <row r="12" spans="2:10" ht="15.5">
      <c r="B12" s="1128" t="s">
        <v>861</v>
      </c>
      <c r="C12" s="493"/>
      <c r="D12" s="493"/>
      <c r="E12" s="494"/>
      <c r="F12" s="494"/>
      <c r="G12" s="495"/>
      <c r="J12" s="464"/>
    </row>
    <row r="13" spans="2:10" ht="15.5">
      <c r="B13" s="1128" t="s">
        <v>862</v>
      </c>
      <c r="C13" s="493"/>
      <c r="D13" s="493"/>
      <c r="E13" s="494"/>
      <c r="F13" s="494"/>
      <c r="G13" s="495"/>
      <c r="J13" s="462"/>
    </row>
    <row r="14" spans="2:10" ht="15.5">
      <c r="B14" s="469" t="s">
        <v>863</v>
      </c>
      <c r="C14" s="478">
        <f>SUM(C10:C13)</f>
        <v>0</v>
      </c>
      <c r="D14" s="478">
        <f>SUM(D10:D13)</f>
        <v>0</v>
      </c>
      <c r="E14" s="478">
        <f>SUM(E10:E13)</f>
        <v>0</v>
      </c>
      <c r="F14" s="478">
        <f>SUM(F10:F13)</f>
        <v>0</v>
      </c>
      <c r="G14" s="483">
        <f>SUM(G10:G13)</f>
        <v>0</v>
      </c>
      <c r="J14" s="462"/>
    </row>
    <row r="15" spans="2:10" ht="15.5">
      <c r="B15" s="469" t="s">
        <v>887</v>
      </c>
      <c r="C15" s="478">
        <f>C9-C14</f>
        <v>0</v>
      </c>
      <c r="D15" s="478">
        <f>D9-D14</f>
        <v>0</v>
      </c>
      <c r="E15" s="478">
        <f>E9-E14</f>
        <v>0</v>
      </c>
      <c r="F15" s="478">
        <f>F9-F14</f>
        <v>0</v>
      </c>
      <c r="G15" s="483">
        <f>G9-G14</f>
        <v>0</v>
      </c>
      <c r="J15" s="462"/>
    </row>
    <row r="16" spans="2:10" ht="31">
      <c r="B16" s="470" t="s">
        <v>864</v>
      </c>
      <c r="C16" s="493"/>
      <c r="D16" s="493"/>
      <c r="E16" s="494"/>
      <c r="F16" s="494"/>
      <c r="G16" s="495"/>
      <c r="J16" s="491"/>
    </row>
    <row r="17" spans="2:11" ht="15.5">
      <c r="B17" s="469" t="s">
        <v>865</v>
      </c>
      <c r="C17" s="478">
        <f>SUM(C15:C16)</f>
        <v>0</v>
      </c>
      <c r="D17" s="478">
        <f>SUM(D15:D16)</f>
        <v>0</v>
      </c>
      <c r="E17" s="478">
        <f>SUM(E15:E16)</f>
        <v>0</v>
      </c>
      <c r="F17" s="478">
        <f>SUM(F15:F16)</f>
        <v>0</v>
      </c>
      <c r="G17" s="483">
        <f>SUM(G15:G16)</f>
        <v>0</v>
      </c>
      <c r="J17" s="462"/>
    </row>
    <row r="18" spans="2:11" ht="15.5">
      <c r="B18" s="470" t="s">
        <v>866</v>
      </c>
      <c r="C18" s="493"/>
      <c r="D18" s="493"/>
      <c r="E18" s="494"/>
      <c r="F18" s="494"/>
      <c r="G18" s="495"/>
      <c r="J18" s="464"/>
    </row>
    <row r="19" spans="2:11" ht="15.5">
      <c r="B19" s="469" t="s">
        <v>867</v>
      </c>
      <c r="C19" s="478">
        <f>C17-C18</f>
        <v>0</v>
      </c>
      <c r="D19" s="478">
        <f>D17-D18</f>
        <v>0</v>
      </c>
      <c r="E19" s="478">
        <f>E17-E18</f>
        <v>0</v>
      </c>
      <c r="F19" s="478">
        <f>F17-F18</f>
        <v>0</v>
      </c>
      <c r="G19" s="483">
        <f>G17-G18</f>
        <v>0</v>
      </c>
      <c r="J19" s="462"/>
    </row>
    <row r="20" spans="2:11" ht="15.5" hidden="1">
      <c r="B20" s="469" t="s">
        <v>868</v>
      </c>
      <c r="C20" s="475"/>
      <c r="D20" s="475"/>
      <c r="E20" s="486"/>
      <c r="F20" s="486"/>
      <c r="G20" s="476"/>
      <c r="J20" s="464"/>
    </row>
    <row r="21" spans="2:11" ht="15.5" hidden="1">
      <c r="B21" s="500" t="s">
        <v>869</v>
      </c>
      <c r="C21" s="497"/>
      <c r="D21" s="497"/>
      <c r="E21" s="498"/>
      <c r="F21" s="498"/>
      <c r="G21" s="499"/>
      <c r="J21" s="464"/>
    </row>
    <row r="22" spans="2:11" ht="15.5" hidden="1">
      <c r="B22" s="500" t="s">
        <v>827</v>
      </c>
      <c r="C22" s="497"/>
      <c r="D22" s="497"/>
      <c r="E22" s="498"/>
      <c r="F22" s="498"/>
      <c r="G22" s="499"/>
      <c r="J22" s="464"/>
    </row>
    <row r="23" spans="2:11" ht="15.5" hidden="1">
      <c r="B23" s="500" t="s">
        <v>867</v>
      </c>
      <c r="C23" s="478">
        <f>SUM(C21:C22)</f>
        <v>0</v>
      </c>
      <c r="D23" s="478">
        <f>SUM(D21:D22)</f>
        <v>0</v>
      </c>
      <c r="E23" s="478">
        <f>SUM(E21:E22)</f>
        <v>0</v>
      </c>
      <c r="F23" s="478">
        <f>SUM(F21:F22)</f>
        <v>0</v>
      </c>
      <c r="G23" s="483">
        <f>SUM(G21:G22)</f>
        <v>0</v>
      </c>
      <c r="J23" s="464"/>
    </row>
    <row r="24" spans="2:11" ht="15.5">
      <c r="B24" s="469"/>
      <c r="C24" s="652"/>
      <c r="D24" s="652"/>
      <c r="E24" s="652"/>
      <c r="F24" s="652"/>
      <c r="G24" s="653"/>
      <c r="J24" s="462"/>
      <c r="K24" s="464"/>
    </row>
    <row r="25" spans="2:11" ht="15.5">
      <c r="B25" s="469" t="s">
        <v>870</v>
      </c>
      <c r="C25" s="497"/>
      <c r="D25" s="497"/>
      <c r="E25" s="498"/>
      <c r="F25" s="498"/>
      <c r="G25" s="499"/>
      <c r="J25" s="464"/>
      <c r="K25" s="464"/>
    </row>
    <row r="26" spans="2:11" ht="15.5">
      <c r="B26" s="472" t="s">
        <v>871</v>
      </c>
      <c r="C26" s="497"/>
      <c r="D26" s="497"/>
      <c r="E26" s="498"/>
      <c r="F26" s="498"/>
      <c r="G26" s="499"/>
      <c r="J26" s="464"/>
      <c r="K26" s="464"/>
    </row>
    <row r="27" spans="2:11" ht="31">
      <c r="B27" s="472" t="s">
        <v>872</v>
      </c>
      <c r="C27" s="497"/>
      <c r="D27" s="497"/>
      <c r="E27" s="498"/>
      <c r="F27" s="498"/>
      <c r="G27" s="499"/>
      <c r="J27" s="462"/>
      <c r="K27" s="464"/>
    </row>
    <row r="28" spans="2:11" ht="32.25" customHeight="1">
      <c r="B28" s="472" t="s">
        <v>873</v>
      </c>
      <c r="C28" s="497"/>
      <c r="D28" s="497"/>
      <c r="E28" s="498"/>
      <c r="F28" s="498"/>
      <c r="G28" s="499"/>
      <c r="J28" s="462"/>
      <c r="K28" s="464"/>
    </row>
    <row r="29" spans="2:11" ht="31">
      <c r="B29" s="472" t="s">
        <v>880</v>
      </c>
      <c r="C29" s="497"/>
      <c r="D29" s="497"/>
      <c r="E29" s="498"/>
      <c r="F29" s="498"/>
      <c r="G29" s="499"/>
      <c r="J29" s="464"/>
      <c r="K29" s="462"/>
    </row>
    <row r="30" spans="2:11" ht="31">
      <c r="B30" s="472" t="s">
        <v>874</v>
      </c>
      <c r="C30" s="497"/>
      <c r="D30" s="497"/>
      <c r="E30" s="498"/>
      <c r="F30" s="498"/>
      <c r="G30" s="499"/>
      <c r="J30" s="464"/>
      <c r="K30" s="462"/>
    </row>
    <row r="31" spans="2:11" ht="31.5" customHeight="1">
      <c r="B31" s="472" t="s">
        <v>875</v>
      </c>
      <c r="C31" s="497"/>
      <c r="D31" s="497"/>
      <c r="E31" s="498"/>
      <c r="F31" s="498"/>
      <c r="G31" s="499"/>
      <c r="J31" s="462"/>
      <c r="K31" s="492"/>
    </row>
    <row r="32" spans="2:11" ht="15.5">
      <c r="B32" s="472" t="s">
        <v>70</v>
      </c>
      <c r="C32" s="497"/>
      <c r="D32" s="497"/>
      <c r="E32" s="498"/>
      <c r="F32" s="498"/>
      <c r="G32" s="499"/>
      <c r="J32" s="462"/>
      <c r="K32" s="492"/>
    </row>
    <row r="33" spans="1:11" ht="31">
      <c r="A33" s="1021"/>
      <c r="B33" s="1596" t="s">
        <v>4894</v>
      </c>
      <c r="C33" s="1597"/>
      <c r="D33" s="1597"/>
      <c r="E33" s="1598"/>
      <c r="F33" s="1598"/>
      <c r="G33" s="1599"/>
      <c r="J33" s="462"/>
      <c r="K33" s="492"/>
    </row>
    <row r="34" spans="1:11" ht="31">
      <c r="A34" s="1021"/>
      <c r="B34" s="470" t="s">
        <v>4895</v>
      </c>
      <c r="C34" s="497"/>
      <c r="D34" s="497"/>
      <c r="E34" s="498"/>
      <c r="F34" s="498"/>
      <c r="G34" s="499"/>
      <c r="J34" s="462"/>
      <c r="K34" s="492"/>
    </row>
    <row r="35" spans="1:11" ht="15.5">
      <c r="B35" s="469" t="s">
        <v>877</v>
      </c>
      <c r="C35" s="478">
        <f>SUM(C26:C32)-C34-C33</f>
        <v>0</v>
      </c>
      <c r="D35" s="478">
        <f t="shared" ref="D35:G35" si="0">SUM(D26:D32)-D34-D33</f>
        <v>0</v>
      </c>
      <c r="E35" s="478">
        <f t="shared" si="0"/>
        <v>0</v>
      </c>
      <c r="F35" s="478">
        <f t="shared" si="0"/>
        <v>0</v>
      </c>
      <c r="G35" s="478">
        <f t="shared" si="0"/>
        <v>0</v>
      </c>
      <c r="J35" s="464"/>
      <c r="K35" s="492"/>
    </row>
    <row r="36" spans="1:11" ht="15.5">
      <c r="B36" s="471" t="s">
        <v>878</v>
      </c>
      <c r="C36" s="918">
        <f>C19+C35</f>
        <v>0</v>
      </c>
      <c r="D36" s="918">
        <f>D19+D35</f>
        <v>0</v>
      </c>
      <c r="E36" s="918">
        <f>E19+E35</f>
        <v>0</v>
      </c>
      <c r="F36" s="918">
        <f>F19+F35</f>
        <v>0</v>
      </c>
      <c r="G36" s="919">
        <f>G19+G35</f>
        <v>0</v>
      </c>
      <c r="J36" s="464"/>
      <c r="K36" s="492"/>
    </row>
    <row r="37" spans="1:11" ht="15.5" hidden="1">
      <c r="A37" t="s">
        <v>1459</v>
      </c>
      <c r="B37" s="1134" t="s">
        <v>868</v>
      </c>
      <c r="C37" s="1135"/>
      <c r="D37" s="1135"/>
      <c r="E37" s="1136"/>
      <c r="F37" s="1136"/>
      <c r="G37" s="1137"/>
      <c r="J37" s="464"/>
      <c r="K37" s="492"/>
    </row>
    <row r="38" spans="1:11" ht="15.5" hidden="1">
      <c r="B38" s="500" t="s">
        <v>869</v>
      </c>
      <c r="C38" s="497"/>
      <c r="D38" s="497"/>
      <c r="E38" s="498"/>
      <c r="F38" s="498"/>
      <c r="G38" s="499"/>
      <c r="J38" s="464"/>
      <c r="K38" s="492"/>
    </row>
    <row r="39" spans="1:11" ht="15.5" hidden="1">
      <c r="B39" s="500" t="s">
        <v>827</v>
      </c>
      <c r="C39" s="497"/>
      <c r="D39" s="497"/>
      <c r="E39" s="498"/>
      <c r="F39" s="498"/>
      <c r="G39" s="499"/>
      <c r="J39" s="464"/>
      <c r="K39" s="492"/>
    </row>
    <row r="40" spans="1:11" ht="15.5" hidden="1">
      <c r="B40" s="917" t="s">
        <v>879</v>
      </c>
      <c r="C40" s="918">
        <f>SUM(C38:C39)</f>
        <v>0</v>
      </c>
      <c r="D40" s="918">
        <f>SUM(D38:D39)</f>
        <v>0</v>
      </c>
      <c r="E40" s="918">
        <f>SUM(E38:E39)</f>
        <v>0</v>
      </c>
      <c r="F40" s="918">
        <f>SUM(F38:F39)</f>
        <v>0</v>
      </c>
      <c r="G40" s="919">
        <f>SUM(G38:G39)</f>
        <v>0</v>
      </c>
      <c r="J40" s="464"/>
      <c r="K40" s="492"/>
    </row>
    <row r="41" spans="1:11" ht="14">
      <c r="K41" s="492"/>
    </row>
    <row r="42" spans="1:11" ht="14">
      <c r="K42" s="492"/>
    </row>
    <row r="43" spans="1:11" ht="14">
      <c r="K43" s="492"/>
    </row>
    <row r="44" spans="1:11" ht="14">
      <c r="K44" s="492"/>
    </row>
    <row r="45" spans="1:11" ht="14">
      <c r="K45" s="492"/>
    </row>
    <row r="46" spans="1:11" ht="14">
      <c r="K46" s="492"/>
    </row>
  </sheetData>
  <sheetProtection password="DD7F" sheet="1" objects="1" scenarios="1" formatCells="0" formatColumns="0" formatRows="0" autoFilter="0"/>
  <conditionalFormatting sqref="G24">
    <cfRule type="expression" dxfId="706" priority="5" stopIfTrue="1">
      <formula>AND(CELL("protect",G24)=1,CELL("type",G24)="v")</formula>
    </cfRule>
    <cfRule type="expression" dxfId="705" priority="6" stopIfTrue="1">
      <formula>CELL("protect",G24)</formula>
    </cfRule>
  </conditionalFormatting>
  <conditionalFormatting sqref="C24:F24">
    <cfRule type="expression" dxfId="704" priority="3" stopIfTrue="1">
      <formula>AND(CELL("protect",C24)=1,CELL("type",C24)="v")</formula>
    </cfRule>
    <cfRule type="expression" dxfId="703" priority="4" stopIfTrue="1">
      <formula>CELL("protect",C24)</formula>
    </cfRule>
  </conditionalFormatting>
  <hyperlinks>
    <hyperlink ref="D2" location="Information!A1" display="חזרה"/>
    <hyperlink ref="B4" location="Information!A60" display="Information!A60"/>
  </hyperlinks>
  <pageMargins left="0" right="0" top="0.74803149606299213" bottom="0.74803149606299213" header="0.31496062992125984" footer="0.31496062992125984"/>
  <pageSetup paperSize="9" scale="93"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C2589EF8-485F-4E4E-B287-ADFBB512DDA4}">
            <xm:f>Information!$G$54&gt;0</xm:f>
            <x14:dxf>
              <font>
                <b/>
                <i val="0"/>
                <color theme="1"/>
              </font>
              <fill>
                <patternFill>
                  <bgColor rgb="FFFFFF00"/>
                </patternFill>
              </fill>
            </x14:dxf>
          </x14:cfRule>
          <xm:sqref>B4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F0"/>
  </sheetPr>
  <dimension ref="B1:I42"/>
  <sheetViews>
    <sheetView rightToLeft="1" workbookViewId="0"/>
  </sheetViews>
  <sheetFormatPr defaultRowHeight="12.5"/>
  <cols>
    <col min="2" max="2" width="44.453125" customWidth="1"/>
    <col min="3" max="3" width="11.54296875" customWidth="1"/>
    <col min="4" max="4" width="11.54296875" hidden="1" customWidth="1"/>
    <col min="5" max="5" width="11.54296875" customWidth="1"/>
  </cols>
  <sheetData>
    <row r="1" spans="2:9" ht="18">
      <c r="B1" s="15" t="str">
        <f>company</f>
        <v>_____חברה מנהלת</v>
      </c>
    </row>
    <row r="2" spans="2:9" ht="18">
      <c r="B2" s="23" t="str">
        <f>Information!C9</f>
        <v>מאזן - סולו</v>
      </c>
      <c r="E2" s="642" t="s">
        <v>263</v>
      </c>
    </row>
    <row r="3" spans="2:9" ht="16.5" customHeight="1">
      <c r="B3" s="28" t="str">
        <f>Information!$M$21</f>
        <v>הנתונים באלפי ש"ח</v>
      </c>
      <c r="I3" s="460"/>
    </row>
    <row r="4" spans="2:9" ht="16.5" customHeight="1">
      <c r="B4" s="1469" t="s">
        <v>3876</v>
      </c>
      <c r="C4" s="1121" t="str">
        <f>Date1</f>
        <v>31.12.2021</v>
      </c>
      <c r="D4" s="1121" t="str">
        <f>Date2</f>
        <v>לא לדווח</v>
      </c>
      <c r="E4" s="1122" t="str">
        <f>Date3</f>
        <v>31.12.2020</v>
      </c>
      <c r="I4" s="461"/>
    </row>
    <row r="5" spans="2:9" ht="15.5">
      <c r="B5" s="480"/>
      <c r="C5" s="1123" t="s">
        <v>29</v>
      </c>
      <c r="D5" s="1123" t="s">
        <v>41</v>
      </c>
      <c r="E5" s="1124" t="s">
        <v>63</v>
      </c>
      <c r="I5" s="461"/>
    </row>
    <row r="6" spans="2:9" ht="15.5">
      <c r="B6" s="469" t="s">
        <v>805</v>
      </c>
      <c r="C6" s="473"/>
      <c r="D6" s="473"/>
      <c r="E6" s="474"/>
      <c r="I6" s="461"/>
    </row>
    <row r="7" spans="2:9" ht="15.5">
      <c r="B7" s="470" t="s">
        <v>806</v>
      </c>
      <c r="C7" s="493"/>
      <c r="D7" s="493"/>
      <c r="E7" s="495"/>
      <c r="I7" s="461"/>
    </row>
    <row r="8" spans="2:9" ht="15.5">
      <c r="B8" s="470" t="s">
        <v>807</v>
      </c>
      <c r="C8" s="493"/>
      <c r="D8" s="493"/>
      <c r="E8" s="495"/>
      <c r="I8" s="461"/>
    </row>
    <row r="9" spans="2:9" ht="15.5">
      <c r="B9" s="470" t="s">
        <v>808</v>
      </c>
      <c r="C9" s="493"/>
      <c r="D9" s="493"/>
      <c r="E9" s="495"/>
      <c r="I9" s="461"/>
    </row>
    <row r="10" spans="2:9" ht="15.5">
      <c r="B10" s="470" t="s">
        <v>809</v>
      </c>
      <c r="C10" s="493"/>
      <c r="D10" s="493"/>
      <c r="E10" s="495"/>
      <c r="I10" s="461"/>
    </row>
    <row r="11" spans="2:9" ht="15.5">
      <c r="B11" s="470" t="s">
        <v>213</v>
      </c>
      <c r="C11" s="493"/>
      <c r="D11" s="493"/>
      <c r="E11" s="495"/>
      <c r="I11" s="461"/>
    </row>
    <row r="12" spans="2:9" ht="15.5">
      <c r="B12" s="470" t="s">
        <v>1458</v>
      </c>
      <c r="C12" s="493"/>
      <c r="D12" s="493"/>
      <c r="E12" s="495"/>
      <c r="I12" s="461"/>
    </row>
    <row r="13" spans="2:9" ht="15.5">
      <c r="B13" s="470" t="s">
        <v>811</v>
      </c>
      <c r="C13" s="493"/>
      <c r="D13" s="493"/>
      <c r="E13" s="495"/>
      <c r="I13" s="461"/>
    </row>
    <row r="14" spans="2:9" ht="15.5">
      <c r="B14" s="470" t="s">
        <v>812</v>
      </c>
      <c r="C14" s="493"/>
      <c r="D14" s="493"/>
      <c r="E14" s="495"/>
      <c r="I14" s="461"/>
    </row>
    <row r="15" spans="2:9" ht="15.5">
      <c r="B15" s="470" t="s">
        <v>813</v>
      </c>
      <c r="C15" s="493"/>
      <c r="D15" s="493"/>
      <c r="E15" s="495"/>
      <c r="I15" s="461"/>
    </row>
    <row r="16" spans="2:9" ht="15.5">
      <c r="B16" s="469" t="s">
        <v>814</v>
      </c>
      <c r="C16" s="473"/>
      <c r="D16" s="473"/>
      <c r="E16" s="474"/>
      <c r="I16" s="461"/>
    </row>
    <row r="17" spans="2:9" ht="15.5">
      <c r="B17" s="472" t="s">
        <v>815</v>
      </c>
      <c r="C17" s="493"/>
      <c r="D17" s="493"/>
      <c r="E17" s="495"/>
      <c r="I17" s="461"/>
    </row>
    <row r="18" spans="2:9" ht="15.5">
      <c r="B18" s="472" t="s">
        <v>816</v>
      </c>
      <c r="C18" s="493"/>
      <c r="D18" s="493"/>
      <c r="E18" s="495"/>
      <c r="I18" s="461"/>
    </row>
    <row r="19" spans="2:9" ht="15.5">
      <c r="B19" s="472" t="s">
        <v>75</v>
      </c>
      <c r="C19" s="493"/>
      <c r="D19" s="493"/>
      <c r="E19" s="495"/>
      <c r="I19" s="461"/>
    </row>
    <row r="20" spans="2:9" ht="15.5">
      <c r="B20" s="472" t="s">
        <v>817</v>
      </c>
      <c r="C20" s="493"/>
      <c r="D20" s="493"/>
      <c r="E20" s="495"/>
      <c r="I20" s="461"/>
    </row>
    <row r="21" spans="2:9" ht="15.5">
      <c r="B21" s="469" t="s">
        <v>818</v>
      </c>
      <c r="C21" s="478">
        <f>SUM(C17:C20)</f>
        <v>0</v>
      </c>
      <c r="D21" s="478">
        <f>SUM(D17:D20)</f>
        <v>0</v>
      </c>
      <c r="E21" s="483">
        <f>SUM(E17:E20)</f>
        <v>0</v>
      </c>
      <c r="I21" s="461"/>
    </row>
    <row r="22" spans="2:9" ht="15.5">
      <c r="B22" s="470" t="s">
        <v>6</v>
      </c>
      <c r="C22" s="497"/>
      <c r="D22" s="497"/>
      <c r="E22" s="499"/>
      <c r="I22" s="463"/>
    </row>
    <row r="23" spans="2:9" ht="15.5">
      <c r="B23" s="470" t="s">
        <v>2676</v>
      </c>
      <c r="C23" s="497"/>
      <c r="D23" s="497"/>
      <c r="E23" s="499"/>
      <c r="I23" s="463"/>
    </row>
    <row r="24" spans="2:9" ht="15.5">
      <c r="B24" s="469" t="s">
        <v>819</v>
      </c>
      <c r="C24" s="478">
        <f>SUM(C7:C20,C22,C23)</f>
        <v>0</v>
      </c>
      <c r="D24" s="478">
        <f>SUM(D7:D20,D22,D23)</f>
        <v>0</v>
      </c>
      <c r="E24" s="483">
        <f>SUM(E7:E20,E22,E23)</f>
        <v>0</v>
      </c>
      <c r="I24" s="463"/>
    </row>
    <row r="25" spans="2:9" ht="15.5">
      <c r="B25" s="469"/>
      <c r="C25" s="473"/>
      <c r="D25" s="473"/>
      <c r="E25" s="474"/>
      <c r="I25" s="463"/>
    </row>
    <row r="26" spans="2:9" ht="15.5">
      <c r="B26" s="469" t="s">
        <v>820</v>
      </c>
      <c r="C26" s="473"/>
      <c r="D26" s="473"/>
      <c r="E26" s="474"/>
      <c r="I26" s="463"/>
    </row>
    <row r="27" spans="2:9" ht="15.5">
      <c r="B27" s="916" t="s">
        <v>821</v>
      </c>
      <c r="C27" s="497"/>
      <c r="D27" s="497"/>
      <c r="E27" s="499"/>
      <c r="I27" s="464"/>
    </row>
    <row r="28" spans="2:9" ht="15.5">
      <c r="B28" s="916" t="s">
        <v>822</v>
      </c>
      <c r="C28" s="497"/>
      <c r="D28" s="497"/>
      <c r="E28" s="499"/>
      <c r="I28" s="464"/>
    </row>
    <row r="29" spans="2:9" ht="15.5">
      <c r="B29" s="916" t="s">
        <v>823</v>
      </c>
      <c r="C29" s="497"/>
      <c r="D29" s="497"/>
      <c r="E29" s="499"/>
      <c r="I29" s="464"/>
    </row>
    <row r="30" spans="2:9" ht="15.5">
      <c r="B30" s="916" t="s">
        <v>824</v>
      </c>
      <c r="C30" s="497"/>
      <c r="D30" s="497"/>
      <c r="E30" s="499"/>
      <c r="I30" s="464"/>
    </row>
    <row r="31" spans="2:9" ht="15.5">
      <c r="B31" s="916" t="s">
        <v>825</v>
      </c>
      <c r="C31" s="497"/>
      <c r="D31" s="497"/>
      <c r="E31" s="499"/>
      <c r="I31" s="464"/>
    </row>
    <row r="32" spans="2:9" ht="15.5">
      <c r="B32" s="469" t="s">
        <v>826</v>
      </c>
      <c r="C32" s="478">
        <f>SUM(C27:C31)</f>
        <v>0</v>
      </c>
      <c r="D32" s="478">
        <f>SUM(D27:D31)</f>
        <v>0</v>
      </c>
      <c r="E32" s="483">
        <f>SUM(E27:E31)</f>
        <v>0</v>
      </c>
      <c r="I32" s="464"/>
    </row>
    <row r="33" spans="2:9" ht="15.5">
      <c r="B33" s="469" t="s">
        <v>829</v>
      </c>
      <c r="C33" s="473"/>
      <c r="D33" s="473"/>
      <c r="E33" s="474"/>
      <c r="I33" s="463"/>
    </row>
    <row r="34" spans="2:9" ht="15.5">
      <c r="B34" s="916" t="s">
        <v>830</v>
      </c>
      <c r="C34" s="497"/>
      <c r="D34" s="497"/>
      <c r="E34" s="499"/>
      <c r="I34" s="463"/>
    </row>
    <row r="35" spans="2:9" ht="15.5">
      <c r="B35" s="916" t="s">
        <v>831</v>
      </c>
      <c r="C35" s="497"/>
      <c r="D35" s="497"/>
      <c r="E35" s="499"/>
      <c r="I35" s="463"/>
    </row>
    <row r="36" spans="2:9" ht="15.5">
      <c r="B36" s="916" t="s">
        <v>832</v>
      </c>
      <c r="C36" s="497"/>
      <c r="D36" s="497"/>
      <c r="E36" s="499"/>
      <c r="I36" s="463"/>
    </row>
    <row r="37" spans="2:9" ht="15.5">
      <c r="B37" s="916" t="s">
        <v>833</v>
      </c>
      <c r="C37" s="497"/>
      <c r="D37" s="497"/>
      <c r="E37" s="499"/>
      <c r="I37" s="463"/>
    </row>
    <row r="38" spans="2:9" ht="15.5">
      <c r="B38" s="916" t="s">
        <v>834</v>
      </c>
      <c r="C38" s="497"/>
      <c r="D38" s="497"/>
      <c r="E38" s="499"/>
      <c r="I38" s="463"/>
    </row>
    <row r="39" spans="2:9" ht="15.5">
      <c r="B39" s="916" t="s">
        <v>2677</v>
      </c>
      <c r="C39" s="497"/>
      <c r="D39" s="497"/>
      <c r="E39" s="499"/>
      <c r="I39" s="463"/>
    </row>
    <row r="40" spans="2:9" ht="15.5">
      <c r="B40" s="469" t="s">
        <v>835</v>
      </c>
      <c r="C40" s="477">
        <f>SUM(C34:C39)</f>
        <v>0</v>
      </c>
      <c r="D40" s="477">
        <f>SUM(D34:D39)</f>
        <v>0</v>
      </c>
      <c r="E40" s="484">
        <f>SUM(E34:E39)</f>
        <v>0</v>
      </c>
      <c r="I40" s="463"/>
    </row>
    <row r="41" spans="2:9" ht="15.5">
      <c r="B41" s="471" t="s">
        <v>836</v>
      </c>
      <c r="C41" s="479">
        <f>SUM(C40,C32)</f>
        <v>0</v>
      </c>
      <c r="D41" s="479">
        <f>SUM(D40,D32)</f>
        <v>0</v>
      </c>
      <c r="E41" s="485">
        <f>SUM(E40,E32)</f>
        <v>0</v>
      </c>
      <c r="I41" s="463"/>
    </row>
    <row r="42" spans="2:9" ht="15.5">
      <c r="I42" s="463"/>
    </row>
  </sheetData>
  <sheetProtection password="CA83" sheet="1" objects="1" scenarios="1" formatCells="0" formatColumns="0" formatRows="0" autoFilter="0"/>
  <hyperlinks>
    <hyperlink ref="E2" location="Information!A1" display="חזרה"/>
    <hyperlink ref="B4" location="Information!A60" display="Information!A60"/>
  </hyperlinks>
  <pageMargins left="0.31496062992125984" right="0.31496062992125984" top="0.74803149606299213" bottom="0.74803149606299213" header="0.31496062992125984" footer="0.31496062992125984"/>
  <pageSetup paperSize="9"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3E3D51D2-662A-413D-BB64-6798AFFC53D4}">
            <xm:f>Information!$G$54&gt;0</xm:f>
            <x14:dxf>
              <font>
                <b/>
                <i val="0"/>
                <color theme="1"/>
              </font>
              <fill>
                <patternFill>
                  <bgColor rgb="FFFFFF00"/>
                </patternFill>
              </fill>
            </x14:dxf>
          </x14:cfRule>
          <xm:sqref>B4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00B0F0"/>
    <pageSetUpPr fitToPage="1"/>
  </sheetPr>
  <dimension ref="B1:R21"/>
  <sheetViews>
    <sheetView rightToLeft="1" workbookViewId="0"/>
  </sheetViews>
  <sheetFormatPr defaultColWidth="9.1796875" defaultRowHeight="12.5"/>
  <cols>
    <col min="1" max="1" width="4.54296875" style="529" customWidth="1"/>
    <col min="2" max="2" width="36.453125"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B4" s="721"/>
      <c r="C4" s="663"/>
      <c r="D4" s="1881"/>
      <c r="E4" s="1881"/>
      <c r="F4" s="588"/>
      <c r="G4" s="588"/>
      <c r="H4" s="588"/>
      <c r="I4" s="588"/>
      <c r="J4" s="588"/>
      <c r="K4" s="588"/>
      <c r="L4" s="588"/>
      <c r="M4" s="529" t="e">
        <f>INDEX($Q$4:$Q$4,N1)</f>
        <v>#N/A</v>
      </c>
      <c r="P4" s="529" t="s">
        <v>333</v>
      </c>
      <c r="Q4" s="529">
        <v>2012</v>
      </c>
      <c r="R4" s="529">
        <v>1</v>
      </c>
    </row>
    <row r="5" spans="2:18" ht="15.5">
      <c r="B5" s="1284" t="e">
        <f>Information!#REF!</f>
        <v>#REF!</v>
      </c>
      <c r="C5" s="1285"/>
      <c r="D5" s="1285"/>
      <c r="E5" s="22"/>
    </row>
    <row r="6" spans="2:18" ht="15.5">
      <c r="B6" s="1286"/>
      <c r="C6" s="1882" t="str">
        <f>'1'!C4</f>
        <v>31.12.2021</v>
      </c>
      <c r="D6" s="1883"/>
    </row>
    <row r="7" spans="2:18" ht="26">
      <c r="B7" s="1287"/>
      <c r="C7" s="1288" t="s">
        <v>2822</v>
      </c>
      <c r="D7" s="1289" t="s">
        <v>2823</v>
      </c>
    </row>
    <row r="8" spans="2:18" ht="13">
      <c r="B8" s="1290"/>
      <c r="C8" s="1291" t="s">
        <v>29</v>
      </c>
      <c r="D8" s="1292" t="s">
        <v>41</v>
      </c>
    </row>
    <row r="9" spans="2:18" ht="14">
      <c r="B9" s="1293" t="s">
        <v>2824</v>
      </c>
      <c r="C9" s="1294"/>
      <c r="D9" s="1295"/>
    </row>
    <row r="10" spans="2:18" ht="14">
      <c r="B10" s="1296" t="s">
        <v>2825</v>
      </c>
      <c r="C10" s="1297"/>
      <c r="D10" s="1298"/>
    </row>
    <row r="11" spans="2:18" ht="28">
      <c r="B11" s="1296" t="s">
        <v>2826</v>
      </c>
      <c r="C11" s="1297"/>
      <c r="D11" s="1298"/>
    </row>
    <row r="12" spans="2:18" ht="14">
      <c r="B12" s="1296" t="s">
        <v>2827</v>
      </c>
      <c r="C12" s="1297"/>
      <c r="D12" s="1298"/>
    </row>
    <row r="13" spans="2:18" ht="14">
      <c r="B13" s="1293" t="s">
        <v>2828</v>
      </c>
      <c r="C13" s="1294"/>
      <c r="D13" s="1295"/>
    </row>
    <row r="14" spans="2:18" ht="14">
      <c r="B14" s="1299" t="s">
        <v>2825</v>
      </c>
      <c r="C14" s="1297"/>
      <c r="D14" s="1298"/>
    </row>
    <row r="15" spans="2:18" ht="28">
      <c r="B15" s="1299" t="s">
        <v>2826</v>
      </c>
      <c r="C15" s="1297"/>
      <c r="D15" s="1298"/>
    </row>
    <row r="16" spans="2:18" ht="14">
      <c r="B16" s="1299" t="s">
        <v>2827</v>
      </c>
      <c r="C16" s="1297"/>
      <c r="D16" s="1298"/>
    </row>
    <row r="17" spans="2:4" ht="14">
      <c r="B17" s="1293" t="s">
        <v>2829</v>
      </c>
      <c r="C17" s="1297"/>
      <c r="D17" s="1298"/>
    </row>
    <row r="18" spans="2:4" ht="28">
      <c r="B18" s="1293" t="s">
        <v>2830</v>
      </c>
      <c r="C18" s="1294"/>
      <c r="D18" s="1300"/>
    </row>
    <row r="19" spans="2:4" ht="14">
      <c r="B19" s="1301" t="str">
        <f>C6</f>
        <v>31.12.2021</v>
      </c>
      <c r="C19" s="1294"/>
      <c r="D19" s="1302"/>
    </row>
    <row r="20" spans="2:4" ht="14">
      <c r="B20" s="1303" t="str">
        <f>'1'!E4</f>
        <v>31.12.2020</v>
      </c>
      <c r="C20" s="1304"/>
      <c r="D20" s="1305"/>
    </row>
    <row r="21" spans="2:4" ht="13">
      <c r="B21" s="1306"/>
      <c r="C21" s="1306"/>
      <c r="D21" s="1306"/>
    </row>
  </sheetData>
  <sheetProtection password="D252" sheet="1" objects="1" scenarios="1" formatCells="0" formatColumns="0" formatRows="0"/>
  <mergeCells count="2">
    <mergeCell ref="D4:E4"/>
    <mergeCell ref="C6:D6"/>
  </mergeCells>
  <conditionalFormatting sqref="C9:D13">
    <cfRule type="expression" dxfId="700" priority="10" stopIfTrue="1">
      <formula>AND(CELL("protect",C9)=1,CELL("type",C9)="v")</formula>
    </cfRule>
    <cfRule type="expression" dxfId="699" priority="11" stopIfTrue="1">
      <formula>CELL("protect",C9)</formula>
    </cfRule>
  </conditionalFormatting>
  <conditionalFormatting sqref="C14:D16">
    <cfRule type="expression" dxfId="698" priority="8" stopIfTrue="1">
      <formula>AND(CELL("protect",C14)=1,CELL("type",C14)="v")</formula>
    </cfRule>
    <cfRule type="expression" dxfId="697" priority="9" stopIfTrue="1">
      <formula>CELL("protect",C14)</formula>
    </cfRule>
  </conditionalFormatting>
  <conditionalFormatting sqref="C17:D17">
    <cfRule type="expression" dxfId="696" priority="6" stopIfTrue="1">
      <formula>AND(CELL("protect",C17)=1,CELL("type",C17)="v")</formula>
    </cfRule>
    <cfRule type="expression" dxfId="695" priority="7" stopIfTrue="1">
      <formula>CELL("protect",C17)</formula>
    </cfRule>
  </conditionalFormatting>
  <conditionalFormatting sqref="D18">
    <cfRule type="expression" dxfId="694" priority="4" stopIfTrue="1">
      <formula>AND(CELL("protect",D18)=1,CELL("type",D18)="v")</formula>
    </cfRule>
    <cfRule type="expression" dxfId="693" priority="5" stopIfTrue="1">
      <formula>CELL("protect",D18)</formula>
    </cfRule>
  </conditionalFormatting>
  <conditionalFormatting sqref="C18 C19:D20">
    <cfRule type="expression" dxfId="692" priority="2" stopIfTrue="1">
      <formula>AND(CELL("protect",C18)=1,CELL("type",C18)="v")</formula>
    </cfRule>
    <cfRule type="expression" dxfId="691" priority="3" stopIfTrue="1">
      <formula>CELL("protect",C18)</formula>
    </cfRule>
  </conditionalFormatting>
  <hyperlinks>
    <hyperlink ref="D1" location="Information!A1" display="חזרה"/>
    <hyperlink ref="D4:E4" location="B27D!A33" display="לשנה קודמת"/>
    <hyperlink ref="C3" location="Information!A60" display="Information!A60"/>
  </hyperlinks>
  <pageMargins left="0" right="0" top="0" bottom="0.51181102362204722" header="0" footer="0.23622047244094491"/>
  <pageSetup paperSize="9" scale="42"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CF04D706-1678-4DBF-AB1D-6362CFDBA6E3}">
            <xm:f>Information!$G$54&gt;0</xm:f>
            <x14:dxf>
              <font>
                <b/>
                <i val="0"/>
                <color theme="1"/>
              </font>
              <fill>
                <patternFill>
                  <bgColor rgb="FFFFFF00"/>
                </patternFill>
              </fill>
            </x14:dxf>
          </x14:cfRule>
          <xm:sqref>C3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pageSetUpPr fitToPage="1"/>
  </sheetPr>
  <dimension ref="B1:R47"/>
  <sheetViews>
    <sheetView rightToLeft="1" workbookViewId="0"/>
  </sheetViews>
  <sheetFormatPr defaultColWidth="9.1796875" defaultRowHeight="12.5"/>
  <cols>
    <col min="1" max="1" width="4.54296875" style="529" customWidth="1"/>
    <col min="2" max="2" width="36.453125"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B4" s="721"/>
      <c r="C4" s="663"/>
      <c r="D4" s="1881" t="s">
        <v>1369</v>
      </c>
      <c r="E4" s="1881"/>
      <c r="F4" s="588"/>
      <c r="G4" s="588"/>
      <c r="H4" s="588"/>
      <c r="I4" s="588"/>
      <c r="J4" s="588"/>
      <c r="K4" s="588"/>
      <c r="L4" s="588"/>
      <c r="M4" s="529" t="e">
        <f>INDEX($Q$4:$Q$4,N1)</f>
        <v>#N/A</v>
      </c>
      <c r="P4" s="529" t="s">
        <v>333</v>
      </c>
      <c r="Q4" s="529">
        <v>2012</v>
      </c>
      <c r="R4" s="529">
        <v>1</v>
      </c>
    </row>
    <row r="5" spans="2:18" ht="28.5" customHeight="1">
      <c r="B5" s="1885" t="e">
        <f>Information!#REF!</f>
        <v>#REF!</v>
      </c>
      <c r="C5" s="1885" t="str">
        <f>Information!$F$50</f>
        <v>באור27ו4' - סיכוני אשראי -בחו"ל - נכסים אחרים ומכשירים חוץ מאזניים</v>
      </c>
      <c r="D5" s="1885" t="str">
        <f>Information!$F$50</f>
        <v>באור27ו4' - סיכוני אשראי -בחו"ל - נכסים אחרים ומכשירים חוץ מאזניים</v>
      </c>
      <c r="E5" s="1885" t="str">
        <f>Information!$F$50</f>
        <v>באור27ו4' - סיכוני אשראי -בחו"ל - נכסים אחרים ומכשירים חוץ מאזניים</v>
      </c>
    </row>
    <row r="6" spans="2:18" ht="14">
      <c r="B6" s="885"/>
      <c r="C6" s="1884" t="s">
        <v>1448</v>
      </c>
      <c r="D6" s="1884"/>
      <c r="E6" s="736" t="s">
        <v>1449</v>
      </c>
    </row>
    <row r="7" spans="2:18" ht="14">
      <c r="B7" s="912"/>
      <c r="C7" s="913" t="s">
        <v>1389</v>
      </c>
      <c r="D7" s="914" t="s">
        <v>1391</v>
      </c>
      <c r="E7" s="915" t="s">
        <v>1389</v>
      </c>
    </row>
    <row r="8" spans="2:18" ht="14">
      <c r="B8" s="887"/>
      <c r="C8" s="891" t="s">
        <v>29</v>
      </c>
      <c r="D8" s="891" t="s">
        <v>41</v>
      </c>
      <c r="E8" s="892" t="s">
        <v>63</v>
      </c>
    </row>
    <row r="9" spans="2:18" ht="14">
      <c r="B9" s="890" t="str">
        <f>Date1</f>
        <v>31.12.2021</v>
      </c>
      <c r="C9" s="891"/>
      <c r="D9" s="891"/>
      <c r="E9" s="892"/>
    </row>
    <row r="10" spans="2:18" ht="14">
      <c r="B10" s="893" t="s">
        <v>1392</v>
      </c>
      <c r="C10" s="652"/>
      <c r="D10" s="652"/>
      <c r="E10" s="653"/>
    </row>
    <row r="11" spans="2:18" ht="14">
      <c r="B11" s="870" t="s">
        <v>1393</v>
      </c>
      <c r="C11" s="655"/>
      <c r="D11" s="1119">
        <f>IF(C11=0,0,C11/$C$25)</f>
        <v>0</v>
      </c>
      <c r="E11" s="668"/>
    </row>
    <row r="12" spans="2:18" ht="14">
      <c r="B12" s="870" t="s">
        <v>1394</v>
      </c>
      <c r="C12" s="655"/>
      <c r="D12" s="1119">
        <f t="shared" ref="D12:D25" si="0">IF(C12=0,0,C12/$C$25)</f>
        <v>0</v>
      </c>
      <c r="E12" s="668"/>
    </row>
    <row r="13" spans="2:18" ht="14">
      <c r="B13" s="870" t="s">
        <v>1395</v>
      </c>
      <c r="C13" s="655"/>
      <c r="D13" s="1119">
        <f t="shared" si="0"/>
        <v>0</v>
      </c>
      <c r="E13" s="668"/>
    </row>
    <row r="14" spans="2:18" ht="14">
      <c r="B14" s="870" t="s">
        <v>1396</v>
      </c>
      <c r="C14" s="655"/>
      <c r="D14" s="1119">
        <f t="shared" si="0"/>
        <v>0</v>
      </c>
      <c r="E14" s="668"/>
    </row>
    <row r="15" spans="2:18" ht="14">
      <c r="B15" s="870" t="s">
        <v>1397</v>
      </c>
      <c r="C15" s="655"/>
      <c r="D15" s="1119">
        <f t="shared" si="0"/>
        <v>0</v>
      </c>
      <c r="E15" s="668"/>
    </row>
    <row r="16" spans="2:18" ht="14">
      <c r="B16" s="870" t="s">
        <v>1398</v>
      </c>
      <c r="C16" s="655"/>
      <c r="D16" s="1119">
        <f t="shared" si="0"/>
        <v>0</v>
      </c>
      <c r="E16" s="668"/>
    </row>
    <row r="17" spans="2:5" ht="14">
      <c r="B17" s="870" t="s">
        <v>1399</v>
      </c>
      <c r="C17" s="655"/>
      <c r="D17" s="1119">
        <f t="shared" si="0"/>
        <v>0</v>
      </c>
      <c r="E17" s="668"/>
    </row>
    <row r="18" spans="2:5" ht="14">
      <c r="B18" s="870" t="s">
        <v>1400</v>
      </c>
      <c r="C18" s="655"/>
      <c r="D18" s="1119">
        <f t="shared" si="0"/>
        <v>0</v>
      </c>
      <c r="E18" s="668"/>
    </row>
    <row r="19" spans="2:5" ht="14">
      <c r="B19" s="870" t="s">
        <v>1401</v>
      </c>
      <c r="C19" s="655"/>
      <c r="D19" s="1119">
        <f t="shared" si="0"/>
        <v>0</v>
      </c>
      <c r="E19" s="668"/>
    </row>
    <row r="20" spans="2:5" ht="14">
      <c r="B20" s="870" t="s">
        <v>1402</v>
      </c>
      <c r="C20" s="655"/>
      <c r="D20" s="1119">
        <f t="shared" si="0"/>
        <v>0</v>
      </c>
      <c r="E20" s="668"/>
    </row>
    <row r="21" spans="2:5" ht="14">
      <c r="B21" s="870" t="s">
        <v>1403</v>
      </c>
      <c r="C21" s="655"/>
      <c r="D21" s="1119">
        <f t="shared" si="0"/>
        <v>0</v>
      </c>
      <c r="E21" s="668"/>
    </row>
    <row r="22" spans="2:5" ht="14">
      <c r="B22" s="870" t="s">
        <v>1450</v>
      </c>
      <c r="C22" s="655"/>
      <c r="D22" s="1119">
        <f t="shared" si="0"/>
        <v>0</v>
      </c>
      <c r="E22" s="668"/>
    </row>
    <row r="23" spans="2:5" ht="14">
      <c r="B23" s="870" t="s">
        <v>1142</v>
      </c>
      <c r="C23" s="655"/>
      <c r="D23" s="1119">
        <f t="shared" si="0"/>
        <v>0</v>
      </c>
      <c r="E23" s="668"/>
    </row>
    <row r="24" spans="2:5" ht="14">
      <c r="B24" s="870" t="s">
        <v>1451</v>
      </c>
      <c r="C24" s="655"/>
      <c r="D24" s="1119">
        <f t="shared" si="0"/>
        <v>0</v>
      </c>
      <c r="E24" s="668"/>
    </row>
    <row r="25" spans="2:5" ht="14">
      <c r="B25" s="1108" t="s">
        <v>1452</v>
      </c>
      <c r="C25" s="660">
        <f>SUM(C11:C24)</f>
        <v>0</v>
      </c>
      <c r="D25" s="1120">
        <f t="shared" si="0"/>
        <v>0</v>
      </c>
      <c r="E25" s="661">
        <f>SUM(E11:E24)</f>
        <v>0</v>
      </c>
    </row>
    <row r="26" spans="2:5" ht="13">
      <c r="B26" s="22"/>
      <c r="C26" s="22"/>
      <c r="D26" s="22"/>
      <c r="E26" s="22"/>
    </row>
    <row r="27" spans="2:5" ht="28">
      <c r="B27" s="885"/>
      <c r="C27" s="1884" t="s">
        <v>1448</v>
      </c>
      <c r="D27" s="1884"/>
      <c r="E27" s="911" t="s">
        <v>1449</v>
      </c>
    </row>
    <row r="28" spans="2:5" ht="14">
      <c r="B28" s="912"/>
      <c r="C28" s="913" t="s">
        <v>1389</v>
      </c>
      <c r="D28" s="914" t="s">
        <v>1391</v>
      </c>
      <c r="E28" s="915" t="s">
        <v>1389</v>
      </c>
    </row>
    <row r="29" spans="2:5" ht="14">
      <c r="B29" s="887"/>
      <c r="C29" s="891" t="s">
        <v>29</v>
      </c>
      <c r="D29" s="891" t="s">
        <v>41</v>
      </c>
      <c r="E29" s="892" t="s">
        <v>63</v>
      </c>
    </row>
    <row r="30" spans="2:5" ht="14">
      <c r="B30" s="890" t="str">
        <f>Date3</f>
        <v>31.12.2020</v>
      </c>
      <c r="C30" s="891"/>
      <c r="D30" s="891"/>
      <c r="E30" s="892"/>
    </row>
    <row r="31" spans="2:5" ht="14">
      <c r="B31" s="893" t="s">
        <v>1392</v>
      </c>
      <c r="C31" s="652"/>
      <c r="D31" s="652"/>
      <c r="E31" s="653"/>
    </row>
    <row r="32" spans="2:5" ht="14">
      <c r="B32" s="870" t="s">
        <v>1393</v>
      </c>
      <c r="C32" s="655"/>
      <c r="D32" s="1119">
        <f>IF(C32=0,0,C32/$C$46)</f>
        <v>0</v>
      </c>
      <c r="E32" s="668"/>
    </row>
    <row r="33" spans="2:5" ht="14">
      <c r="B33" s="870" t="s">
        <v>1394</v>
      </c>
      <c r="C33" s="655"/>
      <c r="D33" s="1119">
        <f t="shared" ref="D33:D46" si="1">IF(C33=0,0,C33/$C$46)</f>
        <v>0</v>
      </c>
      <c r="E33" s="668"/>
    </row>
    <row r="34" spans="2:5" ht="14">
      <c r="B34" s="870" t="s">
        <v>1395</v>
      </c>
      <c r="C34" s="655"/>
      <c r="D34" s="1119">
        <f t="shared" si="1"/>
        <v>0</v>
      </c>
      <c r="E34" s="668"/>
    </row>
    <row r="35" spans="2:5" ht="14">
      <c r="B35" s="870" t="s">
        <v>1396</v>
      </c>
      <c r="C35" s="655"/>
      <c r="D35" s="1119">
        <f t="shared" si="1"/>
        <v>0</v>
      </c>
      <c r="E35" s="668"/>
    </row>
    <row r="36" spans="2:5" ht="14">
      <c r="B36" s="870" t="s">
        <v>1397</v>
      </c>
      <c r="C36" s="655"/>
      <c r="D36" s="1119">
        <f t="shared" si="1"/>
        <v>0</v>
      </c>
      <c r="E36" s="668"/>
    </row>
    <row r="37" spans="2:5" ht="14">
      <c r="B37" s="870" t="s">
        <v>1398</v>
      </c>
      <c r="C37" s="655"/>
      <c r="D37" s="1119">
        <f t="shared" si="1"/>
        <v>0</v>
      </c>
      <c r="E37" s="668"/>
    </row>
    <row r="38" spans="2:5" ht="14">
      <c r="B38" s="870" t="s">
        <v>1399</v>
      </c>
      <c r="C38" s="655"/>
      <c r="D38" s="1119">
        <f t="shared" si="1"/>
        <v>0</v>
      </c>
      <c r="E38" s="668"/>
    </row>
    <row r="39" spans="2:5" ht="14">
      <c r="B39" s="870" t="s">
        <v>1400</v>
      </c>
      <c r="C39" s="655"/>
      <c r="D39" s="1119">
        <f t="shared" si="1"/>
        <v>0</v>
      </c>
      <c r="E39" s="668"/>
    </row>
    <row r="40" spans="2:5" ht="14">
      <c r="B40" s="870" t="s">
        <v>1401</v>
      </c>
      <c r="C40" s="655"/>
      <c r="D40" s="1119">
        <f t="shared" si="1"/>
        <v>0</v>
      </c>
      <c r="E40" s="668"/>
    </row>
    <row r="41" spans="2:5" ht="14">
      <c r="B41" s="870" t="s">
        <v>1402</v>
      </c>
      <c r="C41" s="655"/>
      <c r="D41" s="1119">
        <f t="shared" si="1"/>
        <v>0</v>
      </c>
      <c r="E41" s="668"/>
    </row>
    <row r="42" spans="2:5" ht="14">
      <c r="B42" s="870" t="s">
        <v>1403</v>
      </c>
      <c r="C42" s="655"/>
      <c r="D42" s="1119">
        <f t="shared" si="1"/>
        <v>0</v>
      </c>
      <c r="E42" s="668"/>
    </row>
    <row r="43" spans="2:5" ht="14">
      <c r="B43" s="870" t="s">
        <v>1450</v>
      </c>
      <c r="C43" s="655"/>
      <c r="D43" s="1119">
        <f t="shared" si="1"/>
        <v>0</v>
      </c>
      <c r="E43" s="668"/>
    </row>
    <row r="44" spans="2:5" ht="14">
      <c r="B44" s="870" t="s">
        <v>1142</v>
      </c>
      <c r="C44" s="655"/>
      <c r="D44" s="1119">
        <f t="shared" si="1"/>
        <v>0</v>
      </c>
      <c r="E44" s="668"/>
    </row>
    <row r="45" spans="2:5" ht="14">
      <c r="B45" s="870" t="s">
        <v>1451</v>
      </c>
      <c r="C45" s="655"/>
      <c r="D45" s="1119">
        <f t="shared" si="1"/>
        <v>0</v>
      </c>
      <c r="E45" s="668"/>
    </row>
    <row r="46" spans="2:5" ht="14">
      <c r="B46" s="1108" t="s">
        <v>1452</v>
      </c>
      <c r="C46" s="660">
        <f>SUM(C32:C45)</f>
        <v>0</v>
      </c>
      <c r="D46" s="1120">
        <f t="shared" si="1"/>
        <v>0</v>
      </c>
      <c r="E46" s="661">
        <f>SUM(E32:E45)</f>
        <v>0</v>
      </c>
    </row>
    <row r="47" spans="2:5" ht="13">
      <c r="B47" s="22"/>
      <c r="C47" s="22"/>
      <c r="D47" s="22"/>
      <c r="E47" s="22"/>
    </row>
  </sheetData>
  <sheetProtection password="D045" sheet="1" objects="1" scenarios="1" formatCells="0" formatColumns="0" formatRows="0"/>
  <mergeCells count="4">
    <mergeCell ref="C27:D27"/>
    <mergeCell ref="D4:E4"/>
    <mergeCell ref="B5:E5"/>
    <mergeCell ref="C6:D6"/>
  </mergeCells>
  <conditionalFormatting sqref="C31:E46 C10:E25">
    <cfRule type="expression" dxfId="689" priority="2" stopIfTrue="1">
      <formula>AND(CELL("protect",C10)=1,CELL("type",C10)="v")</formula>
    </cfRule>
    <cfRule type="expression" dxfId="688" priority="3" stopIfTrue="1">
      <formula>CELL("protect",C10)</formula>
    </cfRule>
  </conditionalFormatting>
  <hyperlinks>
    <hyperlink ref="D1" location="Information!A1" display="חזרה"/>
    <hyperlink ref="D4:E4" location="B27D!A33" display="לשנה קודמת"/>
    <hyperlink ref="C3" location="Information!A60" display="Information!A60"/>
  </hyperlinks>
  <pageMargins left="0" right="0" top="0" bottom="0.51181102362204722" header="0" footer="0.23622047244094491"/>
  <pageSetup paperSize="9" scale="89"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D30D5547-EC0B-43CA-9D67-926DFF7DD667}">
            <xm:f>Information!$G$54&gt;0</xm:f>
            <x14:dxf>
              <font>
                <b/>
                <i val="0"/>
                <color theme="1"/>
              </font>
              <fill>
                <patternFill>
                  <bgColor rgb="FFFFFF00"/>
                </patternFill>
              </fill>
            </x14:dxf>
          </x14:cfRule>
          <xm:sqref>C3</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FFFF00"/>
    <pageSetUpPr fitToPage="1"/>
  </sheetPr>
  <dimension ref="B1:R37"/>
  <sheetViews>
    <sheetView rightToLeft="1" workbookViewId="0"/>
  </sheetViews>
  <sheetFormatPr defaultColWidth="9.1796875" defaultRowHeight="12.5"/>
  <cols>
    <col min="1" max="1" width="4.54296875" style="529" customWidth="1"/>
    <col min="2" max="2" width="36.453125"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C4" s="588"/>
      <c r="D4" s="588"/>
      <c r="E4" s="588"/>
      <c r="F4" s="588"/>
      <c r="G4" s="588"/>
      <c r="H4" s="588"/>
      <c r="I4" s="588"/>
      <c r="J4" s="588"/>
      <c r="K4" s="588"/>
      <c r="L4" s="588"/>
      <c r="M4" s="529" t="e">
        <f>INDEX($Q$4:$Q$4,N1)</f>
        <v>#N/A</v>
      </c>
      <c r="P4" s="529" t="s">
        <v>333</v>
      </c>
      <c r="Q4" s="529">
        <v>2012</v>
      </c>
      <c r="R4" s="529">
        <v>1</v>
      </c>
    </row>
    <row r="5" spans="2:18" ht="15.5">
      <c r="B5" s="901"/>
      <c r="C5" s="663"/>
      <c r="D5" s="663"/>
      <c r="E5" s="1881" t="s">
        <v>1369</v>
      </c>
      <c r="F5" s="1881"/>
      <c r="G5" s="663"/>
      <c r="H5" s="22"/>
    </row>
    <row r="6" spans="2:18" ht="15.5">
      <c r="B6" s="711" t="str">
        <f>Information!$F$50</f>
        <v>באור27ו4' - סיכוני אשראי -בחו"ל - נכסים אחרים ומכשירים חוץ מאזניים</v>
      </c>
      <c r="C6" s="663"/>
      <c r="D6" s="663"/>
      <c r="E6" s="663"/>
      <c r="F6" s="663"/>
      <c r="G6" s="663"/>
    </row>
    <row r="7" spans="2:18" ht="14">
      <c r="B7" s="902"/>
      <c r="C7" s="1886" t="s">
        <v>1576</v>
      </c>
      <c r="D7" s="1886"/>
      <c r="E7" s="1886"/>
      <c r="F7" s="1886"/>
      <c r="G7" s="1887"/>
    </row>
    <row r="8" spans="2:18" ht="15.5">
      <c r="B8" s="903"/>
      <c r="C8" s="904" t="s">
        <v>1430</v>
      </c>
      <c r="D8" s="904" t="s">
        <v>1102</v>
      </c>
      <c r="E8" s="904" t="s">
        <v>1422</v>
      </c>
      <c r="F8" s="618" t="s">
        <v>1104</v>
      </c>
      <c r="G8" s="905" t="s">
        <v>272</v>
      </c>
    </row>
    <row r="9" spans="2:18" ht="15.5">
      <c r="B9" s="906"/>
      <c r="C9" s="868" t="s">
        <v>29</v>
      </c>
      <c r="D9" s="868" t="s">
        <v>41</v>
      </c>
      <c r="E9" s="868" t="s">
        <v>63</v>
      </c>
      <c r="F9" s="868" t="s">
        <v>65</v>
      </c>
      <c r="G9" s="869" t="s">
        <v>86</v>
      </c>
    </row>
    <row r="10" spans="2:18" ht="15.5">
      <c r="B10" s="907" t="str">
        <f>Date1</f>
        <v>31.12.2021</v>
      </c>
      <c r="C10" s="652"/>
      <c r="D10" s="652"/>
      <c r="E10" s="652"/>
      <c r="F10" s="652"/>
      <c r="G10" s="652"/>
    </row>
    <row r="11" spans="2:18" ht="14">
      <c r="B11" s="712" t="s">
        <v>1437</v>
      </c>
      <c r="C11" s="652"/>
      <c r="D11" s="652"/>
      <c r="E11" s="652"/>
      <c r="F11" s="652"/>
      <c r="G11" s="652"/>
    </row>
    <row r="12" spans="2:18" ht="14">
      <c r="B12" s="677" t="s">
        <v>1438</v>
      </c>
      <c r="C12" s="655"/>
      <c r="D12" s="655"/>
      <c r="E12" s="655"/>
      <c r="F12" s="655"/>
      <c r="G12" s="652">
        <f>SUM(C12:F12)</f>
        <v>0</v>
      </c>
    </row>
    <row r="13" spans="2:18" ht="14">
      <c r="B13" s="677" t="s">
        <v>813</v>
      </c>
      <c r="C13" s="655"/>
      <c r="D13" s="655"/>
      <c r="E13" s="655"/>
      <c r="F13" s="655"/>
      <c r="G13" s="652">
        <f>SUM(C13:F13)</f>
        <v>0</v>
      </c>
    </row>
    <row r="14" spans="2:18" ht="14">
      <c r="B14" s="677" t="s">
        <v>1439</v>
      </c>
      <c r="C14" s="655"/>
      <c r="D14" s="655"/>
      <c r="E14" s="655"/>
      <c r="F14" s="655"/>
      <c r="G14" s="652">
        <f>SUM(C14:F14)</f>
        <v>0</v>
      </c>
    </row>
    <row r="15" spans="2:18" ht="14">
      <c r="B15" s="677" t="s">
        <v>1440</v>
      </c>
      <c r="C15" s="655"/>
      <c r="D15" s="655"/>
      <c r="E15" s="655"/>
      <c r="F15" s="655"/>
      <c r="G15" s="652">
        <f>SUM(C15:F15)</f>
        <v>0</v>
      </c>
    </row>
    <row r="16" spans="2:18" ht="14">
      <c r="B16" s="677" t="s">
        <v>1441</v>
      </c>
      <c r="C16" s="655"/>
      <c r="D16" s="655"/>
      <c r="E16" s="655"/>
      <c r="F16" s="655"/>
      <c r="G16" s="652">
        <f>SUM(C16:F16)</f>
        <v>0</v>
      </c>
    </row>
    <row r="17" spans="2:7" ht="14">
      <c r="B17" s="712" t="s">
        <v>1442</v>
      </c>
      <c r="C17" s="652"/>
      <c r="D17" s="652"/>
      <c r="E17" s="652"/>
      <c r="F17" s="652"/>
      <c r="G17" s="652"/>
    </row>
    <row r="18" spans="2:7" ht="14">
      <c r="B18" s="677" t="s">
        <v>1445</v>
      </c>
      <c r="C18" s="655"/>
      <c r="D18" s="655"/>
      <c r="E18" s="655"/>
      <c r="F18" s="655"/>
      <c r="G18" s="652">
        <f>SUM(C18:F18)</f>
        <v>0</v>
      </c>
    </row>
    <row r="19" spans="2:7" ht="14">
      <c r="B19" s="677" t="s">
        <v>1443</v>
      </c>
      <c r="C19" s="655"/>
      <c r="D19" s="655"/>
      <c r="E19" s="655"/>
      <c r="F19" s="655"/>
      <c r="G19" s="652">
        <f>SUM(C19:F19)</f>
        <v>0</v>
      </c>
    </row>
    <row r="20" spans="2:7" ht="28">
      <c r="B20" s="677" t="s">
        <v>1444</v>
      </c>
      <c r="C20" s="652">
        <f>C18+C19</f>
        <v>0</v>
      </c>
      <c r="D20" s="652">
        <f>D18+D19</f>
        <v>0</v>
      </c>
      <c r="E20" s="652">
        <f>E18+E19</f>
        <v>0</v>
      </c>
      <c r="F20" s="652">
        <f>F18+F19</f>
        <v>0</v>
      </c>
      <c r="G20" s="652">
        <f>SUM(C20:F20)</f>
        <v>0</v>
      </c>
    </row>
    <row r="21" spans="2:7" ht="13">
      <c r="B21" s="22"/>
      <c r="C21" s="22"/>
      <c r="D21" s="22"/>
      <c r="E21" s="22"/>
      <c r="F21" s="22"/>
      <c r="G21" s="22"/>
    </row>
    <row r="22" spans="2:7" ht="13">
      <c r="B22" s="22"/>
      <c r="C22" s="22"/>
      <c r="D22" s="22"/>
      <c r="E22" s="22"/>
      <c r="F22" s="22"/>
      <c r="G22" s="22"/>
    </row>
    <row r="23" spans="2:7" ht="13">
      <c r="B23" s="22"/>
      <c r="C23" s="22"/>
      <c r="D23" s="22"/>
      <c r="E23" s="22"/>
      <c r="F23" s="22"/>
      <c r="G23" s="22"/>
    </row>
    <row r="24" spans="2:7" ht="14">
      <c r="B24" s="902"/>
      <c r="C24" s="1886" t="str">
        <f>C7</f>
        <v>דירוג בינלאומי</v>
      </c>
      <c r="D24" s="1886"/>
      <c r="E24" s="1886"/>
      <c r="F24" s="1886"/>
      <c r="G24" s="1887"/>
    </row>
    <row r="25" spans="2:7" ht="15.5">
      <c r="B25" s="903"/>
      <c r="C25" s="904" t="str">
        <f>C8</f>
        <v>A ומעלה</v>
      </c>
      <c r="D25" s="904" t="str">
        <f>D8</f>
        <v>BBB</v>
      </c>
      <c r="E25" s="904" t="str">
        <f>E8</f>
        <v>נמוך מ-BBB</v>
      </c>
      <c r="F25" s="618" t="str">
        <f>F8</f>
        <v>לא מדורג</v>
      </c>
      <c r="G25" s="905" t="str">
        <f>G8</f>
        <v>סה"כ</v>
      </c>
    </row>
    <row r="26" spans="2:7" ht="14">
      <c r="B26" s="782"/>
      <c r="C26" s="868" t="s">
        <v>29</v>
      </c>
      <c r="D26" s="868" t="s">
        <v>41</v>
      </c>
      <c r="E26" s="868" t="s">
        <v>63</v>
      </c>
      <c r="F26" s="868" t="s">
        <v>65</v>
      </c>
      <c r="G26" s="869" t="s">
        <v>86</v>
      </c>
    </row>
    <row r="27" spans="2:7" ht="15.5">
      <c r="B27" s="907" t="str">
        <f>Date3</f>
        <v>31.12.2020</v>
      </c>
      <c r="C27" s="652"/>
      <c r="D27" s="652"/>
      <c r="E27" s="652"/>
      <c r="F27" s="652"/>
      <c r="G27" s="652"/>
    </row>
    <row r="28" spans="2:7" ht="14">
      <c r="B28" s="712" t="str">
        <f t="shared" ref="B28:B37" si="0">B11</f>
        <v>סיכון אשראי בגין נכסים אחרים מידע נוסף</v>
      </c>
      <c r="C28" s="652"/>
      <c r="D28" s="652"/>
      <c r="E28" s="652"/>
      <c r="F28" s="652"/>
      <c r="G28" s="652"/>
    </row>
    <row r="29" spans="2:7" ht="14">
      <c r="B29" s="677" t="str">
        <f t="shared" si="0"/>
        <v>הלוואות לחברות כלולות</v>
      </c>
      <c r="C29" s="655"/>
      <c r="D29" s="655"/>
      <c r="E29" s="655"/>
      <c r="F29" s="655"/>
      <c r="G29" s="652">
        <f>SUM(C29:F29)</f>
        <v>0</v>
      </c>
    </row>
    <row r="30" spans="2:7" ht="14">
      <c r="B30" s="677" t="str">
        <f t="shared" si="0"/>
        <v>חייבים ויתרות חובה</v>
      </c>
      <c r="C30" s="655"/>
      <c r="D30" s="655"/>
      <c r="E30" s="655"/>
      <c r="F30" s="655"/>
      <c r="G30" s="652">
        <f>SUM(C30:F30)</f>
        <v>0</v>
      </c>
    </row>
    <row r="31" spans="2:7" ht="14">
      <c r="B31" s="677" t="str">
        <f t="shared" si="0"/>
        <v xml:space="preserve"> נכסי מסים נדחים</v>
      </c>
      <c r="C31" s="655"/>
      <c r="D31" s="655"/>
      <c r="E31" s="655"/>
      <c r="F31" s="655"/>
      <c r="G31" s="652">
        <f>SUM(C31:F31)</f>
        <v>0</v>
      </c>
    </row>
    <row r="32" spans="2:7" ht="14">
      <c r="B32" s="677" t="str">
        <f t="shared" si="0"/>
        <v xml:space="preserve"> השקעות פיננסיות אחרות</v>
      </c>
      <c r="C32" s="655"/>
      <c r="D32" s="655"/>
      <c r="E32" s="655"/>
      <c r="F32" s="655"/>
      <c r="G32" s="652">
        <f>SUM(C32:F32)</f>
        <v>0</v>
      </c>
    </row>
    <row r="33" spans="2:7" ht="14">
      <c r="B33" s="677" t="str">
        <f t="shared" si="0"/>
        <v xml:space="preserve"> מזומנים ושווי מזומנים</v>
      </c>
      <c r="C33" s="655"/>
      <c r="D33" s="655"/>
      <c r="E33" s="655"/>
      <c r="F33" s="655"/>
      <c r="G33" s="652">
        <f>SUM(C33:F33)</f>
        <v>0</v>
      </c>
    </row>
    <row r="34" spans="2:7" ht="14">
      <c r="B34" s="712" t="str">
        <f t="shared" si="0"/>
        <v>מכשרים חוץ מאזנים</v>
      </c>
      <c r="C34" s="652"/>
      <c r="D34" s="652"/>
      <c r="E34" s="652"/>
      <c r="F34" s="652"/>
      <c r="G34" s="652"/>
    </row>
    <row r="35" spans="2:7" ht="14">
      <c r="B35" s="677" t="str">
        <f t="shared" si="0"/>
        <v>ערבויות פיננסיות שניתנו</v>
      </c>
      <c r="C35" s="655"/>
      <c r="D35" s="655"/>
      <c r="E35" s="655"/>
      <c r="F35" s="655"/>
      <c r="G35" s="652">
        <f>SUM(C35:F35)</f>
        <v>0</v>
      </c>
    </row>
    <row r="36" spans="2:7" ht="14">
      <c r="B36" s="677" t="str">
        <f t="shared" si="0"/>
        <v>מסגרות אשראי בלתי מנוצלות</v>
      </c>
      <c r="C36" s="655"/>
      <c r="D36" s="655"/>
      <c r="E36" s="655"/>
      <c r="F36" s="655"/>
      <c r="G36" s="652">
        <f>SUM(C36:F36)</f>
        <v>0</v>
      </c>
    </row>
    <row r="37" spans="2:7" ht="28">
      <c r="B37" s="677" t="str">
        <f t="shared" si="0"/>
        <v>סה"כ חשיפת אשראי בגין ערבויות פיננסיות ומסגרות אשראי בלתי מנוצלות</v>
      </c>
      <c r="C37" s="652">
        <f>C35+C36</f>
        <v>0</v>
      </c>
      <c r="D37" s="652">
        <f>D35+D36</f>
        <v>0</v>
      </c>
      <c r="E37" s="652">
        <f>E35+E36</f>
        <v>0</v>
      </c>
      <c r="F37" s="652">
        <f>F35+F36</f>
        <v>0</v>
      </c>
      <c r="G37" s="652">
        <f>SUM(C37:F37)</f>
        <v>0</v>
      </c>
    </row>
  </sheetData>
  <sheetProtection password="E8DC" sheet="1" objects="1" scenarios="1" formatCells="0" formatColumns="0" formatRows="0"/>
  <mergeCells count="3">
    <mergeCell ref="E5:F5"/>
    <mergeCell ref="C7:G7"/>
    <mergeCell ref="C24:G24"/>
  </mergeCells>
  <conditionalFormatting sqref="C10:G10">
    <cfRule type="expression" dxfId="686" priority="8" stopIfTrue="1">
      <formula>AND(CELL("protect",C10)=1,CELL("type",C10)="v")</formula>
    </cfRule>
    <cfRule type="expression" dxfId="685" priority="9" stopIfTrue="1">
      <formula>CELL("protect",C10)</formula>
    </cfRule>
  </conditionalFormatting>
  <conditionalFormatting sqref="C11:G20">
    <cfRule type="expression" dxfId="684" priority="6" stopIfTrue="1">
      <formula>AND(CELL("protect",C11)=1,CELL("type",C11)="v")</formula>
    </cfRule>
    <cfRule type="expression" dxfId="683" priority="7" stopIfTrue="1">
      <formula>CELL("protect",C11)</formula>
    </cfRule>
  </conditionalFormatting>
  <conditionalFormatting sqref="C27:G27">
    <cfRule type="expression" dxfId="682" priority="4" stopIfTrue="1">
      <formula>AND(CELL("protect",C27)=1,CELL("type",C27)="v")</formula>
    </cfRule>
    <cfRule type="expression" dxfId="681" priority="5" stopIfTrue="1">
      <formula>CELL("protect",C27)</formula>
    </cfRule>
  </conditionalFormatting>
  <conditionalFormatting sqref="C28:G37">
    <cfRule type="expression" dxfId="680" priority="2" stopIfTrue="1">
      <formula>AND(CELL("protect",C28)=1,CELL("type",C28)="v")</formula>
    </cfRule>
    <cfRule type="expression" dxfId="679" priority="3" stopIfTrue="1">
      <formula>CELL("protect",C28)</formula>
    </cfRule>
  </conditionalFormatting>
  <hyperlinks>
    <hyperlink ref="D1" location="Information!A1" display="חזרה"/>
    <hyperlink ref="E5:F5" location="B27C4!A29" display="לשנה קודמת"/>
    <hyperlink ref="C3" location="Information!A60" display="Information!A60"/>
  </hyperlinks>
  <pageMargins left="0" right="0" top="0" bottom="0.51181102362204722" header="0" footer="0.23622047244094491"/>
  <pageSetup paperSize="9" scale="89"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3ED410EC-1301-4DD9-9D97-68E8317D22FD}">
            <xm:f>Information!$G$54&gt;0</xm:f>
            <x14:dxf>
              <font>
                <b/>
                <i val="0"/>
                <color theme="1"/>
              </font>
              <fill>
                <patternFill>
                  <bgColor rgb="FFFFFF00"/>
                </patternFill>
              </fill>
            </x14:dxf>
          </x14:cfRule>
          <xm:sqref>C3</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FF00"/>
    <pageSetUpPr fitToPage="1"/>
  </sheetPr>
  <dimension ref="B1:R37"/>
  <sheetViews>
    <sheetView rightToLeft="1" workbookViewId="0"/>
  </sheetViews>
  <sheetFormatPr defaultColWidth="9.1796875" defaultRowHeight="12.5"/>
  <cols>
    <col min="1" max="1" width="4.54296875" style="529" customWidth="1"/>
    <col min="2" max="2" width="36.453125"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C4" s="588"/>
      <c r="D4" s="588"/>
      <c r="E4" s="588"/>
      <c r="F4" s="588"/>
      <c r="G4" s="588"/>
      <c r="H4" s="588"/>
      <c r="I4" s="588"/>
      <c r="J4" s="588"/>
      <c r="K4" s="588"/>
      <c r="L4" s="588"/>
      <c r="M4" s="529" t="e">
        <f>INDEX($Q$4:$Q$4,N1)</f>
        <v>#N/A</v>
      </c>
      <c r="P4" s="529" t="s">
        <v>333</v>
      </c>
      <c r="Q4" s="529">
        <v>2012</v>
      </c>
      <c r="R4" s="529">
        <v>1</v>
      </c>
    </row>
    <row r="5" spans="2:18" ht="15.5">
      <c r="B5" s="901"/>
      <c r="C5" s="663"/>
      <c r="D5" s="663"/>
      <c r="E5" s="1881" t="s">
        <v>1369</v>
      </c>
      <c r="F5" s="1881"/>
      <c r="G5" s="663"/>
      <c r="H5" s="22"/>
    </row>
    <row r="6" spans="2:18" ht="15.5">
      <c r="B6" s="711" t="str">
        <f>Information!$F$49</f>
        <v>באור27ו3' - סיכוני אשראי -בארץ - נכסים אחרים ומכשירים חוץ מאזניים</v>
      </c>
      <c r="C6" s="663"/>
      <c r="D6" s="663"/>
      <c r="E6" s="663"/>
      <c r="F6" s="663"/>
      <c r="G6" s="663"/>
    </row>
    <row r="7" spans="2:18" ht="14">
      <c r="B7" s="902"/>
      <c r="C7" s="1886" t="s">
        <v>1419</v>
      </c>
      <c r="D7" s="1886"/>
      <c r="E7" s="1886"/>
      <c r="F7" s="1886"/>
      <c r="G7" s="1887"/>
    </row>
    <row r="8" spans="2:18" ht="15.5">
      <c r="B8" s="903"/>
      <c r="C8" s="904" t="s">
        <v>1420</v>
      </c>
      <c r="D8" s="904" t="s">
        <v>1421</v>
      </c>
      <c r="E8" s="904" t="s">
        <v>1422</v>
      </c>
      <c r="F8" s="618" t="s">
        <v>1104</v>
      </c>
      <c r="G8" s="905" t="s">
        <v>272</v>
      </c>
    </row>
    <row r="9" spans="2:18" ht="15.5">
      <c r="B9" s="906"/>
      <c r="C9" s="868" t="s">
        <v>29</v>
      </c>
      <c r="D9" s="868" t="s">
        <v>41</v>
      </c>
      <c r="E9" s="868" t="s">
        <v>63</v>
      </c>
      <c r="F9" s="868" t="s">
        <v>65</v>
      </c>
      <c r="G9" s="869" t="s">
        <v>86</v>
      </c>
    </row>
    <row r="10" spans="2:18" ht="15.5">
      <c r="B10" s="907" t="str">
        <f>Date1</f>
        <v>31.12.2021</v>
      </c>
      <c r="C10" s="652"/>
      <c r="D10" s="652"/>
      <c r="E10" s="652"/>
      <c r="F10" s="652"/>
      <c r="G10" s="652"/>
    </row>
    <row r="11" spans="2:18" ht="14">
      <c r="B11" s="712" t="s">
        <v>1437</v>
      </c>
      <c r="C11" s="652"/>
      <c r="D11" s="652"/>
      <c r="E11" s="652"/>
      <c r="F11" s="652"/>
      <c r="G11" s="652"/>
    </row>
    <row r="12" spans="2:18" ht="14">
      <c r="B12" s="677" t="s">
        <v>1438</v>
      </c>
      <c r="C12" s="655"/>
      <c r="D12" s="655"/>
      <c r="E12" s="655"/>
      <c r="F12" s="655"/>
      <c r="G12" s="652">
        <f>SUM(C12:F12)</f>
        <v>0</v>
      </c>
    </row>
    <row r="13" spans="2:18" ht="14">
      <c r="B13" s="677" t="s">
        <v>813</v>
      </c>
      <c r="C13" s="655"/>
      <c r="D13" s="655"/>
      <c r="E13" s="655"/>
      <c r="F13" s="655"/>
      <c r="G13" s="652">
        <f>SUM(C13:F13)</f>
        <v>0</v>
      </c>
    </row>
    <row r="14" spans="2:18" ht="14">
      <c r="B14" s="677" t="s">
        <v>1439</v>
      </c>
      <c r="C14" s="655"/>
      <c r="D14" s="655"/>
      <c r="E14" s="655"/>
      <c r="F14" s="655"/>
      <c r="G14" s="652">
        <f>SUM(C14:F14)</f>
        <v>0</v>
      </c>
    </row>
    <row r="15" spans="2:18" ht="14">
      <c r="B15" s="677" t="s">
        <v>1440</v>
      </c>
      <c r="C15" s="655"/>
      <c r="D15" s="655"/>
      <c r="E15" s="655"/>
      <c r="F15" s="655"/>
      <c r="G15" s="652">
        <f>SUM(C15:F15)</f>
        <v>0</v>
      </c>
    </row>
    <row r="16" spans="2:18" ht="14">
      <c r="B16" s="677" t="s">
        <v>1441</v>
      </c>
      <c r="C16" s="655"/>
      <c r="D16" s="655"/>
      <c r="E16" s="655"/>
      <c r="F16" s="655"/>
      <c r="G16" s="652">
        <f>SUM(C16:F16)</f>
        <v>0</v>
      </c>
    </row>
    <row r="17" spans="2:7" ht="14">
      <c r="B17" s="712" t="s">
        <v>1579</v>
      </c>
      <c r="C17" s="652"/>
      <c r="D17" s="652"/>
      <c r="E17" s="652"/>
      <c r="F17" s="652"/>
      <c r="G17" s="652"/>
    </row>
    <row r="18" spans="2:7" ht="14">
      <c r="B18" s="677" t="s">
        <v>1445</v>
      </c>
      <c r="C18" s="655"/>
      <c r="D18" s="655"/>
      <c r="E18" s="655"/>
      <c r="F18" s="655"/>
      <c r="G18" s="652">
        <f>SUM(C18:F18)</f>
        <v>0</v>
      </c>
    </row>
    <row r="19" spans="2:7" ht="14">
      <c r="B19" s="677" t="s">
        <v>1443</v>
      </c>
      <c r="C19" s="655"/>
      <c r="D19" s="655"/>
      <c r="E19" s="655"/>
      <c r="F19" s="655"/>
      <c r="G19" s="652">
        <f>SUM(C19:F19)</f>
        <v>0</v>
      </c>
    </row>
    <row r="20" spans="2:7" ht="28">
      <c r="B20" s="677" t="s">
        <v>1444</v>
      </c>
      <c r="C20" s="652">
        <f>C18+C19</f>
        <v>0</v>
      </c>
      <c r="D20" s="652">
        <f>D18+D19</f>
        <v>0</v>
      </c>
      <c r="E20" s="652">
        <f>E18+E19</f>
        <v>0</v>
      </c>
      <c r="F20" s="652">
        <f>F18+F19</f>
        <v>0</v>
      </c>
      <c r="G20" s="652">
        <f>SUM(C20:F20)</f>
        <v>0</v>
      </c>
    </row>
    <row r="21" spans="2:7" ht="13">
      <c r="B21" s="22"/>
      <c r="C21" s="22"/>
      <c r="D21" s="22"/>
      <c r="E21" s="22"/>
      <c r="F21" s="22"/>
      <c r="G21" s="22"/>
    </row>
    <row r="22" spans="2:7" ht="13">
      <c r="B22" s="22"/>
      <c r="C22" s="22"/>
      <c r="D22" s="22"/>
      <c r="E22" s="22"/>
      <c r="F22" s="22"/>
      <c r="G22" s="22"/>
    </row>
    <row r="23" spans="2:7" ht="13">
      <c r="B23" s="22"/>
      <c r="C23" s="22"/>
      <c r="D23" s="22"/>
      <c r="E23" s="22"/>
      <c r="F23" s="22"/>
      <c r="G23" s="22"/>
    </row>
    <row r="24" spans="2:7" ht="14">
      <c r="B24" s="902"/>
      <c r="C24" s="1886" t="s">
        <v>1419</v>
      </c>
      <c r="D24" s="1886"/>
      <c r="E24" s="1886"/>
      <c r="F24" s="1886"/>
      <c r="G24" s="1887"/>
    </row>
    <row r="25" spans="2:7" ht="15.5">
      <c r="B25" s="903"/>
      <c r="C25" s="904" t="str">
        <f>C8</f>
        <v>AA ומעלה</v>
      </c>
      <c r="D25" s="904" t="str">
        <f>D8</f>
        <v>BBB ו- A</v>
      </c>
      <c r="E25" s="904" t="str">
        <f>E8</f>
        <v>נמוך מ-BBB</v>
      </c>
      <c r="F25" s="618" t="str">
        <f>F8</f>
        <v>לא מדורג</v>
      </c>
      <c r="G25" s="905" t="str">
        <f>G8</f>
        <v>סה"כ</v>
      </c>
    </row>
    <row r="26" spans="2:7" ht="14">
      <c r="B26" s="782"/>
      <c r="C26" s="868" t="s">
        <v>29</v>
      </c>
      <c r="D26" s="868" t="s">
        <v>41</v>
      </c>
      <c r="E26" s="868" t="s">
        <v>63</v>
      </c>
      <c r="F26" s="868" t="s">
        <v>65</v>
      </c>
      <c r="G26" s="869" t="s">
        <v>86</v>
      </c>
    </row>
    <row r="27" spans="2:7" ht="15.5">
      <c r="B27" s="907" t="str">
        <f>Date3</f>
        <v>31.12.2020</v>
      </c>
      <c r="C27" s="652"/>
      <c r="D27" s="652"/>
      <c r="E27" s="652"/>
      <c r="F27" s="652"/>
      <c r="G27" s="652"/>
    </row>
    <row r="28" spans="2:7" ht="14">
      <c r="B28" s="712" t="str">
        <f t="shared" ref="B28:B37" si="0">B11</f>
        <v>סיכון אשראי בגין נכסים אחרים מידע נוסף</v>
      </c>
      <c r="C28" s="652"/>
      <c r="D28" s="652"/>
      <c r="E28" s="652"/>
      <c r="F28" s="652"/>
      <c r="G28" s="652"/>
    </row>
    <row r="29" spans="2:7" ht="14">
      <c r="B29" s="677" t="str">
        <f t="shared" si="0"/>
        <v>הלוואות לחברות כלולות</v>
      </c>
      <c r="C29" s="655"/>
      <c r="D29" s="655"/>
      <c r="E29" s="655"/>
      <c r="F29" s="655"/>
      <c r="G29" s="652">
        <f>SUM(C29:F29)</f>
        <v>0</v>
      </c>
    </row>
    <row r="30" spans="2:7" ht="14">
      <c r="B30" s="677" t="str">
        <f t="shared" si="0"/>
        <v>חייבים ויתרות חובה</v>
      </c>
      <c r="C30" s="655"/>
      <c r="D30" s="655"/>
      <c r="E30" s="655"/>
      <c r="F30" s="655"/>
      <c r="G30" s="652">
        <f>SUM(C30:F30)</f>
        <v>0</v>
      </c>
    </row>
    <row r="31" spans="2:7" ht="14">
      <c r="B31" s="677" t="str">
        <f t="shared" si="0"/>
        <v xml:space="preserve"> נכסי מסים נדחים</v>
      </c>
      <c r="C31" s="655"/>
      <c r="D31" s="655"/>
      <c r="E31" s="655"/>
      <c r="F31" s="655"/>
      <c r="G31" s="652">
        <f>SUM(C31:F31)</f>
        <v>0</v>
      </c>
    </row>
    <row r="32" spans="2:7" ht="14">
      <c r="B32" s="677" t="str">
        <f t="shared" si="0"/>
        <v xml:space="preserve"> השקעות פיננסיות אחרות</v>
      </c>
      <c r="C32" s="655"/>
      <c r="D32" s="655"/>
      <c r="E32" s="655"/>
      <c r="F32" s="655"/>
      <c r="G32" s="652">
        <f>SUM(C32:F32)</f>
        <v>0</v>
      </c>
    </row>
    <row r="33" spans="2:7" ht="14">
      <c r="B33" s="677" t="str">
        <f t="shared" si="0"/>
        <v xml:space="preserve"> מזומנים ושווי מזומנים</v>
      </c>
      <c r="C33" s="655"/>
      <c r="D33" s="655"/>
      <c r="E33" s="655"/>
      <c r="F33" s="655"/>
      <c r="G33" s="652">
        <f>SUM(C33:F33)</f>
        <v>0</v>
      </c>
    </row>
    <row r="34" spans="2:7" ht="14">
      <c r="B34" s="712" t="str">
        <f t="shared" si="0"/>
        <v>מכשרים חוץ מאזניים</v>
      </c>
      <c r="C34" s="652"/>
      <c r="D34" s="652"/>
      <c r="E34" s="652"/>
      <c r="F34" s="652"/>
      <c r="G34" s="652"/>
    </row>
    <row r="35" spans="2:7" ht="14">
      <c r="B35" s="677" t="str">
        <f t="shared" si="0"/>
        <v>ערבויות פיננסיות שניתנו</v>
      </c>
      <c r="C35" s="655"/>
      <c r="D35" s="655"/>
      <c r="E35" s="655"/>
      <c r="F35" s="655"/>
      <c r="G35" s="652">
        <f>SUM(C35:F35)</f>
        <v>0</v>
      </c>
    </row>
    <row r="36" spans="2:7" ht="14">
      <c r="B36" s="677" t="str">
        <f t="shared" si="0"/>
        <v>מסגרות אשראי בלתי מנוצלות</v>
      </c>
      <c r="C36" s="655"/>
      <c r="D36" s="655"/>
      <c r="E36" s="655"/>
      <c r="F36" s="655"/>
      <c r="G36" s="652">
        <f>SUM(C36:F36)</f>
        <v>0</v>
      </c>
    </row>
    <row r="37" spans="2:7" ht="28">
      <c r="B37" s="677" t="str">
        <f t="shared" si="0"/>
        <v>סה"כ חשיפת אשראי בגין ערבויות פיננסיות ומסגרות אשראי בלתי מנוצלות</v>
      </c>
      <c r="C37" s="652">
        <f>C35+C36</f>
        <v>0</v>
      </c>
      <c r="D37" s="652">
        <f>D35+D36</f>
        <v>0</v>
      </c>
      <c r="E37" s="652">
        <f>E35+E36</f>
        <v>0</v>
      </c>
      <c r="F37" s="652">
        <f>F35+F36</f>
        <v>0</v>
      </c>
      <c r="G37" s="652">
        <f>SUM(C37:F37)</f>
        <v>0</v>
      </c>
    </row>
  </sheetData>
  <sheetProtection password="EBB4" sheet="1" objects="1" scenarios="1" formatCells="0" formatColumns="0" formatRows="0"/>
  <mergeCells count="3">
    <mergeCell ref="E5:F5"/>
    <mergeCell ref="C7:G7"/>
    <mergeCell ref="C24:G24"/>
  </mergeCells>
  <conditionalFormatting sqref="C10:G10">
    <cfRule type="expression" dxfId="677" priority="8" stopIfTrue="1">
      <formula>AND(CELL("protect",C10)=1,CELL("type",C10)="v")</formula>
    </cfRule>
    <cfRule type="expression" dxfId="676" priority="9" stopIfTrue="1">
      <formula>CELL("protect",C10)</formula>
    </cfRule>
  </conditionalFormatting>
  <conditionalFormatting sqref="C11:G20">
    <cfRule type="expression" dxfId="675" priority="6" stopIfTrue="1">
      <formula>AND(CELL("protect",C11)=1,CELL("type",C11)="v")</formula>
    </cfRule>
    <cfRule type="expression" dxfId="674" priority="7" stopIfTrue="1">
      <formula>CELL("protect",C11)</formula>
    </cfRule>
  </conditionalFormatting>
  <conditionalFormatting sqref="C27:G27">
    <cfRule type="expression" dxfId="673" priority="4" stopIfTrue="1">
      <formula>AND(CELL("protect",C27)=1,CELL("type",C27)="v")</formula>
    </cfRule>
    <cfRule type="expression" dxfId="672" priority="5" stopIfTrue="1">
      <formula>CELL("protect",C27)</formula>
    </cfRule>
  </conditionalFormatting>
  <conditionalFormatting sqref="C28:G37">
    <cfRule type="expression" dxfId="671" priority="2" stopIfTrue="1">
      <formula>AND(CELL("protect",C28)=1,CELL("type",C28)="v")</formula>
    </cfRule>
    <cfRule type="expression" dxfId="670" priority="3" stopIfTrue="1">
      <formula>CELL("protect",C28)</formula>
    </cfRule>
  </conditionalFormatting>
  <hyperlinks>
    <hyperlink ref="D1" location="Information!A1" display="חזרה"/>
    <hyperlink ref="E5:F5" location="B27C3!A29" display="לשנה קודמת"/>
    <hyperlink ref="C3" location="Information!A60" display="Information!A60"/>
  </hyperlinks>
  <pageMargins left="0" right="0" top="0" bottom="0.51181102362204722" header="0" footer="0.23622047244094491"/>
  <pageSetup paperSize="9" scale="89"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E0081F52-8FCF-4A26-B71C-DDA86D7E2E83}">
            <xm:f>Information!$G$54&gt;0</xm:f>
            <x14:dxf>
              <font>
                <b/>
                <i val="0"/>
                <color theme="1"/>
              </font>
              <fill>
                <patternFill>
                  <bgColor rgb="FFFFFF00"/>
                </patternFill>
              </fill>
            </x14:dxf>
          </x14:cfRule>
          <xm:sqref>C3</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pageSetUpPr fitToPage="1"/>
  </sheetPr>
  <dimension ref="B1:R44"/>
  <sheetViews>
    <sheetView rightToLeft="1" workbookViewId="0"/>
  </sheetViews>
  <sheetFormatPr defaultColWidth="9.1796875" defaultRowHeight="12.5"/>
  <cols>
    <col min="1" max="1" width="4.54296875" style="529" customWidth="1"/>
    <col min="2" max="2" width="32"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hidden="1">
      <c r="C4" s="588"/>
      <c r="D4" s="588"/>
      <c r="E4" s="588"/>
      <c r="F4" s="588"/>
      <c r="G4" s="588"/>
      <c r="H4" s="588"/>
      <c r="I4" s="588"/>
      <c r="J4" s="588"/>
      <c r="K4" s="588"/>
      <c r="L4" s="588"/>
      <c r="M4" s="529" t="e">
        <f>INDEX($Q$4:$Q$4,N1)</f>
        <v>#N/A</v>
      </c>
      <c r="P4" s="529" t="s">
        <v>333</v>
      </c>
      <c r="Q4" s="529">
        <v>2012</v>
      </c>
      <c r="R4" s="529">
        <v>1</v>
      </c>
    </row>
    <row r="5" spans="2:18" ht="15.5">
      <c r="B5" s="901"/>
      <c r="C5" s="663"/>
      <c r="D5" s="663"/>
      <c r="E5" s="1881" t="s">
        <v>1369</v>
      </c>
      <c r="F5" s="1881"/>
      <c r="G5" s="663"/>
      <c r="H5" s="22"/>
    </row>
    <row r="6" spans="2:18" ht="15.5">
      <c r="B6" s="711" t="str">
        <f>Information!$F$48</f>
        <v>באור27ו2' - סיכוני אשראי - נכסי חוב בחו"ל לפי דרוגים</v>
      </c>
      <c r="C6" s="663"/>
      <c r="D6" s="663"/>
      <c r="E6" s="663"/>
      <c r="F6" s="663"/>
      <c r="G6" s="663"/>
    </row>
    <row r="7" spans="2:18" ht="14">
      <c r="B7" s="902"/>
      <c r="C7" s="1886" t="s">
        <v>1576</v>
      </c>
      <c r="D7" s="1886"/>
      <c r="E7" s="1886"/>
      <c r="F7" s="1886"/>
      <c r="G7" s="1887"/>
    </row>
    <row r="8" spans="2:18" ht="15.5">
      <c r="B8" s="903"/>
      <c r="C8" s="904" t="s">
        <v>1430</v>
      </c>
      <c r="D8" s="904" t="s">
        <v>1102</v>
      </c>
      <c r="E8" s="904" t="s">
        <v>1422</v>
      </c>
      <c r="F8" s="618" t="s">
        <v>1104</v>
      </c>
      <c r="G8" s="905" t="s">
        <v>272</v>
      </c>
    </row>
    <row r="9" spans="2:18" ht="15.5">
      <c r="B9" s="906"/>
      <c r="C9" s="868" t="s">
        <v>29</v>
      </c>
      <c r="D9" s="868" t="s">
        <v>41</v>
      </c>
      <c r="E9" s="868" t="s">
        <v>63</v>
      </c>
      <c r="F9" s="868" t="s">
        <v>65</v>
      </c>
      <c r="G9" s="869" t="s">
        <v>86</v>
      </c>
    </row>
    <row r="10" spans="2:18" ht="15.5">
      <c r="B10" s="907" t="str">
        <f>Date1</f>
        <v>31.12.2021</v>
      </c>
      <c r="C10" s="652"/>
      <c r="D10" s="652"/>
      <c r="E10" s="652"/>
      <c r="F10" s="652"/>
      <c r="G10" s="652"/>
    </row>
    <row r="11" spans="2:18" ht="15.5">
      <c r="B11" s="908" t="s">
        <v>1416</v>
      </c>
      <c r="C11" s="652"/>
      <c r="D11" s="652"/>
      <c r="E11" s="652"/>
      <c r="F11" s="652"/>
      <c r="G11" s="652"/>
    </row>
    <row r="12" spans="2:18" ht="14">
      <c r="B12" s="670" t="s">
        <v>1042</v>
      </c>
      <c r="C12" s="652"/>
      <c r="D12" s="652"/>
      <c r="E12" s="652"/>
      <c r="F12" s="652"/>
      <c r="G12" s="652"/>
    </row>
    <row r="13" spans="2:18" ht="14">
      <c r="B13" s="870" t="s">
        <v>1045</v>
      </c>
      <c r="C13" s="655"/>
      <c r="D13" s="655"/>
      <c r="E13" s="655"/>
      <c r="F13" s="655"/>
      <c r="G13" s="652">
        <f>SUM(C13:F13)</f>
        <v>0</v>
      </c>
    </row>
    <row r="14" spans="2:18" ht="14">
      <c r="B14" s="870" t="s">
        <v>1423</v>
      </c>
      <c r="C14" s="655"/>
      <c r="D14" s="655"/>
      <c r="E14" s="655"/>
      <c r="F14" s="655"/>
      <c r="G14" s="652">
        <f>SUM(C14:F14)</f>
        <v>0</v>
      </c>
    </row>
    <row r="15" spans="2:18" ht="14">
      <c r="B15" s="870" t="s">
        <v>1424</v>
      </c>
      <c r="C15" s="655"/>
      <c r="D15" s="655"/>
      <c r="E15" s="655"/>
      <c r="F15" s="655"/>
      <c r="G15" s="652">
        <f>SUM(C15:F15)</f>
        <v>0</v>
      </c>
    </row>
    <row r="16" spans="2:18" ht="14">
      <c r="B16" s="670" t="s">
        <v>2722</v>
      </c>
      <c r="C16" s="652">
        <f>SUM(C13:C15)</f>
        <v>0</v>
      </c>
      <c r="D16" s="652">
        <f>SUM(D13:D15)</f>
        <v>0</v>
      </c>
      <c r="E16" s="652">
        <f>SUM(E13:E15)</f>
        <v>0</v>
      </c>
      <c r="F16" s="652">
        <f>SUM(F13:F15)</f>
        <v>0</v>
      </c>
      <c r="G16" s="652">
        <f>SUM(C16:F16)</f>
        <v>0</v>
      </c>
    </row>
    <row r="17" spans="2:7" ht="14">
      <c r="B17" s="670" t="s">
        <v>816</v>
      </c>
      <c r="C17" s="652"/>
      <c r="D17" s="652"/>
      <c r="E17" s="652"/>
      <c r="F17" s="652"/>
      <c r="G17" s="652"/>
    </row>
    <row r="18" spans="2:7" ht="14">
      <c r="B18" s="910" t="s">
        <v>1045</v>
      </c>
      <c r="C18" s="655"/>
      <c r="D18" s="655"/>
      <c r="E18" s="655"/>
      <c r="F18" s="655"/>
      <c r="G18" s="652">
        <f t="shared" ref="G18:G24" si="0">SUM(C18:F18)</f>
        <v>0</v>
      </c>
    </row>
    <row r="19" spans="2:7" ht="14">
      <c r="B19" s="910" t="s">
        <v>1423</v>
      </c>
      <c r="C19" s="655"/>
      <c r="D19" s="655"/>
      <c r="E19" s="655"/>
      <c r="F19" s="655"/>
      <c r="G19" s="652">
        <f t="shared" si="0"/>
        <v>0</v>
      </c>
    </row>
    <row r="20" spans="2:7" ht="14">
      <c r="B20" s="910" t="s">
        <v>1426</v>
      </c>
      <c r="C20" s="655"/>
      <c r="D20" s="655"/>
      <c r="E20" s="655"/>
      <c r="F20" s="655"/>
      <c r="G20" s="652">
        <f t="shared" si="0"/>
        <v>0</v>
      </c>
    </row>
    <row r="21" spans="2:7" ht="14">
      <c r="B21" s="910" t="s">
        <v>1424</v>
      </c>
      <c r="C21" s="655"/>
      <c r="D21" s="655"/>
      <c r="E21" s="655"/>
      <c r="F21" s="655"/>
      <c r="G21" s="652">
        <f t="shared" si="0"/>
        <v>0</v>
      </c>
    </row>
    <row r="22" spans="2:7" ht="14">
      <c r="B22" s="670" t="s">
        <v>1431</v>
      </c>
      <c r="C22" s="652">
        <f>SUM(C18:C21)</f>
        <v>0</v>
      </c>
      <c r="D22" s="652">
        <f>SUM(D18:D21)</f>
        <v>0</v>
      </c>
      <c r="E22" s="652">
        <f>SUM(E18:E21)</f>
        <v>0</v>
      </c>
      <c r="F22" s="652">
        <f>SUM(F18:F21)</f>
        <v>0</v>
      </c>
      <c r="G22" s="652">
        <f t="shared" si="0"/>
        <v>0</v>
      </c>
    </row>
    <row r="23" spans="2:7" ht="14">
      <c r="B23" s="670" t="s">
        <v>1432</v>
      </c>
      <c r="C23" s="652">
        <f>SUM(C16,C22)</f>
        <v>0</v>
      </c>
      <c r="D23" s="652">
        <f>SUM(D16,D22)</f>
        <v>0</v>
      </c>
      <c r="E23" s="652">
        <f>SUM(E16,E22)</f>
        <v>0</v>
      </c>
      <c r="F23" s="652">
        <f>SUM(F16,F22)</f>
        <v>0</v>
      </c>
      <c r="G23" s="652">
        <f t="shared" si="0"/>
        <v>0</v>
      </c>
    </row>
    <row r="24" spans="2:7" ht="15.5">
      <c r="B24" s="909" t="s">
        <v>1429</v>
      </c>
      <c r="C24" s="655"/>
      <c r="D24" s="655"/>
      <c r="E24" s="655"/>
      <c r="F24" s="655"/>
      <c r="G24" s="652">
        <f t="shared" si="0"/>
        <v>0</v>
      </c>
    </row>
    <row r="25" spans="2:7" ht="13">
      <c r="B25" s="22"/>
      <c r="C25" s="22"/>
      <c r="D25" s="22"/>
      <c r="E25" s="22"/>
      <c r="F25" s="22"/>
      <c r="G25" s="22"/>
    </row>
    <row r="26" spans="2:7" ht="13">
      <c r="B26" s="22"/>
      <c r="C26" s="22"/>
      <c r="D26" s="22"/>
      <c r="E26" s="22"/>
      <c r="F26" s="22"/>
      <c r="G26" s="22"/>
    </row>
    <row r="27" spans="2:7" ht="14">
      <c r="B27" s="902"/>
      <c r="C27" s="1886" t="str">
        <f>C7</f>
        <v>דירוג בינלאומי</v>
      </c>
      <c r="D27" s="1886"/>
      <c r="E27" s="1886"/>
      <c r="F27" s="1886"/>
      <c r="G27" s="1887"/>
    </row>
    <row r="28" spans="2:7" ht="15.5">
      <c r="B28" s="903"/>
      <c r="C28" s="904" t="str">
        <f>C8</f>
        <v>A ומעלה</v>
      </c>
      <c r="D28" s="904" t="str">
        <f>D8</f>
        <v>BBB</v>
      </c>
      <c r="E28" s="904" t="str">
        <f>E8</f>
        <v>נמוך מ-BBB</v>
      </c>
      <c r="F28" s="618" t="str">
        <f>F8</f>
        <v>לא מדורג</v>
      </c>
      <c r="G28" s="905" t="str">
        <f>G8</f>
        <v>סה"כ</v>
      </c>
    </row>
    <row r="29" spans="2:7" ht="14">
      <c r="B29" s="782"/>
      <c r="C29" s="868" t="s">
        <v>29</v>
      </c>
      <c r="D29" s="868" t="s">
        <v>41</v>
      </c>
      <c r="E29" s="868" t="s">
        <v>63</v>
      </c>
      <c r="F29" s="868" t="s">
        <v>65</v>
      </c>
      <c r="G29" s="869" t="s">
        <v>86</v>
      </c>
    </row>
    <row r="30" spans="2:7" ht="15.5">
      <c r="B30" s="907" t="str">
        <f>Date3</f>
        <v>31.12.2020</v>
      </c>
      <c r="C30" s="652"/>
      <c r="D30" s="652"/>
      <c r="E30" s="652"/>
      <c r="F30" s="652"/>
      <c r="G30" s="652"/>
    </row>
    <row r="31" spans="2:7" ht="15.5">
      <c r="B31" s="908" t="str">
        <f t="shared" ref="B31:B44" si="1">B11</f>
        <v>נכסי חוב בחו"ל</v>
      </c>
      <c r="C31" s="652"/>
      <c r="D31" s="652"/>
      <c r="E31" s="652"/>
      <c r="F31" s="652"/>
      <c r="G31" s="652"/>
    </row>
    <row r="32" spans="2:7" ht="14">
      <c r="B32" s="670" t="str">
        <f t="shared" si="1"/>
        <v>נכסי חוב סחירים</v>
      </c>
      <c r="C32" s="652"/>
      <c r="D32" s="652"/>
      <c r="E32" s="652"/>
      <c r="F32" s="652"/>
      <c r="G32" s="652"/>
    </row>
    <row r="33" spans="2:7" ht="14">
      <c r="B33" s="870" t="str">
        <f t="shared" si="1"/>
        <v>אגרות חוב ממשלתיות</v>
      </c>
      <c r="C33" s="655"/>
      <c r="D33" s="655"/>
      <c r="E33" s="655"/>
      <c r="F33" s="655"/>
      <c r="G33" s="652">
        <f>SUM(C33:F33)</f>
        <v>0</v>
      </c>
    </row>
    <row r="34" spans="2:7" ht="14">
      <c r="B34" s="870" t="str">
        <f t="shared" si="1"/>
        <v>אגרות חוב קונצרניות</v>
      </c>
      <c r="C34" s="655"/>
      <c r="D34" s="655"/>
      <c r="E34" s="655"/>
      <c r="F34" s="655"/>
      <c r="G34" s="652">
        <f>SUM(C34:F34)</f>
        <v>0</v>
      </c>
    </row>
    <row r="35" spans="2:7" ht="14">
      <c r="B35" s="870" t="str">
        <f t="shared" si="1"/>
        <v>נכסי חוב אחרים</v>
      </c>
      <c r="C35" s="655"/>
      <c r="D35" s="655"/>
      <c r="E35" s="655"/>
      <c r="F35" s="655"/>
      <c r="G35" s="652">
        <f>SUM(C35:F35)</f>
        <v>0</v>
      </c>
    </row>
    <row r="36" spans="2:7" ht="14">
      <c r="B36" s="670" t="str">
        <f t="shared" si="1"/>
        <v>סך הכל נכסי חוב סחירים בחו"ל</v>
      </c>
      <c r="C36" s="652">
        <f>SUM(C33:C35)</f>
        <v>0</v>
      </c>
      <c r="D36" s="652">
        <f>SUM(D33:D35)</f>
        <v>0</v>
      </c>
      <c r="E36" s="652">
        <f>SUM(E33:E35)</f>
        <v>0</v>
      </c>
      <c r="F36" s="652">
        <f>SUM(F33:F35)</f>
        <v>0</v>
      </c>
      <c r="G36" s="652">
        <f>SUM(C36:F36)</f>
        <v>0</v>
      </c>
    </row>
    <row r="37" spans="2:7" ht="14">
      <c r="B37" s="670" t="str">
        <f t="shared" si="1"/>
        <v>נכסי חוב שאינם סחירים</v>
      </c>
      <c r="C37" s="652"/>
      <c r="D37" s="652"/>
      <c r="E37" s="652"/>
      <c r="F37" s="652"/>
      <c r="G37" s="652"/>
    </row>
    <row r="38" spans="2:7" ht="14">
      <c r="B38" s="910" t="str">
        <f t="shared" si="1"/>
        <v>אגרות חוב ממשלתיות</v>
      </c>
      <c r="C38" s="655"/>
      <c r="D38" s="655"/>
      <c r="E38" s="655"/>
      <c r="F38" s="655"/>
      <c r="G38" s="652">
        <f t="shared" ref="G38:G44" si="2">SUM(C38:F38)</f>
        <v>0</v>
      </c>
    </row>
    <row r="39" spans="2:7" ht="14">
      <c r="B39" s="910" t="str">
        <f t="shared" si="1"/>
        <v>אגרות חוב קונצרניות</v>
      </c>
      <c r="C39" s="655"/>
      <c r="D39" s="655"/>
      <c r="E39" s="655"/>
      <c r="F39" s="655"/>
      <c r="G39" s="652">
        <f t="shared" si="2"/>
        <v>0</v>
      </c>
    </row>
    <row r="40" spans="2:7" ht="14">
      <c r="B40" s="910" t="str">
        <f t="shared" si="1"/>
        <v>פיקדונות בבנקים ובמוסדות פיננסיים</v>
      </c>
      <c r="C40" s="655"/>
      <c r="D40" s="655"/>
      <c r="E40" s="655"/>
      <c r="F40" s="655"/>
      <c r="G40" s="652">
        <f t="shared" si="2"/>
        <v>0</v>
      </c>
    </row>
    <row r="41" spans="2:7" ht="14">
      <c r="B41" s="910" t="str">
        <f t="shared" si="1"/>
        <v>נכסי חוב אחרים</v>
      </c>
      <c r="C41" s="655"/>
      <c r="D41" s="655"/>
      <c r="E41" s="655"/>
      <c r="F41" s="655"/>
      <c r="G41" s="652">
        <f t="shared" si="2"/>
        <v>0</v>
      </c>
    </row>
    <row r="42" spans="2:7" ht="14">
      <c r="B42" s="670" t="str">
        <f t="shared" si="1"/>
        <v>סך הכל נכסי חוב שאינם סחירים בחו"ל</v>
      </c>
      <c r="C42" s="652">
        <f>SUM(C38:C41)</f>
        <v>0</v>
      </c>
      <c r="D42" s="652">
        <f>SUM(D38:D41)</f>
        <v>0</v>
      </c>
      <c r="E42" s="652">
        <f>SUM(E38:E41)</f>
        <v>0</v>
      </c>
      <c r="F42" s="652">
        <f>SUM(F38:F41)</f>
        <v>0</v>
      </c>
      <c r="G42" s="652">
        <f t="shared" si="2"/>
        <v>0</v>
      </c>
    </row>
    <row r="43" spans="2:7" ht="14">
      <c r="B43" s="670" t="str">
        <f t="shared" si="1"/>
        <v>סך הכל נכסי חוב בחו"ל</v>
      </c>
      <c r="C43" s="652">
        <f>SUM(C36,C42)</f>
        <v>0</v>
      </c>
      <c r="D43" s="652">
        <f>SUM(D36,D42)</f>
        <v>0</v>
      </c>
      <c r="E43" s="652">
        <f>SUM(E36,E42)</f>
        <v>0</v>
      </c>
      <c r="F43" s="652">
        <f>SUM(F36,F42)</f>
        <v>0</v>
      </c>
      <c r="G43" s="652">
        <f t="shared" si="2"/>
        <v>0</v>
      </c>
    </row>
    <row r="44" spans="2:7" ht="15.5">
      <c r="B44" s="909" t="str">
        <f t="shared" si="1"/>
        <v>מזה- נכסי חוב בדירוג פנימי</v>
      </c>
      <c r="C44" s="655"/>
      <c r="D44" s="655"/>
      <c r="E44" s="655"/>
      <c r="F44" s="655"/>
      <c r="G44" s="652">
        <f t="shared" si="2"/>
        <v>0</v>
      </c>
    </row>
  </sheetData>
  <sheetProtection password="C033" sheet="1" objects="1" scenarios="1" formatCells="0" formatColumns="0" formatRows="0"/>
  <mergeCells count="3">
    <mergeCell ref="E5:F5"/>
    <mergeCell ref="C7:G7"/>
    <mergeCell ref="C27:G27"/>
  </mergeCells>
  <conditionalFormatting sqref="C10:G24 C30:G44">
    <cfRule type="expression" dxfId="668" priority="2" stopIfTrue="1">
      <formula>AND(CELL("protect",C10)=1,CELL("type",C10)="v")</formula>
    </cfRule>
    <cfRule type="expression" dxfId="667" priority="3" stopIfTrue="1">
      <formula>CELL("protect",C10)</formula>
    </cfRule>
  </conditionalFormatting>
  <hyperlinks>
    <hyperlink ref="D1" location="Information!A1" display="חזרה"/>
    <hyperlink ref="E5:F5" location="B27C2!A33" display="לשנה קודמת"/>
    <hyperlink ref="C3" location="Information!A60" display="Information!A60"/>
  </hyperlinks>
  <pageMargins left="0" right="0" top="0" bottom="0.51181102362204722" header="0" footer="0.23622047244094491"/>
  <pageSetup paperSize="9" scale="93"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6C863F28-9A13-440A-BDB9-5874FA74EAED}">
            <xm:f>Information!$G$54&gt;0</xm:f>
            <x14:dxf>
              <font>
                <b/>
                <i val="0"/>
                <color theme="1"/>
              </font>
              <fill>
                <patternFill>
                  <bgColor rgb="FFFFFF00"/>
                </patternFill>
              </fill>
            </x14:dxf>
          </x14:cfRule>
          <xm:sqref>C3</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pageSetUpPr fitToPage="1"/>
  </sheetPr>
  <dimension ref="B1:R44"/>
  <sheetViews>
    <sheetView rightToLeft="1" workbookViewId="0"/>
  </sheetViews>
  <sheetFormatPr defaultColWidth="9.1796875" defaultRowHeight="12.5"/>
  <cols>
    <col min="1" max="1" width="4.54296875" style="529" customWidth="1"/>
    <col min="2" max="2" width="32"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hidden="1">
      <c r="C4" s="588"/>
      <c r="D4" s="588"/>
      <c r="E4" s="588"/>
      <c r="F4" s="588"/>
      <c r="G4" s="588"/>
      <c r="H4" s="588"/>
      <c r="I4" s="588"/>
      <c r="J4" s="588"/>
      <c r="K4" s="588"/>
      <c r="L4" s="588"/>
      <c r="M4" s="529" t="e">
        <f>INDEX($Q$4:$Q$4,N1)</f>
        <v>#N/A</v>
      </c>
      <c r="P4" s="529" t="s">
        <v>333</v>
      </c>
      <c r="Q4" s="529">
        <v>2012</v>
      </c>
      <c r="R4" s="529">
        <v>1</v>
      </c>
    </row>
    <row r="5" spans="2:18" ht="15.5">
      <c r="B5" s="901"/>
      <c r="C5" s="663"/>
      <c r="D5" s="663"/>
      <c r="E5" s="1881" t="s">
        <v>1369</v>
      </c>
      <c r="F5" s="1881"/>
      <c r="G5" s="663"/>
      <c r="H5" s="22"/>
    </row>
    <row r="6" spans="2:18" ht="15.5">
      <c r="B6" s="711" t="str">
        <f>Information!$F$47</f>
        <v>באור27ו1' - סיכוני אשראי - נכסי חוב בארץ לפי דרוגים</v>
      </c>
      <c r="C6" s="663"/>
      <c r="D6" s="663"/>
      <c r="E6" s="663"/>
      <c r="F6" s="663"/>
      <c r="G6" s="663"/>
    </row>
    <row r="7" spans="2:18" ht="14">
      <c r="B7" s="902"/>
      <c r="C7" s="1886" t="s">
        <v>1419</v>
      </c>
      <c r="D7" s="1886"/>
      <c r="E7" s="1886"/>
      <c r="F7" s="1886"/>
      <c r="G7" s="1887"/>
    </row>
    <row r="8" spans="2:18" ht="15.5">
      <c r="B8" s="903"/>
      <c r="C8" s="904" t="s">
        <v>1420</v>
      </c>
      <c r="D8" s="904" t="s">
        <v>1575</v>
      </c>
      <c r="E8" s="904" t="s">
        <v>1422</v>
      </c>
      <c r="F8" s="618" t="s">
        <v>1104</v>
      </c>
      <c r="G8" s="905" t="s">
        <v>272</v>
      </c>
    </row>
    <row r="9" spans="2:18" ht="15.5">
      <c r="B9" s="906"/>
      <c r="C9" s="868" t="s">
        <v>29</v>
      </c>
      <c r="D9" s="868" t="s">
        <v>41</v>
      </c>
      <c r="E9" s="868" t="s">
        <v>63</v>
      </c>
      <c r="F9" s="868" t="s">
        <v>65</v>
      </c>
      <c r="G9" s="869" t="s">
        <v>86</v>
      </c>
    </row>
    <row r="10" spans="2:18" ht="15.5">
      <c r="B10" s="907" t="str">
        <f>Date1</f>
        <v>31.12.2021</v>
      </c>
      <c r="C10" s="652"/>
      <c r="D10" s="652"/>
      <c r="E10" s="652"/>
      <c r="F10" s="652"/>
      <c r="G10" s="652"/>
    </row>
    <row r="11" spans="2:18" ht="15.5">
      <c r="B11" s="908" t="s">
        <v>1415</v>
      </c>
      <c r="C11" s="652"/>
      <c r="D11" s="652"/>
      <c r="E11" s="652"/>
      <c r="F11" s="652"/>
      <c r="G11" s="652"/>
    </row>
    <row r="12" spans="2:18" ht="14">
      <c r="B12" s="670" t="s">
        <v>1042</v>
      </c>
      <c r="C12" s="652"/>
      <c r="D12" s="652"/>
      <c r="E12" s="652"/>
      <c r="F12" s="652"/>
      <c r="G12" s="652"/>
    </row>
    <row r="13" spans="2:18" ht="14">
      <c r="B13" s="870" t="s">
        <v>1045</v>
      </c>
      <c r="C13" s="655"/>
      <c r="D13" s="655"/>
      <c r="E13" s="655"/>
      <c r="F13" s="655"/>
      <c r="G13" s="652">
        <f>SUM(C13:F13)</f>
        <v>0</v>
      </c>
    </row>
    <row r="14" spans="2:18" ht="14">
      <c r="B14" s="870" t="s">
        <v>1423</v>
      </c>
      <c r="C14" s="655"/>
      <c r="D14" s="655"/>
      <c r="E14" s="655"/>
      <c r="F14" s="655"/>
      <c r="G14" s="652">
        <f>SUM(C14:F14)</f>
        <v>0</v>
      </c>
    </row>
    <row r="15" spans="2:18" ht="14">
      <c r="B15" s="870" t="s">
        <v>1424</v>
      </c>
      <c r="C15" s="655"/>
      <c r="D15" s="655"/>
      <c r="E15" s="655"/>
      <c r="F15" s="655"/>
      <c r="G15" s="652">
        <f>SUM(C15:F15)</f>
        <v>0</v>
      </c>
    </row>
    <row r="16" spans="2:18" ht="14">
      <c r="B16" s="670" t="s">
        <v>1425</v>
      </c>
      <c r="C16" s="652">
        <f>SUM(C13:C15)</f>
        <v>0</v>
      </c>
      <c r="D16" s="652">
        <f>SUM(D13:D15)</f>
        <v>0</v>
      </c>
      <c r="E16" s="652">
        <f>SUM(E13:E15)</f>
        <v>0</v>
      </c>
      <c r="F16" s="652">
        <f>SUM(F13:F15)</f>
        <v>0</v>
      </c>
      <c r="G16" s="652">
        <f>SUM(C16:F16)</f>
        <v>0</v>
      </c>
    </row>
    <row r="17" spans="2:7" ht="14">
      <c r="B17" s="670" t="s">
        <v>816</v>
      </c>
      <c r="C17" s="652"/>
      <c r="D17" s="652"/>
      <c r="E17" s="652"/>
      <c r="F17" s="652"/>
      <c r="G17" s="652"/>
    </row>
    <row r="18" spans="2:7" ht="14">
      <c r="B18" s="910" t="s">
        <v>1045</v>
      </c>
      <c r="C18" s="655"/>
      <c r="D18" s="655"/>
      <c r="E18" s="655"/>
      <c r="F18" s="655"/>
      <c r="G18" s="652">
        <f t="shared" ref="G18:G24" si="0">SUM(C18:F18)</f>
        <v>0</v>
      </c>
    </row>
    <row r="19" spans="2:7" ht="14">
      <c r="B19" s="910" t="s">
        <v>1423</v>
      </c>
      <c r="C19" s="655"/>
      <c r="D19" s="655"/>
      <c r="E19" s="655"/>
      <c r="F19" s="655"/>
      <c r="G19" s="652">
        <f t="shared" si="0"/>
        <v>0</v>
      </c>
    </row>
    <row r="20" spans="2:7" ht="14">
      <c r="B20" s="910" t="s">
        <v>1426</v>
      </c>
      <c r="C20" s="655"/>
      <c r="D20" s="655"/>
      <c r="E20" s="655"/>
      <c r="F20" s="655"/>
      <c r="G20" s="652">
        <f t="shared" si="0"/>
        <v>0</v>
      </c>
    </row>
    <row r="21" spans="2:7" ht="14">
      <c r="B21" s="910" t="s">
        <v>1424</v>
      </c>
      <c r="C21" s="655"/>
      <c r="D21" s="655"/>
      <c r="E21" s="655"/>
      <c r="F21" s="655"/>
      <c r="G21" s="652">
        <f t="shared" si="0"/>
        <v>0</v>
      </c>
    </row>
    <row r="22" spans="2:7" ht="14">
      <c r="B22" s="670" t="s">
        <v>1427</v>
      </c>
      <c r="C22" s="652">
        <f>SUM(C18:C21)</f>
        <v>0</v>
      </c>
      <c r="D22" s="652">
        <f>SUM(D18:D21)</f>
        <v>0</v>
      </c>
      <c r="E22" s="652">
        <f>SUM(E18:E21)</f>
        <v>0</v>
      </c>
      <c r="F22" s="652">
        <f>SUM(F18:F21)</f>
        <v>0</v>
      </c>
      <c r="G22" s="652">
        <f t="shared" si="0"/>
        <v>0</v>
      </c>
    </row>
    <row r="23" spans="2:7" ht="14">
      <c r="B23" s="670" t="s">
        <v>1428</v>
      </c>
      <c r="C23" s="652">
        <f>SUM(C16,C22)</f>
        <v>0</v>
      </c>
      <c r="D23" s="652">
        <f>SUM(D16,D22)</f>
        <v>0</v>
      </c>
      <c r="E23" s="652">
        <f>SUM(E16,E22)</f>
        <v>0</v>
      </c>
      <c r="F23" s="652">
        <f>SUM(F16,F22)</f>
        <v>0</v>
      </c>
      <c r="G23" s="652">
        <f t="shared" si="0"/>
        <v>0</v>
      </c>
    </row>
    <row r="24" spans="2:7" ht="15.5">
      <c r="B24" s="909" t="s">
        <v>1429</v>
      </c>
      <c r="C24" s="655"/>
      <c r="D24" s="655"/>
      <c r="E24" s="655"/>
      <c r="F24" s="655"/>
      <c r="G24" s="652">
        <f t="shared" si="0"/>
        <v>0</v>
      </c>
    </row>
    <row r="25" spans="2:7" ht="13">
      <c r="B25" s="22"/>
      <c r="C25" s="22"/>
      <c r="D25" s="22"/>
      <c r="E25" s="22"/>
      <c r="F25" s="22"/>
      <c r="G25" s="22"/>
    </row>
    <row r="26" spans="2:7" ht="13">
      <c r="B26" s="22"/>
      <c r="C26" s="22"/>
      <c r="D26" s="22"/>
      <c r="E26" s="22"/>
      <c r="F26" s="22"/>
      <c r="G26" s="22"/>
    </row>
    <row r="27" spans="2:7" ht="14">
      <c r="B27" s="902"/>
      <c r="C27" s="1886" t="s">
        <v>1419</v>
      </c>
      <c r="D27" s="1886"/>
      <c r="E27" s="1886"/>
      <c r="F27" s="1886"/>
      <c r="G27" s="1887"/>
    </row>
    <row r="28" spans="2:7" ht="15.5">
      <c r="B28" s="903"/>
      <c r="C28" s="904" t="str">
        <f>C8</f>
        <v>AA ומעלה</v>
      </c>
      <c r="D28" s="904" t="str">
        <f>D8</f>
        <v>BBB עד A</v>
      </c>
      <c r="E28" s="904" t="str">
        <f>E8</f>
        <v>נמוך מ-BBB</v>
      </c>
      <c r="F28" s="618" t="str">
        <f>F8</f>
        <v>לא מדורג</v>
      </c>
      <c r="G28" s="905" t="str">
        <f>G8</f>
        <v>סה"כ</v>
      </c>
    </row>
    <row r="29" spans="2:7" ht="14">
      <c r="B29" s="782"/>
      <c r="C29" s="868" t="s">
        <v>29</v>
      </c>
      <c r="D29" s="868" t="s">
        <v>41</v>
      </c>
      <c r="E29" s="868" t="s">
        <v>63</v>
      </c>
      <c r="F29" s="868" t="s">
        <v>65</v>
      </c>
      <c r="G29" s="869" t="s">
        <v>86</v>
      </c>
    </row>
    <row r="30" spans="2:7" ht="15.5">
      <c r="B30" s="907" t="str">
        <f>Date3</f>
        <v>31.12.2020</v>
      </c>
      <c r="C30" s="652"/>
      <c r="D30" s="652"/>
      <c r="E30" s="652"/>
      <c r="F30" s="652"/>
      <c r="G30" s="652"/>
    </row>
    <row r="31" spans="2:7" ht="15.5">
      <c r="B31" s="908" t="str">
        <f t="shared" ref="B31:B44" si="1">B11</f>
        <v>נכסי חוב בארץ</v>
      </c>
      <c r="C31" s="652"/>
      <c r="D31" s="652"/>
      <c r="E31" s="652"/>
      <c r="F31" s="652"/>
      <c r="G31" s="652"/>
    </row>
    <row r="32" spans="2:7" ht="14">
      <c r="B32" s="670" t="str">
        <f t="shared" si="1"/>
        <v>נכסי חוב סחירים</v>
      </c>
      <c r="C32" s="652"/>
      <c r="D32" s="652"/>
      <c r="E32" s="652"/>
      <c r="F32" s="652"/>
      <c r="G32" s="652"/>
    </row>
    <row r="33" spans="2:7" ht="14">
      <c r="B33" s="870" t="str">
        <f t="shared" si="1"/>
        <v>אגרות חוב ממשלתיות</v>
      </c>
      <c r="C33" s="655"/>
      <c r="D33" s="655"/>
      <c r="E33" s="655"/>
      <c r="F33" s="655"/>
      <c r="G33" s="652">
        <f>SUM(C33:F33)</f>
        <v>0</v>
      </c>
    </row>
    <row r="34" spans="2:7" ht="14">
      <c r="B34" s="870" t="str">
        <f t="shared" si="1"/>
        <v>אגרות חוב קונצרניות</v>
      </c>
      <c r="C34" s="655"/>
      <c r="D34" s="655"/>
      <c r="E34" s="655"/>
      <c r="F34" s="655"/>
      <c r="G34" s="652">
        <f>SUM(C34:F34)</f>
        <v>0</v>
      </c>
    </row>
    <row r="35" spans="2:7" ht="14">
      <c r="B35" s="870" t="str">
        <f t="shared" si="1"/>
        <v>נכסי חוב אחרים</v>
      </c>
      <c r="C35" s="655"/>
      <c r="D35" s="655"/>
      <c r="E35" s="655"/>
      <c r="F35" s="655"/>
      <c r="G35" s="652">
        <f>SUM(C35:F35)</f>
        <v>0</v>
      </c>
    </row>
    <row r="36" spans="2:7" ht="14">
      <c r="B36" s="670" t="str">
        <f t="shared" si="1"/>
        <v>סך הכל נכסי חוב סחירים בארץ</v>
      </c>
      <c r="C36" s="652">
        <f>SUM(C33:C35)</f>
        <v>0</v>
      </c>
      <c r="D36" s="652">
        <f>SUM(D33:D35)</f>
        <v>0</v>
      </c>
      <c r="E36" s="652">
        <f>SUM(E33:E35)</f>
        <v>0</v>
      </c>
      <c r="F36" s="652">
        <f>SUM(F33:F35)</f>
        <v>0</v>
      </c>
      <c r="G36" s="652">
        <f>SUM(C36:F36)</f>
        <v>0</v>
      </c>
    </row>
    <row r="37" spans="2:7" ht="14">
      <c r="B37" s="670" t="str">
        <f t="shared" si="1"/>
        <v>נכסי חוב שאינם סחירים</v>
      </c>
      <c r="C37" s="652"/>
      <c r="D37" s="652"/>
      <c r="E37" s="652"/>
      <c r="F37" s="652"/>
      <c r="G37" s="652"/>
    </row>
    <row r="38" spans="2:7" ht="14">
      <c r="B38" s="910" t="str">
        <f t="shared" si="1"/>
        <v>אגרות חוב ממשלתיות</v>
      </c>
      <c r="C38" s="655"/>
      <c r="D38" s="655"/>
      <c r="E38" s="655"/>
      <c r="F38" s="655"/>
      <c r="G38" s="652">
        <f t="shared" ref="G38:G44" si="2">SUM(C38:F38)</f>
        <v>0</v>
      </c>
    </row>
    <row r="39" spans="2:7" ht="14">
      <c r="B39" s="910" t="str">
        <f t="shared" si="1"/>
        <v>אגרות חוב קונצרניות</v>
      </c>
      <c r="C39" s="655"/>
      <c r="D39" s="655"/>
      <c r="E39" s="655"/>
      <c r="F39" s="655"/>
      <c r="G39" s="652">
        <f t="shared" si="2"/>
        <v>0</v>
      </c>
    </row>
    <row r="40" spans="2:7" ht="14">
      <c r="B40" s="910" t="str">
        <f t="shared" si="1"/>
        <v>פיקדונות בבנקים ובמוסדות פיננסיים</v>
      </c>
      <c r="C40" s="655"/>
      <c r="D40" s="655"/>
      <c r="E40" s="655"/>
      <c r="F40" s="655"/>
      <c r="G40" s="652">
        <f t="shared" si="2"/>
        <v>0</v>
      </c>
    </row>
    <row r="41" spans="2:7" ht="14">
      <c r="B41" s="910" t="str">
        <f t="shared" si="1"/>
        <v>נכסי חוב אחרים</v>
      </c>
      <c r="C41" s="655"/>
      <c r="D41" s="655"/>
      <c r="E41" s="655"/>
      <c r="F41" s="655"/>
      <c r="G41" s="652">
        <f t="shared" si="2"/>
        <v>0</v>
      </c>
    </row>
    <row r="42" spans="2:7" ht="14">
      <c r="B42" s="670" t="str">
        <f t="shared" si="1"/>
        <v>סך הכל נכסי חוב שאינם סחירים בארץ</v>
      </c>
      <c r="C42" s="652">
        <f>SUM(C38:C41)</f>
        <v>0</v>
      </c>
      <c r="D42" s="652">
        <f>SUM(D38:D41)</f>
        <v>0</v>
      </c>
      <c r="E42" s="652">
        <f>SUM(E38:E41)</f>
        <v>0</v>
      </c>
      <c r="F42" s="652">
        <f>SUM(F38:F41)</f>
        <v>0</v>
      </c>
      <c r="G42" s="652">
        <f t="shared" si="2"/>
        <v>0</v>
      </c>
    </row>
    <row r="43" spans="2:7" ht="14">
      <c r="B43" s="670" t="str">
        <f t="shared" si="1"/>
        <v>סך הכל נכסי חוב בארץ</v>
      </c>
      <c r="C43" s="652">
        <f>SUM(C36,C42)</f>
        <v>0</v>
      </c>
      <c r="D43" s="652">
        <f>SUM(D36,D42)</f>
        <v>0</v>
      </c>
      <c r="E43" s="652">
        <f>SUM(E36,E42)</f>
        <v>0</v>
      </c>
      <c r="F43" s="652">
        <f>SUM(F36,F42)</f>
        <v>0</v>
      </c>
      <c r="G43" s="652">
        <f t="shared" si="2"/>
        <v>0</v>
      </c>
    </row>
    <row r="44" spans="2:7" ht="15.5">
      <c r="B44" s="909" t="str">
        <f t="shared" si="1"/>
        <v>מזה- נכסי חוב בדירוג פנימי</v>
      </c>
      <c r="C44" s="655"/>
      <c r="D44" s="655"/>
      <c r="E44" s="655"/>
      <c r="F44" s="655"/>
      <c r="G44" s="652">
        <f t="shared" si="2"/>
        <v>0</v>
      </c>
    </row>
  </sheetData>
  <sheetProtection password="8A23" sheet="1" objects="1" scenarios="1" formatCells="0" formatColumns="0" formatRows="0"/>
  <mergeCells count="3">
    <mergeCell ref="C7:G7"/>
    <mergeCell ref="C27:G27"/>
    <mergeCell ref="E5:F5"/>
  </mergeCells>
  <conditionalFormatting sqref="C10:G24 C30:G44">
    <cfRule type="expression" dxfId="665" priority="2" stopIfTrue="1">
      <formula>AND(CELL("protect",C10)=1,CELL("type",C10)="v")</formula>
    </cfRule>
    <cfRule type="expression" dxfId="664" priority="3" stopIfTrue="1">
      <formula>CELL("protect",C10)</formula>
    </cfRule>
  </conditionalFormatting>
  <hyperlinks>
    <hyperlink ref="D1" location="Information!A1" display="חזרה"/>
    <hyperlink ref="E5:F5" location="B27C1!A33" display="לשנה קודמת"/>
    <hyperlink ref="C3" location="Information!A60" display="Information!A60"/>
  </hyperlinks>
  <pageMargins left="0" right="0" top="0" bottom="0.51181102362204722" header="0" footer="0.23622047244094491"/>
  <pageSetup paperSize="9" scale="93"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878EC0FA-C88D-41F5-AD2B-85B220B43A37}">
            <xm:f>Information!$G$54&gt;0</xm:f>
            <x14:dxf>
              <font>
                <b/>
                <i val="0"/>
                <color theme="1"/>
              </font>
              <fill>
                <patternFill>
                  <bgColor rgb="FFFFFF00"/>
                </patternFill>
              </fill>
            </x14:dxf>
          </x14:cfRule>
          <xm:sqref>C3</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pageSetUpPr fitToPage="1"/>
  </sheetPr>
  <dimension ref="B1:R58"/>
  <sheetViews>
    <sheetView rightToLeft="1" workbookViewId="0"/>
  </sheetViews>
  <sheetFormatPr defaultColWidth="9.1796875" defaultRowHeight="12.5"/>
  <cols>
    <col min="1" max="1" width="4.54296875" style="529" customWidth="1"/>
    <col min="2" max="2" width="32" style="529" customWidth="1"/>
    <col min="3" max="8" width="12.54296875" style="529" customWidth="1"/>
    <col min="9" max="10" width="10.54296875" style="529" customWidth="1"/>
    <col min="11" max="11" width="4"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hidden="1">
      <c r="C4" s="588"/>
      <c r="D4" s="588"/>
      <c r="E4" s="588"/>
      <c r="F4" s="588"/>
      <c r="G4" s="588"/>
      <c r="H4" s="588"/>
      <c r="I4" s="588"/>
      <c r="J4" s="588"/>
      <c r="K4" s="588"/>
      <c r="L4" s="588"/>
      <c r="M4" s="529" t="e">
        <f>INDEX($Q$4:$Q$4,N1)</f>
        <v>#N/A</v>
      </c>
      <c r="P4" s="529" t="s">
        <v>333</v>
      </c>
      <c r="Q4" s="529">
        <v>2012</v>
      </c>
      <c r="R4" s="529">
        <v>1</v>
      </c>
    </row>
    <row r="5" spans="2:18" ht="14">
      <c r="B5" s="721"/>
      <c r="C5" s="1893"/>
      <c r="D5" s="1893"/>
      <c r="E5" s="1105"/>
      <c r="F5" s="663"/>
      <c r="G5" s="663"/>
      <c r="H5" s="22"/>
    </row>
    <row r="6" spans="2:18" ht="15.75" customHeight="1">
      <c r="B6" s="711" t="str">
        <f>Information!$F$44</f>
        <v>באור 27ג' - פירוט החשיפה לענפי משק עבור השקעות במכשירים הוניים</v>
      </c>
      <c r="C6" s="895"/>
      <c r="D6" s="895"/>
      <c r="E6" s="895"/>
      <c r="F6" s="895"/>
      <c r="G6" s="895"/>
      <c r="H6" s="895"/>
    </row>
    <row r="7" spans="2:18" ht="14">
      <c r="B7" s="885"/>
      <c r="C7" s="1891" t="s">
        <v>1389</v>
      </c>
      <c r="D7" s="1889"/>
      <c r="E7" s="1889"/>
      <c r="F7" s="1889"/>
      <c r="G7" s="1892"/>
      <c r="H7" s="886" t="s">
        <v>1390</v>
      </c>
    </row>
    <row r="8" spans="2:18" ht="32.25" customHeight="1">
      <c r="B8" s="887"/>
      <c r="C8" s="888" t="s">
        <v>4898</v>
      </c>
      <c r="D8" s="888" t="s">
        <v>4899</v>
      </c>
      <c r="E8" s="888" t="s">
        <v>42</v>
      </c>
      <c r="F8" s="888" t="s">
        <v>24</v>
      </c>
      <c r="G8" s="888" t="s">
        <v>1271</v>
      </c>
      <c r="H8" s="889" t="s">
        <v>1391</v>
      </c>
    </row>
    <row r="9" spans="2:18" ht="14">
      <c r="B9" s="890" t="str">
        <f>Date1</f>
        <v>31.12.2021</v>
      </c>
      <c r="C9" s="891" t="s">
        <v>29</v>
      </c>
      <c r="D9" s="891" t="s">
        <v>41</v>
      </c>
      <c r="E9" s="891" t="s">
        <v>63</v>
      </c>
      <c r="F9" s="891" t="s">
        <v>65</v>
      </c>
      <c r="G9" s="891" t="s">
        <v>86</v>
      </c>
      <c r="H9" s="892" t="s">
        <v>88</v>
      </c>
    </row>
    <row r="10" spans="2:18" ht="14">
      <c r="B10" s="893" t="s">
        <v>1392</v>
      </c>
      <c r="C10" s="652"/>
      <c r="D10" s="652"/>
      <c r="E10" s="652"/>
      <c r="F10" s="652"/>
      <c r="G10" s="652"/>
      <c r="H10" s="653"/>
    </row>
    <row r="11" spans="2:18" ht="14">
      <c r="B11" s="870" t="s">
        <v>1393</v>
      </c>
      <c r="C11" s="894"/>
      <c r="D11" s="894"/>
      <c r="E11" s="894"/>
      <c r="F11" s="894"/>
      <c r="G11" s="792">
        <f>SUM(C11:F11)</f>
        <v>0</v>
      </c>
      <c r="H11" s="1106">
        <f t="shared" ref="H11:H23" si="0">IF(G11=0,0,G11/$G$23)</f>
        <v>0</v>
      </c>
    </row>
    <row r="12" spans="2:18" ht="14">
      <c r="B12" s="870" t="s">
        <v>1394</v>
      </c>
      <c r="C12" s="894"/>
      <c r="D12" s="894"/>
      <c r="E12" s="894"/>
      <c r="F12" s="894"/>
      <c r="G12" s="792">
        <f t="shared" ref="G12:G22" si="1">SUM(C12:F12)</f>
        <v>0</v>
      </c>
      <c r="H12" s="1106">
        <f t="shared" si="0"/>
        <v>0</v>
      </c>
    </row>
    <row r="13" spans="2:18" ht="14">
      <c r="B13" s="870" t="s">
        <v>1395</v>
      </c>
      <c r="C13" s="894"/>
      <c r="D13" s="894"/>
      <c r="E13" s="894"/>
      <c r="F13" s="894"/>
      <c r="G13" s="792">
        <f t="shared" si="1"/>
        <v>0</v>
      </c>
      <c r="H13" s="1106">
        <f t="shared" si="0"/>
        <v>0</v>
      </c>
    </row>
    <row r="14" spans="2:18" ht="14">
      <c r="B14" s="870" t="s">
        <v>1396</v>
      </c>
      <c r="C14" s="894"/>
      <c r="D14" s="894"/>
      <c r="E14" s="894"/>
      <c r="F14" s="894"/>
      <c r="G14" s="792">
        <f t="shared" si="1"/>
        <v>0</v>
      </c>
      <c r="H14" s="1106">
        <f t="shared" si="0"/>
        <v>0</v>
      </c>
    </row>
    <row r="15" spans="2:18" ht="14">
      <c r="B15" s="870" t="s">
        <v>1397</v>
      </c>
      <c r="C15" s="894"/>
      <c r="D15" s="894"/>
      <c r="E15" s="894"/>
      <c r="F15" s="894"/>
      <c r="G15" s="792">
        <f t="shared" si="1"/>
        <v>0</v>
      </c>
      <c r="H15" s="1106">
        <f t="shared" si="0"/>
        <v>0</v>
      </c>
    </row>
    <row r="16" spans="2:18" ht="14">
      <c r="B16" s="870" t="s">
        <v>1398</v>
      </c>
      <c r="C16" s="894"/>
      <c r="D16" s="894"/>
      <c r="E16" s="894"/>
      <c r="F16" s="894"/>
      <c r="G16" s="792">
        <f t="shared" si="1"/>
        <v>0</v>
      </c>
      <c r="H16" s="1106">
        <f t="shared" si="0"/>
        <v>0</v>
      </c>
    </row>
    <row r="17" spans="2:8" ht="14">
      <c r="B17" s="870" t="s">
        <v>1399</v>
      </c>
      <c r="C17" s="894"/>
      <c r="D17" s="894"/>
      <c r="E17" s="894"/>
      <c r="F17" s="894"/>
      <c r="G17" s="792">
        <f t="shared" si="1"/>
        <v>0</v>
      </c>
      <c r="H17" s="1106">
        <f t="shared" si="0"/>
        <v>0</v>
      </c>
    </row>
    <row r="18" spans="2:8" ht="14">
      <c r="B18" s="870" t="s">
        <v>1400</v>
      </c>
      <c r="C18" s="894"/>
      <c r="D18" s="894"/>
      <c r="E18" s="894"/>
      <c r="F18" s="894"/>
      <c r="G18" s="792">
        <f t="shared" si="1"/>
        <v>0</v>
      </c>
      <c r="H18" s="1106">
        <f t="shared" si="0"/>
        <v>0</v>
      </c>
    </row>
    <row r="19" spans="2:8" ht="14">
      <c r="B19" s="870" t="s">
        <v>1401</v>
      </c>
      <c r="C19" s="894"/>
      <c r="D19" s="894"/>
      <c r="E19" s="894"/>
      <c r="F19" s="894"/>
      <c r="G19" s="792">
        <f t="shared" si="1"/>
        <v>0</v>
      </c>
      <c r="H19" s="1106">
        <f t="shared" si="0"/>
        <v>0</v>
      </c>
    </row>
    <row r="20" spans="2:8" ht="14">
      <c r="B20" s="870" t="s">
        <v>1402</v>
      </c>
      <c r="C20" s="894"/>
      <c r="D20" s="894"/>
      <c r="E20" s="894"/>
      <c r="F20" s="894"/>
      <c r="G20" s="792">
        <f t="shared" si="1"/>
        <v>0</v>
      </c>
      <c r="H20" s="1106">
        <f t="shared" si="0"/>
        <v>0</v>
      </c>
    </row>
    <row r="21" spans="2:8" ht="14">
      <c r="B21" s="870" t="s">
        <v>1403</v>
      </c>
      <c r="C21" s="894"/>
      <c r="D21" s="894"/>
      <c r="E21" s="894"/>
      <c r="F21" s="894"/>
      <c r="G21" s="792">
        <f t="shared" si="1"/>
        <v>0</v>
      </c>
      <c r="H21" s="1106">
        <f t="shared" si="0"/>
        <v>0</v>
      </c>
    </row>
    <row r="22" spans="2:8" ht="14">
      <c r="B22" s="870" t="s">
        <v>1142</v>
      </c>
      <c r="C22" s="894"/>
      <c r="D22" s="894"/>
      <c r="E22" s="894"/>
      <c r="F22" s="894"/>
      <c r="G22" s="792">
        <f t="shared" si="1"/>
        <v>0</v>
      </c>
      <c r="H22" s="1106">
        <f t="shared" si="0"/>
        <v>0</v>
      </c>
    </row>
    <row r="23" spans="2:8" ht="14">
      <c r="B23" s="1108" t="s">
        <v>1404</v>
      </c>
      <c r="C23" s="660">
        <f>SUM(C11:C22)</f>
        <v>0</v>
      </c>
      <c r="D23" s="660">
        <f>SUM(D11:D22)</f>
        <v>0</v>
      </c>
      <c r="E23" s="660">
        <f>SUM(E11:E22)</f>
        <v>0</v>
      </c>
      <c r="F23" s="660">
        <f>SUM(F11:F22)</f>
        <v>0</v>
      </c>
      <c r="G23" s="738">
        <f>SUM(G11:G22)</f>
        <v>0</v>
      </c>
      <c r="H23" s="1107">
        <f t="shared" si="0"/>
        <v>0</v>
      </c>
    </row>
    <row r="24" spans="2:8" ht="13">
      <c r="B24" s="22"/>
      <c r="C24" s="22"/>
      <c r="D24" s="22"/>
      <c r="E24" s="22"/>
      <c r="F24" s="22"/>
      <c r="G24" s="22"/>
      <c r="H24" s="22"/>
    </row>
    <row r="25" spans="2:8" ht="14">
      <c r="B25" s="885"/>
      <c r="C25" s="1891" t="s">
        <v>1389</v>
      </c>
      <c r="D25" s="1889"/>
      <c r="E25" s="1889"/>
      <c r="F25" s="1889"/>
      <c r="G25" s="1892"/>
      <c r="H25" s="886" t="s">
        <v>1390</v>
      </c>
    </row>
    <row r="26" spans="2:8" ht="31.5" customHeight="1">
      <c r="B26" s="887"/>
      <c r="C26" s="888" t="s">
        <v>4898</v>
      </c>
      <c r="D26" s="888" t="s">
        <v>4899</v>
      </c>
      <c r="E26" s="888" t="s">
        <v>42</v>
      </c>
      <c r="F26" s="888" t="s">
        <v>24</v>
      </c>
      <c r="G26" s="888" t="s">
        <v>1271</v>
      </c>
      <c r="H26" s="889" t="s">
        <v>1391</v>
      </c>
    </row>
    <row r="27" spans="2:8" ht="14">
      <c r="B27" s="890" t="str">
        <f>Date3</f>
        <v>31.12.2020</v>
      </c>
      <c r="C27" s="891" t="s">
        <v>29</v>
      </c>
      <c r="D27" s="891" t="s">
        <v>41</v>
      </c>
      <c r="E27" s="891" t="s">
        <v>63</v>
      </c>
      <c r="F27" s="891" t="s">
        <v>65</v>
      </c>
      <c r="G27" s="891" t="s">
        <v>86</v>
      </c>
      <c r="H27" s="892" t="s">
        <v>88</v>
      </c>
    </row>
    <row r="28" spans="2:8" ht="14">
      <c r="B28" s="893" t="s">
        <v>1392</v>
      </c>
      <c r="C28" s="652"/>
      <c r="D28" s="652"/>
      <c r="E28" s="652"/>
      <c r="F28" s="652"/>
      <c r="G28" s="652"/>
      <c r="H28" s="653"/>
    </row>
    <row r="29" spans="2:8" ht="14">
      <c r="B29" s="870" t="s">
        <v>1393</v>
      </c>
      <c r="C29" s="894"/>
      <c r="D29" s="894"/>
      <c r="E29" s="894"/>
      <c r="F29" s="894"/>
      <c r="G29" s="792">
        <f>SUM(C29:F29)</f>
        <v>0</v>
      </c>
      <c r="H29" s="1106">
        <f t="shared" ref="H29:H41" si="2">IF(G29=0,0,G29/$G$41)</f>
        <v>0</v>
      </c>
    </row>
    <row r="30" spans="2:8" ht="14">
      <c r="B30" s="870" t="s">
        <v>1394</v>
      </c>
      <c r="C30" s="894"/>
      <c r="D30" s="894"/>
      <c r="E30" s="894"/>
      <c r="F30" s="894"/>
      <c r="G30" s="792">
        <f t="shared" ref="G30:G41" si="3">SUM(C30:F30)</f>
        <v>0</v>
      </c>
      <c r="H30" s="1106">
        <f t="shared" si="2"/>
        <v>0</v>
      </c>
    </row>
    <row r="31" spans="2:8" ht="14">
      <c r="B31" s="870" t="s">
        <v>1395</v>
      </c>
      <c r="C31" s="894"/>
      <c r="D31" s="894"/>
      <c r="E31" s="894"/>
      <c r="F31" s="894"/>
      <c r="G31" s="792">
        <f t="shared" si="3"/>
        <v>0</v>
      </c>
      <c r="H31" s="1106">
        <f t="shared" si="2"/>
        <v>0</v>
      </c>
    </row>
    <row r="32" spans="2:8" ht="14">
      <c r="B32" s="870" t="s">
        <v>1396</v>
      </c>
      <c r="C32" s="894"/>
      <c r="D32" s="894"/>
      <c r="E32" s="894"/>
      <c r="F32" s="894"/>
      <c r="G32" s="792">
        <f t="shared" si="3"/>
        <v>0</v>
      </c>
      <c r="H32" s="1106">
        <f t="shared" si="2"/>
        <v>0</v>
      </c>
    </row>
    <row r="33" spans="2:12" ht="14">
      <c r="B33" s="870" t="s">
        <v>1397</v>
      </c>
      <c r="C33" s="894"/>
      <c r="D33" s="894"/>
      <c r="E33" s="894"/>
      <c r="F33" s="894"/>
      <c r="G33" s="792">
        <f t="shared" si="3"/>
        <v>0</v>
      </c>
      <c r="H33" s="1106">
        <f t="shared" si="2"/>
        <v>0</v>
      </c>
    </row>
    <row r="34" spans="2:12" ht="14">
      <c r="B34" s="870" t="s">
        <v>1398</v>
      </c>
      <c r="C34" s="655"/>
      <c r="D34" s="655"/>
      <c r="E34" s="655"/>
      <c r="F34" s="655"/>
      <c r="G34" s="792">
        <f t="shared" si="3"/>
        <v>0</v>
      </c>
      <c r="H34" s="1106">
        <f t="shared" si="2"/>
        <v>0</v>
      </c>
    </row>
    <row r="35" spans="2:12" ht="14">
      <c r="B35" s="870" t="s">
        <v>1399</v>
      </c>
      <c r="C35" s="655"/>
      <c r="D35" s="655"/>
      <c r="E35" s="655"/>
      <c r="F35" s="655"/>
      <c r="G35" s="792">
        <f t="shared" si="3"/>
        <v>0</v>
      </c>
      <c r="H35" s="1106">
        <f t="shared" si="2"/>
        <v>0</v>
      </c>
    </row>
    <row r="36" spans="2:12" ht="14">
      <c r="B36" s="870" t="s">
        <v>1400</v>
      </c>
      <c r="C36" s="655"/>
      <c r="D36" s="655"/>
      <c r="E36" s="655"/>
      <c r="F36" s="655"/>
      <c r="G36" s="792">
        <f t="shared" si="3"/>
        <v>0</v>
      </c>
      <c r="H36" s="1106">
        <f t="shared" si="2"/>
        <v>0</v>
      </c>
    </row>
    <row r="37" spans="2:12" ht="14">
      <c r="B37" s="870" t="s">
        <v>1401</v>
      </c>
      <c r="C37" s="655"/>
      <c r="D37" s="655"/>
      <c r="E37" s="655"/>
      <c r="F37" s="655"/>
      <c r="G37" s="792">
        <f t="shared" si="3"/>
        <v>0</v>
      </c>
      <c r="H37" s="1106">
        <f t="shared" si="2"/>
        <v>0</v>
      </c>
    </row>
    <row r="38" spans="2:12" ht="14">
      <c r="B38" s="870" t="s">
        <v>1402</v>
      </c>
      <c r="C38" s="655"/>
      <c r="D38" s="655"/>
      <c r="E38" s="655"/>
      <c r="F38" s="655"/>
      <c r="G38" s="792">
        <f t="shared" si="3"/>
        <v>0</v>
      </c>
      <c r="H38" s="1106">
        <f t="shared" si="2"/>
        <v>0</v>
      </c>
    </row>
    <row r="39" spans="2:12" ht="14">
      <c r="B39" s="870" t="s">
        <v>1403</v>
      </c>
      <c r="C39" s="655"/>
      <c r="D39" s="655"/>
      <c r="E39" s="655"/>
      <c r="F39" s="655"/>
      <c r="G39" s="792">
        <f t="shared" si="3"/>
        <v>0</v>
      </c>
      <c r="H39" s="1106">
        <f t="shared" si="2"/>
        <v>0</v>
      </c>
    </row>
    <row r="40" spans="2:12" ht="14">
      <c r="B40" s="870" t="s">
        <v>1142</v>
      </c>
      <c r="C40" s="655"/>
      <c r="D40" s="655"/>
      <c r="E40" s="655"/>
      <c r="F40" s="655"/>
      <c r="G40" s="792">
        <f t="shared" si="3"/>
        <v>0</v>
      </c>
      <c r="H40" s="1106">
        <f t="shared" si="2"/>
        <v>0</v>
      </c>
    </row>
    <row r="41" spans="2:12" ht="14">
      <c r="B41" s="1108" t="str">
        <f>B23</f>
        <v>סך הכל השקעה במכשירים  הוניים</v>
      </c>
      <c r="C41" s="660">
        <f>SUM(C29:C40)</f>
        <v>0</v>
      </c>
      <c r="D41" s="660">
        <f>SUM(D29:D40)</f>
        <v>0</v>
      </c>
      <c r="E41" s="660">
        <f>SUM(E29:E40)</f>
        <v>0</v>
      </c>
      <c r="F41" s="660">
        <f>SUM(F29:F40)</f>
        <v>0</v>
      </c>
      <c r="G41" s="738">
        <f t="shared" si="3"/>
        <v>0</v>
      </c>
      <c r="H41" s="1107">
        <f t="shared" si="2"/>
        <v>0</v>
      </c>
    </row>
    <row r="43" spans="2:12" ht="15.5">
      <c r="B43" s="711" t="str">
        <f>Information!$F$45</f>
        <v>באור 27ד' - מועדי פירעון עתידיים של התחייבויות פיננסיות</v>
      </c>
      <c r="E43" s="642" t="s">
        <v>263</v>
      </c>
    </row>
    <row r="44" spans="2:12" ht="15.5">
      <c r="B44" s="899"/>
    </row>
    <row r="45" spans="2:12" ht="28">
      <c r="B45" s="638"/>
      <c r="C45" s="1109" t="s">
        <v>1412</v>
      </c>
      <c r="D45" s="1109" t="s">
        <v>1406</v>
      </c>
      <c r="E45" s="1109" t="s">
        <v>1407</v>
      </c>
      <c r="F45" s="1109" t="s">
        <v>1408</v>
      </c>
      <c r="G45" s="1109" t="s">
        <v>1409</v>
      </c>
      <c r="H45" s="1110" t="s">
        <v>898</v>
      </c>
    </row>
    <row r="46" spans="2:12" ht="14">
      <c r="B46" s="856"/>
      <c r="C46" s="891" t="s">
        <v>29</v>
      </c>
      <c r="D46" s="891" t="s">
        <v>41</v>
      </c>
      <c r="E46" s="891" t="s">
        <v>63</v>
      </c>
      <c r="F46" s="891" t="s">
        <v>65</v>
      </c>
      <c r="G46" s="891" t="s">
        <v>86</v>
      </c>
      <c r="H46" s="892" t="s">
        <v>88</v>
      </c>
    </row>
    <row r="47" spans="2:12" ht="14">
      <c r="B47" s="890" t="str">
        <f>Date1</f>
        <v>31.12.2021</v>
      </c>
      <c r="C47" s="1170"/>
      <c r="D47" s="1170"/>
      <c r="E47" s="1170"/>
      <c r="F47" s="1170"/>
      <c r="G47" s="1170"/>
      <c r="H47" s="1169"/>
    </row>
    <row r="48" spans="2:12" ht="14">
      <c r="B48" s="1111" t="s">
        <v>834</v>
      </c>
      <c r="C48" s="655"/>
      <c r="D48" s="655"/>
      <c r="E48" s="655"/>
      <c r="F48" s="655"/>
      <c r="G48" s="655"/>
      <c r="H48" s="787">
        <f>SUM(C48:G48)</f>
        <v>0</v>
      </c>
      <c r="L48" s="529" t="s">
        <v>1411</v>
      </c>
    </row>
    <row r="49" spans="2:15" ht="14">
      <c r="B49" s="890" t="str">
        <f>Date3</f>
        <v>31.12.2020</v>
      </c>
      <c r="C49" s="1170"/>
      <c r="D49" s="1170"/>
      <c r="E49" s="1170"/>
      <c r="F49" s="1170"/>
      <c r="G49" s="1170"/>
      <c r="H49" s="1169"/>
    </row>
    <row r="50" spans="2:15" ht="14">
      <c r="B50" s="1111" t="str">
        <f>B48</f>
        <v>התחייבויות פיננסיות</v>
      </c>
      <c r="C50" s="680"/>
      <c r="D50" s="680"/>
      <c r="E50" s="680"/>
      <c r="F50" s="680"/>
      <c r="G50" s="680"/>
      <c r="H50" s="739">
        <f>SUM(C50:G50)</f>
        <v>0</v>
      </c>
    </row>
    <row r="51" spans="2:15" ht="15" customHeight="1">
      <c r="B51" s="900"/>
      <c r="C51" s="492"/>
      <c r="D51" s="896"/>
      <c r="E51" s="642" t="s">
        <v>263</v>
      </c>
      <c r="F51" s="896"/>
      <c r="G51" s="896"/>
      <c r="H51" s="896"/>
      <c r="I51" s="896"/>
      <c r="J51" s="896"/>
      <c r="K51" s="896"/>
      <c r="L51" s="896"/>
      <c r="M51" s="896"/>
      <c r="N51" s="896" t="s">
        <v>898</v>
      </c>
      <c r="O51" s="896"/>
    </row>
    <row r="52" spans="2:15" ht="15" customHeight="1">
      <c r="B52" s="711" t="str">
        <f>Information!$F$46</f>
        <v>באור 27ה' - חלוקת נכסי חוב על פי מיקומם</v>
      </c>
      <c r="C52" s="663"/>
      <c r="D52" s="663"/>
      <c r="E52" s="663"/>
      <c r="F52" s="663"/>
      <c r="G52" s="719"/>
      <c r="H52" s="719"/>
      <c r="I52" s="898"/>
      <c r="J52" s="898"/>
      <c r="K52" s="898"/>
      <c r="L52" s="898"/>
      <c r="M52" s="898"/>
      <c r="N52" s="898"/>
      <c r="O52" s="898"/>
    </row>
    <row r="53" spans="2:15" ht="14">
      <c r="B53" s="1112"/>
      <c r="C53" s="1888" t="str">
        <f>Date1</f>
        <v>31.12.2021</v>
      </c>
      <c r="D53" s="1889"/>
      <c r="E53" s="1890"/>
      <c r="F53" s="1889" t="str">
        <f>Date3</f>
        <v>31.12.2020</v>
      </c>
      <c r="G53" s="1889"/>
      <c r="H53" s="1890"/>
      <c r="I53" s="897"/>
      <c r="J53" s="492"/>
      <c r="K53" s="897"/>
      <c r="L53" s="492"/>
      <c r="M53" s="897"/>
      <c r="N53" s="492"/>
      <c r="O53" s="492"/>
    </row>
    <row r="54" spans="2:15" ht="14">
      <c r="B54" s="1113"/>
      <c r="C54" s="1117" t="s">
        <v>101</v>
      </c>
      <c r="D54" s="618" t="s">
        <v>1414</v>
      </c>
      <c r="E54" s="619" t="s">
        <v>272</v>
      </c>
      <c r="F54" s="1100" t="str">
        <f>C54</f>
        <v>סחירים</v>
      </c>
      <c r="G54" s="618" t="str">
        <f>D54</f>
        <v>שאינם סחירים</v>
      </c>
      <c r="H54" s="619" t="str">
        <f>E54</f>
        <v>סה"כ</v>
      </c>
      <c r="I54" s="897"/>
      <c r="J54" s="492"/>
      <c r="K54" s="897"/>
      <c r="L54" s="492"/>
      <c r="M54" s="897"/>
      <c r="N54" s="492"/>
      <c r="O54" s="492"/>
    </row>
    <row r="55" spans="2:15" ht="14">
      <c r="B55" s="1114"/>
      <c r="C55" s="1118" t="s">
        <v>29</v>
      </c>
      <c r="D55" s="868" t="s">
        <v>41</v>
      </c>
      <c r="E55" s="869" t="s">
        <v>63</v>
      </c>
      <c r="F55" s="1101" t="s">
        <v>65</v>
      </c>
      <c r="G55" s="868" t="s">
        <v>86</v>
      </c>
      <c r="H55" s="869" t="s">
        <v>88</v>
      </c>
      <c r="I55" s="897"/>
      <c r="J55" s="492"/>
      <c r="K55" s="897"/>
      <c r="L55" s="492"/>
      <c r="M55" s="897"/>
      <c r="N55" s="492"/>
      <c r="O55" s="492"/>
    </row>
    <row r="56" spans="2:15" ht="14">
      <c r="B56" s="1115" t="s">
        <v>1415</v>
      </c>
      <c r="C56" s="1084"/>
      <c r="D56" s="655"/>
      <c r="E56" s="653">
        <f>C56+D56</f>
        <v>0</v>
      </c>
      <c r="F56" s="803"/>
      <c r="G56" s="655"/>
      <c r="H56" s="653">
        <f>F56+G56</f>
        <v>0</v>
      </c>
      <c r="I56" s="897"/>
      <c r="J56" s="492"/>
      <c r="K56" s="897"/>
      <c r="L56" s="492"/>
      <c r="M56" s="897"/>
      <c r="N56" s="492"/>
      <c r="O56" s="492"/>
    </row>
    <row r="57" spans="2:15" ht="14">
      <c r="B57" s="1115" t="s">
        <v>1416</v>
      </c>
      <c r="C57" s="1084"/>
      <c r="D57" s="655"/>
      <c r="E57" s="653">
        <f>C57+D57</f>
        <v>0</v>
      </c>
      <c r="F57" s="803"/>
      <c r="G57" s="655"/>
      <c r="H57" s="653">
        <f>F57+G57</f>
        <v>0</v>
      </c>
      <c r="I57" s="897"/>
      <c r="J57" s="492"/>
      <c r="K57" s="897"/>
      <c r="L57" s="492"/>
      <c r="M57" s="897"/>
      <c r="N57" s="492"/>
      <c r="O57" s="492"/>
    </row>
    <row r="58" spans="2:15" ht="14">
      <c r="B58" s="1116" t="s">
        <v>1417</v>
      </c>
      <c r="C58" s="1085">
        <f>C56+C57</f>
        <v>0</v>
      </c>
      <c r="D58" s="660">
        <f>D56+D57</f>
        <v>0</v>
      </c>
      <c r="E58" s="661">
        <f>C58+D58</f>
        <v>0</v>
      </c>
      <c r="F58" s="1080">
        <f>F56+F57</f>
        <v>0</v>
      </c>
      <c r="G58" s="660">
        <f>G56+G57</f>
        <v>0</v>
      </c>
      <c r="H58" s="661">
        <f>F58+G58</f>
        <v>0</v>
      </c>
    </row>
  </sheetData>
  <sheetProtection password="DECB" sheet="1" objects="1" scenarios="1" formatCells="0" formatColumns="0" formatRows="0"/>
  <mergeCells count="5">
    <mergeCell ref="C53:E53"/>
    <mergeCell ref="F53:H53"/>
    <mergeCell ref="C25:G25"/>
    <mergeCell ref="C5:D5"/>
    <mergeCell ref="C7:G7"/>
  </mergeCells>
  <conditionalFormatting sqref="C10:H23 C34:F41 G30:H41">
    <cfRule type="expression" dxfId="662" priority="10" stopIfTrue="1">
      <formula>AND(CELL("protect",C10)=1,CELL("type",C10)="v")</formula>
    </cfRule>
    <cfRule type="expression" dxfId="661" priority="11" stopIfTrue="1">
      <formula>CELL("protect",C10)</formula>
    </cfRule>
  </conditionalFormatting>
  <conditionalFormatting sqref="C28:H29 C30:F33">
    <cfRule type="expression" dxfId="660" priority="8" stopIfTrue="1">
      <formula>AND(CELL("protect",C28)=1,CELL("type",C28)="v")</formula>
    </cfRule>
    <cfRule type="expression" dxfId="659" priority="9" stopIfTrue="1">
      <formula>CELL("protect",C28)</formula>
    </cfRule>
  </conditionalFormatting>
  <conditionalFormatting sqref="C48:H50">
    <cfRule type="expression" dxfId="658" priority="6" stopIfTrue="1">
      <formula>AND(CELL("protect",C48)=1,CELL("type",C48)="v")</formula>
    </cfRule>
    <cfRule type="expression" dxfId="657" priority="7" stopIfTrue="1">
      <formula>CELL("protect",C48)</formula>
    </cfRule>
  </conditionalFormatting>
  <conditionalFormatting sqref="C56:H58">
    <cfRule type="expression" dxfId="656" priority="4" stopIfTrue="1">
      <formula>AND(CELL("protect",C56)=1,CELL("type",C56)="v")</formula>
    </cfRule>
    <cfRule type="expression" dxfId="655" priority="5" stopIfTrue="1">
      <formula>CELL("protect",C56)</formula>
    </cfRule>
  </conditionalFormatting>
  <conditionalFormatting sqref="C47:H47">
    <cfRule type="expression" dxfId="654" priority="2" stopIfTrue="1">
      <formula>AND(CELL("protect",C47)=1,CELL("type",C47)="v")</formula>
    </cfRule>
    <cfRule type="expression" dxfId="653" priority="3" stopIfTrue="1">
      <formula>CELL("protect",C47)</formula>
    </cfRule>
  </conditionalFormatting>
  <hyperlinks>
    <hyperlink ref="D1" location="Information!A1" display="חזרה"/>
    <hyperlink ref="E43" location="Information!A1" display="חזרה"/>
    <hyperlink ref="E51" location="Information!A1" display="חזרה"/>
    <hyperlink ref="C3" location="Information!A60" display="Information!A60"/>
  </hyperlinks>
  <pageMargins left="0" right="0" top="0" bottom="0.51181102362204722" header="0" footer="0.23622047244094491"/>
  <pageSetup paperSize="9" scale="93"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D13DFF8A-CE52-4543-AFC3-F99A69B61873}">
            <xm:f>Information!$G$54&gt;0</xm:f>
            <x14:dxf>
              <font>
                <b/>
                <i val="0"/>
                <color theme="1"/>
              </font>
              <fill>
                <patternFill>
                  <bgColor rgb="FFFFFF00"/>
                </patternFill>
              </fill>
            </x14:dxf>
          </x14:cfRule>
          <xm:sqref>C3</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FF00"/>
    <pageSetUpPr fitToPage="1"/>
  </sheetPr>
  <dimension ref="A1:R84"/>
  <sheetViews>
    <sheetView rightToLeft="1" workbookViewId="0"/>
  </sheetViews>
  <sheetFormatPr defaultColWidth="9.1796875" defaultRowHeight="12.5"/>
  <cols>
    <col min="1" max="1" width="4.54296875" style="529" customWidth="1"/>
    <col min="2" max="2" width="41.453125" style="529" customWidth="1"/>
    <col min="3" max="3" width="14.1796875" style="529" customWidth="1"/>
    <col min="4" max="4" width="13.81640625" style="529" bestFit="1" customWidth="1"/>
    <col min="5" max="5" width="15.453125" style="529" customWidth="1"/>
    <col min="6" max="6" width="14.453125" style="529" customWidth="1"/>
    <col min="7" max="7" width="18.453125" style="529" customWidth="1"/>
    <col min="8" max="8" width="10.54296875" style="529" customWidth="1"/>
    <col min="9" max="9" width="13.54296875" style="529" customWidth="1"/>
    <col min="10" max="10" width="12.54296875" style="529" customWidth="1"/>
    <col min="11" max="11" width="4" style="529" customWidth="1"/>
    <col min="12" max="12" width="42" style="529" customWidth="1"/>
    <col min="13" max="13" width="10.1796875" style="529" bestFit="1" customWidth="1"/>
    <col min="14" max="16384" width="9.1796875" style="529"/>
  </cols>
  <sheetData>
    <row r="1" spans="1:18" ht="18">
      <c r="A1" s="529" t="s">
        <v>0</v>
      </c>
      <c r="B1" s="15" t="str">
        <f>'B8'!B1</f>
        <v>_____חברה מנהלת</v>
      </c>
      <c r="C1" s="530"/>
      <c r="D1" s="642" t="s">
        <v>263</v>
      </c>
      <c r="M1" s="531" t="str">
        <f>date</f>
        <v>21</v>
      </c>
      <c r="N1" s="529" t="e">
        <f>VLOOKUP(M1,P4:R4,3,0)</f>
        <v>#N/A</v>
      </c>
      <c r="O1" s="529" t="str">
        <f>CONCATENATE(O2,O2)</f>
        <v/>
      </c>
    </row>
    <row r="2" spans="1:18" ht="18" hidden="1">
      <c r="B2" s="111"/>
      <c r="C2" s="532"/>
      <c r="D2" s="532"/>
      <c r="E2" s="532"/>
      <c r="M2" s="531" t="e">
        <f>INDEX($P$4:$P$4,$N$1+1)</f>
        <v>#N/A</v>
      </c>
    </row>
    <row r="3" spans="1:18" ht="15.5">
      <c r="B3" s="28" t="str">
        <f>line3</f>
        <v>הנתונים באלפי ש"ח</v>
      </c>
      <c r="C3" s="1469" t="s">
        <v>3876</v>
      </c>
      <c r="D3" s="533" t="str">
        <f>Date1</f>
        <v>31.12.2021</v>
      </c>
      <c r="E3" s="533"/>
      <c r="M3" s="531" t="e">
        <f>INDEX($P$4:$P$4,$N$1+2)</f>
        <v>#N/A</v>
      </c>
    </row>
    <row r="4" spans="1:18" ht="14" hidden="1">
      <c r="C4" s="588"/>
      <c r="D4" s="588"/>
      <c r="E4" s="588"/>
      <c r="F4" s="588"/>
      <c r="G4" s="588"/>
      <c r="H4" s="588"/>
      <c r="I4" s="588"/>
      <c r="J4" s="588"/>
      <c r="K4" s="588"/>
      <c r="L4" s="588"/>
      <c r="M4" s="529" t="e">
        <f>INDEX($Q$4:$Q$4,N1)</f>
        <v>#N/A</v>
      </c>
      <c r="P4" s="529" t="s">
        <v>333</v>
      </c>
      <c r="Q4" s="529">
        <v>2012</v>
      </c>
      <c r="R4" s="529">
        <v>1</v>
      </c>
    </row>
    <row r="5" spans="1:18" ht="15.5">
      <c r="B5" s="711" t="str">
        <f>Information!$F$42</f>
        <v>באור 27א' - מבחני רגישות הנוגעים לסיכוני שוק</v>
      </c>
      <c r="C5" s="742"/>
      <c r="D5" s="642" t="s">
        <v>263</v>
      </c>
      <c r="E5" s="747"/>
      <c r="F5" s="747"/>
    </row>
    <row r="6" spans="1:18" ht="15.5">
      <c r="B6" s="22"/>
      <c r="C6" s="743"/>
      <c r="D6" s="743"/>
      <c r="E6" s="747"/>
      <c r="F6" s="747"/>
    </row>
    <row r="7" spans="1:18" ht="14">
      <c r="B7" s="867"/>
      <c r="C7" s="1894" t="s">
        <v>1573</v>
      </c>
      <c r="D7" s="1895"/>
      <c r="E7" s="1894" t="s">
        <v>1361</v>
      </c>
      <c r="F7" s="1895"/>
      <c r="G7" s="1894" t="s">
        <v>1362</v>
      </c>
      <c r="H7" s="1895"/>
      <c r="I7" s="1896" t="s">
        <v>1363</v>
      </c>
      <c r="J7" s="1897"/>
    </row>
    <row r="8" spans="1:18" ht="14">
      <c r="B8" s="844"/>
      <c r="C8" s="618" t="s">
        <v>1364</v>
      </c>
      <c r="D8" s="618" t="s">
        <v>1365</v>
      </c>
      <c r="E8" s="618" t="s">
        <v>1366</v>
      </c>
      <c r="F8" s="618" t="s">
        <v>1367</v>
      </c>
      <c r="G8" s="618" t="s">
        <v>1364</v>
      </c>
      <c r="H8" s="618" t="s">
        <v>1365</v>
      </c>
      <c r="I8" s="1100" t="s">
        <v>1366</v>
      </c>
      <c r="J8" s="619" t="s">
        <v>1367</v>
      </c>
    </row>
    <row r="9" spans="1:18" ht="14">
      <c r="B9" s="761"/>
      <c r="C9" s="868" t="s">
        <v>29</v>
      </c>
      <c r="D9" s="868" t="s">
        <v>41</v>
      </c>
      <c r="E9" s="868" t="s">
        <v>63</v>
      </c>
      <c r="F9" s="868" t="s">
        <v>65</v>
      </c>
      <c r="G9" s="868" t="s">
        <v>86</v>
      </c>
      <c r="H9" s="868" t="s">
        <v>88</v>
      </c>
      <c r="I9" s="1101" t="s">
        <v>195</v>
      </c>
      <c r="J9" s="869" t="s">
        <v>197</v>
      </c>
    </row>
    <row r="10" spans="1:18" ht="14">
      <c r="B10" s="712" t="str">
        <f>Date1</f>
        <v>31.12.2021</v>
      </c>
      <c r="C10" s="652"/>
      <c r="D10" s="652"/>
      <c r="E10" s="652"/>
      <c r="F10" s="652"/>
      <c r="G10" s="652"/>
      <c r="H10" s="652"/>
      <c r="I10" s="804"/>
      <c r="J10" s="653"/>
    </row>
    <row r="11" spans="1:18" ht="14">
      <c r="B11" s="870" t="s">
        <v>887</v>
      </c>
      <c r="C11" s="655"/>
      <c r="D11" s="655"/>
      <c r="E11" s="655"/>
      <c r="F11" s="655"/>
      <c r="G11" s="655"/>
      <c r="H11" s="655"/>
      <c r="I11" s="803"/>
      <c r="J11" s="668"/>
    </row>
    <row r="12" spans="1:18" ht="14">
      <c r="B12" s="870" t="s">
        <v>1368</v>
      </c>
      <c r="C12" s="655"/>
      <c r="D12" s="655"/>
      <c r="E12" s="655"/>
      <c r="F12" s="655"/>
      <c r="G12" s="655"/>
      <c r="H12" s="655"/>
      <c r="I12" s="803"/>
      <c r="J12" s="668"/>
    </row>
    <row r="13" spans="1:18" ht="14">
      <c r="B13" s="712" t="str">
        <f>Date3</f>
        <v>31.12.2020</v>
      </c>
      <c r="C13" s="652"/>
      <c r="D13" s="652"/>
      <c r="E13" s="652"/>
      <c r="F13" s="652"/>
      <c r="G13" s="652"/>
      <c r="H13" s="652"/>
      <c r="I13" s="804"/>
      <c r="J13" s="653"/>
    </row>
    <row r="14" spans="1:18" ht="14">
      <c r="B14" s="870" t="str">
        <f>B11</f>
        <v>רווח (הפסד)</v>
      </c>
      <c r="C14" s="655"/>
      <c r="D14" s="655"/>
      <c r="E14" s="655"/>
      <c r="F14" s="655"/>
      <c r="G14" s="655"/>
      <c r="H14" s="655"/>
      <c r="I14" s="1102"/>
      <c r="J14" s="871"/>
    </row>
    <row r="15" spans="1:18" ht="14">
      <c r="B15" s="872" t="str">
        <f>B12</f>
        <v>הכנסה כוללת (הון עצמי)</v>
      </c>
      <c r="C15" s="680"/>
      <c r="D15" s="680"/>
      <c r="E15" s="680"/>
      <c r="F15" s="680"/>
      <c r="G15" s="680"/>
      <c r="H15" s="680"/>
      <c r="I15" s="1103"/>
      <c r="J15" s="873"/>
    </row>
    <row r="16" spans="1:18" ht="15.5">
      <c r="B16" s="22"/>
      <c r="C16" s="743"/>
      <c r="D16" s="743"/>
      <c r="E16" s="747"/>
      <c r="F16" s="747"/>
    </row>
    <row r="17" spans="2:9" ht="15.5">
      <c r="B17" s="711" t="str">
        <f>Information!$F$43</f>
        <v>באור 27ב' - פירוט הנכסים וההתחייבויות בחלוקה לבסיסי הצמדה</v>
      </c>
      <c r="C17" s="663"/>
      <c r="D17" s="663"/>
      <c r="E17" s="1893"/>
      <c r="F17" s="1893"/>
      <c r="G17" s="642" t="s">
        <v>263</v>
      </c>
      <c r="H17" s="663"/>
      <c r="I17" s="663"/>
    </row>
    <row r="18" spans="2:9" ht="26.25" customHeight="1">
      <c r="B18" s="833"/>
      <c r="C18" s="7" t="s">
        <v>1370</v>
      </c>
      <c r="D18" s="7" t="s">
        <v>1371</v>
      </c>
      <c r="E18" s="7" t="s">
        <v>1372</v>
      </c>
      <c r="F18" s="7" t="s">
        <v>1574</v>
      </c>
      <c r="G18" s="1" t="s">
        <v>272</v>
      </c>
    </row>
    <row r="19" spans="2:9" ht="15.5">
      <c r="B19" s="874"/>
      <c r="C19" s="834" t="s">
        <v>29</v>
      </c>
      <c r="D19" s="834" t="s">
        <v>41</v>
      </c>
      <c r="E19" s="834" t="s">
        <v>63</v>
      </c>
      <c r="F19" s="834" t="s">
        <v>65</v>
      </c>
      <c r="G19" s="876" t="s">
        <v>195</v>
      </c>
    </row>
    <row r="20" spans="2:9" ht="15.5">
      <c r="B20" s="836" t="str">
        <f>Date1</f>
        <v>31.12.2021</v>
      </c>
      <c r="C20" s="652"/>
      <c r="D20" s="652"/>
      <c r="E20" s="652"/>
      <c r="F20" s="652"/>
      <c r="G20" s="653"/>
    </row>
    <row r="21" spans="2:9" ht="14">
      <c r="B21" s="654" t="s">
        <v>1374</v>
      </c>
      <c r="C21" s="655"/>
      <c r="D21" s="655"/>
      <c r="E21" s="655"/>
      <c r="F21" s="655"/>
      <c r="G21" s="653">
        <f>SUM(C21:F21)</f>
        <v>0</v>
      </c>
    </row>
    <row r="22" spans="2:9" ht="14">
      <c r="B22" s="654" t="s">
        <v>807</v>
      </c>
      <c r="C22" s="655"/>
      <c r="D22" s="655"/>
      <c r="E22" s="655"/>
      <c r="F22" s="655"/>
      <c r="G22" s="653">
        <f t="shared" ref="G22:G28" si="0">SUM(C22:F22)</f>
        <v>0</v>
      </c>
    </row>
    <row r="23" spans="2:9" ht="14">
      <c r="B23" s="654" t="s">
        <v>808</v>
      </c>
      <c r="C23" s="655"/>
      <c r="D23" s="655"/>
      <c r="E23" s="655"/>
      <c r="F23" s="655"/>
      <c r="G23" s="653">
        <f t="shared" si="0"/>
        <v>0</v>
      </c>
    </row>
    <row r="24" spans="2:9" ht="14">
      <c r="B24" s="654" t="s">
        <v>213</v>
      </c>
      <c r="C24" s="655"/>
      <c r="D24" s="655"/>
      <c r="E24" s="655"/>
      <c r="F24" s="655"/>
      <c r="G24" s="653">
        <f t="shared" si="0"/>
        <v>0</v>
      </c>
    </row>
    <row r="25" spans="2:9" ht="14">
      <c r="B25" s="654" t="s">
        <v>810</v>
      </c>
      <c r="C25" s="655"/>
      <c r="D25" s="655"/>
      <c r="E25" s="655"/>
      <c r="F25" s="655"/>
      <c r="G25" s="653">
        <f t="shared" si="0"/>
        <v>0</v>
      </c>
    </row>
    <row r="26" spans="2:9" ht="14">
      <c r="B26" s="654" t="s">
        <v>811</v>
      </c>
      <c r="C26" s="655"/>
      <c r="D26" s="655"/>
      <c r="E26" s="655"/>
      <c r="F26" s="655"/>
      <c r="G26" s="653">
        <f t="shared" si="0"/>
        <v>0</v>
      </c>
    </row>
    <row r="27" spans="2:9" ht="14">
      <c r="B27" s="654" t="s">
        <v>1375</v>
      </c>
      <c r="C27" s="655"/>
      <c r="D27" s="655"/>
      <c r="E27" s="655"/>
      <c r="F27" s="655"/>
      <c r="G27" s="653">
        <f t="shared" si="0"/>
        <v>0</v>
      </c>
    </row>
    <row r="28" spans="2:9" ht="14">
      <c r="B28" s="654" t="s">
        <v>813</v>
      </c>
      <c r="C28" s="655"/>
      <c r="D28" s="655"/>
      <c r="E28" s="655"/>
      <c r="F28" s="655"/>
      <c r="G28" s="653">
        <f t="shared" si="0"/>
        <v>0</v>
      </c>
    </row>
    <row r="29" spans="2:9" ht="14">
      <c r="B29" s="658" t="s">
        <v>1386</v>
      </c>
      <c r="C29" s="652"/>
      <c r="D29" s="652"/>
      <c r="E29" s="652"/>
      <c r="F29" s="652"/>
      <c r="G29" s="653"/>
    </row>
    <row r="30" spans="2:9" ht="14">
      <c r="B30" s="669" t="s">
        <v>1042</v>
      </c>
      <c r="C30" s="655"/>
      <c r="D30" s="655"/>
      <c r="E30" s="655"/>
      <c r="F30" s="655"/>
      <c r="G30" s="653">
        <f>SUM(C30:F30)</f>
        <v>0</v>
      </c>
    </row>
    <row r="31" spans="2:9" ht="14">
      <c r="B31" s="669" t="s">
        <v>816</v>
      </c>
      <c r="C31" s="655"/>
      <c r="D31" s="655"/>
      <c r="E31" s="655"/>
      <c r="F31" s="655"/>
      <c r="G31" s="653">
        <f t="shared" ref="G31:G38" si="1">SUM(C31:F31)</f>
        <v>0</v>
      </c>
    </row>
    <row r="32" spans="2:9" ht="14">
      <c r="B32" s="669" t="s">
        <v>75</v>
      </c>
      <c r="C32" s="655"/>
      <c r="D32" s="655"/>
      <c r="E32" s="655"/>
      <c r="F32" s="655"/>
      <c r="G32" s="653">
        <f t="shared" si="1"/>
        <v>0</v>
      </c>
    </row>
    <row r="33" spans="2:7" ht="14">
      <c r="B33" s="669" t="s">
        <v>817</v>
      </c>
      <c r="C33" s="655"/>
      <c r="D33" s="655"/>
      <c r="E33" s="655"/>
      <c r="F33" s="655"/>
      <c r="G33" s="653">
        <f t="shared" si="1"/>
        <v>0</v>
      </c>
    </row>
    <row r="34" spans="2:7" ht="14">
      <c r="B34" s="658" t="s">
        <v>1385</v>
      </c>
      <c r="C34" s="652">
        <f>SUM(C30:C33)</f>
        <v>0</v>
      </c>
      <c r="D34" s="652">
        <f>SUM(D30:D33)</f>
        <v>0</v>
      </c>
      <c r="E34" s="652">
        <f>SUM(E30:E33)</f>
        <v>0</v>
      </c>
      <c r="F34" s="652">
        <f>SUM(F30:F33)</f>
        <v>0</v>
      </c>
      <c r="G34" s="653">
        <f t="shared" si="1"/>
        <v>0</v>
      </c>
    </row>
    <row r="35" spans="2:7" ht="14">
      <c r="B35" s="654" t="s">
        <v>6</v>
      </c>
      <c r="C35" s="655"/>
      <c r="D35" s="655"/>
      <c r="E35" s="655"/>
      <c r="F35" s="655"/>
      <c r="G35" s="653">
        <f t="shared" si="1"/>
        <v>0</v>
      </c>
    </row>
    <row r="36" spans="2:7" ht="14">
      <c r="B36" s="654" t="s">
        <v>2676</v>
      </c>
      <c r="C36" s="655"/>
      <c r="D36" s="655"/>
      <c r="E36" s="655"/>
      <c r="F36" s="655"/>
      <c r="G36" s="653">
        <f t="shared" si="1"/>
        <v>0</v>
      </c>
    </row>
    <row r="37" spans="2:7" ht="14">
      <c r="B37" s="658" t="s">
        <v>1376</v>
      </c>
      <c r="C37" s="881">
        <f>SUM(C21:C28,C34:C36)</f>
        <v>0</v>
      </c>
      <c r="D37" s="881">
        <f>SUM(D21:D28,D34:D36)</f>
        <v>0</v>
      </c>
      <c r="E37" s="881">
        <f>SUM(E21:E28,E34:E36)</f>
        <v>0</v>
      </c>
      <c r="F37" s="881">
        <f>SUM(F21:F28,F34:F36)</f>
        <v>0</v>
      </c>
      <c r="G37" s="653">
        <f t="shared" si="1"/>
        <v>0</v>
      </c>
    </row>
    <row r="38" spans="2:7" ht="14">
      <c r="B38" s="658" t="s">
        <v>1377</v>
      </c>
      <c r="C38" s="655"/>
      <c r="D38" s="655"/>
      <c r="E38" s="655"/>
      <c r="F38" s="655"/>
      <c r="G38" s="653">
        <f t="shared" si="1"/>
        <v>0</v>
      </c>
    </row>
    <row r="39" spans="2:7" ht="14">
      <c r="B39" s="658" t="s">
        <v>988</v>
      </c>
      <c r="C39" s="652"/>
      <c r="D39" s="652"/>
      <c r="E39" s="652"/>
      <c r="F39" s="652"/>
      <c r="G39" s="653"/>
    </row>
    <row r="40" spans="2:7" ht="14">
      <c r="B40" s="677" t="s">
        <v>1378</v>
      </c>
      <c r="C40" s="655"/>
      <c r="D40" s="655"/>
      <c r="E40" s="655"/>
      <c r="F40" s="655"/>
      <c r="G40" s="653">
        <f>SUM(C40:F40)</f>
        <v>0</v>
      </c>
    </row>
    <row r="41" spans="2:7" ht="14">
      <c r="B41" s="677" t="s">
        <v>1379</v>
      </c>
      <c r="C41" s="655"/>
      <c r="D41" s="655"/>
      <c r="E41" s="655"/>
      <c r="F41" s="655"/>
      <c r="G41" s="653">
        <f t="shared" ref="G41:G48" si="2">SUM(C41:F41)</f>
        <v>0</v>
      </c>
    </row>
    <row r="42" spans="2:7" ht="14">
      <c r="B42" s="677" t="s">
        <v>832</v>
      </c>
      <c r="C42" s="655"/>
      <c r="D42" s="655"/>
      <c r="E42" s="655"/>
      <c r="F42" s="655"/>
      <c r="G42" s="653">
        <f t="shared" si="2"/>
        <v>0</v>
      </c>
    </row>
    <row r="43" spans="2:7" ht="14">
      <c r="B43" s="677" t="s">
        <v>833</v>
      </c>
      <c r="C43" s="655"/>
      <c r="D43" s="655"/>
      <c r="E43" s="655"/>
      <c r="F43" s="655"/>
      <c r="G43" s="653">
        <f t="shared" si="2"/>
        <v>0</v>
      </c>
    </row>
    <row r="44" spans="2:7" ht="14">
      <c r="B44" s="677" t="s">
        <v>1380</v>
      </c>
      <c r="C44" s="655"/>
      <c r="D44" s="655"/>
      <c r="E44" s="655"/>
      <c r="F44" s="655"/>
      <c r="G44" s="653">
        <f t="shared" si="2"/>
        <v>0</v>
      </c>
    </row>
    <row r="45" spans="2:7" ht="14">
      <c r="B45" s="677" t="s">
        <v>2677</v>
      </c>
      <c r="C45" s="655"/>
      <c r="D45" s="655"/>
      <c r="E45" s="655"/>
      <c r="F45" s="655"/>
      <c r="G45" s="653">
        <f t="shared" si="2"/>
        <v>0</v>
      </c>
    </row>
    <row r="46" spans="2:7" ht="14">
      <c r="B46" s="658" t="s">
        <v>1381</v>
      </c>
      <c r="C46" s="652">
        <f>SUM(C40:C45)</f>
        <v>0</v>
      </c>
      <c r="D46" s="652">
        <f>SUM(D40:D45)</f>
        <v>0</v>
      </c>
      <c r="E46" s="652">
        <f>SUM(E40:E45)</f>
        <v>0</v>
      </c>
      <c r="F46" s="652">
        <f>SUM(F40:F45)</f>
        <v>0</v>
      </c>
      <c r="G46" s="653">
        <f t="shared" si="2"/>
        <v>0</v>
      </c>
    </row>
    <row r="47" spans="2:7" ht="14">
      <c r="B47" s="658" t="s">
        <v>1382</v>
      </c>
      <c r="C47" s="652">
        <f>SUM(C46,C38)</f>
        <v>0</v>
      </c>
      <c r="D47" s="652">
        <f>SUM(D46,D38)</f>
        <v>0</v>
      </c>
      <c r="E47" s="652">
        <f>SUM(E46,E38)</f>
        <v>0</v>
      </c>
      <c r="F47" s="652">
        <f>SUM(F46,F38)</f>
        <v>0</v>
      </c>
      <c r="G47" s="653">
        <f t="shared" si="2"/>
        <v>0</v>
      </c>
    </row>
    <row r="48" spans="2:7" ht="14">
      <c r="B48" s="658" t="s">
        <v>1383</v>
      </c>
      <c r="C48" s="652">
        <f>C37-C47</f>
        <v>0</v>
      </c>
      <c r="D48" s="652">
        <f>D37-D47</f>
        <v>0</v>
      </c>
      <c r="E48" s="652">
        <f>E37-E47</f>
        <v>0</v>
      </c>
      <c r="F48" s="652">
        <f>F37-F47</f>
        <v>0</v>
      </c>
      <c r="G48" s="653">
        <f t="shared" si="2"/>
        <v>0</v>
      </c>
    </row>
    <row r="49" spans="2:9" ht="28">
      <c r="B49" s="654" t="s">
        <v>1384</v>
      </c>
      <c r="C49" s="655"/>
      <c r="D49" s="655"/>
      <c r="E49" s="655"/>
      <c r="F49" s="655"/>
      <c r="G49" s="653">
        <f>SUM(C49:F49)</f>
        <v>0</v>
      </c>
    </row>
    <row r="50" spans="2:9" ht="13">
      <c r="B50" s="882" t="s">
        <v>1387</v>
      </c>
      <c r="C50" s="883">
        <f>C48+C49</f>
        <v>0</v>
      </c>
      <c r="D50" s="883">
        <f>D48+D49</f>
        <v>0</v>
      </c>
      <c r="E50" s="883">
        <f>E48+E49</f>
        <v>0</v>
      </c>
      <c r="F50" s="883">
        <f>F48+F49</f>
        <v>0</v>
      </c>
      <c r="G50" s="1104">
        <f>G49+G48</f>
        <v>0</v>
      </c>
      <c r="H50" s="22"/>
      <c r="I50" s="22"/>
    </row>
    <row r="51" spans="2:9" ht="13">
      <c r="B51" s="22"/>
      <c r="C51" s="22"/>
      <c r="D51" s="22"/>
      <c r="E51" s="22"/>
      <c r="F51" s="22"/>
      <c r="G51" s="22"/>
      <c r="H51" s="22"/>
      <c r="I51" s="22"/>
    </row>
    <row r="52" spans="2:9" ht="24.75" customHeight="1">
      <c r="B52" s="833"/>
      <c r="C52" s="7" t="s">
        <v>1370</v>
      </c>
      <c r="D52" s="7" t="s">
        <v>1371</v>
      </c>
      <c r="E52" s="7" t="s">
        <v>1372</v>
      </c>
      <c r="F52" s="7" t="s">
        <v>1373</v>
      </c>
      <c r="G52" s="1" t="s">
        <v>272</v>
      </c>
    </row>
    <row r="53" spans="2:9" ht="15.5">
      <c r="B53" s="874"/>
      <c r="C53" s="875" t="s">
        <v>29</v>
      </c>
      <c r="D53" s="875" t="s">
        <v>41</v>
      </c>
      <c r="E53" s="875" t="s">
        <v>63</v>
      </c>
      <c r="F53" s="875" t="s">
        <v>65</v>
      </c>
      <c r="G53" s="876" t="s">
        <v>86</v>
      </c>
    </row>
    <row r="54" spans="2:9" ht="15.5">
      <c r="B54" s="874" t="str">
        <f>Date3</f>
        <v>31.12.2020</v>
      </c>
      <c r="C54" s="652"/>
      <c r="D54" s="652"/>
      <c r="E54" s="652"/>
      <c r="F54" s="652"/>
      <c r="G54" s="653"/>
    </row>
    <row r="55" spans="2:9" ht="14">
      <c r="B55" s="654" t="str">
        <f t="shared" ref="B55:B83" si="3">B21</f>
        <v>נכסים בלתי מוחשים</v>
      </c>
      <c r="C55" s="655"/>
      <c r="D55" s="655"/>
      <c r="E55" s="655"/>
      <c r="F55" s="655"/>
      <c r="G55" s="653">
        <f t="shared" ref="G55:G83" si="4">SUM(C55:F55)</f>
        <v>0</v>
      </c>
    </row>
    <row r="56" spans="2:9" ht="14">
      <c r="B56" s="654" t="str">
        <f t="shared" si="3"/>
        <v>נכסי מיסים נדחים</v>
      </c>
      <c r="C56" s="655"/>
      <c r="D56" s="655"/>
      <c r="E56" s="655"/>
      <c r="F56" s="655"/>
      <c r="G56" s="653">
        <f t="shared" si="4"/>
        <v>0</v>
      </c>
    </row>
    <row r="57" spans="2:9" ht="14">
      <c r="B57" s="654" t="str">
        <f t="shared" si="3"/>
        <v>הוצאות רכישה נדחות</v>
      </c>
      <c r="C57" s="655"/>
      <c r="D57" s="655"/>
      <c r="E57" s="655"/>
      <c r="F57" s="655"/>
      <c r="G57" s="653">
        <f t="shared" si="4"/>
        <v>0</v>
      </c>
    </row>
    <row r="58" spans="2:9" ht="14">
      <c r="B58" s="654" t="str">
        <f t="shared" si="3"/>
        <v>רכוש קבוע</v>
      </c>
      <c r="C58" s="655"/>
      <c r="D58" s="655"/>
      <c r="E58" s="655"/>
      <c r="F58" s="655"/>
      <c r="G58" s="653">
        <f t="shared" si="4"/>
        <v>0</v>
      </c>
    </row>
    <row r="59" spans="2:9" ht="14">
      <c r="B59" s="654" t="str">
        <f t="shared" si="3"/>
        <v>השקעות בחברות כלולות</v>
      </c>
      <c r="C59" s="655"/>
      <c r="D59" s="655"/>
      <c r="E59" s="655"/>
      <c r="F59" s="655"/>
      <c r="G59" s="653">
        <f t="shared" si="4"/>
        <v>0</v>
      </c>
    </row>
    <row r="60" spans="2:9" ht="14">
      <c r="B60" s="654" t="str">
        <f t="shared" si="3"/>
        <v>נדל"ן להשקעה</v>
      </c>
      <c r="C60" s="655"/>
      <c r="D60" s="655"/>
      <c r="E60" s="655"/>
      <c r="F60" s="655"/>
      <c r="G60" s="653">
        <f t="shared" si="4"/>
        <v>0</v>
      </c>
    </row>
    <row r="61" spans="2:9" ht="14">
      <c r="B61" s="654" t="str">
        <f t="shared" si="3"/>
        <v>נכסי מיסים שוטפים</v>
      </c>
      <c r="C61" s="655"/>
      <c r="D61" s="655"/>
      <c r="E61" s="655"/>
      <c r="F61" s="655"/>
      <c r="G61" s="653">
        <f t="shared" si="4"/>
        <v>0</v>
      </c>
    </row>
    <row r="62" spans="2:9" ht="14">
      <c r="B62" s="654" t="str">
        <f t="shared" si="3"/>
        <v>חייבים ויתרות חובה</v>
      </c>
      <c r="C62" s="655"/>
      <c r="D62" s="655"/>
      <c r="E62" s="655"/>
      <c r="F62" s="655"/>
      <c r="G62" s="653">
        <f t="shared" si="4"/>
        <v>0</v>
      </c>
    </row>
    <row r="63" spans="2:9" ht="14">
      <c r="B63" s="658" t="str">
        <f t="shared" si="3"/>
        <v>השקעות פיננסיות</v>
      </c>
      <c r="C63" s="652"/>
      <c r="D63" s="652"/>
      <c r="E63" s="652"/>
      <c r="F63" s="652"/>
      <c r="G63" s="653">
        <f t="shared" si="4"/>
        <v>0</v>
      </c>
    </row>
    <row r="64" spans="2:9" ht="14">
      <c r="B64" s="669" t="str">
        <f t="shared" si="3"/>
        <v>נכסי חוב סחירים</v>
      </c>
      <c r="C64" s="655"/>
      <c r="D64" s="655"/>
      <c r="E64" s="655"/>
      <c r="F64" s="655"/>
      <c r="G64" s="653">
        <f t="shared" si="4"/>
        <v>0</v>
      </c>
    </row>
    <row r="65" spans="2:7" ht="14">
      <c r="B65" s="669" t="str">
        <f t="shared" si="3"/>
        <v>נכסי חוב שאינם סחירים</v>
      </c>
      <c r="C65" s="655"/>
      <c r="D65" s="655"/>
      <c r="E65" s="655"/>
      <c r="F65" s="655"/>
      <c r="G65" s="653">
        <f t="shared" si="4"/>
        <v>0</v>
      </c>
    </row>
    <row r="66" spans="2:7" ht="14">
      <c r="B66" s="877" t="str">
        <f t="shared" si="3"/>
        <v>מניות</v>
      </c>
      <c r="C66" s="655"/>
      <c r="D66" s="655"/>
      <c r="E66" s="655"/>
      <c r="F66" s="655"/>
      <c r="G66" s="653">
        <f t="shared" si="4"/>
        <v>0</v>
      </c>
    </row>
    <row r="67" spans="2:7" ht="14">
      <c r="B67" s="669" t="str">
        <f t="shared" si="3"/>
        <v>אחרות</v>
      </c>
      <c r="C67" s="655"/>
      <c r="D67" s="655"/>
      <c r="E67" s="655"/>
      <c r="F67" s="655"/>
      <c r="G67" s="653">
        <f t="shared" si="4"/>
        <v>0</v>
      </c>
    </row>
    <row r="68" spans="2:7" ht="14">
      <c r="B68" s="658" t="str">
        <f t="shared" si="3"/>
        <v>סה"כ השקעות פיננסיות</v>
      </c>
      <c r="C68" s="652">
        <f>SUM(C63:C67)</f>
        <v>0</v>
      </c>
      <c r="D68" s="652">
        <f>SUM(D64:D67)</f>
        <v>0</v>
      </c>
      <c r="E68" s="652">
        <f>SUM(E64:E67)</f>
        <v>0</v>
      </c>
      <c r="F68" s="652">
        <f>SUM(F64:F67)</f>
        <v>0</v>
      </c>
      <c r="G68" s="653">
        <f t="shared" si="4"/>
        <v>0</v>
      </c>
    </row>
    <row r="69" spans="2:7" ht="14">
      <c r="B69" s="654" t="str">
        <f t="shared" si="3"/>
        <v>מזומנים ושווי מזומנים</v>
      </c>
      <c r="C69" s="655"/>
      <c r="D69" s="655"/>
      <c r="E69" s="655"/>
      <c r="F69" s="655"/>
      <c r="G69" s="653">
        <f t="shared" si="4"/>
        <v>0</v>
      </c>
    </row>
    <row r="70" spans="2:7" ht="14">
      <c r="B70" s="654" t="str">
        <f t="shared" si="3"/>
        <v>נכסים אחרים</v>
      </c>
      <c r="C70" s="655"/>
      <c r="D70" s="655"/>
      <c r="E70" s="655"/>
      <c r="F70" s="655"/>
      <c r="G70" s="653">
        <f t="shared" si="4"/>
        <v>0</v>
      </c>
    </row>
    <row r="71" spans="2:7" ht="14">
      <c r="B71" s="878" t="str">
        <f t="shared" si="3"/>
        <v>סך הכל נכסים</v>
      </c>
      <c r="C71" s="879">
        <f>SUM(C55:C62,C68:C70)</f>
        <v>0</v>
      </c>
      <c r="D71" s="879">
        <f>SUM(D55:D62,D68:D70)</f>
        <v>0</v>
      </c>
      <c r="E71" s="879">
        <f>SUM(E55:E62,E68:E70)</f>
        <v>0</v>
      </c>
      <c r="F71" s="879">
        <f>SUM(F55:F62,F68:F70)</f>
        <v>0</v>
      </c>
      <c r="G71" s="653">
        <f t="shared" si="4"/>
        <v>0</v>
      </c>
    </row>
    <row r="72" spans="2:7" ht="14">
      <c r="B72" s="880" t="str">
        <f t="shared" si="3"/>
        <v xml:space="preserve">סך הכל הון </v>
      </c>
      <c r="C72" s="655"/>
      <c r="D72" s="655"/>
      <c r="E72" s="655"/>
      <c r="F72" s="655"/>
      <c r="G72" s="653">
        <f t="shared" si="4"/>
        <v>0</v>
      </c>
    </row>
    <row r="73" spans="2:7" ht="14">
      <c r="B73" s="658" t="str">
        <f t="shared" si="3"/>
        <v xml:space="preserve">התחייבויות </v>
      </c>
      <c r="C73" s="652"/>
      <c r="D73" s="652"/>
      <c r="E73" s="652"/>
      <c r="F73" s="652"/>
      <c r="G73" s="653"/>
    </row>
    <row r="74" spans="2:7" ht="14">
      <c r="B74" s="677" t="str">
        <f t="shared" si="3"/>
        <v>התחייבויות מסים נדחים</v>
      </c>
      <c r="C74" s="655"/>
      <c r="D74" s="655"/>
      <c r="E74" s="655"/>
      <c r="F74" s="655"/>
      <c r="G74" s="653">
        <f t="shared" si="4"/>
        <v>0</v>
      </c>
    </row>
    <row r="75" spans="2:7" ht="14">
      <c r="B75" s="677" t="str">
        <f t="shared" si="3"/>
        <v>התחייבות בשל הטבות לעובדים, נטו</v>
      </c>
      <c r="C75" s="655"/>
      <c r="D75" s="655"/>
      <c r="E75" s="655"/>
      <c r="F75" s="655"/>
      <c r="G75" s="653">
        <f t="shared" si="4"/>
        <v>0</v>
      </c>
    </row>
    <row r="76" spans="2:7" ht="14">
      <c r="B76" s="677" t="str">
        <f t="shared" si="3"/>
        <v>התחייבויות בגין מסים שוטפים</v>
      </c>
      <c r="C76" s="655"/>
      <c r="D76" s="655"/>
      <c r="E76" s="655"/>
      <c r="F76" s="655"/>
      <c r="G76" s="653">
        <f t="shared" si="4"/>
        <v>0</v>
      </c>
    </row>
    <row r="77" spans="2:7" ht="14">
      <c r="B77" s="677" t="str">
        <f t="shared" si="3"/>
        <v>זכאים ויתרות זכות</v>
      </c>
      <c r="C77" s="655"/>
      <c r="D77" s="655"/>
      <c r="E77" s="655"/>
      <c r="F77" s="655"/>
      <c r="G77" s="653">
        <f t="shared" si="4"/>
        <v>0</v>
      </c>
    </row>
    <row r="78" spans="2:7" ht="14">
      <c r="B78" s="677" t="str">
        <f t="shared" si="3"/>
        <v xml:space="preserve">התחייבויות פיננסיות </v>
      </c>
      <c r="C78" s="655"/>
      <c r="D78" s="655"/>
      <c r="E78" s="655"/>
      <c r="F78" s="655"/>
      <c r="G78" s="653">
        <f t="shared" si="4"/>
        <v>0</v>
      </c>
    </row>
    <row r="79" spans="2:7" ht="14">
      <c r="B79" s="677" t="str">
        <f t="shared" si="3"/>
        <v>התחייבויות אחרות</v>
      </c>
      <c r="C79" s="655"/>
      <c r="D79" s="655"/>
      <c r="E79" s="655"/>
      <c r="F79" s="655"/>
      <c r="G79" s="653">
        <f t="shared" si="4"/>
        <v>0</v>
      </c>
    </row>
    <row r="80" spans="2:7" ht="14">
      <c r="B80" s="658" t="str">
        <f t="shared" si="3"/>
        <v xml:space="preserve">סך הכל התחייבויות </v>
      </c>
      <c r="C80" s="652">
        <f>SUM(C74:C79)</f>
        <v>0</v>
      </c>
      <c r="D80" s="652">
        <f>SUM(D74:D79)</f>
        <v>0</v>
      </c>
      <c r="E80" s="652">
        <f>SUM(E74:E79)</f>
        <v>0</v>
      </c>
      <c r="F80" s="652">
        <f>SUM(F74:F79)</f>
        <v>0</v>
      </c>
      <c r="G80" s="653">
        <f>SUM(C80:F80)</f>
        <v>0</v>
      </c>
    </row>
    <row r="81" spans="2:7" ht="14">
      <c r="B81" s="658" t="str">
        <f t="shared" si="3"/>
        <v>סך הכל הון והתחייבויות</v>
      </c>
      <c r="C81" s="652">
        <f>SUM(C80,C72)</f>
        <v>0</v>
      </c>
      <c r="D81" s="652">
        <f>SUM(D80,D72)</f>
        <v>0</v>
      </c>
      <c r="E81" s="652">
        <f>SUM(E80,E72)</f>
        <v>0</v>
      </c>
      <c r="F81" s="652">
        <f>SUM(F80,F72)</f>
        <v>0</v>
      </c>
      <c r="G81" s="653">
        <f t="shared" si="4"/>
        <v>0</v>
      </c>
    </row>
    <row r="82" spans="2:7" ht="14">
      <c r="B82" s="658" t="str">
        <f t="shared" si="3"/>
        <v>סך הכל חשיפה מאזנית</v>
      </c>
      <c r="C82" s="652">
        <f>C71-C81</f>
        <v>0</v>
      </c>
      <c r="D82" s="652">
        <f>D71-D81</f>
        <v>0</v>
      </c>
      <c r="E82" s="652">
        <f>E71-E81</f>
        <v>0</v>
      </c>
      <c r="F82" s="652">
        <f>F71-F81</f>
        <v>0</v>
      </c>
      <c r="G82" s="653">
        <f t="shared" si="4"/>
        <v>0</v>
      </c>
    </row>
    <row r="83" spans="2:7" ht="28">
      <c r="B83" s="694" t="str">
        <f t="shared" si="3"/>
        <v>חשיפה לנכסי בסיס באמצעות מכשירים נגזרים במונחי דלתא</v>
      </c>
      <c r="C83" s="680"/>
      <c r="D83" s="680"/>
      <c r="E83" s="680"/>
      <c r="F83" s="680"/>
      <c r="G83" s="661">
        <f t="shared" si="4"/>
        <v>0</v>
      </c>
    </row>
    <row r="84" spans="2:7" ht="13">
      <c r="B84" s="882" t="s">
        <v>1387</v>
      </c>
      <c r="C84" s="883">
        <f>C82+C83</f>
        <v>0</v>
      </c>
      <c r="D84" s="883">
        <f>D82+D83</f>
        <v>0</v>
      </c>
      <c r="E84" s="883">
        <f>E82+E83</f>
        <v>0</v>
      </c>
      <c r="F84" s="883">
        <f>F82+F83</f>
        <v>0</v>
      </c>
      <c r="G84" s="884">
        <f>G82+G83</f>
        <v>0</v>
      </c>
    </row>
  </sheetData>
  <sheetProtection password="C510" sheet="1" objects="1" scenarios="1" formatCells="0" formatColumns="0" formatRows="0"/>
  <mergeCells count="5">
    <mergeCell ref="C7:D7"/>
    <mergeCell ref="E7:F7"/>
    <mergeCell ref="G7:H7"/>
    <mergeCell ref="I7:J7"/>
    <mergeCell ref="E17:F17"/>
  </mergeCells>
  <conditionalFormatting sqref="C10:J13 C54:G63 C64:F70 C72:F79 C20:F36 G20:G49 C38:F49 G64:G79 C81:G83">
    <cfRule type="expression" dxfId="651" priority="6" stopIfTrue="1">
      <formula>AND(CELL("protect",C10)=1,CELL("type",C10)="v")</formula>
    </cfRule>
    <cfRule type="expression" dxfId="650" priority="7" stopIfTrue="1">
      <formula>CELL("protect",C10)</formula>
    </cfRule>
  </conditionalFormatting>
  <conditionalFormatting sqref="C80:G80">
    <cfRule type="expression" dxfId="649" priority="2" stopIfTrue="1">
      <formula>AND(CELL("protect",C80)=1,CELL("type",C80)="v")</formula>
    </cfRule>
    <cfRule type="expression" dxfId="648" priority="3" stopIfTrue="1">
      <formula>CELL("protect",C80)</formula>
    </cfRule>
  </conditionalFormatting>
  <hyperlinks>
    <hyperlink ref="D1" location="Information!A1" display="חזרה"/>
    <hyperlink ref="D5" location="Information!A1" display="חזרה"/>
    <hyperlink ref="G17" location="Information!A1" display="חזרה"/>
    <hyperlink ref="C3" location="Information!A60" display="Information!A60"/>
  </hyperlinks>
  <pageMargins left="0" right="0" top="0" bottom="0.51181102362204722" header="0" footer="0.23622047244094491"/>
  <pageSetup paperSize="9" scale="70"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4134408F-2407-4999-83FA-C87803D4521E}">
            <xm:f>Information!$G$54&gt;0</xm:f>
            <x14:dxf>
              <font>
                <b/>
                <i val="0"/>
                <color theme="1"/>
              </font>
              <fill>
                <patternFill>
                  <bgColor rgb="FFFFFF00"/>
                </patternFill>
              </fill>
            </x14:dxf>
          </x14:cfRule>
          <xm:sqref>C3</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00"/>
    <pageSetUpPr fitToPage="1"/>
  </sheetPr>
  <dimension ref="B1:R68"/>
  <sheetViews>
    <sheetView rightToLeft="1" workbookViewId="0"/>
  </sheetViews>
  <sheetFormatPr defaultColWidth="9.1796875" defaultRowHeight="12.5"/>
  <cols>
    <col min="1" max="1" width="4.54296875" style="529" customWidth="1"/>
    <col min="2" max="2" width="47.54296875" style="529" customWidth="1"/>
    <col min="3" max="3" width="12.1796875" style="529" customWidth="1"/>
    <col min="4" max="4" width="15.81640625" style="529" customWidth="1"/>
    <col min="5" max="5" width="10.453125" style="529" customWidth="1"/>
    <col min="6" max="6" width="11" style="529" customWidth="1"/>
    <col min="7" max="8" width="10.54296875" style="529" customWidth="1"/>
    <col min="9" max="9" width="13.453125" style="529" customWidth="1"/>
    <col min="10" max="10" width="15.54296875" style="529" customWidth="1"/>
    <col min="11" max="11" width="9.1796875"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C4" s="588"/>
      <c r="D4" s="588"/>
      <c r="E4" s="588"/>
      <c r="F4" s="588"/>
      <c r="G4" s="588"/>
      <c r="H4" s="588"/>
      <c r="I4" s="588"/>
      <c r="J4" s="588"/>
      <c r="K4" s="588"/>
      <c r="L4" s="588"/>
      <c r="M4" s="529" t="e">
        <f>INDEX($Q$4:$Q$4,N1)</f>
        <v>#N/A</v>
      </c>
      <c r="P4" s="529" t="s">
        <v>333</v>
      </c>
      <c r="Q4" s="529">
        <v>2012</v>
      </c>
      <c r="R4" s="529">
        <v>1</v>
      </c>
    </row>
    <row r="5" spans="2:18" ht="15.5">
      <c r="B5" s="711" t="str">
        <f>Information!$F$38</f>
        <v>באור 26א' - יתרות עם בעלי עניין וצדדים קשורים</v>
      </c>
      <c r="C5" s="742"/>
      <c r="D5" s="642" t="s">
        <v>263</v>
      </c>
      <c r="E5" s="747"/>
      <c r="F5" s="747"/>
    </row>
    <row r="6" spans="2:18" ht="15.5">
      <c r="B6" s="22" t="s">
        <v>2746</v>
      </c>
      <c r="C6" s="743"/>
      <c r="D6" s="743"/>
      <c r="E6" s="747"/>
      <c r="F6" s="747"/>
    </row>
    <row r="7" spans="2:18" ht="52">
      <c r="B7" s="833"/>
      <c r="C7" s="7" t="s">
        <v>1347</v>
      </c>
      <c r="D7" s="7" t="s">
        <v>1348</v>
      </c>
      <c r="E7" s="7" t="s">
        <v>994</v>
      </c>
      <c r="F7" s="7" t="s">
        <v>995</v>
      </c>
      <c r="G7" s="6" t="s">
        <v>1349</v>
      </c>
    </row>
    <row r="8" spans="2:18" ht="13">
      <c r="B8" s="765"/>
      <c r="C8" s="834" t="s">
        <v>29</v>
      </c>
      <c r="D8" s="834" t="s">
        <v>41</v>
      </c>
      <c r="E8" s="834" t="s">
        <v>63</v>
      </c>
      <c r="F8" s="834" t="s">
        <v>65</v>
      </c>
      <c r="G8" s="835" t="s">
        <v>86</v>
      </c>
    </row>
    <row r="9" spans="2:18" ht="15.5">
      <c r="B9" s="836" t="str">
        <f>Date1</f>
        <v>31.12.2021</v>
      </c>
      <c r="C9" s="652"/>
      <c r="D9" s="652"/>
      <c r="E9" s="652"/>
      <c r="F9" s="652"/>
      <c r="G9" s="653"/>
    </row>
    <row r="10" spans="2:18" ht="14">
      <c r="B10" s="654" t="s">
        <v>1350</v>
      </c>
      <c r="C10" s="655"/>
      <c r="D10" s="655"/>
      <c r="E10" s="655"/>
      <c r="F10" s="655"/>
      <c r="G10" s="668"/>
    </row>
    <row r="11" spans="2:18" ht="14">
      <c r="B11" s="654" t="s">
        <v>75</v>
      </c>
      <c r="C11" s="655"/>
      <c r="D11" s="655"/>
      <c r="E11" s="655"/>
      <c r="F11" s="655"/>
      <c r="G11" s="668"/>
    </row>
    <row r="12" spans="2:18" ht="14">
      <c r="B12" s="1128" t="s">
        <v>813</v>
      </c>
      <c r="C12" s="655"/>
      <c r="D12" s="655"/>
      <c r="E12" s="655"/>
      <c r="F12" s="655"/>
      <c r="G12" s="668"/>
    </row>
    <row r="13" spans="2:18" ht="14">
      <c r="B13" s="1128" t="s">
        <v>6</v>
      </c>
      <c r="C13" s="655"/>
      <c r="D13" s="655"/>
      <c r="E13" s="655"/>
      <c r="F13" s="655"/>
      <c r="G13" s="668"/>
    </row>
    <row r="14" spans="2:18" ht="14">
      <c r="B14" s="1128" t="s">
        <v>2676</v>
      </c>
      <c r="C14" s="655"/>
      <c r="D14" s="655"/>
      <c r="E14" s="655"/>
      <c r="F14" s="655"/>
      <c r="G14" s="668"/>
    </row>
    <row r="15" spans="2:18" ht="14">
      <c r="B15" s="654" t="s">
        <v>833</v>
      </c>
      <c r="C15" s="655"/>
      <c r="D15" s="655"/>
      <c r="E15" s="655"/>
      <c r="F15" s="655"/>
      <c r="G15" s="668"/>
    </row>
    <row r="16" spans="2:18" ht="14">
      <c r="B16" s="654" t="s">
        <v>834</v>
      </c>
      <c r="C16" s="655"/>
      <c r="D16" s="655"/>
      <c r="E16" s="655"/>
      <c r="F16" s="655"/>
      <c r="G16" s="668"/>
    </row>
    <row r="17" spans="2:7" ht="14">
      <c r="B17" s="654" t="s">
        <v>2677</v>
      </c>
      <c r="C17" s="655"/>
      <c r="D17" s="655"/>
      <c r="E17" s="655"/>
      <c r="F17" s="655"/>
      <c r="G17" s="668"/>
    </row>
    <row r="18" spans="2:7" ht="21" customHeight="1">
      <c r="B18" s="617" t="s">
        <v>2706</v>
      </c>
      <c r="C18" s="837"/>
      <c r="D18" s="837"/>
      <c r="E18" s="837"/>
      <c r="F18" s="837"/>
      <c r="G18" s="668"/>
    </row>
    <row r="19" spans="2:7" ht="15.5">
      <c r="B19" s="836" t="str">
        <f>Date3</f>
        <v>31.12.2020</v>
      </c>
      <c r="C19" s="652"/>
      <c r="D19" s="652"/>
      <c r="E19" s="652"/>
      <c r="F19" s="652"/>
      <c r="G19" s="653"/>
    </row>
    <row r="20" spans="2:7" ht="14">
      <c r="B20" s="654" t="s">
        <v>1350</v>
      </c>
      <c r="C20" s="655"/>
      <c r="D20" s="655"/>
      <c r="E20" s="655"/>
      <c r="F20" s="655"/>
      <c r="G20" s="668"/>
    </row>
    <row r="21" spans="2:7" ht="14">
      <c r="B21" s="654" t="s">
        <v>75</v>
      </c>
      <c r="C21" s="655"/>
      <c r="D21" s="655"/>
      <c r="E21" s="655"/>
      <c r="F21" s="655"/>
      <c r="G21" s="668"/>
    </row>
    <row r="22" spans="2:7" ht="14">
      <c r="B22" s="1128" t="s">
        <v>813</v>
      </c>
      <c r="C22" s="655"/>
      <c r="D22" s="655"/>
      <c r="E22" s="655"/>
      <c r="F22" s="655"/>
      <c r="G22" s="668"/>
    </row>
    <row r="23" spans="2:7" ht="14">
      <c r="B23" s="1128" t="s">
        <v>6</v>
      </c>
      <c r="C23" s="655"/>
      <c r="D23" s="655"/>
      <c r="E23" s="655"/>
      <c r="F23" s="655"/>
      <c r="G23" s="668"/>
    </row>
    <row r="24" spans="2:7" ht="14">
      <c r="B24" s="1128" t="s">
        <v>2676</v>
      </c>
      <c r="C24" s="655"/>
      <c r="D24" s="655"/>
      <c r="E24" s="655"/>
      <c r="F24" s="655"/>
      <c r="G24" s="668"/>
    </row>
    <row r="25" spans="2:7" ht="14">
      <c r="B25" s="654" t="s">
        <v>833</v>
      </c>
      <c r="C25" s="655"/>
      <c r="D25" s="655"/>
      <c r="E25" s="655"/>
      <c r="F25" s="655"/>
      <c r="G25" s="668"/>
    </row>
    <row r="26" spans="2:7" ht="14">
      <c r="B26" s="654" t="s">
        <v>834</v>
      </c>
      <c r="C26" s="655"/>
      <c r="D26" s="655"/>
      <c r="E26" s="655"/>
      <c r="F26" s="655"/>
      <c r="G26" s="668"/>
    </row>
    <row r="27" spans="2:7" ht="14">
      <c r="B27" s="654" t="s">
        <v>2677</v>
      </c>
      <c r="C27" s="655"/>
      <c r="D27" s="655"/>
      <c r="E27" s="655"/>
      <c r="F27" s="655"/>
      <c r="G27" s="668"/>
    </row>
    <row r="28" spans="2:7" ht="21.75" customHeight="1">
      <c r="B28" s="838" t="s">
        <v>2706</v>
      </c>
      <c r="C28" s="839"/>
      <c r="D28" s="839"/>
      <c r="E28" s="839"/>
      <c r="F28" s="839"/>
      <c r="G28" s="681"/>
    </row>
    <row r="29" spans="2:7" ht="15.5">
      <c r="B29" s="1164" t="s">
        <v>2707</v>
      </c>
      <c r="C29" s="743"/>
      <c r="D29" s="743"/>
      <c r="E29" s="747"/>
      <c r="F29" s="747"/>
    </row>
    <row r="30" spans="2:7" ht="15.5">
      <c r="B30" s="711" t="str">
        <f>Information!$F$39</f>
        <v xml:space="preserve">באור 26ב' - עסקאות עם בעלי עניין וצדדים קשורים </v>
      </c>
      <c r="C30" s="742"/>
      <c r="D30" s="642" t="s">
        <v>263</v>
      </c>
      <c r="E30" s="747"/>
      <c r="F30" s="747"/>
    </row>
    <row r="31" spans="2:7" ht="15.5">
      <c r="B31" s="22"/>
      <c r="C31" s="743"/>
      <c r="D31" s="743"/>
      <c r="E31" s="747"/>
      <c r="F31" s="747"/>
    </row>
    <row r="32" spans="2:7" ht="52">
      <c r="B32" s="833"/>
      <c r="C32" s="7" t="s">
        <v>1347</v>
      </c>
      <c r="D32" s="7" t="s">
        <v>1348</v>
      </c>
      <c r="E32" s="7" t="s">
        <v>994</v>
      </c>
      <c r="F32" s="7" t="s">
        <v>995</v>
      </c>
      <c r="G32" s="6" t="s">
        <v>1349</v>
      </c>
    </row>
    <row r="33" spans="2:9" ht="13">
      <c r="B33" s="765"/>
      <c r="C33" s="834" t="s">
        <v>29</v>
      </c>
      <c r="D33" s="834" t="s">
        <v>41</v>
      </c>
      <c r="E33" s="834" t="s">
        <v>63</v>
      </c>
      <c r="F33" s="834" t="s">
        <v>65</v>
      </c>
      <c r="G33" s="835" t="s">
        <v>86</v>
      </c>
    </row>
    <row r="34" spans="2:9" ht="15.5">
      <c r="B34" s="836" t="str">
        <f>Period1</f>
        <v>שנת 2021</v>
      </c>
      <c r="C34" s="652"/>
      <c r="D34" s="652"/>
      <c r="E34" s="652"/>
      <c r="F34" s="652"/>
      <c r="G34" s="653"/>
    </row>
    <row r="35" spans="2:9" ht="14">
      <c r="B35" s="654" t="s">
        <v>1351</v>
      </c>
      <c r="C35" s="655"/>
      <c r="D35" s="655"/>
      <c r="E35" s="655"/>
      <c r="F35" s="655"/>
      <c r="G35" s="655"/>
      <c r="I35" s="492"/>
    </row>
    <row r="36" spans="2:9" ht="14">
      <c r="B36" s="654" t="s">
        <v>857</v>
      </c>
      <c r="C36" s="655"/>
      <c r="D36" s="655"/>
      <c r="E36" s="655"/>
      <c r="F36" s="655"/>
      <c r="G36" s="655"/>
      <c r="I36" s="492"/>
    </row>
    <row r="37" spans="2:9" ht="14">
      <c r="B37" s="654" t="s">
        <v>861</v>
      </c>
      <c r="C37" s="655"/>
      <c r="D37" s="655"/>
      <c r="E37" s="655"/>
      <c r="F37" s="655"/>
      <c r="G37" s="655"/>
      <c r="I37" s="492"/>
    </row>
    <row r="38" spans="2:9" ht="14">
      <c r="B38" s="654" t="s">
        <v>862</v>
      </c>
      <c r="C38" s="655"/>
      <c r="D38" s="655"/>
      <c r="E38" s="655"/>
      <c r="F38" s="655"/>
      <c r="G38" s="655"/>
      <c r="I38" s="492"/>
    </row>
    <row r="39" spans="2:9" ht="15.5">
      <c r="B39" s="836" t="str">
        <f>Period2</f>
        <v>שנת 2020</v>
      </c>
      <c r="C39" s="652"/>
      <c r="D39" s="652"/>
      <c r="E39" s="652"/>
      <c r="F39" s="652"/>
      <c r="G39" s="653"/>
    </row>
    <row r="40" spans="2:9" ht="14">
      <c r="B40" s="654" t="str">
        <f>$B$35</f>
        <v>דמי ניהול</v>
      </c>
      <c r="C40" s="655"/>
      <c r="D40" s="655"/>
      <c r="E40" s="655"/>
      <c r="F40" s="655"/>
      <c r="G40" s="655"/>
    </row>
    <row r="41" spans="2:9" ht="14">
      <c r="B41" s="654" t="str">
        <f>$B$36</f>
        <v>הכנסות אחרות</v>
      </c>
      <c r="C41" s="655"/>
      <c r="D41" s="655"/>
      <c r="E41" s="655"/>
      <c r="F41" s="655"/>
      <c r="G41" s="655"/>
    </row>
    <row r="42" spans="2:9" ht="14">
      <c r="B42" s="654" t="str">
        <f>$B$37</f>
        <v>הוצאות אחרות</v>
      </c>
      <c r="C42" s="655"/>
      <c r="D42" s="655"/>
      <c r="E42" s="655"/>
      <c r="F42" s="655"/>
      <c r="G42" s="655"/>
    </row>
    <row r="43" spans="2:9" ht="14">
      <c r="B43" s="654" t="str">
        <f>$B$38</f>
        <v>הוצאות מימון</v>
      </c>
      <c r="C43" s="655"/>
      <c r="D43" s="655"/>
      <c r="E43" s="655"/>
      <c r="F43" s="655"/>
      <c r="G43" s="655"/>
    </row>
    <row r="44" spans="2:9" ht="15.5">
      <c r="B44" s="836" t="str">
        <f>Period5</f>
        <v>שנת 2019</v>
      </c>
      <c r="C44" s="652"/>
      <c r="D44" s="652"/>
      <c r="E44" s="652"/>
      <c r="F44" s="652"/>
      <c r="G44" s="653"/>
    </row>
    <row r="45" spans="2:9" ht="14">
      <c r="B45" s="654" t="str">
        <f>$B$35</f>
        <v>דמי ניהול</v>
      </c>
      <c r="C45" s="655"/>
      <c r="D45" s="655"/>
      <c r="E45" s="655"/>
      <c r="F45" s="655"/>
      <c r="G45" s="655"/>
    </row>
    <row r="46" spans="2:9" ht="14">
      <c r="B46" s="654" t="str">
        <f>$B$36</f>
        <v>הכנסות אחרות</v>
      </c>
      <c r="C46" s="655"/>
      <c r="D46" s="655"/>
      <c r="E46" s="655"/>
      <c r="F46" s="655"/>
      <c r="G46" s="655"/>
    </row>
    <row r="47" spans="2:9" ht="14">
      <c r="B47" s="654" t="str">
        <f>$B$37</f>
        <v>הוצאות אחרות</v>
      </c>
      <c r="C47" s="655"/>
      <c r="D47" s="655"/>
      <c r="E47" s="655"/>
      <c r="F47" s="655"/>
      <c r="G47" s="655"/>
    </row>
    <row r="48" spans="2:9" ht="14">
      <c r="B48" s="654" t="str">
        <f>$B$38</f>
        <v>הוצאות מימון</v>
      </c>
      <c r="C48" s="655"/>
      <c r="D48" s="655"/>
      <c r="E48" s="655"/>
      <c r="F48" s="655"/>
      <c r="G48" s="655"/>
    </row>
    <row r="50" spans="2:8" ht="15.5">
      <c r="B50" s="711" t="str">
        <f>Information!$F$40</f>
        <v xml:space="preserve">באור 26ג' - הטבות לאנשי מפתח ניהוליים </v>
      </c>
      <c r="D50" s="642" t="s">
        <v>263</v>
      </c>
    </row>
    <row r="52" spans="2:8" ht="15.5">
      <c r="B52" s="1091"/>
      <c r="C52" s="1898" t="str">
        <f>Period1</f>
        <v>שנת 2021</v>
      </c>
      <c r="D52" s="1899"/>
      <c r="E52" s="1900" t="str">
        <f>Period2</f>
        <v>שנת 2020</v>
      </c>
      <c r="F52" s="1901"/>
      <c r="G52" s="1898" t="str">
        <f>Period5</f>
        <v>שנת 2019</v>
      </c>
      <c r="H52" s="1899"/>
    </row>
    <row r="53" spans="2:8" ht="15.5">
      <c r="B53" s="1092"/>
      <c r="C53" s="1098" t="s">
        <v>1353</v>
      </c>
      <c r="D53" s="763" t="s">
        <v>304</v>
      </c>
      <c r="E53" s="1096" t="str">
        <f>C53</f>
        <v>מס' אנשים</v>
      </c>
      <c r="F53" s="1177" t="str">
        <f>D53</f>
        <v>סכום</v>
      </c>
      <c r="G53" s="1098" t="str">
        <f>E53</f>
        <v>מס' אנשים</v>
      </c>
      <c r="H53" s="763" t="str">
        <f>F53</f>
        <v>סכום</v>
      </c>
    </row>
    <row r="54" spans="2:8" ht="13">
      <c r="B54" s="1093"/>
      <c r="C54" s="1083" t="s">
        <v>29</v>
      </c>
      <c r="D54" s="835" t="s">
        <v>41</v>
      </c>
      <c r="E54" s="1079" t="s">
        <v>63</v>
      </c>
      <c r="F54" s="1178" t="s">
        <v>65</v>
      </c>
      <c r="G54" s="1083" t="s">
        <v>86</v>
      </c>
      <c r="H54" s="835" t="s">
        <v>88</v>
      </c>
    </row>
    <row r="55" spans="2:8" ht="14">
      <c r="B55" s="1094" t="s">
        <v>1354</v>
      </c>
      <c r="C55" s="1084"/>
      <c r="D55" s="668"/>
      <c r="E55" s="803"/>
      <c r="F55" s="1179"/>
      <c r="G55" s="1084"/>
      <c r="H55" s="668"/>
    </row>
    <row r="56" spans="2:8" ht="14">
      <c r="B56" s="1094" t="s">
        <v>1355</v>
      </c>
      <c r="C56" s="1084"/>
      <c r="D56" s="668"/>
      <c r="E56" s="803"/>
      <c r="F56" s="1179"/>
      <c r="G56" s="1084"/>
      <c r="H56" s="668"/>
    </row>
    <row r="57" spans="2:8" ht="14">
      <c r="B57" s="1094" t="s">
        <v>1356</v>
      </c>
      <c r="C57" s="1084"/>
      <c r="D57" s="668"/>
      <c r="E57" s="803"/>
      <c r="F57" s="1179"/>
      <c r="G57" s="1084"/>
      <c r="H57" s="668"/>
    </row>
    <row r="58" spans="2:8" ht="14">
      <c r="B58" s="1094" t="s">
        <v>1357</v>
      </c>
      <c r="C58" s="1084"/>
      <c r="D58" s="668"/>
      <c r="E58" s="803"/>
      <c r="F58" s="1179"/>
      <c r="G58" s="1084"/>
      <c r="H58" s="668"/>
    </row>
    <row r="59" spans="2:8" ht="14">
      <c r="B59" s="1094" t="s">
        <v>1358</v>
      </c>
      <c r="C59" s="1084"/>
      <c r="D59" s="668"/>
      <c r="E59" s="803"/>
      <c r="F59" s="1179"/>
      <c r="G59" s="1084"/>
      <c r="H59" s="668"/>
    </row>
    <row r="60" spans="2:8" ht="14">
      <c r="B60" s="1095" t="s">
        <v>1359</v>
      </c>
      <c r="C60" s="1099"/>
      <c r="D60" s="661">
        <f>SUM(D55:D59)</f>
        <v>0</v>
      </c>
      <c r="E60" s="1097"/>
      <c r="F60" s="1180">
        <f>SUM(F55:F59)</f>
        <v>0</v>
      </c>
      <c r="G60" s="1099"/>
      <c r="H60" s="661">
        <f>SUM(H55:H59)</f>
        <v>0</v>
      </c>
    </row>
    <row r="62" spans="2:8" ht="15.5">
      <c r="B62" s="711" t="str">
        <f>Information!$F$41</f>
        <v xml:space="preserve">באור 26ד' - הטבות לצדדים קשורים ולבעלי עניין אחרים </v>
      </c>
      <c r="D62" s="642" t="s">
        <v>263</v>
      </c>
    </row>
    <row r="64" spans="2:8" ht="15.65" customHeight="1">
      <c r="B64" s="1091"/>
      <c r="C64" s="1898" t="str">
        <f>Period1</f>
        <v>שנת 2021</v>
      </c>
      <c r="D64" s="1899"/>
      <c r="E64" s="1898" t="str">
        <f>Period2</f>
        <v>שנת 2020</v>
      </c>
      <c r="F64" s="1899"/>
      <c r="G64" s="1898" t="str">
        <f>Period5</f>
        <v>שנת 2019</v>
      </c>
      <c r="H64" s="1899"/>
    </row>
    <row r="65" spans="2:8" ht="15.5">
      <c r="B65" s="1092"/>
      <c r="C65" s="1098" t="s">
        <v>1353</v>
      </c>
      <c r="D65" s="763" t="s">
        <v>304</v>
      </c>
      <c r="E65" s="1098" t="str">
        <f>C65</f>
        <v>מס' אנשים</v>
      </c>
      <c r="F65" s="763" t="str">
        <f>D65</f>
        <v>סכום</v>
      </c>
      <c r="G65" s="1098" t="str">
        <f>E65</f>
        <v>מס' אנשים</v>
      </c>
      <c r="H65" s="763" t="str">
        <f>F65</f>
        <v>סכום</v>
      </c>
    </row>
    <row r="66" spans="2:8" ht="13">
      <c r="B66" s="1093"/>
      <c r="C66" s="1083" t="s">
        <v>29</v>
      </c>
      <c r="D66" s="835" t="s">
        <v>41</v>
      </c>
      <c r="E66" s="1083" t="s">
        <v>63</v>
      </c>
      <c r="F66" s="835" t="s">
        <v>65</v>
      </c>
      <c r="G66" s="1083" t="s">
        <v>86</v>
      </c>
      <c r="H66" s="835" t="s">
        <v>88</v>
      </c>
    </row>
    <row r="67" spans="2:8" ht="14">
      <c r="B67" s="1094" t="s">
        <v>1360</v>
      </c>
      <c r="C67" s="1429"/>
      <c r="D67" s="1430"/>
      <c r="E67" s="1429"/>
      <c r="F67" s="1430"/>
      <c r="G67" s="1429"/>
      <c r="H67" s="1430"/>
    </row>
    <row r="68" spans="2:8" ht="14">
      <c r="B68" s="1095" t="s">
        <v>233</v>
      </c>
      <c r="C68" s="1181"/>
      <c r="D68" s="1182"/>
      <c r="E68" s="1181"/>
      <c r="F68" s="1182"/>
      <c r="G68" s="1181"/>
      <c r="H68" s="1182"/>
    </row>
  </sheetData>
  <sheetProtection password="C5AC" sheet="1" objects="1" scenarios="1" formatCells="0" formatColumns="0" formatRows="0"/>
  <mergeCells count="6">
    <mergeCell ref="C52:D52"/>
    <mergeCell ref="E52:F52"/>
    <mergeCell ref="G52:H52"/>
    <mergeCell ref="C64:D64"/>
    <mergeCell ref="E64:F64"/>
    <mergeCell ref="G64:H64"/>
  </mergeCells>
  <conditionalFormatting sqref="C19:G19 C9:G17 G18">
    <cfRule type="expression" dxfId="646" priority="36" stopIfTrue="1">
      <formula>AND(CELL("protect",C9)=1,CELL("type",C9)="v")</formula>
    </cfRule>
    <cfRule type="expression" dxfId="645" priority="37" stopIfTrue="1">
      <formula>CELL("protect",C9)</formula>
    </cfRule>
  </conditionalFormatting>
  <conditionalFormatting sqref="C34:G34 C39:G39">
    <cfRule type="expression" dxfId="644" priority="34" stopIfTrue="1">
      <formula>AND(CELL("protect",C34)=1,CELL("type",C34)="v")</formula>
    </cfRule>
    <cfRule type="expression" dxfId="643" priority="35" stopIfTrue="1">
      <formula>CELL("protect",C34)</formula>
    </cfRule>
  </conditionalFormatting>
  <conditionalFormatting sqref="C44:G44">
    <cfRule type="expression" dxfId="642" priority="32" stopIfTrue="1">
      <formula>AND(CELL("protect",C44)=1,CELL("type",C44)="v")</formula>
    </cfRule>
    <cfRule type="expression" dxfId="641" priority="33" stopIfTrue="1">
      <formula>CELL("protect",C44)</formula>
    </cfRule>
  </conditionalFormatting>
  <conditionalFormatting sqref="D60 F60 E55:H59 H60">
    <cfRule type="expression" dxfId="640" priority="30" stopIfTrue="1">
      <formula>AND(CELL("protect",D55)=1,CELL("type",D55)="v")</formula>
    </cfRule>
    <cfRule type="expression" dxfId="639" priority="31" stopIfTrue="1">
      <formula>CELL("protect",D55)</formula>
    </cfRule>
  </conditionalFormatting>
  <conditionalFormatting sqref="C20:G27 G28">
    <cfRule type="expression" dxfId="638" priority="26" stopIfTrue="1">
      <formula>AND(CELL("protect",C20)=1,CELL("type",C20)="v")</formula>
    </cfRule>
    <cfRule type="expression" dxfId="637" priority="27" stopIfTrue="1">
      <formula>CELL("protect",C20)</formula>
    </cfRule>
  </conditionalFormatting>
  <conditionalFormatting sqref="C55:D59">
    <cfRule type="expression" dxfId="636" priority="24" stopIfTrue="1">
      <formula>AND(CELL("protect",C55)=1,CELL("type",C55)="v")</formula>
    </cfRule>
    <cfRule type="expression" dxfId="635" priority="25" stopIfTrue="1">
      <formula>CELL("protect",C55)</formula>
    </cfRule>
  </conditionalFormatting>
  <conditionalFormatting sqref="C45:G48 C40:G43 C35:G38">
    <cfRule type="expression" dxfId="634" priority="20" stopIfTrue="1">
      <formula>AND(CELL("protect",C35)=1,CELL("type",C35)="v")</formula>
    </cfRule>
    <cfRule type="expression" dxfId="633" priority="21" stopIfTrue="1">
      <formula>CELL("protect",C35)</formula>
    </cfRule>
  </conditionalFormatting>
  <conditionalFormatting sqref="C55:H59">
    <cfRule type="expression" dxfId="632" priority="18" stopIfTrue="1">
      <formula>AND(CELL("protect",C55)=1,CELL("type",C55)="v")</formula>
    </cfRule>
    <cfRule type="expression" dxfId="631" priority="19" stopIfTrue="1">
      <formula>CELL("protect",C55)</formula>
    </cfRule>
  </conditionalFormatting>
  <conditionalFormatting sqref="G67:H68">
    <cfRule type="expression" dxfId="630" priority="12" stopIfTrue="1">
      <formula>AND(CELL("protect",G67)=1,CELL("type",G67)="v")</formula>
    </cfRule>
    <cfRule type="expression" dxfId="629" priority="13" stopIfTrue="1">
      <formula>CELL("protect",G67)</formula>
    </cfRule>
  </conditionalFormatting>
  <conditionalFormatting sqref="G67:H68">
    <cfRule type="expression" dxfId="628" priority="10" stopIfTrue="1">
      <formula>AND(CELL("protect",G67)=1,CELL("type",G67)="v")</formula>
    </cfRule>
    <cfRule type="expression" dxfId="627" priority="11" stopIfTrue="1">
      <formula>CELL("protect",G67)</formula>
    </cfRule>
  </conditionalFormatting>
  <conditionalFormatting sqref="E67:F68">
    <cfRule type="expression" dxfId="626" priority="8" stopIfTrue="1">
      <formula>AND(CELL("protect",E67)=1,CELL("type",E67)="v")</formula>
    </cfRule>
    <cfRule type="expression" dxfId="625" priority="9" stopIfTrue="1">
      <formula>CELL("protect",E67)</formula>
    </cfRule>
  </conditionalFormatting>
  <conditionalFormatting sqref="E67:F68">
    <cfRule type="expression" dxfId="624" priority="6" stopIfTrue="1">
      <formula>AND(CELL("protect",E67)=1,CELL("type",E67)="v")</formula>
    </cfRule>
    <cfRule type="expression" dxfId="623" priority="7" stopIfTrue="1">
      <formula>CELL("protect",E67)</formula>
    </cfRule>
  </conditionalFormatting>
  <conditionalFormatting sqref="C67:D68">
    <cfRule type="expression" dxfId="622" priority="4" stopIfTrue="1">
      <formula>AND(CELL("protect",C67)=1,CELL("type",C67)="v")</formula>
    </cfRule>
    <cfRule type="expression" dxfId="621" priority="5" stopIfTrue="1">
      <formula>CELL("protect",C67)</formula>
    </cfRule>
  </conditionalFormatting>
  <conditionalFormatting sqref="C67:D68">
    <cfRule type="expression" dxfId="620" priority="2" stopIfTrue="1">
      <formula>AND(CELL("protect",C67)=1,CELL("type",C67)="v")</formula>
    </cfRule>
    <cfRule type="expression" dxfId="619" priority="3" stopIfTrue="1">
      <formula>CELL("protect",C67)</formula>
    </cfRule>
  </conditionalFormatting>
  <dataValidations count="1">
    <dataValidation type="custom" allowBlank="1" showInputMessage="1" showErrorMessage="1" sqref="C10:G17 G18 C20:G27 G28 C35:G38 C40:G43 C45:G48 C55:H59 C67:H68">
      <formula1>C10&gt;-0.00001</formula1>
    </dataValidation>
  </dataValidations>
  <hyperlinks>
    <hyperlink ref="D1" location="Information!A1" display="חזרה"/>
    <hyperlink ref="D5" location="Information!A1" display="חזרה"/>
    <hyperlink ref="D30" location="Information!A1" display="חזרה"/>
    <hyperlink ref="D50" location="Information!A1" display="חזרה"/>
    <hyperlink ref="D62" location="Information!A1" display="חזרה"/>
    <hyperlink ref="C3" location="Information!A60" display="Information!A60"/>
  </hyperlinks>
  <pageMargins left="0" right="0" top="0" bottom="0.51181102362204722" header="0" footer="0.23622047244094491"/>
  <pageSetup paperSize="9" scale="85"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E3CDB373-09C0-488C-8B9C-B86F1331B94A}">
            <xm:f>Information!$G$54&gt;0</xm:f>
            <x14:dxf>
              <font>
                <b/>
                <i val="0"/>
                <color theme="1"/>
              </font>
              <fill>
                <patternFill>
                  <bgColor rgb="FFFFFF00"/>
                </patternFill>
              </fill>
            </x14:dxf>
          </x14:cfRule>
          <xm:sqref>C3</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pageSetUpPr fitToPage="1"/>
  </sheetPr>
  <dimension ref="A1:R63"/>
  <sheetViews>
    <sheetView rightToLeft="1" workbookViewId="0"/>
  </sheetViews>
  <sheetFormatPr defaultColWidth="9.1796875" defaultRowHeight="12.5"/>
  <cols>
    <col min="1" max="1" width="4.54296875" style="529" customWidth="1"/>
    <col min="2" max="2" width="50.54296875" style="529" customWidth="1"/>
    <col min="3" max="5" width="11.54296875" style="529" customWidth="1"/>
    <col min="6" max="6" width="11" style="529" customWidth="1"/>
    <col min="7" max="7" width="10.54296875" style="529" customWidth="1"/>
    <col min="8" max="8" width="4.1796875" style="529" customWidth="1"/>
    <col min="9" max="9" width="43.81640625" style="529" customWidth="1"/>
    <col min="10" max="10" width="9.54296875" style="529" customWidth="1"/>
    <col min="11" max="11" width="9.1796875" style="529" customWidth="1"/>
    <col min="12" max="12" width="42" style="529" customWidth="1"/>
    <col min="13" max="13" width="10.1796875" style="529" bestFit="1" customWidth="1"/>
    <col min="14" max="16384" width="9.1796875" style="529"/>
  </cols>
  <sheetData>
    <row r="1" spans="1:18" ht="18">
      <c r="B1" s="15" t="str">
        <f>'B8'!B1</f>
        <v>_____חברה מנהלת</v>
      </c>
      <c r="C1" s="530"/>
      <c r="D1" s="642" t="s">
        <v>263</v>
      </c>
      <c r="M1" s="531" t="str">
        <f>date</f>
        <v>21</v>
      </c>
      <c r="N1" s="529" t="e">
        <f>VLOOKUP(M1,P4:R4,3,0)</f>
        <v>#N/A</v>
      </c>
      <c r="O1" s="529" t="str">
        <f>CONCATENATE(O2,O2)</f>
        <v/>
      </c>
    </row>
    <row r="2" spans="1:18" ht="18" hidden="1">
      <c r="B2" s="111"/>
      <c r="C2" s="532"/>
      <c r="D2" s="532"/>
      <c r="E2" s="532"/>
      <c r="M2" s="531" t="e">
        <f>INDEX($P$4:$P$4,$N$1+1)</f>
        <v>#N/A</v>
      </c>
    </row>
    <row r="3" spans="1:18" ht="15.5">
      <c r="B3" s="28" t="str">
        <f>line3</f>
        <v>הנתונים באלפי ש"ח</v>
      </c>
      <c r="C3" s="1469" t="s">
        <v>3876</v>
      </c>
      <c r="D3" s="533" t="str">
        <f>Date1</f>
        <v>31.12.2021</v>
      </c>
      <c r="E3" s="533"/>
      <c r="M3" s="531" t="e">
        <f>INDEX($P$4:$P$4,$N$1+2)</f>
        <v>#N/A</v>
      </c>
    </row>
    <row r="4" spans="1:18" ht="14">
      <c r="C4" s="588"/>
      <c r="D4" s="588"/>
      <c r="E4" s="588"/>
      <c r="F4" s="588"/>
      <c r="G4" s="588"/>
      <c r="H4" s="588"/>
      <c r="I4" s="588"/>
      <c r="J4" s="588"/>
      <c r="K4" s="588"/>
      <c r="L4" s="588"/>
      <c r="M4" s="529" t="e">
        <f>INDEX($Q$4:$Q$4,N1)</f>
        <v>#N/A</v>
      </c>
      <c r="P4" s="529" t="s">
        <v>333</v>
      </c>
      <c r="Q4" s="529">
        <v>2012</v>
      </c>
      <c r="R4" s="529">
        <v>1</v>
      </c>
    </row>
    <row r="5" spans="1:18" ht="15.5">
      <c r="B5" s="711" t="str">
        <f>Information!$F$34</f>
        <v>באור 22 - עמלות, הוצאות שיווק והוצאות רכישה אחרות</v>
      </c>
      <c r="C5" s="742"/>
      <c r="D5" s="642" t="s">
        <v>263</v>
      </c>
      <c r="E5" s="747"/>
      <c r="F5" s="747"/>
    </row>
    <row r="6" spans="1:18" ht="15.5">
      <c r="B6" s="22"/>
      <c r="C6" s="743"/>
      <c r="D6" s="743"/>
      <c r="E6" s="747"/>
      <c r="F6" s="747"/>
    </row>
    <row r="7" spans="1:18" ht="15.5">
      <c r="B7" s="616"/>
      <c r="C7" s="744" t="str">
        <f>Period1</f>
        <v>שנת 2021</v>
      </c>
      <c r="D7" s="5" t="str">
        <f>Period2</f>
        <v>שנת 2020</v>
      </c>
      <c r="E7" s="4" t="str">
        <f>Period5</f>
        <v>שנת 2019</v>
      </c>
      <c r="F7" s="747"/>
      <c r="J7" s="529" t="s">
        <v>1286</v>
      </c>
    </row>
    <row r="8" spans="1:18" ht="15.5">
      <c r="B8" s="761"/>
      <c r="C8" s="834" t="s">
        <v>29</v>
      </c>
      <c r="D8" s="834" t="s">
        <v>41</v>
      </c>
      <c r="E8" s="835" t="s">
        <v>63</v>
      </c>
      <c r="F8" s="747"/>
    </row>
    <row r="9" spans="1:18" ht="15.5">
      <c r="B9" s="748" t="s">
        <v>1315</v>
      </c>
      <c r="C9" s="814"/>
      <c r="D9" s="814"/>
      <c r="E9" s="815"/>
      <c r="F9" s="747"/>
      <c r="I9" s="492"/>
      <c r="J9"/>
    </row>
    <row r="10" spans="1:18" ht="15.5">
      <c r="B10" s="749" t="s">
        <v>945</v>
      </c>
      <c r="C10" s="816"/>
      <c r="D10" s="621"/>
      <c r="E10" s="622"/>
      <c r="F10" s="747"/>
      <c r="I10" s="794"/>
      <c r="J10"/>
    </row>
    <row r="11" spans="1:18" s="810" customFormat="1" ht="15.5">
      <c r="B11" s="749" t="s">
        <v>1316</v>
      </c>
      <c r="C11" s="816"/>
      <c r="D11" s="621"/>
      <c r="E11" s="622"/>
      <c r="F11" s="811"/>
      <c r="I11" s="492"/>
      <c r="J11" s="813"/>
    </row>
    <row r="12" spans="1:18" ht="15.5">
      <c r="B12" s="750" t="s">
        <v>1317</v>
      </c>
      <c r="C12" s="814">
        <f>SUM(C10:C11)</f>
        <v>0</v>
      </c>
      <c r="D12" s="814">
        <f>SUM(D10:D11)</f>
        <v>0</v>
      </c>
      <c r="E12" s="815">
        <f>SUM(E10:E11)</f>
        <v>0</v>
      </c>
      <c r="F12" s="747"/>
      <c r="I12" s="492"/>
      <c r="J12"/>
    </row>
    <row r="13" spans="1:18" ht="15.5">
      <c r="B13" s="748" t="s">
        <v>1318</v>
      </c>
      <c r="C13" s="818"/>
      <c r="D13" s="818"/>
      <c r="E13" s="819"/>
      <c r="F13" s="747"/>
      <c r="I13" s="492"/>
      <c r="J13"/>
    </row>
    <row r="14" spans="1:18" ht="15.5">
      <c r="B14" s="748" t="s">
        <v>1320</v>
      </c>
      <c r="C14" s="818"/>
      <c r="D14" s="818"/>
      <c r="E14" s="819"/>
      <c r="F14" s="747"/>
      <c r="I14" s="794"/>
      <c r="J14"/>
    </row>
    <row r="15" spans="1:18" ht="15.5">
      <c r="A15" s="1165"/>
      <c r="B15" s="1600" t="s">
        <v>4896</v>
      </c>
      <c r="C15" s="1601"/>
      <c r="D15" s="1601"/>
      <c r="E15" s="1602"/>
      <c r="F15" s="747"/>
      <c r="I15" s="794"/>
      <c r="J15"/>
    </row>
    <row r="16" spans="1:18" ht="15.5">
      <c r="B16" s="751" t="s">
        <v>1319</v>
      </c>
      <c r="C16" s="822">
        <f>SUM(C12:C14)-C15</f>
        <v>0</v>
      </c>
      <c r="D16" s="822">
        <f t="shared" ref="D16:E16" si="0">SUM(D12:D14)-D15</f>
        <v>0</v>
      </c>
      <c r="E16" s="823">
        <f t="shared" si="0"/>
        <v>0</v>
      </c>
      <c r="F16" s="747"/>
      <c r="I16" s="492"/>
      <c r="J16"/>
    </row>
    <row r="17" spans="2:10" ht="15.5">
      <c r="I17" s="769"/>
    </row>
    <row r="18" spans="2:10" ht="15.5">
      <c r="B18" s="711" t="str">
        <f>Information!$F$35</f>
        <v>באור 23 - הוצאות הנהלה וכלליות</v>
      </c>
      <c r="D18" s="642" t="s">
        <v>263</v>
      </c>
    </row>
    <row r="20" spans="2:10" ht="14">
      <c r="B20" s="616"/>
      <c r="C20" s="744" t="str">
        <f>Period1</f>
        <v>שנת 2021</v>
      </c>
      <c r="D20" s="5" t="str">
        <f>Period2</f>
        <v>שנת 2020</v>
      </c>
      <c r="E20" s="4" t="str">
        <f>Period5</f>
        <v>שנת 2019</v>
      </c>
    </row>
    <row r="21" spans="2:10" ht="14">
      <c r="B21" s="761"/>
      <c r="C21" s="834" t="s">
        <v>29</v>
      </c>
      <c r="D21" s="834" t="s">
        <v>41</v>
      </c>
      <c r="E21" s="835" t="s">
        <v>63</v>
      </c>
    </row>
    <row r="22" spans="2:10" ht="14">
      <c r="B22" s="746" t="s">
        <v>1327</v>
      </c>
      <c r="C22" s="816"/>
      <c r="D22" s="816"/>
      <c r="E22" s="825"/>
      <c r="I22" s="794"/>
      <c r="J22"/>
    </row>
    <row r="23" spans="2:10" ht="14">
      <c r="B23" s="746" t="s">
        <v>1328</v>
      </c>
      <c r="C23" s="816"/>
      <c r="D23" s="816"/>
      <c r="E23" s="825"/>
      <c r="I23" s="794"/>
      <c r="J23"/>
    </row>
    <row r="24" spans="2:10" ht="15.5">
      <c r="B24" s="746" t="s">
        <v>1321</v>
      </c>
      <c r="C24" s="816"/>
      <c r="D24" s="816"/>
      <c r="E24" s="825"/>
      <c r="I24" s="462"/>
      <c r="J24"/>
    </row>
    <row r="25" spans="2:10" ht="15.5">
      <c r="B25" s="746" t="s">
        <v>1322</v>
      </c>
      <c r="C25" s="816"/>
      <c r="D25" s="816"/>
      <c r="E25" s="825"/>
      <c r="I25" s="462"/>
      <c r="J25"/>
    </row>
    <row r="26" spans="2:10" ht="15.5">
      <c r="B26" s="746" t="s">
        <v>1323</v>
      </c>
      <c r="C26" s="816"/>
      <c r="D26" s="816"/>
      <c r="E26" s="825"/>
      <c r="I26" s="462"/>
      <c r="J26"/>
    </row>
    <row r="27" spans="2:10" ht="15.5">
      <c r="B27" s="746" t="s">
        <v>1324</v>
      </c>
      <c r="C27" s="816"/>
      <c r="D27" s="816"/>
      <c r="E27" s="825"/>
      <c r="I27" s="462"/>
      <c r="J27"/>
    </row>
    <row r="28" spans="2:10" ht="14">
      <c r="B28" s="746" t="s">
        <v>1329</v>
      </c>
      <c r="C28" s="816"/>
      <c r="D28" s="816"/>
      <c r="E28" s="825"/>
      <c r="I28" s="794"/>
      <c r="J28"/>
    </row>
    <row r="29" spans="2:10" ht="15.5">
      <c r="B29" s="746" t="s">
        <v>1325</v>
      </c>
      <c r="C29" s="816"/>
      <c r="D29" s="816"/>
      <c r="E29" s="825"/>
      <c r="I29" s="462"/>
      <c r="J29"/>
    </row>
    <row r="30" spans="2:10" ht="14">
      <c r="B30" s="746" t="s">
        <v>817</v>
      </c>
      <c r="C30" s="816"/>
      <c r="D30" s="816"/>
      <c r="E30" s="825"/>
      <c r="I30" s="794"/>
      <c r="J30"/>
    </row>
    <row r="31" spans="2:10" ht="15.5">
      <c r="B31" s="748" t="s">
        <v>1330</v>
      </c>
      <c r="C31" s="824">
        <f>SUM(C22:C30)</f>
        <v>0</v>
      </c>
      <c r="D31" s="824">
        <f>SUM(D22:D30)</f>
        <v>0</v>
      </c>
      <c r="E31" s="826">
        <f>SUM(E22:E30)</f>
        <v>0</v>
      </c>
      <c r="I31" s="462"/>
      <c r="J31"/>
    </row>
    <row r="32" spans="2:10" ht="28">
      <c r="B32" s="746" t="s">
        <v>1326</v>
      </c>
      <c r="C32" s="816"/>
      <c r="D32" s="816"/>
      <c r="E32" s="825"/>
      <c r="I32" s="462"/>
      <c r="J32"/>
    </row>
    <row r="33" spans="1:10" ht="15.5">
      <c r="B33" s="748" t="s">
        <v>860</v>
      </c>
      <c r="C33" s="824">
        <f>C31-C32</f>
        <v>0</v>
      </c>
      <c r="D33" s="824">
        <f>D31-D32</f>
        <v>0</v>
      </c>
      <c r="E33" s="826">
        <f>E31-E32</f>
        <v>0</v>
      </c>
      <c r="I33" s="462"/>
      <c r="J33"/>
    </row>
    <row r="34" spans="1:10" ht="14">
      <c r="B34" s="751" t="s">
        <v>1331</v>
      </c>
      <c r="C34" s="827"/>
      <c r="D34" s="827"/>
      <c r="E34" s="828"/>
      <c r="I34" s="794"/>
      <c r="J34"/>
    </row>
    <row r="35" spans="1:10">
      <c r="I35"/>
      <c r="J35"/>
    </row>
    <row r="36" spans="1:10" ht="15.5">
      <c r="B36" s="711" t="str">
        <f>Information!$F$36</f>
        <v>באור 24 - הוצאות אחרות</v>
      </c>
      <c r="D36" s="642" t="s">
        <v>263</v>
      </c>
      <c r="I36" s="769"/>
      <c r="J36"/>
    </row>
    <row r="37" spans="1:10" ht="13">
      <c r="I37" s="770"/>
      <c r="J37" s="771"/>
    </row>
    <row r="38" spans="1:10" ht="46.4" customHeight="1">
      <c r="B38" s="616"/>
      <c r="C38" s="744" t="str">
        <f>Period1</f>
        <v>שנת 2021</v>
      </c>
      <c r="D38" s="5" t="str">
        <f>Period2</f>
        <v>שנת 2020</v>
      </c>
      <c r="E38" s="4" t="str">
        <f>Period5</f>
        <v>שנת 2019</v>
      </c>
      <c r="I38" s="770"/>
      <c r="J38" s="771"/>
    </row>
    <row r="39" spans="1:10" ht="14">
      <c r="B39" s="761"/>
      <c r="C39" s="834" t="s">
        <v>29</v>
      </c>
      <c r="D39" s="834" t="s">
        <v>41</v>
      </c>
      <c r="E39" s="835" t="s">
        <v>63</v>
      </c>
      <c r="I39" s="770"/>
      <c r="J39" s="771"/>
    </row>
    <row r="40" spans="1:10" ht="15.5">
      <c r="B40" s="746" t="s">
        <v>1334</v>
      </c>
      <c r="C40" s="816"/>
      <c r="D40" s="816"/>
      <c r="E40" s="825"/>
      <c r="I40" s="462"/>
      <c r="J40"/>
    </row>
    <row r="41" spans="1:10" ht="15.5">
      <c r="B41" s="746" t="s">
        <v>1335</v>
      </c>
      <c r="C41" s="816"/>
      <c r="D41" s="816"/>
      <c r="E41" s="825"/>
      <c r="I41" s="462"/>
      <c r="J41" s="771"/>
    </row>
    <row r="42" spans="1:10" ht="15.5">
      <c r="B42" s="746" t="s">
        <v>1336</v>
      </c>
      <c r="C42" s="816"/>
      <c r="D42" s="816"/>
      <c r="E42" s="825"/>
      <c r="I42" s="462"/>
      <c r="J42"/>
    </row>
    <row r="43" spans="1:10" ht="14">
      <c r="B43" s="746" t="s">
        <v>1572</v>
      </c>
      <c r="C43" s="816"/>
      <c r="D43" s="816"/>
      <c r="E43" s="825"/>
      <c r="I43" s="794"/>
    </row>
    <row r="44" spans="1:10" ht="14">
      <c r="A44" s="1165"/>
      <c r="B44" s="1603" t="s">
        <v>4897</v>
      </c>
      <c r="C44" s="1604"/>
      <c r="D44" s="1604"/>
      <c r="E44" s="1605"/>
      <c r="I44" s="794"/>
    </row>
    <row r="45" spans="1:10" ht="15.5">
      <c r="B45" s="746" t="s">
        <v>70</v>
      </c>
      <c r="C45" s="816"/>
      <c r="D45" s="816"/>
      <c r="E45" s="825"/>
      <c r="I45" s="462"/>
    </row>
    <row r="46" spans="1:10" ht="14">
      <c r="B46" s="751" t="s">
        <v>1337</v>
      </c>
      <c r="C46" s="829">
        <f>SUM(C40:C45)</f>
        <v>0</v>
      </c>
      <c r="D46" s="829">
        <f>SUM(D40:D45)</f>
        <v>0</v>
      </c>
      <c r="E46" s="830">
        <f>SUM(E40:E45)</f>
        <v>0</v>
      </c>
      <c r="I46"/>
    </row>
    <row r="47" spans="1:10">
      <c r="I47"/>
    </row>
    <row r="48" spans="1:10" ht="15.5">
      <c r="B48" s="711" t="str">
        <f>Information!$F$37</f>
        <v>באור 25 - הוצאות מימון</v>
      </c>
      <c r="D48" s="642" t="s">
        <v>263</v>
      </c>
      <c r="I48" s="770"/>
    </row>
    <row r="50" spans="2:10" ht="41.5" customHeight="1">
      <c r="B50" s="616"/>
      <c r="C50" s="744" t="str">
        <f>Period1</f>
        <v>שנת 2021</v>
      </c>
      <c r="D50" s="5" t="str">
        <f>Period2</f>
        <v>שנת 2020</v>
      </c>
      <c r="E50" s="4" t="str">
        <f>Period5</f>
        <v>שנת 2019</v>
      </c>
    </row>
    <row r="51" spans="2:10" ht="14">
      <c r="B51" s="761"/>
      <c r="C51" s="834" t="s">
        <v>29</v>
      </c>
      <c r="D51" s="834" t="s">
        <v>41</v>
      </c>
      <c r="E51" s="835" t="s">
        <v>63</v>
      </c>
    </row>
    <row r="52" spans="2:10" ht="15.5">
      <c r="B52" s="746" t="s">
        <v>1338</v>
      </c>
      <c r="C52" s="814"/>
      <c r="D52" s="814"/>
      <c r="E52" s="815"/>
      <c r="I52" s="462"/>
      <c r="J52"/>
    </row>
    <row r="53" spans="2:10" ht="15.5">
      <c r="B53" s="749" t="s">
        <v>1339</v>
      </c>
      <c r="C53" s="816"/>
      <c r="D53" s="816"/>
      <c r="E53" s="825"/>
      <c r="I53" s="462"/>
      <c r="J53"/>
    </row>
    <row r="54" spans="2:10" ht="15.5">
      <c r="B54" s="749" t="s">
        <v>1340</v>
      </c>
      <c r="C54" s="816"/>
      <c r="D54" s="816"/>
      <c r="E54" s="825"/>
      <c r="I54" s="462"/>
      <c r="J54"/>
    </row>
    <row r="55" spans="2:10" ht="28">
      <c r="B55" s="746" t="s">
        <v>1344</v>
      </c>
      <c r="C55" s="816"/>
      <c r="D55" s="816"/>
      <c r="E55" s="825"/>
      <c r="I55" s="794"/>
      <c r="J55"/>
    </row>
    <row r="56" spans="2:10" ht="15.5">
      <c r="B56" s="746" t="s">
        <v>1345</v>
      </c>
      <c r="C56" s="816"/>
      <c r="D56" s="816"/>
      <c r="E56" s="825"/>
      <c r="I56" s="462"/>
      <c r="J56"/>
    </row>
    <row r="57" spans="2:10" ht="14">
      <c r="B57" s="746" t="s">
        <v>1346</v>
      </c>
      <c r="C57" s="816"/>
      <c r="D57" s="816"/>
      <c r="E57" s="825"/>
      <c r="I57" s="794"/>
      <c r="J57"/>
    </row>
    <row r="58" spans="2:10" ht="15.5">
      <c r="B58" s="751" t="s">
        <v>1341</v>
      </c>
      <c r="C58" s="831">
        <f>SUM(C53:C57)</f>
        <v>0</v>
      </c>
      <c r="D58" s="831">
        <f>SUM(D53:D57)</f>
        <v>0</v>
      </c>
      <c r="E58" s="832">
        <f>SUM(E53:E57)</f>
        <v>0</v>
      </c>
      <c r="I58" s="462"/>
      <c r="J58"/>
    </row>
    <row r="59" spans="2:10" ht="15.5">
      <c r="I59" s="462"/>
      <c r="J59"/>
    </row>
    <row r="60" spans="2:10">
      <c r="I60"/>
      <c r="J60"/>
    </row>
    <row r="61" spans="2:10" ht="15.5">
      <c r="I61" s="769"/>
      <c r="J61"/>
    </row>
    <row r="62" spans="2:10" ht="104">
      <c r="I62" s="770" t="s">
        <v>1246</v>
      </c>
      <c r="J62" s="771" t="s">
        <v>1342</v>
      </c>
    </row>
    <row r="63" spans="2:10" ht="52">
      <c r="I63" s="770" t="s">
        <v>1289</v>
      </c>
      <c r="J63" s="771" t="s">
        <v>1343</v>
      </c>
    </row>
  </sheetData>
  <sheetProtection password="C638" sheet="1" objects="1" scenarios="1" formatCells="0" formatColumns="0" formatRows="0"/>
  <conditionalFormatting sqref="C9:E9 C12:E16">
    <cfRule type="expression" dxfId="617" priority="8" stopIfTrue="1">
      <formula>AND(CELL("protect",C9)=1,CELL("type",C9)="v")</formula>
    </cfRule>
    <cfRule type="expression" dxfId="616" priority="9" stopIfTrue="1">
      <formula>CELL("protect",C9)</formula>
    </cfRule>
  </conditionalFormatting>
  <conditionalFormatting sqref="C52:E52">
    <cfRule type="expression" dxfId="615" priority="2" stopIfTrue="1">
      <formula>AND(CELL("protect",C52)=1,CELL("type",C52)="v")</formula>
    </cfRule>
    <cfRule type="expression" dxfId="614" priority="3" stopIfTrue="1">
      <formula>CELL("protect",C52)</formula>
    </cfRule>
  </conditionalFormatting>
  <hyperlinks>
    <hyperlink ref="D1" location="Information!A1" display="חזרה"/>
    <hyperlink ref="D5" location="Information!A1" display="חזרה"/>
    <hyperlink ref="D18" location="Information!A1" display="חזרה"/>
    <hyperlink ref="D36" location="Information!A1" display="חזרה"/>
    <hyperlink ref="D48" location="Information!A1" display="חזרה"/>
    <hyperlink ref="I62" location="_ftnref1" display="_ftnref1"/>
    <hyperlink ref="I63" location="_ftnref2" display="_ftnref2"/>
    <hyperlink ref="C3" location="Information!A60" display="Information!A60"/>
  </hyperlinks>
  <pageMargins left="0" right="0" top="0" bottom="0.51181102362204722" header="0" footer="0.23622047244094491"/>
  <pageSetup paperSize="9" scale="94"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0B56D477-A04B-451F-842A-A8595079625B}">
            <xm:f>Information!$G$54&gt;0</xm:f>
            <x14:dxf>
              <font>
                <b/>
                <i val="0"/>
                <color theme="1"/>
              </font>
              <fill>
                <patternFill>
                  <bgColor rgb="FFFFFF00"/>
                </patternFill>
              </fill>
            </x14:dxf>
          </x14:cfRule>
          <xm:sqref>C3</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pageSetUpPr fitToPage="1"/>
  </sheetPr>
  <dimension ref="B1:R37"/>
  <sheetViews>
    <sheetView rightToLeft="1" workbookViewId="0"/>
  </sheetViews>
  <sheetFormatPr defaultColWidth="9.1796875" defaultRowHeight="12.5"/>
  <cols>
    <col min="1" max="1" width="4.54296875" style="529" customWidth="1"/>
    <col min="2" max="2" width="50.54296875" style="529" customWidth="1"/>
    <col min="3" max="5" width="12.1796875" style="529" customWidth="1"/>
    <col min="6" max="6" width="11" style="529" customWidth="1"/>
    <col min="7" max="7" width="10.54296875" style="529" customWidth="1"/>
    <col min="8" max="8" width="4.1796875" style="529" customWidth="1"/>
    <col min="9" max="9" width="43.81640625" style="529" customWidth="1"/>
    <col min="10" max="10" width="9.54296875" style="529" customWidth="1"/>
    <col min="11" max="11" width="9.1796875"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C4" s="588"/>
      <c r="D4" s="588"/>
      <c r="E4" s="588"/>
      <c r="F4" s="588"/>
      <c r="G4" s="588"/>
      <c r="H4" s="588"/>
      <c r="I4" s="588"/>
      <c r="J4" s="588"/>
      <c r="K4" s="588"/>
      <c r="L4" s="588"/>
      <c r="M4" s="529" t="e">
        <f>INDEX($Q$4:$Q$4,N1)</f>
        <v>#N/A</v>
      </c>
      <c r="P4" s="529" t="s">
        <v>333</v>
      </c>
      <c r="Q4" s="529">
        <v>2012</v>
      </c>
      <c r="R4" s="529">
        <v>1</v>
      </c>
    </row>
    <row r="5" spans="2:18" ht="15.5">
      <c r="B5" s="711" t="str">
        <f>Information!$F$33</f>
        <v>באור 20א' - רווחים (הפסדים) מהשקעות, נטו והכנסות מימון</v>
      </c>
      <c r="C5" s="742"/>
      <c r="D5" s="642" t="s">
        <v>263</v>
      </c>
      <c r="E5" s="747"/>
      <c r="F5" s="747"/>
    </row>
    <row r="6" spans="2:18" ht="15.5">
      <c r="B6" s="22"/>
      <c r="C6" s="743"/>
      <c r="D6" s="743"/>
      <c r="E6" s="747"/>
      <c r="F6" s="747"/>
    </row>
    <row r="7" spans="2:18" ht="15.5">
      <c r="B7" s="616"/>
      <c r="C7" s="744" t="str">
        <f>Period1</f>
        <v>שנת 2021</v>
      </c>
      <c r="D7" s="5" t="str">
        <f>Period2</f>
        <v>שנת 2020</v>
      </c>
      <c r="E7" s="4" t="str">
        <f>Period5</f>
        <v>שנת 2019</v>
      </c>
      <c r="F7" s="747"/>
      <c r="J7" s="529" t="s">
        <v>1286</v>
      </c>
    </row>
    <row r="8" spans="2:18" ht="15.5">
      <c r="B8" s="761"/>
      <c r="C8" s="834" t="s">
        <v>29</v>
      </c>
      <c r="D8" s="834" t="s">
        <v>41</v>
      </c>
      <c r="E8" s="835" t="s">
        <v>63</v>
      </c>
      <c r="F8" s="747"/>
    </row>
    <row r="9" spans="2:18" ht="15.5">
      <c r="B9" s="750" t="s">
        <v>1287</v>
      </c>
      <c r="C9" s="814"/>
      <c r="D9" s="814"/>
      <c r="E9" s="815"/>
      <c r="F9" s="747"/>
      <c r="I9" s="794"/>
      <c r="J9"/>
    </row>
    <row r="10" spans="2:18" ht="15.5">
      <c r="B10" s="755" t="s">
        <v>1291</v>
      </c>
      <c r="C10" s="816"/>
      <c r="D10" s="621"/>
      <c r="E10" s="622"/>
      <c r="F10" s="747"/>
      <c r="I10" s="794"/>
      <c r="J10"/>
    </row>
    <row r="11" spans="2:18" s="810" customFormat="1" ht="15.5">
      <c r="B11" s="755" t="s">
        <v>1292</v>
      </c>
      <c r="C11" s="816"/>
      <c r="D11" s="621"/>
      <c r="E11" s="622"/>
      <c r="F11" s="811"/>
      <c r="I11" s="812"/>
      <c r="J11" s="813"/>
    </row>
    <row r="12" spans="2:18" ht="15.5">
      <c r="B12" s="750" t="s">
        <v>1293</v>
      </c>
      <c r="C12" s="814">
        <f>SUM(C10:C11)</f>
        <v>0</v>
      </c>
      <c r="D12" s="814">
        <f>SUM(D10:D11)</f>
        <v>0</v>
      </c>
      <c r="E12" s="815">
        <f>SUM(E10:E11)</f>
        <v>0</v>
      </c>
      <c r="F12" s="747"/>
      <c r="I12" s="462"/>
      <c r="J12"/>
    </row>
    <row r="13" spans="2:18" ht="28">
      <c r="B13" s="748" t="s">
        <v>1294</v>
      </c>
      <c r="C13" s="814"/>
      <c r="D13" s="814"/>
      <c r="E13" s="815"/>
      <c r="F13" s="747"/>
      <c r="I13" s="794"/>
      <c r="J13"/>
    </row>
    <row r="14" spans="2:18" ht="15.5">
      <c r="B14" s="796" t="s">
        <v>1295</v>
      </c>
      <c r="C14" s="814"/>
      <c r="D14" s="814"/>
      <c r="E14" s="815"/>
      <c r="F14" s="747"/>
      <c r="I14" s="462"/>
      <c r="J14"/>
    </row>
    <row r="15" spans="2:18" ht="15.5">
      <c r="B15" s="817" t="s">
        <v>1296</v>
      </c>
      <c r="C15" s="818"/>
      <c r="D15" s="818"/>
      <c r="E15" s="819"/>
      <c r="F15" s="747"/>
      <c r="I15" s="462"/>
      <c r="J15"/>
    </row>
    <row r="16" spans="2:18" ht="15.5">
      <c r="B16" s="817" t="s">
        <v>1297</v>
      </c>
      <c r="C16" s="818"/>
      <c r="D16" s="818"/>
      <c r="E16" s="819"/>
      <c r="F16" s="747"/>
      <c r="I16" s="462"/>
      <c r="J16"/>
    </row>
    <row r="17" spans="2:10" ht="28">
      <c r="B17" s="755" t="s">
        <v>1298</v>
      </c>
      <c r="C17" s="814">
        <f>SUM(C15:C16)</f>
        <v>0</v>
      </c>
      <c r="D17" s="814">
        <f>SUM(D15:D16)</f>
        <v>0</v>
      </c>
      <c r="E17" s="815">
        <f>SUM(E15:E16)</f>
        <v>0</v>
      </c>
      <c r="F17" s="747"/>
      <c r="I17" s="462"/>
      <c r="J17"/>
    </row>
    <row r="18" spans="2:10" ht="15.5">
      <c r="B18" s="796" t="s">
        <v>1299</v>
      </c>
      <c r="C18" s="814"/>
      <c r="D18" s="814"/>
      <c r="E18" s="815"/>
      <c r="F18" s="747"/>
      <c r="I18" s="462"/>
      <c r="J18"/>
    </row>
    <row r="19" spans="2:10" ht="15.5">
      <c r="B19" s="755" t="s">
        <v>1300</v>
      </c>
      <c r="C19" s="814"/>
      <c r="D19" s="814"/>
      <c r="E19" s="815"/>
      <c r="F19" s="747"/>
      <c r="I19" s="794"/>
      <c r="J19"/>
    </row>
    <row r="20" spans="2:10" ht="15.5">
      <c r="B20" s="817" t="s">
        <v>1301</v>
      </c>
      <c r="C20" s="818"/>
      <c r="D20" s="818"/>
      <c r="E20" s="819"/>
      <c r="F20" s="747"/>
      <c r="I20" s="462"/>
      <c r="J20"/>
    </row>
    <row r="21" spans="2:10" ht="15.5">
      <c r="B21" s="817" t="s">
        <v>1302</v>
      </c>
      <c r="C21" s="818"/>
      <c r="D21" s="818"/>
      <c r="E21" s="819"/>
      <c r="F21" s="747"/>
      <c r="I21" s="794"/>
      <c r="J21"/>
    </row>
    <row r="22" spans="2:10" ht="28">
      <c r="B22" s="755" t="s">
        <v>1303</v>
      </c>
      <c r="C22" s="814">
        <f>SUM(C20:C21)</f>
        <v>0</v>
      </c>
      <c r="D22" s="814">
        <f>SUM(D20:D21)</f>
        <v>0</v>
      </c>
      <c r="E22" s="815">
        <f>SUM(E20:E21)</f>
        <v>0</v>
      </c>
      <c r="F22" s="747"/>
      <c r="I22" s="462"/>
      <c r="J22"/>
    </row>
    <row r="23" spans="2:10" ht="15.5">
      <c r="B23" s="796" t="s">
        <v>1304</v>
      </c>
      <c r="C23" s="814"/>
      <c r="D23" s="814"/>
      <c r="E23" s="815"/>
      <c r="I23" s="809"/>
      <c r="J23"/>
    </row>
    <row r="24" spans="2:10" ht="15.5">
      <c r="B24" s="817" t="s">
        <v>1305</v>
      </c>
      <c r="C24" s="818"/>
      <c r="D24" s="818"/>
      <c r="E24" s="819"/>
      <c r="I24" s="462"/>
      <c r="J24"/>
    </row>
    <row r="25" spans="2:10" ht="28">
      <c r="B25" s="817" t="s">
        <v>1306</v>
      </c>
      <c r="C25" s="814">
        <f>SUM(C24)</f>
        <v>0</v>
      </c>
      <c r="D25" s="814">
        <f>SUM(D24)</f>
        <v>0</v>
      </c>
      <c r="E25" s="815">
        <f>SUM(E24)</f>
        <v>0</v>
      </c>
      <c r="I25" s="809"/>
      <c r="J25"/>
    </row>
    <row r="26" spans="2:10" ht="14">
      <c r="B26" s="796" t="s">
        <v>1307</v>
      </c>
      <c r="C26" s="814"/>
      <c r="D26" s="814"/>
      <c r="E26" s="815"/>
      <c r="I26" s="794"/>
      <c r="J26"/>
    </row>
    <row r="27" spans="2:10" ht="28">
      <c r="B27" s="817" t="s">
        <v>1308</v>
      </c>
      <c r="C27" s="818"/>
      <c r="D27" s="818"/>
      <c r="E27" s="819"/>
      <c r="I27"/>
      <c r="J27"/>
    </row>
    <row r="28" spans="2:10" ht="15.5">
      <c r="B28" s="817" t="s">
        <v>1309</v>
      </c>
      <c r="C28" s="818"/>
      <c r="D28" s="818"/>
      <c r="E28" s="819"/>
      <c r="I28" s="769"/>
      <c r="J28"/>
    </row>
    <row r="29" spans="2:10" ht="28">
      <c r="B29" s="755" t="s">
        <v>1310</v>
      </c>
      <c r="C29" s="814">
        <f>SUM(C27:C28)</f>
        <v>0</v>
      </c>
      <c r="D29" s="814">
        <f>SUM(D27:D28)</f>
        <v>0</v>
      </c>
      <c r="E29" s="815">
        <f>SUM(E27:E28)</f>
        <v>0</v>
      </c>
      <c r="I29" s="769"/>
      <c r="J29" s="771"/>
    </row>
    <row r="30" spans="2:10" ht="15.5">
      <c r="B30" s="748" t="s">
        <v>1582</v>
      </c>
      <c r="C30" s="814">
        <f>SUM(C13:C29)/2</f>
        <v>0</v>
      </c>
      <c r="D30" s="814">
        <f>SUM(D13:D29)/2</f>
        <v>0</v>
      </c>
      <c r="E30" s="815">
        <f>SUM(E13:E29)/2</f>
        <v>0</v>
      </c>
      <c r="I30" s="769"/>
      <c r="J30" s="771"/>
    </row>
    <row r="31" spans="2:10" ht="28">
      <c r="B31" s="746" t="s">
        <v>1311</v>
      </c>
      <c r="C31" s="818"/>
      <c r="D31" s="818"/>
      <c r="E31" s="819"/>
      <c r="I31" s="769"/>
      <c r="J31" s="771"/>
    </row>
    <row r="32" spans="2:10" ht="28">
      <c r="B32" s="746" t="s">
        <v>1290</v>
      </c>
      <c r="C32" s="818"/>
      <c r="D32" s="818"/>
      <c r="E32" s="819"/>
      <c r="I32" s="769"/>
      <c r="J32" s="771"/>
    </row>
    <row r="33" spans="2:10" ht="28">
      <c r="B33" s="746" t="s">
        <v>1312</v>
      </c>
      <c r="C33" s="818"/>
      <c r="D33" s="818"/>
      <c r="E33" s="819"/>
      <c r="I33" s="769"/>
      <c r="J33" s="771"/>
    </row>
    <row r="34" spans="2:10" ht="15.5">
      <c r="B34" s="746" t="s">
        <v>1288</v>
      </c>
      <c r="C34" s="818"/>
      <c r="D34" s="818"/>
      <c r="E34" s="819"/>
      <c r="I34" s="769"/>
      <c r="J34" s="771"/>
    </row>
    <row r="35" spans="2:10" ht="15.5">
      <c r="B35" s="748" t="s">
        <v>1313</v>
      </c>
      <c r="C35" s="814">
        <f>SUM(C30:C34)+C12</f>
        <v>0</v>
      </c>
      <c r="D35" s="814">
        <f>SUM(D30:D34)+D12</f>
        <v>0</v>
      </c>
      <c r="E35" s="815">
        <f>SUM(E30:E34)+E12</f>
        <v>0</v>
      </c>
      <c r="I35" s="769"/>
      <c r="J35" s="771"/>
    </row>
    <row r="36" spans="2:10" ht="28">
      <c r="B36" s="715" t="s">
        <v>1314</v>
      </c>
      <c r="C36" s="820"/>
      <c r="D36" s="820"/>
      <c r="E36" s="821"/>
      <c r="I36" s="769"/>
      <c r="J36" s="771"/>
    </row>
    <row r="37" spans="2:10" ht="15.5">
      <c r="I37" s="769"/>
    </row>
  </sheetData>
  <sheetProtection password="C6B4" sheet="1" objects="1" scenarios="1" formatCells="0" formatColumns="0" formatRows="0"/>
  <conditionalFormatting sqref="C9:E9">
    <cfRule type="expression" dxfId="612" priority="194" stopIfTrue="1">
      <formula>AND(CELL("protect",C9)=1,CELL("type",C9)="v")</formula>
    </cfRule>
    <cfRule type="expression" dxfId="611" priority="195" stopIfTrue="1">
      <formula>CELL("protect",C9)</formula>
    </cfRule>
  </conditionalFormatting>
  <conditionalFormatting sqref="C12:E36">
    <cfRule type="expression" dxfId="610" priority="4" stopIfTrue="1">
      <formula>AND(CELL("protect",C12)=1,CELL("type",C12)="v")</formula>
    </cfRule>
    <cfRule type="expression" dxfId="609" priority="5" stopIfTrue="1">
      <formula>CELL("protect",C12)</formula>
    </cfRule>
  </conditionalFormatting>
  <hyperlinks>
    <hyperlink ref="D1" location="Information!A1" display="חזרה"/>
    <hyperlink ref="D5" location="Information!A1" display="חזרה"/>
    <hyperlink ref="C3" location="Information!A60" display="Information!A60"/>
  </hyperlinks>
  <pageMargins left="0" right="0" top="0" bottom="0.51181102362204722" header="0" footer="0.23622047244094491"/>
  <pageSetup paperSize="9" scale="85" orientation="landscape"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4F546B93-ACD2-461B-B259-886BACC30A82}">
            <xm:f>Information!$G$54&gt;0</xm:f>
            <x14:dxf>
              <font>
                <b/>
                <i val="0"/>
                <color theme="1"/>
              </font>
              <fill>
                <patternFill>
                  <bgColor rgb="FFFFFF00"/>
                </patternFill>
              </fill>
            </x14:dxf>
          </x14:cfRule>
          <xm:sqref>C3</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B1:R57"/>
  <sheetViews>
    <sheetView rightToLeft="1" workbookViewId="0"/>
  </sheetViews>
  <sheetFormatPr defaultColWidth="9.1796875" defaultRowHeight="12.5"/>
  <cols>
    <col min="1" max="1" width="4.54296875" style="529" customWidth="1"/>
    <col min="2" max="2" width="50.54296875" style="529" customWidth="1"/>
    <col min="3" max="3" width="11.1796875" style="529" customWidth="1"/>
    <col min="4" max="5" width="10.453125" style="529" customWidth="1"/>
    <col min="6" max="6" width="11.453125" style="529" customWidth="1"/>
    <col min="7" max="8" width="10.54296875" style="529" customWidth="1"/>
    <col min="9" max="9" width="10.81640625" style="529" customWidth="1"/>
    <col min="10" max="10" width="9.54296875" style="529" customWidth="1"/>
    <col min="11" max="11" width="9.1796875" style="529" customWidth="1"/>
    <col min="12" max="12" width="42"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t="e">
        <f>INDEX($P$4:$P$4,$N$1+1)</f>
        <v>#N/A</v>
      </c>
    </row>
    <row r="3" spans="2:18" ht="15.5">
      <c r="B3" s="28" t="str">
        <f>line3</f>
        <v>הנתונים באלפי ש"ח</v>
      </c>
      <c r="C3" s="1469" t="s">
        <v>3876</v>
      </c>
      <c r="D3" s="533" t="str">
        <f>Date1</f>
        <v>31.12.2021</v>
      </c>
      <c r="E3" s="533"/>
      <c r="M3" s="531" t="e">
        <f>INDEX($P$4:$P$4,$N$1+2)</f>
        <v>#N/A</v>
      </c>
    </row>
    <row r="4" spans="2:18" ht="14">
      <c r="C4" s="588"/>
      <c r="D4" s="588"/>
      <c r="E4" s="588"/>
      <c r="F4" s="588"/>
      <c r="G4" s="588"/>
      <c r="H4" s="588"/>
      <c r="I4" s="588"/>
      <c r="J4" s="588"/>
      <c r="K4" s="588"/>
      <c r="L4" s="588"/>
      <c r="M4" s="529" t="e">
        <f>INDEX($Q$4:$Q$4,N1)</f>
        <v>#N/A</v>
      </c>
      <c r="P4" s="529" t="s">
        <v>333</v>
      </c>
      <c r="Q4" s="529">
        <v>2012</v>
      </c>
      <c r="R4" s="529">
        <v>1</v>
      </c>
    </row>
    <row r="5" spans="2:18" ht="15.5">
      <c r="B5" s="711" t="str">
        <f>Information!F30</f>
        <v>באור 18א' - הכנסות מדמי ניהול</v>
      </c>
      <c r="C5" s="742"/>
      <c r="D5" s="642" t="s">
        <v>263</v>
      </c>
      <c r="E5" s="747"/>
      <c r="F5" s="747"/>
    </row>
    <row r="6" spans="2:18" ht="15.5">
      <c r="B6" s="22"/>
      <c r="C6" s="743"/>
      <c r="D6" s="743"/>
      <c r="E6" s="747"/>
      <c r="F6" s="747"/>
    </row>
    <row r="7" spans="2:18" ht="47.5" customHeight="1">
      <c r="B7" s="616"/>
      <c r="C7" s="744" t="str">
        <f>Period1</f>
        <v>שנת 2021</v>
      </c>
      <c r="D7" s="5" t="str">
        <f>Period2</f>
        <v>שנת 2020</v>
      </c>
      <c r="E7" s="5" t="str">
        <f>Period5</f>
        <v>שנת 2019</v>
      </c>
      <c r="F7" s="744" t="str">
        <f>Period1</f>
        <v>שנת 2021</v>
      </c>
      <c r="G7" s="5" t="str">
        <f>Period2</f>
        <v>שנת 2020</v>
      </c>
      <c r="H7" s="4" t="str">
        <f>Period5</f>
        <v>שנת 2019</v>
      </c>
      <c r="J7" s="529" t="s">
        <v>1286</v>
      </c>
    </row>
    <row r="8" spans="2:18" ht="31.4" customHeight="1">
      <c r="B8" s="617"/>
      <c r="C8" s="1905" t="s">
        <v>942</v>
      </c>
      <c r="D8" s="1905"/>
      <c r="E8" s="1905"/>
      <c r="F8" s="1905" t="s">
        <v>1266</v>
      </c>
      <c r="G8" s="1905"/>
      <c r="H8" s="1906"/>
    </row>
    <row r="9" spans="2:18" ht="14">
      <c r="B9" s="617"/>
      <c r="C9" s="834" t="s">
        <v>29</v>
      </c>
      <c r="D9" s="834" t="s">
        <v>41</v>
      </c>
      <c r="E9" s="834" t="s">
        <v>63</v>
      </c>
      <c r="F9" s="834" t="s">
        <v>65</v>
      </c>
      <c r="G9" s="834" t="s">
        <v>86</v>
      </c>
      <c r="H9" s="835" t="s">
        <v>88</v>
      </c>
    </row>
    <row r="10" spans="2:18" ht="15.5">
      <c r="B10" s="748" t="s">
        <v>1257</v>
      </c>
      <c r="C10" s="652"/>
      <c r="D10" s="652"/>
      <c r="E10" s="652"/>
      <c r="F10" s="797"/>
      <c r="G10" s="797"/>
      <c r="H10" s="799"/>
      <c r="J10" s="793"/>
    </row>
    <row r="11" spans="2:18" ht="15.5">
      <c r="B11" s="750" t="s">
        <v>1258</v>
      </c>
      <c r="C11" s="652"/>
      <c r="D11" s="652"/>
      <c r="E11" s="652"/>
      <c r="F11" s="797"/>
      <c r="G11" s="797"/>
      <c r="H11" s="799"/>
      <c r="J11" s="462"/>
    </row>
    <row r="12" spans="2:18" ht="15.5">
      <c r="B12" s="755" t="s">
        <v>1259</v>
      </c>
      <c r="C12" s="655"/>
      <c r="D12" s="655"/>
      <c r="E12" s="655"/>
      <c r="F12" s="798"/>
      <c r="G12" s="798"/>
      <c r="H12" s="800"/>
      <c r="J12" s="462"/>
    </row>
    <row r="13" spans="2:18" ht="15.5">
      <c r="B13" s="755" t="s">
        <v>1260</v>
      </c>
      <c r="C13" s="655"/>
      <c r="D13" s="655"/>
      <c r="E13" s="655"/>
      <c r="F13" s="798"/>
      <c r="G13" s="798"/>
      <c r="H13" s="800"/>
      <c r="J13" s="462"/>
    </row>
    <row r="14" spans="2:18" ht="15.5">
      <c r="B14" s="750" t="s">
        <v>1555</v>
      </c>
      <c r="C14" s="652">
        <f>SUM(C12:C13)</f>
        <v>0</v>
      </c>
      <c r="D14" s="652">
        <f>SUM(D12:D13)</f>
        <v>0</v>
      </c>
      <c r="E14" s="652">
        <f>SUM(E12:E13)</f>
        <v>0</v>
      </c>
      <c r="F14" s="797"/>
      <c r="G14" s="797"/>
      <c r="H14" s="799"/>
      <c r="J14" s="462"/>
    </row>
    <row r="15" spans="2:18" ht="15.5">
      <c r="B15" s="750" t="s">
        <v>1261</v>
      </c>
      <c r="C15" s="652"/>
      <c r="D15" s="652"/>
      <c r="E15" s="652"/>
      <c r="F15" s="797"/>
      <c r="G15" s="797"/>
      <c r="H15" s="799"/>
      <c r="J15" s="462"/>
    </row>
    <row r="16" spans="2:18" ht="15.5">
      <c r="B16" s="755" t="s">
        <v>1259</v>
      </c>
      <c r="C16" s="655"/>
      <c r="D16" s="655"/>
      <c r="E16" s="655"/>
      <c r="F16" s="798"/>
      <c r="G16" s="798"/>
      <c r="H16" s="800"/>
      <c r="J16" s="462"/>
    </row>
    <row r="17" spans="2:10" s="1132" customFormat="1" ht="15.5">
      <c r="B17" s="755" t="s">
        <v>1260</v>
      </c>
      <c r="C17" s="1129"/>
      <c r="D17" s="1129"/>
      <c r="E17" s="1129"/>
      <c r="F17" s="1130"/>
      <c r="G17" s="1130"/>
      <c r="H17" s="1131"/>
      <c r="J17" s="1133"/>
    </row>
    <row r="18" spans="2:10" s="1132" customFormat="1" ht="15.5">
      <c r="B18" s="750" t="s">
        <v>1581</v>
      </c>
      <c r="C18" s="652">
        <f>SUM(C16:C17)</f>
        <v>0</v>
      </c>
      <c r="D18" s="652">
        <f>SUM(D16:D17)</f>
        <v>0</v>
      </c>
      <c r="E18" s="652">
        <f>SUM(E16:E17)</f>
        <v>0</v>
      </c>
      <c r="F18" s="797"/>
      <c r="G18" s="797"/>
      <c r="H18" s="799"/>
      <c r="J18" s="1133"/>
    </row>
    <row r="19" spans="2:10" ht="15.5">
      <c r="B19" s="750" t="s">
        <v>1556</v>
      </c>
      <c r="C19" s="652"/>
      <c r="D19" s="652"/>
      <c r="E19" s="652"/>
      <c r="F19" s="797"/>
      <c r="G19" s="797"/>
      <c r="H19" s="799"/>
      <c r="J19" s="462"/>
    </row>
    <row r="20" spans="2:10" ht="15.5">
      <c r="B20" s="755" t="s">
        <v>1259</v>
      </c>
      <c r="C20" s="655"/>
      <c r="D20" s="655"/>
      <c r="E20" s="655"/>
      <c r="F20" s="798"/>
      <c r="G20" s="798"/>
      <c r="H20" s="800"/>
      <c r="J20" s="462"/>
    </row>
    <row r="21" spans="2:10" ht="15.5">
      <c r="B21" s="755" t="s">
        <v>1260</v>
      </c>
      <c r="C21" s="655"/>
      <c r="D21" s="655"/>
      <c r="E21" s="655"/>
      <c r="F21" s="798"/>
      <c r="G21" s="798"/>
      <c r="H21" s="800"/>
      <c r="J21" s="462"/>
    </row>
    <row r="22" spans="2:10" ht="15.5">
      <c r="B22" s="750" t="s">
        <v>1273</v>
      </c>
      <c r="C22" s="652">
        <f>SUM(C20:C21)</f>
        <v>0</v>
      </c>
      <c r="D22" s="652">
        <f>SUM(D20:D21)</f>
        <v>0</v>
      </c>
      <c r="E22" s="652">
        <f>SUM(E20:E21)</f>
        <v>0</v>
      </c>
      <c r="F22" s="797"/>
      <c r="G22" s="797"/>
      <c r="H22" s="799"/>
      <c r="J22" s="462"/>
    </row>
    <row r="23" spans="2:10" ht="15.5">
      <c r="B23" s="748" t="s">
        <v>1262</v>
      </c>
      <c r="C23" s="652">
        <f>C14+C18+C22</f>
        <v>0</v>
      </c>
      <c r="D23" s="652">
        <f>D14+D18+D22</f>
        <v>0</v>
      </c>
      <c r="E23" s="652">
        <f>E14+E18+E22</f>
        <v>0</v>
      </c>
      <c r="F23" s="797"/>
      <c r="G23" s="797"/>
      <c r="H23" s="799"/>
      <c r="J23" s="793"/>
    </row>
    <row r="24" spans="2:10" ht="15.5">
      <c r="B24" s="750" t="s">
        <v>1263</v>
      </c>
      <c r="C24" s="652"/>
      <c r="D24" s="652"/>
      <c r="E24" s="652"/>
      <c r="F24" s="797"/>
      <c r="G24" s="797"/>
      <c r="H24" s="799"/>
      <c r="J24" s="793"/>
    </row>
    <row r="25" spans="2:10" ht="15.5">
      <c r="B25" s="749" t="s">
        <v>1259</v>
      </c>
      <c r="C25" s="655"/>
      <c r="D25" s="655"/>
      <c r="E25" s="655"/>
      <c r="F25" s="798"/>
      <c r="G25" s="798"/>
      <c r="H25" s="800"/>
      <c r="J25" s="462"/>
    </row>
    <row r="26" spans="2:10" ht="15.5">
      <c r="B26" s="749" t="s">
        <v>1260</v>
      </c>
      <c r="C26" s="655"/>
      <c r="D26" s="655"/>
      <c r="E26" s="655"/>
      <c r="F26" s="798"/>
      <c r="G26" s="798"/>
      <c r="H26" s="800"/>
      <c r="J26" s="462"/>
    </row>
    <row r="27" spans="2:10" ht="15.5">
      <c r="B27" s="748" t="s">
        <v>1264</v>
      </c>
      <c r="C27" s="652">
        <f>SUM(C24:C26)</f>
        <v>0</v>
      </c>
      <c r="D27" s="652">
        <f>SUM(D24:D26)</f>
        <v>0</v>
      </c>
      <c r="E27" s="652">
        <f>SUM(E24:E26)</f>
        <v>0</v>
      </c>
      <c r="F27" s="797"/>
      <c r="G27" s="797"/>
      <c r="H27" s="799"/>
      <c r="J27" s="793"/>
    </row>
    <row r="28" spans="2:10" ht="15.5">
      <c r="B28" s="751" t="s">
        <v>1265</v>
      </c>
      <c r="C28" s="660">
        <f>C23+C27</f>
        <v>0</v>
      </c>
      <c r="D28" s="660">
        <f>D23+D27</f>
        <v>0</v>
      </c>
      <c r="E28" s="660">
        <f>E23+E27</f>
        <v>0</v>
      </c>
      <c r="F28" s="801"/>
      <c r="G28" s="801"/>
      <c r="H28" s="802"/>
      <c r="J28" s="795"/>
    </row>
    <row r="29" spans="2:10">
      <c r="J29"/>
    </row>
    <row r="30" spans="2:10" ht="15.5">
      <c r="B30" s="1074" t="s">
        <v>1557</v>
      </c>
      <c r="J30"/>
    </row>
    <row r="31" spans="2:10" ht="15.5">
      <c r="B31" s="711" t="str">
        <f>Information!$F$31</f>
        <v>באור 19א'  - סך נכסים מנוהלים, תקבולים ותשלומים</v>
      </c>
      <c r="C31" s="742"/>
      <c r="D31" s="642" t="s">
        <v>263</v>
      </c>
      <c r="E31" s="747"/>
      <c r="J31"/>
    </row>
    <row r="32" spans="2:10" ht="15.5">
      <c r="C32" s="695" t="s">
        <v>2741</v>
      </c>
      <c r="D32" s="743"/>
      <c r="E32" s="747"/>
      <c r="J32" s="770"/>
    </row>
    <row r="33" spans="2:11" ht="15.75" customHeight="1">
      <c r="B33" s="1075"/>
      <c r="C33" s="1081" t="str">
        <f>Date1</f>
        <v>31.12.2021</v>
      </c>
      <c r="D33" s="1903" t="str">
        <f>Period1</f>
        <v>שנת 2021</v>
      </c>
      <c r="E33" s="1904"/>
      <c r="F33" s="1081" t="str">
        <f>Date3</f>
        <v>31.12.2020</v>
      </c>
      <c r="G33" s="1903" t="str">
        <f>Period2</f>
        <v>שנת 2020</v>
      </c>
      <c r="H33" s="1904"/>
      <c r="I33" s="1081" t="str">
        <f>CONCATENATE("31.12.",RIGHT(F33,4)-1)</f>
        <v>31.12.2019</v>
      </c>
      <c r="J33" s="1903" t="str">
        <f>Period5</f>
        <v>שנת 2019</v>
      </c>
      <c r="K33" s="1904"/>
    </row>
    <row r="34" spans="2:11" ht="14">
      <c r="B34" s="1076"/>
      <c r="C34" s="1082" t="s">
        <v>1272</v>
      </c>
      <c r="D34" s="805" t="s">
        <v>1267</v>
      </c>
      <c r="E34" s="806" t="s">
        <v>1268</v>
      </c>
      <c r="F34" s="1082" t="s">
        <v>1272</v>
      </c>
      <c r="G34" s="805" t="s">
        <v>1267</v>
      </c>
      <c r="H34" s="806" t="s">
        <v>1268</v>
      </c>
      <c r="I34" s="1082" t="s">
        <v>1272</v>
      </c>
      <c r="J34" s="805" t="s">
        <v>1267</v>
      </c>
      <c r="K34" s="806" t="s">
        <v>1268</v>
      </c>
    </row>
    <row r="35" spans="2:11" ht="14">
      <c r="B35" s="1076"/>
      <c r="C35" s="1083" t="s">
        <v>29</v>
      </c>
      <c r="D35" s="834" t="s">
        <v>41</v>
      </c>
      <c r="E35" s="835" t="s">
        <v>63</v>
      </c>
      <c r="F35" s="1083" t="s">
        <v>65</v>
      </c>
      <c r="G35" s="834" t="s">
        <v>86</v>
      </c>
      <c r="H35" s="835" t="s">
        <v>88</v>
      </c>
      <c r="I35" s="1083" t="s">
        <v>195</v>
      </c>
      <c r="J35" s="834" t="s">
        <v>197</v>
      </c>
      <c r="K35" s="835" t="s">
        <v>199</v>
      </c>
    </row>
    <row r="36" spans="2:11" ht="14">
      <c r="B36" s="1077" t="s">
        <v>1269</v>
      </c>
      <c r="C36" s="1084"/>
      <c r="D36" s="655"/>
      <c r="E36" s="668"/>
      <c r="F36" s="1084"/>
      <c r="G36" s="655"/>
      <c r="H36" s="668"/>
      <c r="I36" s="1084"/>
      <c r="J36" s="655"/>
      <c r="K36" s="668"/>
    </row>
    <row r="37" spans="2:11" ht="14">
      <c r="B37" s="1077" t="s">
        <v>1270</v>
      </c>
      <c r="C37" s="1084"/>
      <c r="D37" s="655"/>
      <c r="E37" s="668"/>
      <c r="F37" s="1084"/>
      <c r="G37" s="655"/>
      <c r="H37" s="668"/>
      <c r="I37" s="1084"/>
      <c r="J37" s="655"/>
      <c r="K37" s="668"/>
    </row>
    <row r="38" spans="2:11" ht="14">
      <c r="B38" s="1077" t="s">
        <v>912</v>
      </c>
      <c r="C38" s="1084"/>
      <c r="D38" s="655"/>
      <c r="E38" s="668"/>
      <c r="F38" s="1084"/>
      <c r="G38" s="655"/>
      <c r="H38" s="668"/>
      <c r="I38" s="1084"/>
      <c r="J38" s="655"/>
      <c r="K38" s="668"/>
    </row>
    <row r="39" spans="2:11" ht="14">
      <c r="B39" s="1077" t="s">
        <v>299</v>
      </c>
      <c r="C39" s="1084"/>
      <c r="D39" s="655"/>
      <c r="E39" s="668"/>
      <c r="F39" s="1084"/>
      <c r="G39" s="655"/>
      <c r="H39" s="668"/>
      <c r="I39" s="1084"/>
      <c r="J39" s="655"/>
      <c r="K39" s="668"/>
    </row>
    <row r="40" spans="2:11" ht="14">
      <c r="B40" s="1078" t="s">
        <v>1271</v>
      </c>
      <c r="C40" s="1085">
        <f t="shared" ref="C40:K40" si="0">SUM(C36:C39)</f>
        <v>0</v>
      </c>
      <c r="D40" s="660">
        <f t="shared" si="0"/>
        <v>0</v>
      </c>
      <c r="E40" s="661">
        <f t="shared" si="0"/>
        <v>0</v>
      </c>
      <c r="F40" s="1085">
        <f t="shared" si="0"/>
        <v>0</v>
      </c>
      <c r="G40" s="660">
        <f t="shared" si="0"/>
        <v>0</v>
      </c>
      <c r="H40" s="661">
        <f t="shared" si="0"/>
        <v>0</v>
      </c>
      <c r="I40" s="1085">
        <f t="shared" si="0"/>
        <v>0</v>
      </c>
      <c r="J40" s="660">
        <f t="shared" si="0"/>
        <v>0</v>
      </c>
      <c r="K40" s="661">
        <f t="shared" si="0"/>
        <v>0</v>
      </c>
    </row>
    <row r="42" spans="2:11" ht="15.5">
      <c r="B42" s="711" t="str">
        <f>Information!$F$32</f>
        <v xml:space="preserve"> באור 19ב'  - העברות כספים</v>
      </c>
      <c r="C42" s="742"/>
      <c r="D42" s="642" t="s">
        <v>263</v>
      </c>
      <c r="E42" s="747"/>
      <c r="J42"/>
    </row>
    <row r="43" spans="2:11" ht="15.5">
      <c r="C43" s="22" t="s">
        <v>2740</v>
      </c>
      <c r="D43" s="743"/>
      <c r="E43" s="747"/>
      <c r="J43" s="770"/>
    </row>
    <row r="44" spans="2:11" ht="14.15" customHeight="1">
      <c r="B44" s="1075"/>
      <c r="C44" s="1902" t="str">
        <f>Period1</f>
        <v>שנת 2021</v>
      </c>
      <c r="D44" s="1903"/>
      <c r="E44" s="1904"/>
      <c r="F44" s="1902" t="str">
        <f>Period2</f>
        <v>שנת 2020</v>
      </c>
      <c r="G44" s="1903"/>
      <c r="H44" s="1904"/>
      <c r="I44" s="1902" t="str">
        <f>Period5</f>
        <v>שנת 2019</v>
      </c>
      <c r="J44" s="1903"/>
      <c r="K44" s="1904"/>
    </row>
    <row r="45" spans="2:11" ht="28">
      <c r="B45" s="1076"/>
      <c r="C45" s="1082" t="s">
        <v>299</v>
      </c>
      <c r="D45" s="805" t="s">
        <v>1274</v>
      </c>
      <c r="E45" s="806" t="s">
        <v>272</v>
      </c>
      <c r="F45" s="1082" t="str">
        <f t="shared" ref="F45:K45" si="1">C45</f>
        <v>קופות גמל</v>
      </c>
      <c r="G45" s="805" t="str">
        <f t="shared" si="1"/>
        <v>קרנות פנסיה</v>
      </c>
      <c r="H45" s="806" t="str">
        <f t="shared" si="1"/>
        <v>סה"כ</v>
      </c>
      <c r="I45" s="1082" t="str">
        <f t="shared" si="1"/>
        <v>קופות גמל</v>
      </c>
      <c r="J45" s="805" t="str">
        <f t="shared" si="1"/>
        <v>קרנות פנסיה</v>
      </c>
      <c r="K45" s="806" t="str">
        <f t="shared" si="1"/>
        <v>סה"כ</v>
      </c>
    </row>
    <row r="46" spans="2:11" ht="14">
      <c r="B46" s="1076"/>
      <c r="C46" s="1083" t="s">
        <v>29</v>
      </c>
      <c r="D46" s="834" t="s">
        <v>41</v>
      </c>
      <c r="E46" s="835" t="s">
        <v>63</v>
      </c>
      <c r="F46" s="1083" t="s">
        <v>65</v>
      </c>
      <c r="G46" s="834" t="s">
        <v>86</v>
      </c>
      <c r="H46" s="835" t="s">
        <v>88</v>
      </c>
      <c r="I46" s="1083" t="s">
        <v>195</v>
      </c>
      <c r="J46" s="834" t="s">
        <v>197</v>
      </c>
      <c r="K46" s="835" t="s">
        <v>199</v>
      </c>
    </row>
    <row r="47" spans="2:11" ht="14">
      <c r="B47" s="1077" t="s">
        <v>1275</v>
      </c>
      <c r="C47" s="1088"/>
      <c r="D47" s="652"/>
      <c r="E47" s="653"/>
      <c r="F47" s="1088"/>
      <c r="G47" s="652"/>
      <c r="H47" s="653"/>
      <c r="I47" s="1088"/>
      <c r="J47" s="652"/>
      <c r="K47" s="653"/>
    </row>
    <row r="48" spans="2:11" ht="14">
      <c r="B48" s="1086" t="s">
        <v>1276</v>
      </c>
      <c r="C48" s="1084"/>
      <c r="D48" s="655"/>
      <c r="E48" s="787">
        <f>C48+D48</f>
        <v>0</v>
      </c>
      <c r="F48" s="1084"/>
      <c r="G48" s="655"/>
      <c r="H48" s="787">
        <f>F48+G48</f>
        <v>0</v>
      </c>
      <c r="I48" s="1084"/>
      <c r="J48" s="655"/>
      <c r="K48" s="787">
        <f>I48+J48</f>
        <v>0</v>
      </c>
    </row>
    <row r="49" spans="2:11" ht="14">
      <c r="B49" s="1086" t="s">
        <v>1277</v>
      </c>
      <c r="C49" s="1084"/>
      <c r="D49" s="655"/>
      <c r="E49" s="787">
        <f>C49+D49</f>
        <v>0</v>
      </c>
      <c r="F49" s="1084"/>
      <c r="G49" s="655"/>
      <c r="H49" s="787">
        <f>F49+G49</f>
        <v>0</v>
      </c>
      <c r="I49" s="1084"/>
      <c r="J49" s="655"/>
      <c r="K49" s="787">
        <f>I49+J49</f>
        <v>0</v>
      </c>
    </row>
    <row r="50" spans="2:11" ht="14">
      <c r="B50" s="1086" t="s">
        <v>1278</v>
      </c>
      <c r="C50" s="1084"/>
      <c r="D50" s="655"/>
      <c r="E50" s="787">
        <f>C50+D50</f>
        <v>0</v>
      </c>
      <c r="F50" s="1084"/>
      <c r="G50" s="655"/>
      <c r="H50" s="787">
        <f>F50+G50</f>
        <v>0</v>
      </c>
      <c r="I50" s="1084"/>
      <c r="J50" s="655"/>
      <c r="K50" s="787">
        <f>I50+J50</f>
        <v>0</v>
      </c>
    </row>
    <row r="51" spans="2:11" ht="14">
      <c r="B51" s="1087" t="s">
        <v>1279</v>
      </c>
      <c r="C51" s="1089">
        <f>SUM(C47:C50)</f>
        <v>0</v>
      </c>
      <c r="D51" s="678">
        <f t="shared" ref="D51:K51" si="2">SUM(D47:D50)</f>
        <v>0</v>
      </c>
      <c r="E51" s="679">
        <f t="shared" si="2"/>
        <v>0</v>
      </c>
      <c r="F51" s="1089">
        <f t="shared" si="2"/>
        <v>0</v>
      </c>
      <c r="G51" s="678">
        <f t="shared" si="2"/>
        <v>0</v>
      </c>
      <c r="H51" s="679">
        <f t="shared" si="2"/>
        <v>0</v>
      </c>
      <c r="I51" s="1089">
        <f t="shared" si="2"/>
        <v>0</v>
      </c>
      <c r="J51" s="678">
        <f t="shared" si="2"/>
        <v>0</v>
      </c>
      <c r="K51" s="679">
        <f t="shared" si="2"/>
        <v>0</v>
      </c>
    </row>
    <row r="52" spans="2:11" ht="14">
      <c r="B52" s="1077" t="s">
        <v>1280</v>
      </c>
      <c r="C52" s="1088"/>
      <c r="D52" s="652"/>
      <c r="E52" s="653"/>
      <c r="F52" s="1088"/>
      <c r="G52" s="652"/>
      <c r="H52" s="653"/>
      <c r="I52" s="1088"/>
      <c r="J52" s="652"/>
      <c r="K52" s="653"/>
    </row>
    <row r="53" spans="2:11" ht="14">
      <c r="B53" s="1086" t="s">
        <v>1281</v>
      </c>
      <c r="C53" s="1084"/>
      <c r="D53" s="655"/>
      <c r="E53" s="787">
        <f>C53+D53</f>
        <v>0</v>
      </c>
      <c r="F53" s="1084"/>
      <c r="G53" s="655"/>
      <c r="H53" s="787">
        <f>F53+G53</f>
        <v>0</v>
      </c>
      <c r="I53" s="1084"/>
      <c r="J53" s="655"/>
      <c r="K53" s="787">
        <f>I53+J53</f>
        <v>0</v>
      </c>
    </row>
    <row r="54" spans="2:11" ht="14">
      <c r="B54" s="1086" t="s">
        <v>1282</v>
      </c>
      <c r="C54" s="1084"/>
      <c r="D54" s="655"/>
      <c r="E54" s="787">
        <f>C54+D54</f>
        <v>0</v>
      </c>
      <c r="F54" s="1084"/>
      <c r="G54" s="655"/>
      <c r="H54" s="787">
        <f>F54+G54</f>
        <v>0</v>
      </c>
      <c r="I54" s="1084"/>
      <c r="J54" s="655"/>
      <c r="K54" s="787">
        <f>I54+J54</f>
        <v>0</v>
      </c>
    </row>
    <row r="55" spans="2:11" ht="14">
      <c r="B55" s="1086" t="s">
        <v>1283</v>
      </c>
      <c r="C55" s="1084"/>
      <c r="D55" s="655"/>
      <c r="E55" s="787">
        <f>C55+D55</f>
        <v>0</v>
      </c>
      <c r="F55" s="1084"/>
      <c r="G55" s="655"/>
      <c r="H55" s="787">
        <f>F55+G55</f>
        <v>0</v>
      </c>
      <c r="I55" s="1084"/>
      <c r="J55" s="655"/>
      <c r="K55" s="787">
        <f>I55+J55</f>
        <v>0</v>
      </c>
    </row>
    <row r="56" spans="2:11" ht="14">
      <c r="B56" s="1087" t="s">
        <v>1284</v>
      </c>
      <c r="C56" s="1089">
        <f>SUM(C52:C55)</f>
        <v>0</v>
      </c>
      <c r="D56" s="678">
        <f>SUM(D52:D55)</f>
        <v>0</v>
      </c>
      <c r="E56" s="679">
        <f>SUM(E52:E55)</f>
        <v>0</v>
      </c>
      <c r="F56" s="1089">
        <f t="shared" ref="F56:K56" si="3">SUM(F52:F55)</f>
        <v>0</v>
      </c>
      <c r="G56" s="678">
        <f t="shared" si="3"/>
        <v>0</v>
      </c>
      <c r="H56" s="679">
        <f t="shared" si="3"/>
        <v>0</v>
      </c>
      <c r="I56" s="1089">
        <f t="shared" si="3"/>
        <v>0</v>
      </c>
      <c r="J56" s="678">
        <f t="shared" si="3"/>
        <v>0</v>
      </c>
      <c r="K56" s="679">
        <f t="shared" si="3"/>
        <v>0</v>
      </c>
    </row>
    <row r="57" spans="2:11" ht="14">
      <c r="B57" s="1078" t="s">
        <v>1285</v>
      </c>
      <c r="C57" s="1090">
        <f t="shared" ref="C57:K57" si="4">C51-C56</f>
        <v>0</v>
      </c>
      <c r="D57" s="807">
        <f t="shared" si="4"/>
        <v>0</v>
      </c>
      <c r="E57" s="808">
        <f t="shared" si="4"/>
        <v>0</v>
      </c>
      <c r="F57" s="1090">
        <f t="shared" si="4"/>
        <v>0</v>
      </c>
      <c r="G57" s="807">
        <f t="shared" si="4"/>
        <v>0</v>
      </c>
      <c r="H57" s="808">
        <f t="shared" si="4"/>
        <v>0</v>
      </c>
      <c r="I57" s="1090">
        <f t="shared" si="4"/>
        <v>0</v>
      </c>
      <c r="J57" s="807">
        <f t="shared" si="4"/>
        <v>0</v>
      </c>
      <c r="K57" s="808">
        <f t="shared" si="4"/>
        <v>0</v>
      </c>
    </row>
  </sheetData>
  <sheetProtection password="E752" sheet="1" objects="1" scenarios="1" formatCells="0" formatColumns="0" formatRows="0"/>
  <mergeCells count="8">
    <mergeCell ref="C44:E44"/>
    <mergeCell ref="F44:H44"/>
    <mergeCell ref="I44:K44"/>
    <mergeCell ref="C8:E8"/>
    <mergeCell ref="F8:H8"/>
    <mergeCell ref="D33:E33"/>
    <mergeCell ref="G33:H33"/>
    <mergeCell ref="J33:K33"/>
  </mergeCells>
  <conditionalFormatting sqref="C10:C13">
    <cfRule type="expression" dxfId="607" priority="608" stopIfTrue="1">
      <formula>AND(CELL("protect",C10)=1,CELL("type",C10)="v")</formula>
    </cfRule>
    <cfRule type="expression" dxfId="606" priority="609" stopIfTrue="1">
      <formula>CELL("protect",C10)</formula>
    </cfRule>
  </conditionalFormatting>
  <conditionalFormatting sqref="C14 C20:C21 C16:C17 C23:E23">
    <cfRule type="expression" dxfId="605" priority="606" stopIfTrue="1">
      <formula>AND(CELL("protect",C14)=1,CELL("type",C14)="v")</formula>
    </cfRule>
    <cfRule type="expression" dxfId="604" priority="607" stopIfTrue="1">
      <formula>CELL("protect",C14)</formula>
    </cfRule>
  </conditionalFormatting>
  <conditionalFormatting sqref="C24">
    <cfRule type="expression" dxfId="603" priority="596" stopIfTrue="1">
      <formula>AND(CELL("protect",C24)=1,CELL("type",C24)="v")</formula>
    </cfRule>
    <cfRule type="expression" dxfId="602" priority="597" stopIfTrue="1">
      <formula>CELL("protect",C24)</formula>
    </cfRule>
  </conditionalFormatting>
  <conditionalFormatting sqref="C25:C27">
    <cfRule type="expression" dxfId="601" priority="594" stopIfTrue="1">
      <formula>AND(CELL("protect",C25)=1,CELL("type",C25)="v")</formula>
    </cfRule>
    <cfRule type="expression" dxfId="600" priority="595" stopIfTrue="1">
      <formula>CELL("protect",C25)</formula>
    </cfRule>
  </conditionalFormatting>
  <conditionalFormatting sqref="C28">
    <cfRule type="expression" dxfId="599" priority="592" stopIfTrue="1">
      <formula>AND(CELL("protect",C28)=1,CELL("type",C28)="v")</formula>
    </cfRule>
    <cfRule type="expression" dxfId="598" priority="593" stopIfTrue="1">
      <formula>CELL("protect",C28)</formula>
    </cfRule>
  </conditionalFormatting>
  <conditionalFormatting sqref="D10:E13">
    <cfRule type="expression" dxfId="597" priority="590" stopIfTrue="1">
      <formula>AND(CELL("protect",D10)=1,CELL("type",D10)="v")</formula>
    </cfRule>
    <cfRule type="expression" dxfId="596" priority="591" stopIfTrue="1">
      <formula>CELL("protect",D10)</formula>
    </cfRule>
  </conditionalFormatting>
  <conditionalFormatting sqref="D14:E14 D20:E21 D16:E17">
    <cfRule type="expression" dxfId="595" priority="588" stopIfTrue="1">
      <formula>AND(CELL("protect",D14)=1,CELL("type",D14)="v")</formula>
    </cfRule>
    <cfRule type="expression" dxfId="594" priority="589" stopIfTrue="1">
      <formula>CELL("protect",D14)</formula>
    </cfRule>
  </conditionalFormatting>
  <conditionalFormatting sqref="D24:E24">
    <cfRule type="expression" dxfId="593" priority="586" stopIfTrue="1">
      <formula>AND(CELL("protect",D24)=1,CELL("type",D24)="v")</formula>
    </cfRule>
    <cfRule type="expression" dxfId="592" priority="587" stopIfTrue="1">
      <formula>CELL("protect",D24)</formula>
    </cfRule>
  </conditionalFormatting>
  <conditionalFormatting sqref="D25:E27">
    <cfRule type="expression" dxfId="591" priority="584" stopIfTrue="1">
      <formula>AND(CELL("protect",D25)=1,CELL("type",D25)="v")</formula>
    </cfRule>
    <cfRule type="expression" dxfId="590" priority="585" stopIfTrue="1">
      <formula>CELL("protect",D25)</formula>
    </cfRule>
  </conditionalFormatting>
  <conditionalFormatting sqref="D28:E28">
    <cfRule type="expression" dxfId="589" priority="582" stopIfTrue="1">
      <formula>AND(CELL("protect",D28)=1,CELL("type",D28)="v")</formula>
    </cfRule>
    <cfRule type="expression" dxfId="588" priority="583" stopIfTrue="1">
      <formula>CELL("protect",D28)</formula>
    </cfRule>
  </conditionalFormatting>
  <conditionalFormatting sqref="F10:F13">
    <cfRule type="expression" dxfId="587" priority="580" stopIfTrue="1">
      <formula>AND(CELL("protect",F10)=1,CELL("type",F10)="v")</formula>
    </cfRule>
    <cfRule type="expression" dxfId="586" priority="581" stopIfTrue="1">
      <formula>CELL("protect",F10)</formula>
    </cfRule>
  </conditionalFormatting>
  <conditionalFormatting sqref="F16:F17 F20:F21">
    <cfRule type="expression" dxfId="585" priority="578" stopIfTrue="1">
      <formula>AND(CELL("protect",F16)=1,CELL("type",F16)="v")</formula>
    </cfRule>
    <cfRule type="expression" dxfId="584" priority="579" stopIfTrue="1">
      <formula>CELL("protect",F16)</formula>
    </cfRule>
  </conditionalFormatting>
  <conditionalFormatting sqref="F24">
    <cfRule type="expression" dxfId="583" priority="576" stopIfTrue="1">
      <formula>AND(CELL("protect",F24)=1,CELL("type",F24)="v")</formula>
    </cfRule>
    <cfRule type="expression" dxfId="582" priority="577" stopIfTrue="1">
      <formula>CELL("protect",F24)</formula>
    </cfRule>
  </conditionalFormatting>
  <conditionalFormatting sqref="F25:F26">
    <cfRule type="expression" dxfId="581" priority="574" stopIfTrue="1">
      <formula>AND(CELL("protect",F25)=1,CELL("type",F25)="v")</formula>
    </cfRule>
    <cfRule type="expression" dxfId="580" priority="575" stopIfTrue="1">
      <formula>CELL("protect",F25)</formula>
    </cfRule>
  </conditionalFormatting>
  <conditionalFormatting sqref="G25:H26">
    <cfRule type="expression" dxfId="579" priority="564" stopIfTrue="1">
      <formula>AND(CELL("protect",G25)=1,CELL("type",G25)="v")</formula>
    </cfRule>
    <cfRule type="expression" dxfId="578" priority="565" stopIfTrue="1">
      <formula>CELL("protect",G25)</formula>
    </cfRule>
  </conditionalFormatting>
  <conditionalFormatting sqref="G10:H13">
    <cfRule type="expression" dxfId="577" priority="570" stopIfTrue="1">
      <formula>AND(CELL("protect",G10)=1,CELL("type",G10)="v")</formula>
    </cfRule>
    <cfRule type="expression" dxfId="576" priority="571" stopIfTrue="1">
      <formula>CELL("protect",G10)</formula>
    </cfRule>
  </conditionalFormatting>
  <conditionalFormatting sqref="G16:H17 G20:H21">
    <cfRule type="expression" dxfId="575" priority="568" stopIfTrue="1">
      <formula>AND(CELL("protect",G16)=1,CELL("type",G16)="v")</formula>
    </cfRule>
    <cfRule type="expression" dxfId="574" priority="569" stopIfTrue="1">
      <formula>CELL("protect",G16)</formula>
    </cfRule>
  </conditionalFormatting>
  <conditionalFormatting sqref="G24:H24">
    <cfRule type="expression" dxfId="573" priority="566" stopIfTrue="1">
      <formula>AND(CELL("protect",G24)=1,CELL("type",G24)="v")</formula>
    </cfRule>
    <cfRule type="expression" dxfId="572" priority="567" stopIfTrue="1">
      <formula>CELL("protect",G24)</formula>
    </cfRule>
  </conditionalFormatting>
  <conditionalFormatting sqref="F28">
    <cfRule type="expression" dxfId="571" priority="540" stopIfTrue="1">
      <formula>AND(CELL("protect",F28)=1,CELL("type",F28)="v")</formula>
    </cfRule>
    <cfRule type="expression" dxfId="570" priority="541" stopIfTrue="1">
      <formula>CELL("protect",F28)</formula>
    </cfRule>
  </conditionalFormatting>
  <conditionalFormatting sqref="G28:H28">
    <cfRule type="expression" dxfId="569" priority="538" stopIfTrue="1">
      <formula>AND(CELL("protect",G28)=1,CELL("type",G28)="v")</formula>
    </cfRule>
    <cfRule type="expression" dxfId="568" priority="539" stopIfTrue="1">
      <formula>CELL("protect",G28)</formula>
    </cfRule>
  </conditionalFormatting>
  <conditionalFormatting sqref="F27">
    <cfRule type="expression" dxfId="567" priority="544" stopIfTrue="1">
      <formula>AND(CELL("protect",F27)=1,CELL("type",F27)="v")</formula>
    </cfRule>
    <cfRule type="expression" dxfId="566" priority="545" stopIfTrue="1">
      <formula>CELL("protect",F27)</formula>
    </cfRule>
  </conditionalFormatting>
  <conditionalFormatting sqref="G27:H27">
    <cfRule type="expression" dxfId="565" priority="542" stopIfTrue="1">
      <formula>AND(CELL("protect",G27)=1,CELL("type",G27)="v")</formula>
    </cfRule>
    <cfRule type="expression" dxfId="564" priority="543" stopIfTrue="1">
      <formula>CELL("protect",G27)</formula>
    </cfRule>
  </conditionalFormatting>
  <conditionalFormatting sqref="F23">
    <cfRule type="expression" dxfId="563" priority="552" stopIfTrue="1">
      <formula>AND(CELL("protect",F23)=1,CELL("type",F23)="v")</formula>
    </cfRule>
    <cfRule type="expression" dxfId="562" priority="553" stopIfTrue="1">
      <formula>CELL("protect",F23)</formula>
    </cfRule>
  </conditionalFormatting>
  <conditionalFormatting sqref="G23:H23">
    <cfRule type="expression" dxfId="561" priority="550" stopIfTrue="1">
      <formula>AND(CELL("protect",G23)=1,CELL("type",G23)="v")</formula>
    </cfRule>
    <cfRule type="expression" dxfId="560" priority="551" stopIfTrue="1">
      <formula>CELL("protect",G23)</formula>
    </cfRule>
  </conditionalFormatting>
  <conditionalFormatting sqref="F14">
    <cfRule type="expression" dxfId="559" priority="548" stopIfTrue="1">
      <formula>AND(CELL("protect",F14)=1,CELL("type",F14)="v")</formula>
    </cfRule>
    <cfRule type="expression" dxfId="558" priority="549" stopIfTrue="1">
      <formula>CELL("protect",F14)</formula>
    </cfRule>
  </conditionalFormatting>
  <conditionalFormatting sqref="G14:H14">
    <cfRule type="expression" dxfId="557" priority="546" stopIfTrue="1">
      <formula>AND(CELL("protect",G14)=1,CELL("type",G14)="v")</formula>
    </cfRule>
    <cfRule type="expression" dxfId="556" priority="547" stopIfTrue="1">
      <formula>CELL("protect",G14)</formula>
    </cfRule>
  </conditionalFormatting>
  <conditionalFormatting sqref="C38">
    <cfRule type="expression" dxfId="555" priority="536" stopIfTrue="1">
      <formula>AND(CELL("protect",C38)=1,CELL("type",C38)="v")</formula>
    </cfRule>
    <cfRule type="expression" dxfId="554" priority="537" stopIfTrue="1">
      <formula>CELL("protect",C38)</formula>
    </cfRule>
  </conditionalFormatting>
  <conditionalFormatting sqref="D38:E38">
    <cfRule type="expression" dxfId="553" priority="534" stopIfTrue="1">
      <formula>AND(CELL("protect",D38)=1,CELL("type",D38)="v")</formula>
    </cfRule>
    <cfRule type="expression" dxfId="552" priority="535" stopIfTrue="1">
      <formula>CELL("protect",D38)</formula>
    </cfRule>
  </conditionalFormatting>
  <conditionalFormatting sqref="C36:E39">
    <cfRule type="expression" dxfId="551" priority="532" stopIfTrue="1">
      <formula>AND(CELL("protect",C36)=1,CELL("type",C36)="v")</formula>
    </cfRule>
    <cfRule type="expression" dxfId="550" priority="533" stopIfTrue="1">
      <formula>CELL("protect",C36)</formula>
    </cfRule>
  </conditionalFormatting>
  <conditionalFormatting sqref="D36:E36">
    <cfRule type="expression" dxfId="549" priority="530" stopIfTrue="1">
      <formula>AND(CELL("protect",D36)=1,CELL("type",D36)="v")</formula>
    </cfRule>
    <cfRule type="expression" dxfId="548" priority="531" stopIfTrue="1">
      <formula>CELL("protect",D36)</formula>
    </cfRule>
  </conditionalFormatting>
  <conditionalFormatting sqref="C37">
    <cfRule type="expression" dxfId="547" priority="528" stopIfTrue="1">
      <formula>AND(CELL("protect",C37)=1,CELL("type",C37)="v")</formula>
    </cfRule>
    <cfRule type="expression" dxfId="546" priority="529" stopIfTrue="1">
      <formula>CELL("protect",C37)</formula>
    </cfRule>
  </conditionalFormatting>
  <conditionalFormatting sqref="D37:E37">
    <cfRule type="expression" dxfId="545" priority="526" stopIfTrue="1">
      <formula>AND(CELL("protect",D37)=1,CELL("type",D37)="v")</formula>
    </cfRule>
    <cfRule type="expression" dxfId="544" priority="527" stopIfTrue="1">
      <formula>CELL("protect",D37)</formula>
    </cfRule>
  </conditionalFormatting>
  <conditionalFormatting sqref="C39">
    <cfRule type="expression" dxfId="543" priority="524" stopIfTrue="1">
      <formula>AND(CELL("protect",C39)=1,CELL("type",C39)="v")</formula>
    </cfRule>
    <cfRule type="expression" dxfId="542" priority="525" stopIfTrue="1">
      <formula>CELL("protect",C39)</formula>
    </cfRule>
  </conditionalFormatting>
  <conditionalFormatting sqref="D39:E39">
    <cfRule type="expression" dxfId="541" priority="522" stopIfTrue="1">
      <formula>AND(CELL("protect",D39)=1,CELL("type",D39)="v")</formula>
    </cfRule>
    <cfRule type="expression" dxfId="540" priority="523" stopIfTrue="1">
      <formula>CELL("protect",D39)</formula>
    </cfRule>
  </conditionalFormatting>
  <conditionalFormatting sqref="C40">
    <cfRule type="expression" dxfId="539" priority="520" stopIfTrue="1">
      <formula>AND(CELL("protect",C40)=1,CELL("type",C40)="v")</formula>
    </cfRule>
    <cfRule type="expression" dxfId="538" priority="521" stopIfTrue="1">
      <formula>CELL("protect",C40)</formula>
    </cfRule>
  </conditionalFormatting>
  <conditionalFormatting sqref="D40:E40">
    <cfRule type="expression" dxfId="537" priority="518" stopIfTrue="1">
      <formula>AND(CELL("protect",D40)=1,CELL("type",D40)="v")</formula>
    </cfRule>
    <cfRule type="expression" dxfId="536" priority="519" stopIfTrue="1">
      <formula>CELL("protect",D40)</formula>
    </cfRule>
  </conditionalFormatting>
  <conditionalFormatting sqref="C19">
    <cfRule type="expression" dxfId="535" priority="476" stopIfTrue="1">
      <formula>AND(CELL("protect",C19)=1,CELL("type",C19)="v")</formula>
    </cfRule>
    <cfRule type="expression" dxfId="534" priority="477" stopIfTrue="1">
      <formula>CELL("protect",C19)</formula>
    </cfRule>
  </conditionalFormatting>
  <conditionalFormatting sqref="D19:E19">
    <cfRule type="expression" dxfId="533" priority="474" stopIfTrue="1">
      <formula>AND(CELL("protect",D19)=1,CELL("type",D19)="v")</formula>
    </cfRule>
    <cfRule type="expression" dxfId="532" priority="475" stopIfTrue="1">
      <formula>CELL("protect",D19)</formula>
    </cfRule>
  </conditionalFormatting>
  <conditionalFormatting sqref="C22">
    <cfRule type="expression" dxfId="531" priority="472" stopIfTrue="1">
      <formula>AND(CELL("protect",C22)=1,CELL("type",C22)="v")</formula>
    </cfRule>
    <cfRule type="expression" dxfId="530" priority="473" stopIfTrue="1">
      <formula>CELL("protect",C22)</formula>
    </cfRule>
  </conditionalFormatting>
  <conditionalFormatting sqref="D22:E22">
    <cfRule type="expression" dxfId="529" priority="470" stopIfTrue="1">
      <formula>AND(CELL("protect",D22)=1,CELL("type",D22)="v")</formula>
    </cfRule>
    <cfRule type="expression" dxfId="528" priority="471" stopIfTrue="1">
      <formula>CELL("protect",D22)</formula>
    </cfRule>
  </conditionalFormatting>
  <conditionalFormatting sqref="F22">
    <cfRule type="expression" dxfId="527" priority="468" stopIfTrue="1">
      <formula>AND(CELL("protect",F22)=1,CELL("type",F22)="v")</formula>
    </cfRule>
    <cfRule type="expression" dxfId="526" priority="469" stopIfTrue="1">
      <formula>CELL("protect",F22)</formula>
    </cfRule>
  </conditionalFormatting>
  <conditionalFormatting sqref="G22:H22">
    <cfRule type="expression" dxfId="525" priority="466" stopIfTrue="1">
      <formula>AND(CELL("protect",G22)=1,CELL("type",G22)="v")</formula>
    </cfRule>
    <cfRule type="expression" dxfId="524" priority="467" stopIfTrue="1">
      <formula>CELL("protect",G22)</formula>
    </cfRule>
  </conditionalFormatting>
  <conditionalFormatting sqref="C47">
    <cfRule type="expression" dxfId="523" priority="424" stopIfTrue="1">
      <formula>AND(CELL("protect",C47)=1,CELL("type",C47)="v")</formula>
    </cfRule>
    <cfRule type="expression" dxfId="522" priority="425" stopIfTrue="1">
      <formula>CELL("protect",C47)</formula>
    </cfRule>
  </conditionalFormatting>
  <conditionalFormatting sqref="D47:E47">
    <cfRule type="expression" dxfId="521" priority="422" stopIfTrue="1">
      <formula>AND(CELL("protect",D47)=1,CELL("type",D47)="v")</formula>
    </cfRule>
    <cfRule type="expression" dxfId="520" priority="423" stopIfTrue="1">
      <formula>CELL("protect",D47)</formula>
    </cfRule>
  </conditionalFormatting>
  <conditionalFormatting sqref="C49:C51">
    <cfRule type="expression" dxfId="519" priority="412" stopIfTrue="1">
      <formula>AND(CELL("protect",C49)=1,CELL("type",C49)="v")</formula>
    </cfRule>
    <cfRule type="expression" dxfId="518" priority="413" stopIfTrue="1">
      <formula>CELL("protect",C49)</formula>
    </cfRule>
  </conditionalFormatting>
  <conditionalFormatting sqref="D48:E51 E53:E55">
    <cfRule type="expression" dxfId="517" priority="410" stopIfTrue="1">
      <formula>AND(CELL("protect",D48)=1,CELL("type",D48)="v")</formula>
    </cfRule>
    <cfRule type="expression" dxfId="516" priority="411" stopIfTrue="1">
      <formula>CELL("protect",D48)</formula>
    </cfRule>
  </conditionalFormatting>
  <conditionalFormatting sqref="C52">
    <cfRule type="expression" dxfId="515" priority="400" stopIfTrue="1">
      <formula>AND(CELL("protect",C52)=1,CELL("type",C52)="v")</formula>
    </cfRule>
    <cfRule type="expression" dxfId="514" priority="401" stopIfTrue="1">
      <formula>CELL("protect",C52)</formula>
    </cfRule>
  </conditionalFormatting>
  <conditionalFormatting sqref="D52:E52">
    <cfRule type="expression" dxfId="513" priority="398" stopIfTrue="1">
      <formula>AND(CELL("protect",D52)=1,CELL("type",D52)="v")</formula>
    </cfRule>
    <cfRule type="expression" dxfId="512" priority="399" stopIfTrue="1">
      <formula>CELL("protect",D52)</formula>
    </cfRule>
  </conditionalFormatting>
  <conditionalFormatting sqref="C56">
    <cfRule type="expression" dxfId="511" priority="388" stopIfTrue="1">
      <formula>AND(CELL("protect",C56)=1,CELL("type",C56)="v")</formula>
    </cfRule>
    <cfRule type="expression" dxfId="510" priority="389" stopIfTrue="1">
      <formula>CELL("protect",C56)</formula>
    </cfRule>
  </conditionalFormatting>
  <conditionalFormatting sqref="D56:E57">
    <cfRule type="expression" dxfId="509" priority="386" stopIfTrue="1">
      <formula>AND(CELL("protect",D56)=1,CELL("type",D56)="v")</formula>
    </cfRule>
    <cfRule type="expression" dxfId="508" priority="387" stopIfTrue="1">
      <formula>CELL("protect",D56)</formula>
    </cfRule>
  </conditionalFormatting>
  <conditionalFormatting sqref="D57">
    <cfRule type="expression" dxfId="507" priority="354" stopIfTrue="1">
      <formula>AND(CELL("protect",D57)=1,CELL("type",D57)="v")</formula>
    </cfRule>
    <cfRule type="expression" dxfId="506" priority="355" stopIfTrue="1">
      <formula>CELL("protect",D57)</formula>
    </cfRule>
  </conditionalFormatting>
  <conditionalFormatting sqref="E57">
    <cfRule type="expression" dxfId="505" priority="352" stopIfTrue="1">
      <formula>AND(CELL("protect",E57)=1,CELL("type",E57)="v")</formula>
    </cfRule>
    <cfRule type="expression" dxfId="504" priority="353" stopIfTrue="1">
      <formula>CELL("protect",E57)</formula>
    </cfRule>
  </conditionalFormatting>
  <conditionalFormatting sqref="C57">
    <cfRule type="expression" dxfId="503" priority="376" stopIfTrue="1">
      <formula>AND(CELL("protect",C57)=1,CELL("type",C57)="v")</formula>
    </cfRule>
    <cfRule type="expression" dxfId="502" priority="377" stopIfTrue="1">
      <formula>CELL("protect",C57)</formula>
    </cfRule>
  </conditionalFormatting>
  <conditionalFormatting sqref="F19">
    <cfRule type="expression" dxfId="501" priority="364" stopIfTrue="1">
      <formula>AND(CELL("protect",F19)=1,CELL("type",F19)="v")</formula>
    </cfRule>
    <cfRule type="expression" dxfId="500" priority="365" stopIfTrue="1">
      <formula>CELL("protect",F19)</formula>
    </cfRule>
  </conditionalFormatting>
  <conditionalFormatting sqref="G19:H19">
    <cfRule type="expression" dxfId="499" priority="362" stopIfTrue="1">
      <formula>AND(CELL("protect",G19)=1,CELL("type",G19)="v")</formula>
    </cfRule>
    <cfRule type="expression" dxfId="498" priority="363" stopIfTrue="1">
      <formula>CELL("protect",G19)</formula>
    </cfRule>
  </conditionalFormatting>
  <conditionalFormatting sqref="C18">
    <cfRule type="expression" dxfId="497" priority="308" stopIfTrue="1">
      <formula>AND(CELL("protect",C18)=1,CELL("type",C18)="v")</formula>
    </cfRule>
    <cfRule type="expression" dxfId="496" priority="309" stopIfTrue="1">
      <formula>CELL("protect",C18)</formula>
    </cfRule>
  </conditionalFormatting>
  <conditionalFormatting sqref="D18:E18">
    <cfRule type="expression" dxfId="495" priority="306" stopIfTrue="1">
      <formula>AND(CELL("protect",D18)=1,CELL("type",D18)="v")</formula>
    </cfRule>
    <cfRule type="expression" dxfId="494" priority="307" stopIfTrue="1">
      <formula>CELL("protect",D18)</formula>
    </cfRule>
  </conditionalFormatting>
  <conditionalFormatting sqref="F18">
    <cfRule type="expression" dxfId="493" priority="304" stopIfTrue="1">
      <formula>AND(CELL("protect",F18)=1,CELL("type",F18)="v")</formula>
    </cfRule>
    <cfRule type="expression" dxfId="492" priority="305" stopIfTrue="1">
      <formula>CELL("protect",F18)</formula>
    </cfRule>
  </conditionalFormatting>
  <conditionalFormatting sqref="G18:H18">
    <cfRule type="expression" dxfId="491" priority="302" stopIfTrue="1">
      <formula>AND(CELL("protect",G18)=1,CELL("type",G18)="v")</formula>
    </cfRule>
    <cfRule type="expression" dxfId="490" priority="303" stopIfTrue="1">
      <formula>CELL("protect",G18)</formula>
    </cfRule>
  </conditionalFormatting>
  <conditionalFormatting sqref="C15">
    <cfRule type="expression" dxfId="489" priority="300" stopIfTrue="1">
      <formula>AND(CELL("protect",C15)=1,CELL("type",C15)="v")</formula>
    </cfRule>
    <cfRule type="expression" dxfId="488" priority="301" stopIfTrue="1">
      <formula>CELL("protect",C15)</formula>
    </cfRule>
  </conditionalFormatting>
  <conditionalFormatting sqref="D15:E15">
    <cfRule type="expression" dxfId="487" priority="298" stopIfTrue="1">
      <formula>AND(CELL("protect",D15)=1,CELL("type",D15)="v")</formula>
    </cfRule>
    <cfRule type="expression" dxfId="486" priority="299" stopIfTrue="1">
      <formula>CELL("protect",D15)</formula>
    </cfRule>
  </conditionalFormatting>
  <conditionalFormatting sqref="F15">
    <cfRule type="expression" dxfId="485" priority="296" stopIfTrue="1">
      <formula>AND(CELL("protect",F15)=1,CELL("type",F15)="v")</formula>
    </cfRule>
    <cfRule type="expression" dxfId="484" priority="297" stopIfTrue="1">
      <formula>CELL("protect",F15)</formula>
    </cfRule>
  </conditionalFormatting>
  <conditionalFormatting sqref="G15:H15">
    <cfRule type="expression" dxfId="483" priority="294" stopIfTrue="1">
      <formula>AND(CELL("protect",G15)=1,CELL("type",G15)="v")</formula>
    </cfRule>
    <cfRule type="expression" dxfId="482" priority="295" stopIfTrue="1">
      <formula>CELL("protect",G15)</formula>
    </cfRule>
  </conditionalFormatting>
  <conditionalFormatting sqref="C49:D50 D48">
    <cfRule type="expression" dxfId="481" priority="292" stopIfTrue="1">
      <formula>AND(CELL("protect",C48)=1,CELL("type",C48)="v")</formula>
    </cfRule>
    <cfRule type="expression" dxfId="480" priority="293" stopIfTrue="1">
      <formula>CELL("protect",C48)</formula>
    </cfRule>
  </conditionalFormatting>
  <conditionalFormatting sqref="D38">
    <cfRule type="expression" dxfId="479" priority="290" stopIfTrue="1">
      <formula>AND(CELL("protect",D38)=1,CELL("type",D38)="v")</formula>
    </cfRule>
    <cfRule type="expression" dxfId="478" priority="291" stopIfTrue="1">
      <formula>CELL("protect",D38)</formula>
    </cfRule>
  </conditionalFormatting>
  <conditionalFormatting sqref="D37">
    <cfRule type="expression" dxfId="477" priority="288" stopIfTrue="1">
      <formula>AND(CELL("protect",D37)=1,CELL("type",D37)="v")</formula>
    </cfRule>
    <cfRule type="expression" dxfId="476" priority="289" stopIfTrue="1">
      <formula>CELL("protect",D37)</formula>
    </cfRule>
  </conditionalFormatting>
  <conditionalFormatting sqref="D39">
    <cfRule type="expression" dxfId="475" priority="286" stopIfTrue="1">
      <formula>AND(CELL("protect",D39)=1,CELL("type",D39)="v")</formula>
    </cfRule>
    <cfRule type="expression" dxfId="474" priority="287" stopIfTrue="1">
      <formula>CELL("protect",D39)</formula>
    </cfRule>
  </conditionalFormatting>
  <conditionalFormatting sqref="E38">
    <cfRule type="expression" dxfId="473" priority="284" stopIfTrue="1">
      <formula>AND(CELL("protect",E38)=1,CELL("type",E38)="v")</formula>
    </cfRule>
    <cfRule type="expression" dxfId="472" priority="285" stopIfTrue="1">
      <formula>CELL("protect",E38)</formula>
    </cfRule>
  </conditionalFormatting>
  <conditionalFormatting sqref="E37">
    <cfRule type="expression" dxfId="471" priority="282" stopIfTrue="1">
      <formula>AND(CELL("protect",E37)=1,CELL("type",E37)="v")</formula>
    </cfRule>
    <cfRule type="expression" dxfId="470" priority="283" stopIfTrue="1">
      <formula>CELL("protect",E37)</formula>
    </cfRule>
  </conditionalFormatting>
  <conditionalFormatting sqref="E39">
    <cfRule type="expression" dxfId="469" priority="280" stopIfTrue="1">
      <formula>AND(CELL("protect",E39)=1,CELL("type",E39)="v")</formula>
    </cfRule>
    <cfRule type="expression" dxfId="468" priority="281" stopIfTrue="1">
      <formula>CELL("protect",E39)</formula>
    </cfRule>
  </conditionalFormatting>
  <conditionalFormatting sqref="F38">
    <cfRule type="expression" dxfId="467" priority="242" stopIfTrue="1">
      <formula>AND(CELL("protect",F38)=1,CELL("type",F38)="v")</formula>
    </cfRule>
    <cfRule type="expression" dxfId="466" priority="243" stopIfTrue="1">
      <formula>CELL("protect",F38)</formula>
    </cfRule>
  </conditionalFormatting>
  <conditionalFormatting sqref="G38:H38">
    <cfRule type="expression" dxfId="465" priority="240" stopIfTrue="1">
      <formula>AND(CELL("protect",G38)=1,CELL("type",G38)="v")</formula>
    </cfRule>
    <cfRule type="expression" dxfId="464" priority="241" stopIfTrue="1">
      <formula>CELL("protect",G38)</formula>
    </cfRule>
  </conditionalFormatting>
  <conditionalFormatting sqref="F36:H39">
    <cfRule type="expression" dxfId="463" priority="238" stopIfTrue="1">
      <formula>AND(CELL("protect",F36)=1,CELL("type",F36)="v")</formula>
    </cfRule>
    <cfRule type="expression" dxfId="462" priority="239" stopIfTrue="1">
      <formula>CELL("protect",F36)</formula>
    </cfRule>
  </conditionalFormatting>
  <conditionalFormatting sqref="G36:H36">
    <cfRule type="expression" dxfId="461" priority="236" stopIfTrue="1">
      <formula>AND(CELL("protect",G36)=1,CELL("type",G36)="v")</formula>
    </cfRule>
    <cfRule type="expression" dxfId="460" priority="237" stopIfTrue="1">
      <formula>CELL("protect",G36)</formula>
    </cfRule>
  </conditionalFormatting>
  <conditionalFormatting sqref="F37">
    <cfRule type="expression" dxfId="459" priority="234" stopIfTrue="1">
      <formula>AND(CELL("protect",F37)=1,CELL("type",F37)="v")</formula>
    </cfRule>
    <cfRule type="expression" dxfId="458" priority="235" stopIfTrue="1">
      <formula>CELL("protect",F37)</formula>
    </cfRule>
  </conditionalFormatting>
  <conditionalFormatting sqref="G37:H37">
    <cfRule type="expression" dxfId="457" priority="232" stopIfTrue="1">
      <formula>AND(CELL("protect",G37)=1,CELL("type",G37)="v")</formula>
    </cfRule>
    <cfRule type="expression" dxfId="456" priority="233" stopIfTrue="1">
      <formula>CELL("protect",G37)</formula>
    </cfRule>
  </conditionalFormatting>
  <conditionalFormatting sqref="F39">
    <cfRule type="expression" dxfId="455" priority="230" stopIfTrue="1">
      <formula>AND(CELL("protect",F39)=1,CELL("type",F39)="v")</formula>
    </cfRule>
    <cfRule type="expression" dxfId="454" priority="231" stopIfTrue="1">
      <formula>CELL("protect",F39)</formula>
    </cfRule>
  </conditionalFormatting>
  <conditionalFormatting sqref="G39:H39">
    <cfRule type="expression" dxfId="453" priority="228" stopIfTrue="1">
      <formula>AND(CELL("protect",G39)=1,CELL("type",G39)="v")</formula>
    </cfRule>
    <cfRule type="expression" dxfId="452" priority="229" stopIfTrue="1">
      <formula>CELL("protect",G39)</formula>
    </cfRule>
  </conditionalFormatting>
  <conditionalFormatting sqref="F40">
    <cfRule type="expression" dxfId="451" priority="226" stopIfTrue="1">
      <formula>AND(CELL("protect",F40)=1,CELL("type",F40)="v")</formula>
    </cfRule>
    <cfRule type="expression" dxfId="450" priority="227" stopIfTrue="1">
      <formula>CELL("protect",F40)</formula>
    </cfRule>
  </conditionalFormatting>
  <conditionalFormatting sqref="G40:H40">
    <cfRule type="expression" dxfId="449" priority="224" stopIfTrue="1">
      <formula>AND(CELL("protect",G40)=1,CELL("type",G40)="v")</formula>
    </cfRule>
    <cfRule type="expression" dxfId="448" priority="225" stopIfTrue="1">
      <formula>CELL("protect",G40)</formula>
    </cfRule>
  </conditionalFormatting>
  <conditionalFormatting sqref="G38">
    <cfRule type="expression" dxfId="447" priority="222" stopIfTrue="1">
      <formula>AND(CELL("protect",G38)=1,CELL("type",G38)="v")</formula>
    </cfRule>
    <cfRule type="expression" dxfId="446" priority="223" stopIfTrue="1">
      <formula>CELL("protect",G38)</formula>
    </cfRule>
  </conditionalFormatting>
  <conditionalFormatting sqref="G37">
    <cfRule type="expression" dxfId="445" priority="220" stopIfTrue="1">
      <formula>AND(CELL("protect",G37)=1,CELL("type",G37)="v")</formula>
    </cfRule>
    <cfRule type="expression" dxfId="444" priority="221" stopIfTrue="1">
      <formula>CELL("protect",G37)</formula>
    </cfRule>
  </conditionalFormatting>
  <conditionalFormatting sqref="G39">
    <cfRule type="expression" dxfId="443" priority="218" stopIfTrue="1">
      <formula>AND(CELL("protect",G39)=1,CELL("type",G39)="v")</formula>
    </cfRule>
    <cfRule type="expression" dxfId="442" priority="219" stopIfTrue="1">
      <formula>CELL("protect",G39)</formula>
    </cfRule>
  </conditionalFormatting>
  <conditionalFormatting sqref="H38">
    <cfRule type="expression" dxfId="441" priority="216" stopIfTrue="1">
      <formula>AND(CELL("protect",H38)=1,CELL("type",H38)="v")</formula>
    </cfRule>
    <cfRule type="expression" dxfId="440" priority="217" stopIfTrue="1">
      <formula>CELL("protect",H38)</formula>
    </cfRule>
  </conditionalFormatting>
  <conditionalFormatting sqref="H37">
    <cfRule type="expression" dxfId="439" priority="214" stopIfTrue="1">
      <formula>AND(CELL("protect",H37)=1,CELL("type",H37)="v")</formula>
    </cfRule>
    <cfRule type="expression" dxfId="438" priority="215" stopIfTrue="1">
      <formula>CELL("protect",H37)</formula>
    </cfRule>
  </conditionalFormatting>
  <conditionalFormatting sqref="H39">
    <cfRule type="expression" dxfId="437" priority="212" stopIfTrue="1">
      <formula>AND(CELL("protect",H39)=1,CELL("type",H39)="v")</formula>
    </cfRule>
    <cfRule type="expression" dxfId="436" priority="213" stopIfTrue="1">
      <formula>CELL("protect",H39)</formula>
    </cfRule>
  </conditionalFormatting>
  <conditionalFormatting sqref="I38">
    <cfRule type="expression" dxfId="435" priority="210" stopIfTrue="1">
      <formula>AND(CELL("protect",I38)=1,CELL("type",I38)="v")</formula>
    </cfRule>
    <cfRule type="expression" dxfId="434" priority="211" stopIfTrue="1">
      <formula>CELL("protect",I38)</formula>
    </cfRule>
  </conditionalFormatting>
  <conditionalFormatting sqref="J38:K38">
    <cfRule type="expression" dxfId="433" priority="208" stopIfTrue="1">
      <formula>AND(CELL("protect",J38)=1,CELL("type",J38)="v")</formula>
    </cfRule>
    <cfRule type="expression" dxfId="432" priority="209" stopIfTrue="1">
      <formula>CELL("protect",J38)</formula>
    </cfRule>
  </conditionalFormatting>
  <conditionalFormatting sqref="I36:K39">
    <cfRule type="expression" dxfId="431" priority="206" stopIfTrue="1">
      <formula>AND(CELL("protect",I36)=1,CELL("type",I36)="v")</formula>
    </cfRule>
    <cfRule type="expression" dxfId="430" priority="207" stopIfTrue="1">
      <formula>CELL("protect",I36)</formula>
    </cfRule>
  </conditionalFormatting>
  <conditionalFormatting sqref="J36:K36">
    <cfRule type="expression" dxfId="429" priority="204" stopIfTrue="1">
      <formula>AND(CELL("protect",J36)=1,CELL("type",J36)="v")</formula>
    </cfRule>
    <cfRule type="expression" dxfId="428" priority="205" stopIfTrue="1">
      <formula>CELL("protect",J36)</formula>
    </cfRule>
  </conditionalFormatting>
  <conditionalFormatting sqref="I37">
    <cfRule type="expression" dxfId="427" priority="202" stopIfTrue="1">
      <formula>AND(CELL("protect",I37)=1,CELL("type",I37)="v")</formula>
    </cfRule>
    <cfRule type="expression" dxfId="426" priority="203" stopIfTrue="1">
      <formula>CELL("protect",I37)</formula>
    </cfRule>
  </conditionalFormatting>
  <conditionalFormatting sqref="J37:K37">
    <cfRule type="expression" dxfId="425" priority="200" stopIfTrue="1">
      <formula>AND(CELL("protect",J37)=1,CELL("type",J37)="v")</formula>
    </cfRule>
    <cfRule type="expression" dxfId="424" priority="201" stopIfTrue="1">
      <formula>CELL("protect",J37)</formula>
    </cfRule>
  </conditionalFormatting>
  <conditionalFormatting sqref="I39">
    <cfRule type="expression" dxfId="423" priority="198" stopIfTrue="1">
      <formula>AND(CELL("protect",I39)=1,CELL("type",I39)="v")</formula>
    </cfRule>
    <cfRule type="expression" dxfId="422" priority="199" stopIfTrue="1">
      <formula>CELL("protect",I39)</formula>
    </cfRule>
  </conditionalFormatting>
  <conditionalFormatting sqref="J39:K39">
    <cfRule type="expression" dxfId="421" priority="196" stopIfTrue="1">
      <formula>AND(CELL("protect",J39)=1,CELL("type",J39)="v")</formula>
    </cfRule>
    <cfRule type="expression" dxfId="420" priority="197" stopIfTrue="1">
      <formula>CELL("protect",J39)</formula>
    </cfRule>
  </conditionalFormatting>
  <conditionalFormatting sqref="I40">
    <cfRule type="expression" dxfId="419" priority="194" stopIfTrue="1">
      <formula>AND(CELL("protect",I40)=1,CELL("type",I40)="v")</formula>
    </cfRule>
    <cfRule type="expression" dxfId="418" priority="195" stopIfTrue="1">
      <formula>CELL("protect",I40)</formula>
    </cfRule>
  </conditionalFormatting>
  <conditionalFormatting sqref="J40:K40">
    <cfRule type="expression" dxfId="417" priority="192" stopIfTrue="1">
      <formula>AND(CELL("protect",J40)=1,CELL("type",J40)="v")</formula>
    </cfRule>
    <cfRule type="expression" dxfId="416" priority="193" stopIfTrue="1">
      <formula>CELL("protect",J40)</formula>
    </cfRule>
  </conditionalFormatting>
  <conditionalFormatting sqref="J38">
    <cfRule type="expression" dxfId="415" priority="190" stopIfTrue="1">
      <formula>AND(CELL("protect",J38)=1,CELL("type",J38)="v")</formula>
    </cfRule>
    <cfRule type="expression" dxfId="414" priority="191" stopIfTrue="1">
      <formula>CELL("protect",J38)</formula>
    </cfRule>
  </conditionalFormatting>
  <conditionalFormatting sqref="J37">
    <cfRule type="expression" dxfId="413" priority="188" stopIfTrue="1">
      <formula>AND(CELL("protect",J37)=1,CELL("type",J37)="v")</formula>
    </cfRule>
    <cfRule type="expression" dxfId="412" priority="189" stopIfTrue="1">
      <formula>CELL("protect",J37)</formula>
    </cfRule>
  </conditionalFormatting>
  <conditionalFormatting sqref="J39">
    <cfRule type="expression" dxfId="411" priority="186" stopIfTrue="1">
      <formula>AND(CELL("protect",J39)=1,CELL("type",J39)="v")</formula>
    </cfRule>
    <cfRule type="expression" dxfId="410" priority="187" stopIfTrue="1">
      <formula>CELL("protect",J39)</formula>
    </cfRule>
  </conditionalFormatting>
  <conditionalFormatting sqref="K38">
    <cfRule type="expression" dxfId="409" priority="184" stopIfTrue="1">
      <formula>AND(CELL("protect",K38)=1,CELL("type",K38)="v")</formula>
    </cfRule>
    <cfRule type="expression" dxfId="408" priority="185" stopIfTrue="1">
      <formula>CELL("protect",K38)</formula>
    </cfRule>
  </conditionalFormatting>
  <conditionalFormatting sqref="K37">
    <cfRule type="expression" dxfId="407" priority="182" stopIfTrue="1">
      <formula>AND(CELL("protect",K37)=1,CELL("type",K37)="v")</formula>
    </cfRule>
    <cfRule type="expression" dxfId="406" priority="183" stopIfTrue="1">
      <formula>CELL("protect",K37)</formula>
    </cfRule>
  </conditionalFormatting>
  <conditionalFormatting sqref="K39">
    <cfRule type="expression" dxfId="405" priority="180" stopIfTrue="1">
      <formula>AND(CELL("protect",K39)=1,CELL("type",K39)="v")</formula>
    </cfRule>
    <cfRule type="expression" dxfId="404" priority="181" stopIfTrue="1">
      <formula>CELL("protect",K39)</formula>
    </cfRule>
  </conditionalFormatting>
  <conditionalFormatting sqref="C48:D50">
    <cfRule type="expression" dxfId="403" priority="178" stopIfTrue="1">
      <formula>AND(CELL("protect",C48)=1,CELL("type",C48)="v")</formula>
    </cfRule>
    <cfRule type="expression" dxfId="402" priority="179" stopIfTrue="1">
      <formula>CELL("protect",C48)</formula>
    </cfRule>
  </conditionalFormatting>
  <conditionalFormatting sqref="C54:C55">
    <cfRule type="expression" dxfId="401" priority="176" stopIfTrue="1">
      <formula>AND(CELL("protect",C54)=1,CELL("type",C54)="v")</formula>
    </cfRule>
    <cfRule type="expression" dxfId="400" priority="177" stopIfTrue="1">
      <formula>CELL("protect",C54)</formula>
    </cfRule>
  </conditionalFormatting>
  <conditionalFormatting sqref="D53:D55">
    <cfRule type="expression" dxfId="399" priority="174" stopIfTrue="1">
      <formula>AND(CELL("protect",D53)=1,CELL("type",D53)="v")</formula>
    </cfRule>
    <cfRule type="expression" dxfId="398" priority="175" stopIfTrue="1">
      <formula>CELL("protect",D53)</formula>
    </cfRule>
  </conditionalFormatting>
  <conditionalFormatting sqref="C54:D55 D53">
    <cfRule type="expression" dxfId="397" priority="172" stopIfTrue="1">
      <formula>AND(CELL("protect",C53)=1,CELL("type",C53)="v")</formula>
    </cfRule>
    <cfRule type="expression" dxfId="396" priority="173" stopIfTrue="1">
      <formula>CELL("protect",C53)</formula>
    </cfRule>
  </conditionalFormatting>
  <conditionalFormatting sqref="C53:D55">
    <cfRule type="expression" dxfId="395" priority="170" stopIfTrue="1">
      <formula>AND(CELL("protect",C53)=1,CELL("type",C53)="v")</formula>
    </cfRule>
    <cfRule type="expression" dxfId="394" priority="171" stopIfTrue="1">
      <formula>CELL("protect",C53)</formula>
    </cfRule>
  </conditionalFormatting>
  <conditionalFormatting sqref="F47">
    <cfRule type="expression" dxfId="393" priority="68" stopIfTrue="1">
      <formula>AND(CELL("protect",F47)=1,CELL("type",F47)="v")</formula>
    </cfRule>
    <cfRule type="expression" dxfId="392" priority="69" stopIfTrue="1">
      <formula>CELL("protect",F47)</formula>
    </cfRule>
  </conditionalFormatting>
  <conditionalFormatting sqref="G47:H47">
    <cfRule type="expression" dxfId="391" priority="66" stopIfTrue="1">
      <formula>AND(CELL("protect",G47)=1,CELL("type",G47)="v")</formula>
    </cfRule>
    <cfRule type="expression" dxfId="390" priority="67" stopIfTrue="1">
      <formula>CELL("protect",G47)</formula>
    </cfRule>
  </conditionalFormatting>
  <conditionalFormatting sqref="F49:F51">
    <cfRule type="expression" dxfId="389" priority="64" stopIfTrue="1">
      <formula>AND(CELL("protect",F49)=1,CELL("type",F49)="v")</formula>
    </cfRule>
    <cfRule type="expression" dxfId="388" priority="65" stopIfTrue="1">
      <formula>CELL("protect",F49)</formula>
    </cfRule>
  </conditionalFormatting>
  <conditionalFormatting sqref="G48:H51 H53:H55">
    <cfRule type="expression" dxfId="387" priority="62" stopIfTrue="1">
      <formula>AND(CELL("protect",G48)=1,CELL("type",G48)="v")</formula>
    </cfRule>
    <cfRule type="expression" dxfId="386" priority="63" stopIfTrue="1">
      <formula>CELL("protect",G48)</formula>
    </cfRule>
  </conditionalFormatting>
  <conditionalFormatting sqref="F52">
    <cfRule type="expression" dxfId="385" priority="60" stopIfTrue="1">
      <formula>AND(CELL("protect",F52)=1,CELL("type",F52)="v")</formula>
    </cfRule>
    <cfRule type="expression" dxfId="384" priority="61" stopIfTrue="1">
      <formula>CELL("protect",F52)</formula>
    </cfRule>
  </conditionalFormatting>
  <conditionalFormatting sqref="G52:H52">
    <cfRule type="expression" dxfId="383" priority="58" stopIfTrue="1">
      <formula>AND(CELL("protect",G52)=1,CELL("type",G52)="v")</formula>
    </cfRule>
    <cfRule type="expression" dxfId="382" priority="59" stopIfTrue="1">
      <formula>CELL("protect",G52)</formula>
    </cfRule>
  </conditionalFormatting>
  <conditionalFormatting sqref="F56">
    <cfRule type="expression" dxfId="381" priority="56" stopIfTrue="1">
      <formula>AND(CELL("protect",F56)=1,CELL("type",F56)="v")</formula>
    </cfRule>
    <cfRule type="expression" dxfId="380" priority="57" stopIfTrue="1">
      <formula>CELL("protect",F56)</formula>
    </cfRule>
  </conditionalFormatting>
  <conditionalFormatting sqref="G56:H57">
    <cfRule type="expression" dxfId="379" priority="54" stopIfTrue="1">
      <formula>AND(CELL("protect",G56)=1,CELL("type",G56)="v")</formula>
    </cfRule>
    <cfRule type="expression" dxfId="378" priority="55" stopIfTrue="1">
      <formula>CELL("protect",G56)</formula>
    </cfRule>
  </conditionalFormatting>
  <conditionalFormatting sqref="G57">
    <cfRule type="expression" dxfId="377" priority="50" stopIfTrue="1">
      <formula>AND(CELL("protect",G57)=1,CELL("type",G57)="v")</formula>
    </cfRule>
    <cfRule type="expression" dxfId="376" priority="51" stopIfTrue="1">
      <formula>CELL("protect",G57)</formula>
    </cfRule>
  </conditionalFormatting>
  <conditionalFormatting sqref="H57">
    <cfRule type="expression" dxfId="375" priority="48" stopIfTrue="1">
      <formula>AND(CELL("protect",H57)=1,CELL("type",H57)="v")</formula>
    </cfRule>
    <cfRule type="expression" dxfId="374" priority="49" stopIfTrue="1">
      <formula>CELL("protect",H57)</formula>
    </cfRule>
  </conditionalFormatting>
  <conditionalFormatting sqref="F57">
    <cfRule type="expression" dxfId="373" priority="52" stopIfTrue="1">
      <formula>AND(CELL("protect",F57)=1,CELL("type",F57)="v")</formula>
    </cfRule>
    <cfRule type="expression" dxfId="372" priority="53" stopIfTrue="1">
      <formula>CELL("protect",F57)</formula>
    </cfRule>
  </conditionalFormatting>
  <conditionalFormatting sqref="F49:G50 G48">
    <cfRule type="expression" dxfId="371" priority="46" stopIfTrue="1">
      <formula>AND(CELL("protect",F48)=1,CELL("type",F48)="v")</formula>
    </cfRule>
    <cfRule type="expression" dxfId="370" priority="47" stopIfTrue="1">
      <formula>CELL("protect",F48)</formula>
    </cfRule>
  </conditionalFormatting>
  <conditionalFormatting sqref="F48:G50">
    <cfRule type="expression" dxfId="369" priority="44" stopIfTrue="1">
      <formula>AND(CELL("protect",F48)=1,CELL("type",F48)="v")</formula>
    </cfRule>
    <cfRule type="expression" dxfId="368" priority="45" stopIfTrue="1">
      <formula>CELL("protect",F48)</formula>
    </cfRule>
  </conditionalFormatting>
  <conditionalFormatting sqref="F54:F55">
    <cfRule type="expression" dxfId="367" priority="42" stopIfTrue="1">
      <formula>AND(CELL("protect",F54)=1,CELL("type",F54)="v")</formula>
    </cfRule>
    <cfRule type="expression" dxfId="366" priority="43" stopIfTrue="1">
      <formula>CELL("protect",F54)</formula>
    </cfRule>
  </conditionalFormatting>
  <conditionalFormatting sqref="G53:G55">
    <cfRule type="expression" dxfId="365" priority="40" stopIfTrue="1">
      <formula>AND(CELL("protect",G53)=1,CELL("type",G53)="v")</formula>
    </cfRule>
    <cfRule type="expression" dxfId="364" priority="41" stopIfTrue="1">
      <formula>CELL("protect",G53)</formula>
    </cfRule>
  </conditionalFormatting>
  <conditionalFormatting sqref="F54:G55 G53">
    <cfRule type="expression" dxfId="363" priority="38" stopIfTrue="1">
      <formula>AND(CELL("protect",F53)=1,CELL("type",F53)="v")</formula>
    </cfRule>
    <cfRule type="expression" dxfId="362" priority="39" stopIfTrue="1">
      <formula>CELL("protect",F53)</formula>
    </cfRule>
  </conditionalFormatting>
  <conditionalFormatting sqref="F53:G55">
    <cfRule type="expression" dxfId="361" priority="36" stopIfTrue="1">
      <formula>AND(CELL("protect",F53)=1,CELL("type",F53)="v")</formula>
    </cfRule>
    <cfRule type="expression" dxfId="360" priority="37" stopIfTrue="1">
      <formula>CELL("protect",F53)</formula>
    </cfRule>
  </conditionalFormatting>
  <conditionalFormatting sqref="I47">
    <cfRule type="expression" dxfId="359" priority="34" stopIfTrue="1">
      <formula>AND(CELL("protect",I47)=1,CELL("type",I47)="v")</formula>
    </cfRule>
    <cfRule type="expression" dxfId="358" priority="35" stopIfTrue="1">
      <formula>CELL("protect",I47)</formula>
    </cfRule>
  </conditionalFormatting>
  <conditionalFormatting sqref="J47:K47">
    <cfRule type="expression" dxfId="357" priority="32" stopIfTrue="1">
      <formula>AND(CELL("protect",J47)=1,CELL("type",J47)="v")</formula>
    </cfRule>
    <cfRule type="expression" dxfId="356" priority="33" stopIfTrue="1">
      <formula>CELL("protect",J47)</formula>
    </cfRule>
  </conditionalFormatting>
  <conditionalFormatting sqref="I49:I51">
    <cfRule type="expression" dxfId="355" priority="30" stopIfTrue="1">
      <formula>AND(CELL("protect",I49)=1,CELL("type",I49)="v")</formula>
    </cfRule>
    <cfRule type="expression" dxfId="354" priority="31" stopIfTrue="1">
      <formula>CELL("protect",I49)</formula>
    </cfRule>
  </conditionalFormatting>
  <conditionalFormatting sqref="J48:K51 K53:K55">
    <cfRule type="expression" dxfId="353" priority="28" stopIfTrue="1">
      <formula>AND(CELL("protect",J48)=1,CELL("type",J48)="v")</formula>
    </cfRule>
    <cfRule type="expression" dxfId="352" priority="29" stopIfTrue="1">
      <formula>CELL("protect",J48)</formula>
    </cfRule>
  </conditionalFormatting>
  <conditionalFormatting sqref="I52">
    <cfRule type="expression" dxfId="351" priority="26" stopIfTrue="1">
      <formula>AND(CELL("protect",I52)=1,CELL("type",I52)="v")</formula>
    </cfRule>
    <cfRule type="expression" dxfId="350" priority="27" stopIfTrue="1">
      <formula>CELL("protect",I52)</formula>
    </cfRule>
  </conditionalFormatting>
  <conditionalFormatting sqref="J52:K52">
    <cfRule type="expression" dxfId="349" priority="24" stopIfTrue="1">
      <formula>AND(CELL("protect",J52)=1,CELL("type",J52)="v")</formula>
    </cfRule>
    <cfRule type="expression" dxfId="348" priority="25" stopIfTrue="1">
      <formula>CELL("protect",J52)</formula>
    </cfRule>
  </conditionalFormatting>
  <conditionalFormatting sqref="I56">
    <cfRule type="expression" dxfId="347" priority="22" stopIfTrue="1">
      <formula>AND(CELL("protect",I56)=1,CELL("type",I56)="v")</formula>
    </cfRule>
    <cfRule type="expression" dxfId="346" priority="23" stopIfTrue="1">
      <formula>CELL("protect",I56)</formula>
    </cfRule>
  </conditionalFormatting>
  <conditionalFormatting sqref="J56:K57">
    <cfRule type="expression" dxfId="345" priority="20" stopIfTrue="1">
      <formula>AND(CELL("protect",J56)=1,CELL("type",J56)="v")</formula>
    </cfRule>
    <cfRule type="expression" dxfId="344" priority="21" stopIfTrue="1">
      <formula>CELL("protect",J56)</formula>
    </cfRule>
  </conditionalFormatting>
  <conditionalFormatting sqref="J57">
    <cfRule type="expression" dxfId="343" priority="16" stopIfTrue="1">
      <formula>AND(CELL("protect",J57)=1,CELL("type",J57)="v")</formula>
    </cfRule>
    <cfRule type="expression" dxfId="342" priority="17" stopIfTrue="1">
      <formula>CELL("protect",J57)</formula>
    </cfRule>
  </conditionalFormatting>
  <conditionalFormatting sqref="K57">
    <cfRule type="expression" dxfId="341" priority="14" stopIfTrue="1">
      <formula>AND(CELL("protect",K57)=1,CELL("type",K57)="v")</formula>
    </cfRule>
    <cfRule type="expression" dxfId="340" priority="15" stopIfTrue="1">
      <formula>CELL("protect",K57)</formula>
    </cfRule>
  </conditionalFormatting>
  <conditionalFormatting sqref="I57">
    <cfRule type="expression" dxfId="339" priority="18" stopIfTrue="1">
      <formula>AND(CELL("protect",I57)=1,CELL("type",I57)="v")</formula>
    </cfRule>
    <cfRule type="expression" dxfId="338" priority="19" stopIfTrue="1">
      <formula>CELL("protect",I57)</formula>
    </cfRule>
  </conditionalFormatting>
  <conditionalFormatting sqref="I49:J50 J48">
    <cfRule type="expression" dxfId="337" priority="12" stopIfTrue="1">
      <formula>AND(CELL("protect",I48)=1,CELL("type",I48)="v")</formula>
    </cfRule>
    <cfRule type="expression" dxfId="336" priority="13" stopIfTrue="1">
      <formula>CELL("protect",I48)</formula>
    </cfRule>
  </conditionalFormatting>
  <conditionalFormatting sqref="I48:J50">
    <cfRule type="expression" dxfId="335" priority="10" stopIfTrue="1">
      <formula>AND(CELL("protect",I48)=1,CELL("type",I48)="v")</formula>
    </cfRule>
    <cfRule type="expression" dxfId="334" priority="11" stopIfTrue="1">
      <formula>CELL("protect",I48)</formula>
    </cfRule>
  </conditionalFormatting>
  <conditionalFormatting sqref="I54:I55">
    <cfRule type="expression" dxfId="333" priority="8" stopIfTrue="1">
      <formula>AND(CELL("protect",I54)=1,CELL("type",I54)="v")</formula>
    </cfRule>
    <cfRule type="expression" dxfId="332" priority="9" stopIfTrue="1">
      <formula>CELL("protect",I54)</formula>
    </cfRule>
  </conditionalFormatting>
  <conditionalFormatting sqref="J53:J55">
    <cfRule type="expression" dxfId="331" priority="6" stopIfTrue="1">
      <formula>AND(CELL("protect",J53)=1,CELL("type",J53)="v")</formula>
    </cfRule>
    <cfRule type="expression" dxfId="330" priority="7" stopIfTrue="1">
      <formula>CELL("protect",J53)</formula>
    </cfRule>
  </conditionalFormatting>
  <conditionalFormatting sqref="I54:J55 J53">
    <cfRule type="expression" dxfId="329" priority="4" stopIfTrue="1">
      <formula>AND(CELL("protect",I53)=1,CELL("type",I53)="v")</formula>
    </cfRule>
    <cfRule type="expression" dxfId="328" priority="5" stopIfTrue="1">
      <formula>CELL("protect",I53)</formula>
    </cfRule>
  </conditionalFormatting>
  <conditionalFormatting sqref="I53:J55">
    <cfRule type="expression" dxfId="327" priority="2" stopIfTrue="1">
      <formula>AND(CELL("protect",I53)=1,CELL("type",I53)="v")</formula>
    </cfRule>
    <cfRule type="expression" dxfId="326" priority="3" stopIfTrue="1">
      <formula>CELL("protect",I53)</formula>
    </cfRule>
  </conditionalFormatting>
  <dataValidations count="1">
    <dataValidation type="custom" allowBlank="1" showInputMessage="1" showErrorMessage="1" sqref="C36:K39 C48:D50 C53:D55 F48:G50 F53:G55 I48:J50 I53:J55">
      <formula1>C36&gt;-0.00001</formula1>
    </dataValidation>
  </dataValidations>
  <hyperlinks>
    <hyperlink ref="D1" location="Information!A1" display="חזרה"/>
    <hyperlink ref="D5" location="Information!A1" display="חזרה"/>
    <hyperlink ref="D31" location="Information!A1" display="חזרה"/>
    <hyperlink ref="D42" location="Information!A1" display="חזרה"/>
    <hyperlink ref="C3" location="Information!A60" display="Information!A60"/>
  </hyperlinks>
  <pageMargins left="0" right="0" top="0" bottom="0.51181102362204722" header="0" footer="0.23622047244094491"/>
  <pageSetup paperSize="9" scale="68" orientation="landscape"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1C5C9749-7068-469C-9996-47EE7706E031}">
            <xm:f>Information!$G$54&gt;0</xm:f>
            <x14:dxf>
              <font>
                <b/>
                <i val="0"/>
                <color theme="1"/>
              </font>
              <fill>
                <patternFill>
                  <bgColor rgb="FFFFFF00"/>
                </patternFill>
              </fill>
            </x14:dxf>
          </x14:cfRule>
          <xm:sqref>C3</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sheetPr>
  <dimension ref="A1:P162"/>
  <sheetViews>
    <sheetView rightToLeft="1" workbookViewId="0"/>
  </sheetViews>
  <sheetFormatPr defaultColWidth="9.1796875" defaultRowHeight="13"/>
  <cols>
    <col min="1" max="1" width="9.1796875" style="22"/>
    <col min="2" max="2" width="43.453125" style="22" customWidth="1"/>
    <col min="3" max="11" width="12.54296875" style="22" customWidth="1"/>
    <col min="12" max="16384" width="9.1796875" style="22"/>
  </cols>
  <sheetData>
    <row r="1" spans="1:6" ht="18">
      <c r="A1" s="593"/>
      <c r="B1" s="15" t="str">
        <f>'B8'!B1</f>
        <v>_____חברה מנהלת</v>
      </c>
      <c r="C1" s="530"/>
      <c r="D1" s="642" t="s">
        <v>263</v>
      </c>
      <c r="E1" s="593"/>
    </row>
    <row r="2" spans="1:6" ht="18" hidden="1">
      <c r="A2" s="593"/>
      <c r="B2" s="111"/>
      <c r="C2" s="532"/>
      <c r="D2" s="532"/>
      <c r="E2" s="593"/>
    </row>
    <row r="3" spans="1:6" ht="15.5">
      <c r="A3" s="593"/>
      <c r="B3" s="28" t="str">
        <f>line3</f>
        <v>הנתונים באלפי ש"ח</v>
      </c>
      <c r="C3" s="1469" t="s">
        <v>3876</v>
      </c>
      <c r="D3" s="533" t="str">
        <f>Date1</f>
        <v>31.12.2021</v>
      </c>
      <c r="E3" s="593"/>
    </row>
    <row r="4" spans="1:6" ht="14" hidden="1">
      <c r="A4" s="593"/>
      <c r="B4" s="593"/>
      <c r="C4" s="588"/>
      <c r="D4" s="588"/>
      <c r="E4" s="588"/>
    </row>
    <row r="5" spans="1:6" ht="15.5">
      <c r="B5" s="741" t="str">
        <f>Information!$F$20</f>
        <v>באור 17א' - התחייבויות פיננסיות-פירוט התחייבויות פיננסיות</v>
      </c>
      <c r="C5" s="663"/>
      <c r="D5" s="663"/>
      <c r="E5" s="642" t="s">
        <v>263</v>
      </c>
    </row>
    <row r="7" spans="1:6" ht="14">
      <c r="B7" s="700"/>
      <c r="C7" s="1884" t="s">
        <v>1203</v>
      </c>
      <c r="D7" s="1884"/>
      <c r="E7" s="1884" t="s">
        <v>1152</v>
      </c>
      <c r="F7" s="1909"/>
    </row>
    <row r="8" spans="1:6" ht="14">
      <c r="B8" s="844"/>
      <c r="C8" s="618" t="str">
        <f>Date1</f>
        <v>31.12.2021</v>
      </c>
      <c r="D8" s="618" t="str">
        <f>Date3</f>
        <v>31.12.2020</v>
      </c>
      <c r="E8" s="618" t="str">
        <f>Date1</f>
        <v>31.12.2021</v>
      </c>
      <c r="F8" s="619" t="str">
        <f>D8</f>
        <v>31.12.2020</v>
      </c>
    </row>
    <row r="9" spans="1:6" ht="14">
      <c r="B9" s="761"/>
      <c r="C9" s="834" t="s">
        <v>29</v>
      </c>
      <c r="D9" s="834" t="s">
        <v>41</v>
      </c>
      <c r="E9" s="834" t="s">
        <v>63</v>
      </c>
      <c r="F9" s="835" t="s">
        <v>65</v>
      </c>
    </row>
    <row r="10" spans="1:6" ht="14">
      <c r="B10" s="1054" t="s">
        <v>1204</v>
      </c>
      <c r="C10" s="652"/>
      <c r="D10" s="652"/>
      <c r="E10" s="652"/>
      <c r="F10" s="653"/>
    </row>
    <row r="11" spans="1:6" ht="14">
      <c r="B11" s="1055" t="s">
        <v>1205</v>
      </c>
      <c r="C11" s="655"/>
      <c r="D11" s="655"/>
      <c r="E11" s="655"/>
      <c r="F11" s="668"/>
    </row>
    <row r="12" spans="1:6" ht="14">
      <c r="B12" s="1055" t="s">
        <v>1206</v>
      </c>
      <c r="C12" s="655"/>
      <c r="D12" s="655"/>
      <c r="E12" s="655"/>
      <c r="F12" s="668"/>
    </row>
    <row r="13" spans="1:6" ht="14">
      <c r="B13" s="1055" t="s">
        <v>1207</v>
      </c>
      <c r="C13" s="655"/>
      <c r="D13" s="655"/>
      <c r="E13" s="655"/>
      <c r="F13" s="668"/>
    </row>
    <row r="14" spans="1:6" ht="14">
      <c r="B14" s="1055" t="s">
        <v>1208</v>
      </c>
      <c r="C14" s="655"/>
      <c r="D14" s="655"/>
      <c r="E14" s="655"/>
      <c r="F14" s="668"/>
    </row>
    <row r="15" spans="1:6" ht="14">
      <c r="B15" s="1055" t="s">
        <v>1209</v>
      </c>
      <c r="C15" s="655"/>
      <c r="D15" s="655"/>
      <c r="E15" s="655"/>
      <c r="F15" s="668"/>
    </row>
    <row r="16" spans="1:6" ht="14">
      <c r="B16" s="1055" t="s">
        <v>1211</v>
      </c>
      <c r="C16" s="655"/>
      <c r="D16" s="655"/>
      <c r="E16" s="655"/>
      <c r="F16" s="668"/>
    </row>
    <row r="17" spans="2:6" ht="14">
      <c r="B17" s="1056" t="s">
        <v>1212</v>
      </c>
      <c r="C17" s="652">
        <f>SUM(C11:C16)</f>
        <v>0</v>
      </c>
      <c r="D17" s="652">
        <f>SUM(D11:D16)</f>
        <v>0</v>
      </c>
      <c r="E17" s="652">
        <f>SUM(E11:E16)</f>
        <v>0</v>
      </c>
      <c r="F17" s="653">
        <f>SUM(F11:F16)</f>
        <v>0</v>
      </c>
    </row>
    <row r="18" spans="2:6" ht="28">
      <c r="B18" s="1057" t="s">
        <v>1213</v>
      </c>
      <c r="C18" s="652"/>
      <c r="D18" s="652"/>
      <c r="E18" s="652"/>
      <c r="F18" s="653"/>
    </row>
    <row r="19" spans="2:6" ht="14">
      <c r="B19" s="1055" t="s">
        <v>1214</v>
      </c>
      <c r="C19" s="655"/>
      <c r="D19" s="655"/>
      <c r="E19" s="655"/>
      <c r="F19" s="668"/>
    </row>
    <row r="20" spans="2:6" ht="14">
      <c r="B20" s="1055" t="s">
        <v>1215</v>
      </c>
      <c r="C20" s="655"/>
      <c r="D20" s="655"/>
      <c r="E20" s="655"/>
      <c r="F20" s="668"/>
    </row>
    <row r="21" spans="2:6" ht="14">
      <c r="B21" s="1055" t="s">
        <v>1211</v>
      </c>
      <c r="C21" s="655"/>
      <c r="D21" s="655"/>
      <c r="E21" s="655"/>
      <c r="F21" s="668"/>
    </row>
    <row r="22" spans="2:6" ht="28">
      <c r="B22" s="1057" t="s">
        <v>1216</v>
      </c>
      <c r="C22" s="652">
        <f>SUM(C19:C21)</f>
        <v>0</v>
      </c>
      <c r="D22" s="652">
        <f>SUM(D19:D21)</f>
        <v>0</v>
      </c>
      <c r="E22" s="652">
        <f>SUM(E19:E21)</f>
        <v>0</v>
      </c>
      <c r="F22" s="653">
        <f>SUM(F19:F21)</f>
        <v>0</v>
      </c>
    </row>
    <row r="23" spans="2:6" ht="14">
      <c r="B23" s="1058" t="s">
        <v>1217</v>
      </c>
      <c r="C23" s="660">
        <f>C17+C22</f>
        <v>0</v>
      </c>
      <c r="D23" s="660">
        <f>D17+D22</f>
        <v>0</v>
      </c>
      <c r="E23" s="660">
        <f>E17+E22</f>
        <v>0</v>
      </c>
      <c r="F23" s="661">
        <f>F17+F22</f>
        <v>0</v>
      </c>
    </row>
    <row r="25" spans="2:6" ht="15.5">
      <c r="B25" s="741" t="str">
        <f>Information!$F$21</f>
        <v>באור 17ב' - התחייבויות פיננסיות - המוצגות בעלות מופחתת - פרטים בדבר ריבית והצמדה</v>
      </c>
      <c r="C25" s="663"/>
      <c r="D25" s="663"/>
    </row>
    <row r="26" spans="2:6" ht="15.5">
      <c r="B26" s="22" t="s">
        <v>1098</v>
      </c>
      <c r="D26" s="775">
        <f>+SUM(C31:D34)</f>
        <v>0</v>
      </c>
      <c r="E26" s="642" t="s">
        <v>263</v>
      </c>
    </row>
    <row r="27" spans="2:6" ht="14">
      <c r="B27" s="700"/>
      <c r="C27" s="1884" t="s">
        <v>1074</v>
      </c>
      <c r="D27" s="1909"/>
    </row>
    <row r="28" spans="2:6" ht="14">
      <c r="B28" s="761"/>
      <c r="C28" s="618" t="str">
        <f>Date1</f>
        <v>31.12.2021</v>
      </c>
      <c r="D28" s="619" t="str">
        <f>Date3</f>
        <v>31.12.2020</v>
      </c>
      <c r="E28" s="776"/>
    </row>
    <row r="29" spans="2:6" ht="14">
      <c r="B29" s="617"/>
      <c r="C29" s="834" t="s">
        <v>29</v>
      </c>
      <c r="D29" s="835" t="s">
        <v>41</v>
      </c>
      <c r="E29" s="776"/>
    </row>
    <row r="30" spans="2:6" ht="14">
      <c r="B30" s="1054" t="s">
        <v>1218</v>
      </c>
      <c r="C30" s="652"/>
      <c r="D30" s="653"/>
      <c r="E30" s="776"/>
    </row>
    <row r="31" spans="2:6" ht="14.5">
      <c r="B31" s="1055" t="s">
        <v>71</v>
      </c>
      <c r="C31" s="777"/>
      <c r="D31" s="764"/>
      <c r="E31" s="778"/>
    </row>
    <row r="32" spans="2:6" ht="14">
      <c r="B32" s="1055" t="s">
        <v>1076</v>
      </c>
      <c r="C32" s="777"/>
      <c r="D32" s="764"/>
      <c r="E32" s="779"/>
    </row>
    <row r="33" spans="2:6" ht="14">
      <c r="B33" s="1055" t="s">
        <v>1219</v>
      </c>
      <c r="C33" s="777"/>
      <c r="D33" s="764"/>
      <c r="E33" s="779"/>
    </row>
    <row r="34" spans="2:6" ht="14">
      <c r="B34" s="1059" t="s">
        <v>70</v>
      </c>
      <c r="C34" s="781"/>
      <c r="D34" s="760"/>
      <c r="E34" s="779"/>
    </row>
    <row r="35" spans="2:6" ht="15.5">
      <c r="E35" s="642" t="s">
        <v>263</v>
      </c>
    </row>
    <row r="36" spans="2:6" ht="15.5">
      <c r="B36" s="741" t="str">
        <f>Information!$F$22</f>
        <v>באור 17ג' - שווי הוגן של התחייבויות פיננסיות המוצגות בשווי הוגן דרך דוח רווח והפסד בחלוקה לרמות</v>
      </c>
    </row>
    <row r="37" spans="2:6" ht="15.5">
      <c r="B37" s="741"/>
    </row>
    <row r="38" spans="2:6" ht="15.5">
      <c r="B38" s="700"/>
      <c r="C38" s="1910" t="s">
        <v>1222</v>
      </c>
      <c r="D38" s="1911"/>
      <c r="E38" s="1911"/>
      <c r="F38" s="1912"/>
    </row>
    <row r="39" spans="2:6" ht="15.5">
      <c r="B39" s="701"/>
      <c r="C39" s="702" t="s">
        <v>1106</v>
      </c>
      <c r="D39" s="702" t="s">
        <v>1107</v>
      </c>
      <c r="E39" s="702" t="s">
        <v>1108</v>
      </c>
      <c r="F39" s="703" t="s">
        <v>1109</v>
      </c>
    </row>
    <row r="40" spans="2:6">
      <c r="B40" s="765"/>
      <c r="C40" s="834" t="s">
        <v>29</v>
      </c>
      <c r="D40" s="834" t="s">
        <v>41</v>
      </c>
      <c r="E40" s="834" t="s">
        <v>63</v>
      </c>
      <c r="F40" s="835" t="s">
        <v>65</v>
      </c>
    </row>
    <row r="41" spans="2:6" ht="15.5">
      <c r="B41" s="766" t="str">
        <f>Date1</f>
        <v>31.12.2021</v>
      </c>
      <c r="C41" s="704"/>
      <c r="D41" s="704"/>
      <c r="E41" s="705"/>
      <c r="F41" s="703"/>
    </row>
    <row r="42" spans="2:6" ht="14">
      <c r="B42" s="654" t="s">
        <v>1214</v>
      </c>
      <c r="C42" s="706"/>
      <c r="D42" s="706"/>
      <c r="E42" s="706"/>
      <c r="F42" s="707">
        <f>SUM(C42:E42)</f>
        <v>0</v>
      </c>
    </row>
    <row r="43" spans="2:6" ht="14">
      <c r="B43" s="654" t="s">
        <v>1215</v>
      </c>
      <c r="C43" s="706"/>
      <c r="D43" s="706"/>
      <c r="E43" s="706"/>
      <c r="F43" s="707">
        <f>SUM(C43:E43)</f>
        <v>0</v>
      </c>
    </row>
    <row r="44" spans="2:6" ht="14">
      <c r="B44" s="654" t="s">
        <v>233</v>
      </c>
      <c r="C44" s="706"/>
      <c r="D44" s="706"/>
      <c r="E44" s="706"/>
      <c r="F44" s="707">
        <f>SUM(C44:E44)</f>
        <v>0</v>
      </c>
    </row>
    <row r="45" spans="2:6" ht="14">
      <c r="B45" s="691" t="s">
        <v>1217</v>
      </c>
      <c r="C45" s="708">
        <f>SUM(C42:C44)</f>
        <v>0</v>
      </c>
      <c r="D45" s="708">
        <f>SUM(D42:D44)</f>
        <v>0</v>
      </c>
      <c r="E45" s="708">
        <f>SUM(E42:E44)</f>
        <v>0</v>
      </c>
      <c r="F45" s="709">
        <f>SUM(C45:E45)</f>
        <v>0</v>
      </c>
    </row>
    <row r="46" spans="2:6" ht="15.5">
      <c r="B46" s="710" t="str">
        <f>Date3</f>
        <v>31.12.2020</v>
      </c>
      <c r="C46" s="702"/>
      <c r="D46" s="702"/>
      <c r="E46" s="702"/>
      <c r="F46" s="703"/>
    </row>
    <row r="47" spans="2:6" ht="14">
      <c r="B47" s="654" t="str">
        <f>B42</f>
        <v>נגזרים</v>
      </c>
      <c r="C47" s="706"/>
      <c r="D47" s="706"/>
      <c r="E47" s="706"/>
      <c r="F47" s="707">
        <f>SUM(C47:E47)</f>
        <v>0</v>
      </c>
    </row>
    <row r="48" spans="2:6" ht="14">
      <c r="B48" s="654" t="str">
        <f>B43</f>
        <v>מכירה בחסר</v>
      </c>
      <c r="C48" s="706"/>
      <c r="D48" s="706"/>
      <c r="E48" s="706"/>
      <c r="F48" s="707">
        <f>SUM(C48:E48)</f>
        <v>0</v>
      </c>
    </row>
    <row r="49" spans="2:6" ht="14">
      <c r="B49" s="654" t="str">
        <f>B44</f>
        <v>אחרים</v>
      </c>
      <c r="C49" s="706"/>
      <c r="D49" s="706"/>
      <c r="E49" s="706"/>
      <c r="F49" s="707">
        <f>SUM(C49:E49)</f>
        <v>0</v>
      </c>
    </row>
    <row r="50" spans="2:6" ht="14">
      <c r="B50" s="691" t="str">
        <f>B45</f>
        <v>סך התחייבויות פיננסיות</v>
      </c>
      <c r="C50" s="708">
        <f>SUM(C47:C49)</f>
        <v>0</v>
      </c>
      <c r="D50" s="708">
        <f>SUM(D47:D49)</f>
        <v>0</v>
      </c>
      <c r="E50" s="708">
        <f>SUM(E47:E49)</f>
        <v>0</v>
      </c>
      <c r="F50" s="709">
        <f>SUM(C50:E50)</f>
        <v>0</v>
      </c>
    </row>
    <row r="52" spans="2:6" ht="15.5">
      <c r="B52" s="741" t="str">
        <f>Information!$F$23</f>
        <v>באור 17ד' - התנועה בהתחייבויות הנמדדות בשווי הוגן והמסווגות לרמה 3</v>
      </c>
      <c r="E52" s="642" t="s">
        <v>263</v>
      </c>
    </row>
    <row r="54" spans="2:6">
      <c r="B54" s="841"/>
      <c r="C54" s="1913" t="s">
        <v>1553</v>
      </c>
      <c r="D54" s="1913"/>
      <c r="E54" s="1914"/>
    </row>
    <row r="55" spans="2:6">
      <c r="B55" s="842"/>
      <c r="C55" s="1070" t="str">
        <f>B47</f>
        <v>נגזרים</v>
      </c>
      <c r="D55" s="1070" t="str">
        <f>B48</f>
        <v>מכירה בחסר</v>
      </c>
      <c r="E55" s="1071" t="s">
        <v>272</v>
      </c>
    </row>
    <row r="56" spans="2:6">
      <c r="B56" s="843"/>
      <c r="C56" s="834" t="s">
        <v>29</v>
      </c>
      <c r="D56" s="834" t="s">
        <v>41</v>
      </c>
      <c r="E56" s="835" t="s">
        <v>63</v>
      </c>
    </row>
    <row r="57" spans="2:6" ht="14">
      <c r="B57" s="712" t="s">
        <v>934</v>
      </c>
      <c r="C57" s="652"/>
      <c r="D57" s="652"/>
      <c r="E57" s="653"/>
    </row>
    <row r="58" spans="2:6" ht="14">
      <c r="B58" s="713" t="str">
        <f>CONCATENATE("יתרה ליום 1 בינואר  ",Period1)</f>
        <v>יתרה ליום 1 בינואר  שנת 2021</v>
      </c>
      <c r="C58" s="714">
        <f>C79</f>
        <v>0</v>
      </c>
      <c r="D58" s="714">
        <f>D79</f>
        <v>0</v>
      </c>
      <c r="E58" s="707">
        <f>SUM(C58:D58)</f>
        <v>0</v>
      </c>
    </row>
    <row r="59" spans="2:6" ht="14">
      <c r="B59" s="669" t="s">
        <v>1223</v>
      </c>
      <c r="C59" s="1072"/>
      <c r="D59" s="706"/>
      <c r="E59" s="707">
        <f>SUM(C59:D59)</f>
        <v>0</v>
      </c>
    </row>
    <row r="60" spans="2:6" ht="14">
      <c r="B60" s="669" t="s">
        <v>1224</v>
      </c>
      <c r="C60" s="706"/>
      <c r="D60" s="706"/>
      <c r="E60" s="707">
        <f t="shared" ref="E60:E80" si="0">SUM(C60:D60)</f>
        <v>0</v>
      </c>
    </row>
    <row r="61" spans="2:6" ht="14">
      <c r="B61" s="669" t="s">
        <v>1115</v>
      </c>
      <c r="C61" s="706"/>
      <c r="D61" s="706"/>
      <c r="E61" s="707">
        <f t="shared" si="0"/>
        <v>0</v>
      </c>
    </row>
    <row r="62" spans="2:6" ht="14">
      <c r="B62" s="669" t="s">
        <v>1116</v>
      </c>
      <c r="C62" s="706"/>
      <c r="D62" s="706"/>
      <c r="E62" s="707">
        <f t="shared" si="0"/>
        <v>0</v>
      </c>
    </row>
    <row r="63" spans="2:6" ht="14">
      <c r="B63" s="669" t="s">
        <v>1225</v>
      </c>
      <c r="C63" s="706"/>
      <c r="D63" s="706"/>
      <c r="E63" s="707">
        <f t="shared" si="0"/>
        <v>0</v>
      </c>
    </row>
    <row r="64" spans="2:6" ht="14">
      <c r="B64" s="669" t="s">
        <v>1117</v>
      </c>
      <c r="C64" s="706"/>
      <c r="D64" s="706"/>
      <c r="E64" s="707">
        <f t="shared" si="0"/>
        <v>0</v>
      </c>
    </row>
    <row r="65" spans="2:9" ht="14">
      <c r="B65" s="669" t="s">
        <v>1118</v>
      </c>
      <c r="C65" s="706"/>
      <c r="D65" s="706"/>
      <c r="E65" s="707">
        <f t="shared" si="0"/>
        <v>0</v>
      </c>
    </row>
    <row r="66" spans="2:9" ht="14">
      <c r="B66" s="669" t="s">
        <v>1119</v>
      </c>
      <c r="C66" s="706"/>
      <c r="D66" s="706"/>
      <c r="E66" s="707">
        <f t="shared" si="0"/>
        <v>0</v>
      </c>
    </row>
    <row r="67" spans="2:9" ht="14">
      <c r="B67" s="713" t="str">
        <f>CONCATENATE("יתרה ליום 31 בדצמבר ",Period1)</f>
        <v>יתרה ליום 31 בדצמבר שנת 2021</v>
      </c>
      <c r="C67" s="714">
        <f>SUM(C58:C66)</f>
        <v>0</v>
      </c>
      <c r="D67" s="714">
        <f>SUM(D58:D66)</f>
        <v>0</v>
      </c>
      <c r="E67" s="707">
        <f t="shared" si="0"/>
        <v>0</v>
      </c>
    </row>
    <row r="68" spans="2:9" ht="42">
      <c r="B68" s="746" t="str">
        <f>CONCATENATE($I$68,Period1)</f>
        <v>סך הרווחים (ההפסדים) לתקופה שנכללו ברווח והפסד בגין התחייבויות פיננסיות המוחזקות כון ליום 31 בדצמבר שנת 2021</v>
      </c>
      <c r="C68" s="706"/>
      <c r="D68" s="706"/>
      <c r="E68" s="707">
        <f t="shared" si="0"/>
        <v>0</v>
      </c>
      <c r="I68" s="22" t="s">
        <v>1228</v>
      </c>
    </row>
    <row r="69" spans="2:9" ht="15.5">
      <c r="B69" s="676" t="s">
        <v>924</v>
      </c>
      <c r="C69" s="717"/>
      <c r="D69" s="717"/>
      <c r="E69" s="707">
        <f t="shared" si="0"/>
        <v>0</v>
      </c>
    </row>
    <row r="70" spans="2:9" ht="14">
      <c r="B70" s="713" t="str">
        <f>CONCATENATE("יתרה ליום 1 בינואר  ",Period2)</f>
        <v>יתרה ליום 1 בינואר  שנת 2020</v>
      </c>
      <c r="C70" s="706"/>
      <c r="D70" s="706"/>
      <c r="E70" s="707">
        <f t="shared" si="0"/>
        <v>0</v>
      </c>
    </row>
    <row r="71" spans="2:9" ht="14">
      <c r="B71" s="669" t="str">
        <f t="shared" ref="B71:B78" si="1">B59</f>
        <v xml:space="preserve">סך הרווחים (ההפסדים) שהוכרו ברווח והפסד </v>
      </c>
      <c r="C71" s="706"/>
      <c r="D71" s="706"/>
      <c r="E71" s="707">
        <f t="shared" si="0"/>
        <v>0</v>
      </c>
    </row>
    <row r="72" spans="2:9" ht="14">
      <c r="B72" s="669" t="str">
        <f t="shared" si="1"/>
        <v>סך הרווחים (ההפסדים) שהוכרו ברווח כולל אחר</v>
      </c>
      <c r="C72" s="706"/>
      <c r="D72" s="706"/>
      <c r="E72" s="707">
        <f t="shared" si="0"/>
        <v>0</v>
      </c>
    </row>
    <row r="73" spans="2:9" ht="14">
      <c r="B73" s="669" t="str">
        <f t="shared" si="1"/>
        <v xml:space="preserve">רכישות </v>
      </c>
      <c r="C73" s="706"/>
      <c r="D73" s="706"/>
      <c r="E73" s="707">
        <f t="shared" si="0"/>
        <v>0</v>
      </c>
    </row>
    <row r="74" spans="2:9" ht="14">
      <c r="B74" s="669" t="str">
        <f t="shared" si="1"/>
        <v>מכירות</v>
      </c>
      <c r="C74" s="706"/>
      <c r="D74" s="706"/>
      <c r="E74" s="707">
        <f t="shared" si="0"/>
        <v>0</v>
      </c>
    </row>
    <row r="75" spans="2:9" ht="14">
      <c r="B75" s="669" t="str">
        <f t="shared" si="1"/>
        <v>הנפקות</v>
      </c>
      <c r="C75" s="706"/>
      <c r="D75" s="706"/>
      <c r="E75" s="707">
        <f t="shared" si="0"/>
        <v>0</v>
      </c>
    </row>
    <row r="76" spans="2:9" ht="14">
      <c r="B76" s="669" t="str">
        <f t="shared" si="1"/>
        <v>פדיונות</v>
      </c>
      <c r="C76" s="706"/>
      <c r="D76" s="706"/>
      <c r="E76" s="707">
        <f t="shared" si="0"/>
        <v>0</v>
      </c>
    </row>
    <row r="77" spans="2:9" ht="14">
      <c r="B77" s="669" t="str">
        <f t="shared" si="1"/>
        <v>העברות אל רמה 3</v>
      </c>
      <c r="C77" s="706"/>
      <c r="D77" s="706"/>
      <c r="E77" s="707">
        <f t="shared" si="0"/>
        <v>0</v>
      </c>
    </row>
    <row r="78" spans="2:9" ht="14">
      <c r="B78" s="669" t="str">
        <f t="shared" si="1"/>
        <v>העברות מתוך רמה 3</v>
      </c>
      <c r="C78" s="706"/>
      <c r="D78" s="706"/>
      <c r="E78" s="707">
        <f t="shared" si="0"/>
        <v>0</v>
      </c>
    </row>
    <row r="79" spans="2:9" ht="14">
      <c r="B79" s="713" t="str">
        <f>CONCATENATE("יתרה ליום 31 בדצמבר ",Period2)</f>
        <v>יתרה ליום 31 בדצמבר שנת 2020</v>
      </c>
      <c r="C79" s="714">
        <f>SUM(C70:C78)</f>
        <v>0</v>
      </c>
      <c r="D79" s="714">
        <f>SUM(D70:D78)</f>
        <v>0</v>
      </c>
      <c r="E79" s="707">
        <f t="shared" si="0"/>
        <v>0</v>
      </c>
    </row>
    <row r="80" spans="2:9" ht="42">
      <c r="B80" s="715" t="str">
        <f>CONCATENATE($I$68,Period2)</f>
        <v>סך הרווחים (ההפסדים) לתקופה שנכללו ברווח והפסד בגין התחייבויות פיננסיות המוחזקות כון ליום 31 בדצמבר שנת 2020</v>
      </c>
      <c r="C80" s="716"/>
      <c r="D80" s="716"/>
      <c r="E80" s="709">
        <f t="shared" si="0"/>
        <v>0</v>
      </c>
    </row>
    <row r="82" spans="2:8" ht="15.5">
      <c r="B82" s="741" t="str">
        <f>Information!$F$24</f>
        <v>באור 17ה' - התחייבויות פיננסיות המוצגות בשווי הוגן - שיעורי הריבית ששימשו בקביעת השווי ההוגן</v>
      </c>
      <c r="C82" s="663"/>
      <c r="D82" s="663"/>
    </row>
    <row r="83" spans="2:8" ht="15.5">
      <c r="B83" s="22" t="s">
        <v>1098</v>
      </c>
      <c r="D83" s="775">
        <f>SUM(C87:D90)</f>
        <v>0</v>
      </c>
      <c r="E83" s="642" t="s">
        <v>263</v>
      </c>
    </row>
    <row r="84" spans="2:8" ht="14">
      <c r="B84" s="767"/>
      <c r="C84" s="7" t="str">
        <f>Date1</f>
        <v>31.12.2021</v>
      </c>
      <c r="D84" s="6" t="str">
        <f>Date3</f>
        <v>31.12.2020</v>
      </c>
    </row>
    <row r="85" spans="2:8" ht="14">
      <c r="B85" s="761"/>
      <c r="C85" s="834" t="s">
        <v>29</v>
      </c>
      <c r="D85" s="835" t="s">
        <v>41</v>
      </c>
    </row>
    <row r="86" spans="2:8" ht="14">
      <c r="B86" s="773" t="s">
        <v>1236</v>
      </c>
      <c r="C86" s="652"/>
      <c r="D86" s="653"/>
    </row>
    <row r="87" spans="2:8" ht="14">
      <c r="B87" s="774" t="s">
        <v>1237</v>
      </c>
      <c r="C87" s="777"/>
      <c r="D87" s="764"/>
    </row>
    <row r="88" spans="2:8" ht="14">
      <c r="B88" s="774" t="s">
        <v>1209</v>
      </c>
      <c r="C88" s="777"/>
      <c r="D88" s="764"/>
    </row>
    <row r="89" spans="2:8" ht="14">
      <c r="B89" s="774" t="s">
        <v>1210</v>
      </c>
      <c r="C89" s="777"/>
      <c r="D89" s="764"/>
    </row>
    <row r="90" spans="2:8" ht="14">
      <c r="B90" s="780" t="s">
        <v>1238</v>
      </c>
      <c r="C90" s="781"/>
      <c r="D90" s="760"/>
    </row>
    <row r="92" spans="2:8" ht="15.5">
      <c r="B92" s="1073" t="str">
        <f>Information!$F$25</f>
        <v>באור 17ו' - התחייבות בגין חכירה מימונית</v>
      </c>
      <c r="C92" s="663"/>
      <c r="D92" s="642" t="s">
        <v>263</v>
      </c>
    </row>
    <row r="93" spans="2:8">
      <c r="H93" s="743"/>
    </row>
    <row r="94" spans="2:8" ht="14">
      <c r="B94" s="616"/>
      <c r="C94" s="1915" t="str">
        <f>Date1</f>
        <v>31.12.2021</v>
      </c>
      <c r="D94" s="1915"/>
      <c r="E94" s="1915"/>
      <c r="F94" s="1915" t="str">
        <f>Date3</f>
        <v>31.12.2020</v>
      </c>
      <c r="G94" s="1915"/>
      <c r="H94" s="1899"/>
    </row>
    <row r="95" spans="2:8" ht="39">
      <c r="B95" s="617"/>
      <c r="C95" s="762" t="s">
        <v>1229</v>
      </c>
      <c r="D95" s="762" t="s">
        <v>1230</v>
      </c>
      <c r="E95" s="762" t="s">
        <v>1231</v>
      </c>
      <c r="F95" s="762" t="str">
        <f>C95</f>
        <v>דמי חכירה מינימאליים עתידיים</v>
      </c>
      <c r="G95" s="762" t="str">
        <f>D95</f>
        <v>מרכיב ריבית</v>
      </c>
      <c r="H95" s="763" t="str">
        <f>E95</f>
        <v>ערך נוכחי של דמי חכירה מינימאליים</v>
      </c>
    </row>
    <row r="96" spans="2:8" ht="14">
      <c r="B96" s="617"/>
      <c r="C96" s="834" t="s">
        <v>29</v>
      </c>
      <c r="D96" s="834" t="s">
        <v>41</v>
      </c>
      <c r="E96" s="834" t="s">
        <v>63</v>
      </c>
      <c r="F96" s="834" t="s">
        <v>65</v>
      </c>
      <c r="G96" s="834" t="s">
        <v>86</v>
      </c>
      <c r="H96" s="835" t="s">
        <v>88</v>
      </c>
    </row>
    <row r="97" spans="2:16" ht="14">
      <c r="B97" s="773" t="s">
        <v>1232</v>
      </c>
      <c r="C97" s="655"/>
      <c r="D97" s="655"/>
      <c r="E97" s="655"/>
      <c r="F97" s="655"/>
      <c r="G97" s="655"/>
      <c r="H97" s="668"/>
    </row>
    <row r="98" spans="2:16" ht="14">
      <c r="B98" s="773" t="s">
        <v>1233</v>
      </c>
      <c r="C98" s="655"/>
      <c r="D98" s="655"/>
      <c r="E98" s="655"/>
      <c r="F98" s="655"/>
      <c r="G98" s="655"/>
      <c r="H98" s="668"/>
    </row>
    <row r="99" spans="2:16" ht="14">
      <c r="B99" s="773" t="s">
        <v>1234</v>
      </c>
      <c r="C99" s="655"/>
      <c r="D99" s="655"/>
      <c r="E99" s="655"/>
      <c r="F99" s="655"/>
      <c r="G99" s="655"/>
      <c r="H99" s="668"/>
    </row>
    <row r="100" spans="2:16" ht="14">
      <c r="B100" s="783" t="s">
        <v>1235</v>
      </c>
      <c r="C100" s="660">
        <f t="shared" ref="C100:H100" si="2">SUM(C97:C99)</f>
        <v>0</v>
      </c>
      <c r="D100" s="660">
        <f t="shared" si="2"/>
        <v>0</v>
      </c>
      <c r="E100" s="660">
        <f t="shared" si="2"/>
        <v>0</v>
      </c>
      <c r="F100" s="660">
        <f t="shared" si="2"/>
        <v>0</v>
      </c>
      <c r="G100" s="660">
        <f t="shared" si="2"/>
        <v>0</v>
      </c>
      <c r="H100" s="661">
        <f t="shared" si="2"/>
        <v>0</v>
      </c>
    </row>
    <row r="102" spans="2:16" ht="15.5">
      <c r="B102" s="741" t="s">
        <v>1247</v>
      </c>
      <c r="C102" s="663"/>
      <c r="D102" s="642" t="s">
        <v>263</v>
      </c>
    </row>
    <row r="103" spans="2:16">
      <c r="H103" s="743"/>
    </row>
    <row r="104" spans="2:16" ht="14">
      <c r="B104" s="616"/>
      <c r="C104" s="6" t="str">
        <f>Period1</f>
        <v>שנת 2021</v>
      </c>
      <c r="H104" s="743"/>
    </row>
    <row r="105" spans="2:16" ht="14">
      <c r="B105" s="761"/>
      <c r="C105" s="835" t="s">
        <v>29</v>
      </c>
      <c r="H105" s="743"/>
    </row>
    <row r="106" spans="2:16" ht="15.5">
      <c r="B106" s="786" t="s">
        <v>1241</v>
      </c>
      <c r="C106" s="668"/>
      <c r="H106" s="743"/>
      <c r="K106" s="460"/>
      <c r="L106" s="772"/>
      <c r="M106" s="772"/>
      <c r="N106" s="772"/>
    </row>
    <row r="107" spans="2:16" ht="15.5">
      <c r="B107" s="786" t="s">
        <v>1242</v>
      </c>
      <c r="C107" s="668"/>
      <c r="H107" s="743"/>
      <c r="K107" s="460"/>
      <c r="L107" s="772"/>
      <c r="M107" s="772"/>
      <c r="N107" s="772"/>
    </row>
    <row r="108" spans="2:16" ht="15.5">
      <c r="B108" s="786" t="s">
        <v>1243</v>
      </c>
      <c r="C108" s="787">
        <f>C106-C107</f>
        <v>0</v>
      </c>
      <c r="H108" s="743"/>
      <c r="K108" s="460"/>
      <c r="L108" s="784"/>
      <c r="M108" s="784"/>
      <c r="N108" s="784"/>
    </row>
    <row r="109" spans="2:16" ht="16.5">
      <c r="B109" s="786" t="s">
        <v>1249</v>
      </c>
      <c r="C109" s="668"/>
      <c r="H109" s="743"/>
      <c r="K109" s="460"/>
      <c r="M109" s="460"/>
      <c r="N109" s="785"/>
    </row>
    <row r="110" spans="2:16" ht="16.5">
      <c r="B110" s="786" t="s">
        <v>1244</v>
      </c>
      <c r="C110" s="668"/>
      <c r="K110" s="460"/>
      <c r="M110" s="460"/>
      <c r="N110" s="785"/>
    </row>
    <row r="111" spans="2:16" ht="16.5">
      <c r="B111" s="786" t="s">
        <v>1245</v>
      </c>
      <c r="C111" s="668"/>
      <c r="K111" s="460"/>
      <c r="M111" s="460"/>
      <c r="N111" s="785"/>
    </row>
    <row r="112" spans="2:16" ht="16.5">
      <c r="B112" s="788" t="str">
        <f>CONCATENATE(P112,Date1)</f>
        <v>ערך בספרים של ההתחייבות ליום:31.12.2021</v>
      </c>
      <c r="C112" s="668"/>
      <c r="K112" s="460"/>
      <c r="M112" s="460"/>
      <c r="N112" s="785"/>
      <c r="P112" s="786" t="s">
        <v>1248</v>
      </c>
    </row>
    <row r="113" spans="2:14" ht="16.5">
      <c r="B113" s="789" t="s">
        <v>1554</v>
      </c>
      <c r="C113" s="681"/>
      <c r="K113" s="768"/>
      <c r="M113" s="460"/>
      <c r="N113" s="785"/>
    </row>
    <row r="114" spans="2:14" ht="16.5">
      <c r="K114" s="460"/>
      <c r="M114" s="460"/>
      <c r="N114" s="785"/>
    </row>
    <row r="115" spans="2:14" ht="18">
      <c r="B115" s="111" t="s">
        <v>1250</v>
      </c>
      <c r="C115"/>
      <c r="D115"/>
      <c r="E115" s="642" t="s">
        <v>263</v>
      </c>
      <c r="F115"/>
      <c r="M115" s="460"/>
      <c r="N115" s="785"/>
    </row>
    <row r="116" spans="2:14" ht="15.5">
      <c r="B116" s="662"/>
      <c r="C116" s="663"/>
      <c r="D116" s="663"/>
      <c r="E116" s="664"/>
      <c r="F116" s="664"/>
    </row>
    <row r="117" spans="2:14" ht="15.5">
      <c r="B117" s="666"/>
      <c r="C117" s="1907" t="str">
        <f>Date1</f>
        <v>31.12.2021</v>
      </c>
      <c r="D117" s="1907"/>
      <c r="E117" s="1907"/>
      <c r="F117" s="1907" t="str">
        <f>Date3</f>
        <v>31.12.2020</v>
      </c>
      <c r="G117" s="1907"/>
      <c r="H117" s="1907"/>
      <c r="I117" s="1907" t="str">
        <f>CONCATENATE("1.1."&amp;RIGHT(F117,4))</f>
        <v>1.1.2020</v>
      </c>
      <c r="J117" s="1907"/>
      <c r="K117" s="1908"/>
      <c r="M117" s="460"/>
    </row>
    <row r="118" spans="2:14" ht="26">
      <c r="B118" s="617"/>
      <c r="C118" s="790" t="s">
        <v>1152</v>
      </c>
      <c r="D118" s="790" t="s">
        <v>1251</v>
      </c>
      <c r="E118" s="790" t="s">
        <v>1252</v>
      </c>
      <c r="F118" s="790" t="s">
        <v>1152</v>
      </c>
      <c r="G118" s="790" t="s">
        <v>1251</v>
      </c>
      <c r="H118" s="790" t="s">
        <v>1252</v>
      </c>
      <c r="I118" s="790" t="s">
        <v>1152</v>
      </c>
      <c r="J118" s="790" t="s">
        <v>1251</v>
      </c>
      <c r="K118" s="840" t="s">
        <v>1252</v>
      </c>
    </row>
    <row r="119" spans="2:14" ht="14">
      <c r="B119" s="617"/>
      <c r="C119" s="834" t="s">
        <v>29</v>
      </c>
      <c r="D119" s="834" t="s">
        <v>41</v>
      </c>
      <c r="E119" s="834" t="s">
        <v>63</v>
      </c>
      <c r="F119" s="834" t="s">
        <v>65</v>
      </c>
      <c r="G119" s="834" t="s">
        <v>86</v>
      </c>
      <c r="H119" s="834" t="s">
        <v>88</v>
      </c>
      <c r="I119" s="834" t="s">
        <v>195</v>
      </c>
      <c r="J119" s="834" t="s">
        <v>197</v>
      </c>
      <c r="K119" s="835" t="s">
        <v>199</v>
      </c>
    </row>
    <row r="120" spans="2:14" ht="14">
      <c r="B120" s="617" t="s">
        <v>1253</v>
      </c>
      <c r="C120" s="655"/>
      <c r="D120" s="655"/>
      <c r="E120" s="655"/>
      <c r="F120" s="655"/>
      <c r="G120" s="655"/>
      <c r="H120" s="655"/>
      <c r="I120" s="655"/>
      <c r="J120" s="655"/>
      <c r="K120" s="668"/>
    </row>
    <row r="121" spans="2:14" ht="14">
      <c r="B121" s="617" t="s">
        <v>1254</v>
      </c>
      <c r="C121" s="655"/>
      <c r="D121" s="655"/>
      <c r="E121" s="655"/>
      <c r="F121" s="655"/>
      <c r="G121" s="655"/>
      <c r="H121" s="655"/>
      <c r="I121" s="655"/>
      <c r="J121" s="655"/>
      <c r="K121" s="668"/>
    </row>
    <row r="122" spans="2:14" ht="14">
      <c r="B122" s="838" t="s">
        <v>1255</v>
      </c>
      <c r="C122" s="738">
        <f t="shared" ref="C122:K122" si="3">SUM(C120:C121)</f>
        <v>0</v>
      </c>
      <c r="D122" s="738">
        <f t="shared" si="3"/>
        <v>0</v>
      </c>
      <c r="E122" s="738">
        <f t="shared" si="3"/>
        <v>0</v>
      </c>
      <c r="F122" s="738">
        <f t="shared" si="3"/>
        <v>0</v>
      </c>
      <c r="G122" s="738">
        <f t="shared" si="3"/>
        <v>0</v>
      </c>
      <c r="H122" s="738">
        <f t="shared" si="3"/>
        <v>0</v>
      </c>
      <c r="I122" s="738">
        <f t="shared" si="3"/>
        <v>0</v>
      </c>
      <c r="J122" s="738">
        <f t="shared" si="3"/>
        <v>0</v>
      </c>
      <c r="K122" s="739">
        <f t="shared" si="3"/>
        <v>0</v>
      </c>
    </row>
    <row r="123" spans="2:14">
      <c r="K123" s="791"/>
    </row>
    <row r="124" spans="2:14" ht="15.5">
      <c r="B124" s="1284" t="str">
        <f>Information!$F$28</f>
        <v>באור 17ט' - התחייבויות פיננסיות שנמדדות בשווי הוגן לצרכי גילוי בחלוקה לרמות</v>
      </c>
      <c r="C124" s="1306"/>
      <c r="D124" s="1306"/>
      <c r="E124" s="20" t="s">
        <v>263</v>
      </c>
      <c r="F124" s="1306"/>
    </row>
    <row r="125" spans="2:14" ht="15.5">
      <c r="B125" s="1336"/>
      <c r="C125" s="1337" t="s">
        <v>1106</v>
      </c>
      <c r="D125" s="1337" t="s">
        <v>1107</v>
      </c>
      <c r="E125" s="1337" t="s">
        <v>1108</v>
      </c>
      <c r="F125" s="1338" t="s">
        <v>1109</v>
      </c>
    </row>
    <row r="126" spans="2:14" ht="15.5">
      <c r="B126" s="1339" t="str">
        <f>'1'!C4</f>
        <v>31.12.2021</v>
      </c>
      <c r="C126" s="1340"/>
      <c r="D126" s="1340"/>
      <c r="E126" s="1341"/>
      <c r="F126" s="1342"/>
    </row>
    <row r="127" spans="2:14" ht="14">
      <c r="B127" s="1299" t="s">
        <v>1205</v>
      </c>
      <c r="C127" s="1343"/>
      <c r="D127" s="1343"/>
      <c r="E127" s="1343"/>
      <c r="F127" s="1344">
        <f>SUM(C127:E127)</f>
        <v>0</v>
      </c>
    </row>
    <row r="128" spans="2:14" ht="14">
      <c r="B128" s="1299" t="s">
        <v>1206</v>
      </c>
      <c r="C128" s="1343"/>
      <c r="D128" s="1343"/>
      <c r="E128" s="1343"/>
      <c r="F128" s="1344">
        <f t="shared" ref="F128:F133" si="4">SUM(C128:E128)</f>
        <v>0</v>
      </c>
    </row>
    <row r="129" spans="2:6" ht="14">
      <c r="B129" s="1299" t="s">
        <v>2844</v>
      </c>
      <c r="C129" s="1343"/>
      <c r="D129" s="1343"/>
      <c r="E129" s="1343"/>
      <c r="F129" s="1344">
        <f t="shared" si="4"/>
        <v>0</v>
      </c>
    </row>
    <row r="130" spans="2:6" ht="14">
      <c r="B130" s="1299" t="s">
        <v>1208</v>
      </c>
      <c r="C130" s="1343"/>
      <c r="D130" s="1343"/>
      <c r="E130" s="1343"/>
      <c r="F130" s="1344">
        <f t="shared" si="4"/>
        <v>0</v>
      </c>
    </row>
    <row r="131" spans="2:6" ht="14">
      <c r="B131" s="1299" t="s">
        <v>1209</v>
      </c>
      <c r="C131" s="1343"/>
      <c r="D131" s="1343"/>
      <c r="E131" s="1343"/>
      <c r="F131" s="1344">
        <f t="shared" si="4"/>
        <v>0</v>
      </c>
    </row>
    <row r="132" spans="2:6" ht="14">
      <c r="B132" s="1299" t="s">
        <v>1210</v>
      </c>
      <c r="C132" s="1343"/>
      <c r="D132" s="1343"/>
      <c r="E132" s="1343"/>
      <c r="F132" s="1344">
        <f t="shared" si="4"/>
        <v>0</v>
      </c>
    </row>
    <row r="133" spans="2:6" ht="14">
      <c r="B133" s="1299" t="s">
        <v>1211</v>
      </c>
      <c r="C133" s="1343"/>
      <c r="D133" s="1343"/>
      <c r="E133" s="1343"/>
      <c r="F133" s="1344">
        <f t="shared" si="4"/>
        <v>0</v>
      </c>
    </row>
    <row r="134" spans="2:6" ht="14">
      <c r="B134" s="1345" t="s">
        <v>1217</v>
      </c>
      <c r="C134" s="1346">
        <f>SUM(C127:C133)</f>
        <v>0</v>
      </c>
      <c r="D134" s="1346">
        <f>SUM(D127:D133)</f>
        <v>0</v>
      </c>
      <c r="E134" s="1346">
        <f>SUM(E127:E133)</f>
        <v>0</v>
      </c>
      <c r="F134" s="1347">
        <f>SUM(C134:E134)</f>
        <v>0</v>
      </c>
    </row>
    <row r="135" spans="2:6" ht="15.5">
      <c r="B135" s="1348" t="str">
        <f>'1'!D4</f>
        <v>לא לדווח</v>
      </c>
      <c r="C135" s="1340"/>
      <c r="D135" s="1340"/>
      <c r="E135" s="1341"/>
      <c r="F135" s="1342"/>
    </row>
    <row r="136" spans="2:6" ht="14">
      <c r="B136" s="1299" t="s">
        <v>1205</v>
      </c>
      <c r="C136" s="1343"/>
      <c r="D136" s="1343"/>
      <c r="E136" s="1343"/>
      <c r="F136" s="1344">
        <f>SUM(C136:E136)</f>
        <v>0</v>
      </c>
    </row>
    <row r="137" spans="2:6" ht="14">
      <c r="B137" s="1299" t="s">
        <v>1206</v>
      </c>
      <c r="C137" s="1343"/>
      <c r="D137" s="1343"/>
      <c r="E137" s="1343"/>
      <c r="F137" s="1344">
        <f t="shared" ref="F137:F142" si="5">SUM(C137:E137)</f>
        <v>0</v>
      </c>
    </row>
    <row r="138" spans="2:6" ht="14">
      <c r="B138" s="1299" t="s">
        <v>2844</v>
      </c>
      <c r="C138" s="1343"/>
      <c r="D138" s="1343"/>
      <c r="E138" s="1343"/>
      <c r="F138" s="1344">
        <f>SUM(C138:E138)</f>
        <v>0</v>
      </c>
    </row>
    <row r="139" spans="2:6" ht="14">
      <c r="B139" s="1299" t="s">
        <v>1208</v>
      </c>
      <c r="C139" s="1343"/>
      <c r="D139" s="1343"/>
      <c r="E139" s="1343"/>
      <c r="F139" s="1344">
        <f t="shared" si="5"/>
        <v>0</v>
      </c>
    </row>
    <row r="140" spans="2:6" ht="14">
      <c r="B140" s="1299" t="s">
        <v>1209</v>
      </c>
      <c r="C140" s="1343"/>
      <c r="D140" s="1343"/>
      <c r="E140" s="1343"/>
      <c r="F140" s="1344">
        <f t="shared" si="5"/>
        <v>0</v>
      </c>
    </row>
    <row r="141" spans="2:6" ht="14">
      <c r="B141" s="1299" t="s">
        <v>1210</v>
      </c>
      <c r="C141" s="1343"/>
      <c r="D141" s="1343"/>
      <c r="E141" s="1343"/>
      <c r="F141" s="1344">
        <f t="shared" si="5"/>
        <v>0</v>
      </c>
    </row>
    <row r="142" spans="2:6" ht="14">
      <c r="B142" s="1299" t="s">
        <v>1211</v>
      </c>
      <c r="C142" s="1343"/>
      <c r="D142" s="1343"/>
      <c r="E142" s="1343"/>
      <c r="F142" s="1344">
        <f t="shared" si="5"/>
        <v>0</v>
      </c>
    </row>
    <row r="143" spans="2:6" ht="14">
      <c r="B143" s="1345" t="s">
        <v>1217</v>
      </c>
      <c r="C143" s="1346">
        <f>SUM(C136:C142)</f>
        <v>0</v>
      </c>
      <c r="D143" s="1346">
        <f>SUM(D136:D142)</f>
        <v>0</v>
      </c>
      <c r="E143" s="1346">
        <f>SUM(E136:E142)</f>
        <v>0</v>
      </c>
      <c r="F143" s="1347">
        <f>SUM(C143:E143)</f>
        <v>0</v>
      </c>
    </row>
    <row r="144" spans="2:6" ht="15.5">
      <c r="B144" s="1339" t="str">
        <f>'1'!E4</f>
        <v>31.12.2020</v>
      </c>
      <c r="C144" s="1340"/>
      <c r="D144" s="1340"/>
      <c r="E144" s="1341"/>
      <c r="F144" s="1342"/>
    </row>
    <row r="145" spans="2:6" ht="14">
      <c r="B145" s="1299" t="s">
        <v>1205</v>
      </c>
      <c r="C145" s="1343"/>
      <c r="D145" s="1343"/>
      <c r="E145" s="1343"/>
      <c r="F145" s="1344">
        <f>SUM(C145:E145)</f>
        <v>0</v>
      </c>
    </row>
    <row r="146" spans="2:6" ht="14">
      <c r="B146" s="1299" t="s">
        <v>1206</v>
      </c>
      <c r="C146" s="1343"/>
      <c r="D146" s="1343"/>
      <c r="E146" s="1343"/>
      <c r="F146" s="1344">
        <f t="shared" ref="F146:F151" si="6">SUM(C146:E146)</f>
        <v>0</v>
      </c>
    </row>
    <row r="147" spans="2:6" ht="14">
      <c r="B147" s="1299" t="s">
        <v>2844</v>
      </c>
      <c r="C147" s="1343"/>
      <c r="D147" s="1343"/>
      <c r="E147" s="1343"/>
      <c r="F147" s="1344">
        <f t="shared" si="6"/>
        <v>0</v>
      </c>
    </row>
    <row r="148" spans="2:6" ht="14">
      <c r="B148" s="1299" t="s">
        <v>1208</v>
      </c>
      <c r="C148" s="1343"/>
      <c r="D148" s="1343"/>
      <c r="E148" s="1343"/>
      <c r="F148" s="1344">
        <f t="shared" si="6"/>
        <v>0</v>
      </c>
    </row>
    <row r="149" spans="2:6" ht="14">
      <c r="B149" s="1299" t="s">
        <v>1209</v>
      </c>
      <c r="C149" s="1343"/>
      <c r="D149" s="1343"/>
      <c r="E149" s="1343"/>
      <c r="F149" s="1344">
        <f t="shared" si="6"/>
        <v>0</v>
      </c>
    </row>
    <row r="150" spans="2:6" ht="14">
      <c r="B150" s="1299" t="s">
        <v>1210</v>
      </c>
      <c r="C150" s="1343"/>
      <c r="D150" s="1343"/>
      <c r="E150" s="1343"/>
      <c r="F150" s="1344">
        <f t="shared" si="6"/>
        <v>0</v>
      </c>
    </row>
    <row r="151" spans="2:6" ht="14">
      <c r="B151" s="1299" t="s">
        <v>1211</v>
      </c>
      <c r="C151" s="1343"/>
      <c r="D151" s="1343"/>
      <c r="E151" s="1343"/>
      <c r="F151" s="1344">
        <f t="shared" si="6"/>
        <v>0</v>
      </c>
    </row>
    <row r="152" spans="2:6" ht="14">
      <c r="B152" s="1345" t="s">
        <v>1217</v>
      </c>
      <c r="C152" s="1346">
        <f>SUM(C145:C151)</f>
        <v>0</v>
      </c>
      <c r="D152" s="1346">
        <f>SUM(D145:D151)</f>
        <v>0</v>
      </c>
      <c r="E152" s="1346">
        <f>SUM(E145:E151)</f>
        <v>0</v>
      </c>
      <c r="F152" s="1347">
        <f>SUM(C152:E152)</f>
        <v>0</v>
      </c>
    </row>
    <row r="154" spans="2:6" ht="15.5">
      <c r="B154" s="1284" t="str">
        <f>Information!$F$29</f>
        <v>באור 17י' - מועדי פירעון</v>
      </c>
      <c r="C154" s="1285"/>
      <c r="D154" s="1285"/>
      <c r="E154" s="1323"/>
    </row>
    <row r="155" spans="2:6">
      <c r="B155" s="1324" t="s">
        <v>942</v>
      </c>
      <c r="C155" s="1324"/>
      <c r="D155" s="1325">
        <f>SUM(C157:D162)</f>
        <v>0</v>
      </c>
      <c r="E155" s="1324"/>
    </row>
    <row r="156" spans="2:6" ht="15.5">
      <c r="B156" s="1326"/>
      <c r="C156" s="1327" t="str">
        <f>'1'!C4</f>
        <v>31.12.2021</v>
      </c>
      <c r="D156" s="1328" t="str">
        <f>'1'!E4</f>
        <v>31.12.2020</v>
      </c>
      <c r="E156" s="20" t="s">
        <v>263</v>
      </c>
    </row>
    <row r="157" spans="2:6" ht="14">
      <c r="B157" s="1329" t="s">
        <v>2839</v>
      </c>
      <c r="C157" s="1330"/>
      <c r="D157" s="1331"/>
      <c r="E157" s="1324"/>
    </row>
    <row r="158" spans="2:6" ht="14">
      <c r="B158" s="1329" t="s">
        <v>2840</v>
      </c>
      <c r="C158" s="1330"/>
      <c r="D158" s="1331"/>
      <c r="E158" s="1324"/>
    </row>
    <row r="159" spans="2:6" ht="14">
      <c r="B159" s="1329" t="s">
        <v>2841</v>
      </c>
      <c r="C159" s="1330"/>
      <c r="D159" s="1331"/>
      <c r="E159" s="1324"/>
    </row>
    <row r="160" spans="2:6" ht="14">
      <c r="B160" s="1329" t="s">
        <v>2842</v>
      </c>
      <c r="C160" s="1330"/>
      <c r="D160" s="1331"/>
      <c r="E160" s="1324"/>
    </row>
    <row r="161" spans="2:5">
      <c r="B161" s="1329" t="s">
        <v>2843</v>
      </c>
      <c r="C161" s="1330"/>
      <c r="D161" s="1332"/>
      <c r="E161" s="1324"/>
    </row>
    <row r="162" spans="2:5" ht="14">
      <c r="B162" s="1333" t="s">
        <v>272</v>
      </c>
      <c r="C162" s="1334">
        <f>SUM(C157:C161)</f>
        <v>0</v>
      </c>
      <c r="D162" s="1335">
        <f>SUM(D157:D161)</f>
        <v>0</v>
      </c>
      <c r="E162" s="1324"/>
    </row>
  </sheetData>
  <sheetProtection password="C78C" sheet="1" objects="1" scenarios="1" formatCells="0" formatColumns="0" formatRows="0"/>
  <mergeCells count="10">
    <mergeCell ref="I117:K117"/>
    <mergeCell ref="C117:E117"/>
    <mergeCell ref="F117:H117"/>
    <mergeCell ref="C7:D7"/>
    <mergeCell ref="E7:F7"/>
    <mergeCell ref="C27:D27"/>
    <mergeCell ref="C38:F38"/>
    <mergeCell ref="C54:E54"/>
    <mergeCell ref="C94:E94"/>
    <mergeCell ref="F94:H94"/>
  </mergeCells>
  <conditionalFormatting sqref="C30:D30 C10:F23 C120:D120 C122:D122">
    <cfRule type="expression" dxfId="324" priority="40" stopIfTrue="1">
      <formula>AND(CELL("protect",C10)=1,CELL("type",C10)="v")</formula>
    </cfRule>
    <cfRule type="expression" dxfId="323" priority="41" stopIfTrue="1">
      <formula>CELL("protect",C10)</formula>
    </cfRule>
  </conditionalFormatting>
  <conditionalFormatting sqref="C57:E57 C69:D69">
    <cfRule type="expression" dxfId="322" priority="38" stopIfTrue="1">
      <formula>AND(CELL("protect",C57)=1,CELL("type",C57)="v")</formula>
    </cfRule>
    <cfRule type="expression" dxfId="321" priority="39" stopIfTrue="1">
      <formula>CELL("protect",C57)=1</formula>
    </cfRule>
  </conditionalFormatting>
  <conditionalFormatting sqref="C97:H100">
    <cfRule type="expression" dxfId="320" priority="36" stopIfTrue="1">
      <formula>AND(CELL("protect",C97)=1,CELL("type",C97)="v")</formula>
    </cfRule>
    <cfRule type="expression" dxfId="319" priority="37" stopIfTrue="1">
      <formula>CELL("protect",C97)</formula>
    </cfRule>
  </conditionalFormatting>
  <conditionalFormatting sqref="C86:D86">
    <cfRule type="expression" dxfId="318" priority="34" stopIfTrue="1">
      <formula>AND(CELL("protect",C86)=1,CELL("type",C86)="v")</formula>
    </cfRule>
    <cfRule type="expression" dxfId="317" priority="35" stopIfTrue="1">
      <formula>CELL("protect",C86)</formula>
    </cfRule>
  </conditionalFormatting>
  <conditionalFormatting sqref="C106:C113">
    <cfRule type="expression" dxfId="316" priority="32" stopIfTrue="1">
      <formula>AND(CELL("protect",C106)=1,CELL("type",C106)="v")</formula>
    </cfRule>
    <cfRule type="expression" dxfId="315" priority="33" stopIfTrue="1">
      <formula>CELL("protect",C106)</formula>
    </cfRule>
  </conditionalFormatting>
  <conditionalFormatting sqref="E120">
    <cfRule type="expression" dxfId="314" priority="28" stopIfTrue="1">
      <formula>AND(CELL("protect",E120)=1,CELL("type",E120)="v")</formula>
    </cfRule>
    <cfRule type="expression" dxfId="313" priority="29" stopIfTrue="1">
      <formula>CELL("protect",E120)</formula>
    </cfRule>
  </conditionalFormatting>
  <conditionalFormatting sqref="C121:D121">
    <cfRule type="expression" dxfId="312" priority="26" stopIfTrue="1">
      <formula>AND(CELL("protect",C121)=1,CELL("type",C121)="v")</formula>
    </cfRule>
    <cfRule type="expression" dxfId="311" priority="27" stopIfTrue="1">
      <formula>CELL("protect",C121)</formula>
    </cfRule>
  </conditionalFormatting>
  <conditionalFormatting sqref="E121">
    <cfRule type="expression" dxfId="310" priority="24" stopIfTrue="1">
      <formula>AND(CELL("protect",E121)=1,CELL("type",E121)="v")</formula>
    </cfRule>
    <cfRule type="expression" dxfId="309" priority="25" stopIfTrue="1">
      <formula>CELL("protect",E121)</formula>
    </cfRule>
  </conditionalFormatting>
  <conditionalFormatting sqref="E122">
    <cfRule type="expression" dxfId="308" priority="22" stopIfTrue="1">
      <formula>AND(CELL("protect",E122)=1,CELL("type",E122)="v")</formula>
    </cfRule>
    <cfRule type="expression" dxfId="307" priority="23" stopIfTrue="1">
      <formula>CELL("protect",E122)</formula>
    </cfRule>
  </conditionalFormatting>
  <conditionalFormatting sqref="F120:G120 F122:G122">
    <cfRule type="expression" dxfId="306" priority="20" stopIfTrue="1">
      <formula>AND(CELL("protect",F120)=1,CELL("type",F120)="v")</formula>
    </cfRule>
    <cfRule type="expression" dxfId="305" priority="21" stopIfTrue="1">
      <formula>CELL("protect",F120)</formula>
    </cfRule>
  </conditionalFormatting>
  <conditionalFormatting sqref="H120">
    <cfRule type="expression" dxfId="304" priority="18" stopIfTrue="1">
      <formula>AND(CELL("protect",H120)=1,CELL("type",H120)="v")</formula>
    </cfRule>
    <cfRule type="expression" dxfId="303" priority="19" stopIfTrue="1">
      <formula>CELL("protect",H120)</formula>
    </cfRule>
  </conditionalFormatting>
  <conditionalFormatting sqref="F121:G121">
    <cfRule type="expression" dxfId="302" priority="16" stopIfTrue="1">
      <formula>AND(CELL("protect",F121)=1,CELL("type",F121)="v")</formula>
    </cfRule>
    <cfRule type="expression" dxfId="301" priority="17" stopIfTrue="1">
      <formula>CELL("protect",F121)</formula>
    </cfRule>
  </conditionalFormatting>
  <conditionalFormatting sqref="H121">
    <cfRule type="expression" dxfId="300" priority="14" stopIfTrue="1">
      <formula>AND(CELL("protect",H121)=1,CELL("type",H121)="v")</formula>
    </cfRule>
    <cfRule type="expression" dxfId="299" priority="15" stopIfTrue="1">
      <formula>CELL("protect",H121)</formula>
    </cfRule>
  </conditionalFormatting>
  <conditionalFormatting sqref="H122">
    <cfRule type="expression" dxfId="298" priority="12" stopIfTrue="1">
      <formula>AND(CELL("protect",H122)=1,CELL("type",H122)="v")</formula>
    </cfRule>
    <cfRule type="expression" dxfId="297" priority="13" stopIfTrue="1">
      <formula>CELL("protect",H122)</formula>
    </cfRule>
  </conditionalFormatting>
  <conditionalFormatting sqref="I120:J120 I122:J122">
    <cfRule type="expression" dxfId="296" priority="10" stopIfTrue="1">
      <formula>AND(CELL("protect",I120)=1,CELL("type",I120)="v")</formula>
    </cfRule>
    <cfRule type="expression" dxfId="295" priority="11" stopIfTrue="1">
      <formula>CELL("protect",I120)</formula>
    </cfRule>
  </conditionalFormatting>
  <conditionalFormatting sqref="K120">
    <cfRule type="expression" dxfId="294" priority="8" stopIfTrue="1">
      <formula>AND(CELL("protect",K120)=1,CELL("type",K120)="v")</formula>
    </cfRule>
    <cfRule type="expression" dxfId="293" priority="9" stopIfTrue="1">
      <formula>CELL("protect",K120)</formula>
    </cfRule>
  </conditionalFormatting>
  <conditionalFormatting sqref="I121:J121">
    <cfRule type="expression" dxfId="292" priority="6" stopIfTrue="1">
      <formula>AND(CELL("protect",I121)=1,CELL("type",I121)="v")</formula>
    </cfRule>
    <cfRule type="expression" dxfId="291" priority="7" stopIfTrue="1">
      <formula>CELL("protect",I121)</formula>
    </cfRule>
  </conditionalFormatting>
  <conditionalFormatting sqref="K121">
    <cfRule type="expression" dxfId="290" priority="4" stopIfTrue="1">
      <formula>AND(CELL("protect",K121)=1,CELL("type",K121)="v")</formula>
    </cfRule>
    <cfRule type="expression" dxfId="289" priority="5" stopIfTrue="1">
      <formula>CELL("protect",K121)</formula>
    </cfRule>
  </conditionalFormatting>
  <conditionalFormatting sqref="K122">
    <cfRule type="expression" dxfId="288" priority="2" stopIfTrue="1">
      <formula>AND(CELL("protect",K122)=1,CELL("type",K122)="v")</formula>
    </cfRule>
    <cfRule type="expression" dxfId="287" priority="3" stopIfTrue="1">
      <formula>CELL("protect",K122)</formula>
    </cfRule>
  </conditionalFormatting>
  <hyperlinks>
    <hyperlink ref="D1" location="Information!A1" display="חזרה"/>
    <hyperlink ref="E5" location="Information!A1" display="חזרה"/>
    <hyperlink ref="E26" location="Information!A1" display="חזרה"/>
    <hyperlink ref="E35" location="Information!A1" display="חזרה"/>
    <hyperlink ref="E52" location="Information!A1" display="חזרה"/>
    <hyperlink ref="D92" location="Information!A1" display="חזרה"/>
    <hyperlink ref="E83" location="Information!A1" display="חזרה"/>
    <hyperlink ref="D102" location="Information!A1" display="חזרה"/>
    <hyperlink ref="E115" location="Information!A1" display="חזרה"/>
    <hyperlink ref="E156" location="Information!A1" display="חזרה"/>
    <hyperlink ref="E124" location="Information!A1" display="חזרה"/>
    <hyperlink ref="C3" location="Information!A60" display="Information!A60"/>
  </hyperlinks>
  <pageMargins left="0" right="0" top="0" bottom="0.39370078740157483" header="0" footer="0.11811023622047245"/>
  <pageSetup paperSize="9" scale="64" fitToHeight="2" orientation="portrait" r:id="rId1"/>
  <headerFooter>
    <oddFooter>&amp;L&amp;Z&amp;F&amp;A</oddFooter>
  </headerFooter>
  <rowBreaks count="1" manualBreakCount="1">
    <brk id="81" min="1" max="10" man="1"/>
  </rowBreaks>
  <extLst>
    <ext xmlns:x14="http://schemas.microsoft.com/office/spreadsheetml/2009/9/main" uri="{78C0D931-6437-407d-A8EE-F0AAD7539E65}">
      <x14:conditionalFormattings>
        <x14:conditionalFormatting xmlns:xm="http://schemas.microsoft.com/office/excel/2006/main">
          <x14:cfRule type="expression" priority="1" id="{F6AD0C3C-8A07-4C32-B01E-BFE304AAE7FF}">
            <xm:f>Information!$G$54&gt;0</xm:f>
            <x14:dxf>
              <font>
                <b/>
                <i val="0"/>
                <color theme="1"/>
              </font>
              <fill>
                <patternFill>
                  <bgColor rgb="FFFFFF00"/>
                </patternFill>
              </fill>
            </x14:dxf>
          </x14:cfRule>
          <xm:sqref>C3</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FF00"/>
    <pageSetUpPr fitToPage="1"/>
  </sheetPr>
  <dimension ref="A1:E19"/>
  <sheetViews>
    <sheetView rightToLeft="1" workbookViewId="0"/>
  </sheetViews>
  <sheetFormatPr defaultRowHeight="12.5"/>
  <cols>
    <col min="2" max="2" width="38.54296875" customWidth="1"/>
    <col min="3" max="6" width="12.54296875" customWidth="1"/>
    <col min="7" max="7" width="50" customWidth="1"/>
    <col min="8" max="8" width="11.453125" customWidth="1"/>
    <col min="11" max="11" width="31.1796875" customWidth="1"/>
  </cols>
  <sheetData>
    <row r="1" spans="1:5" ht="18">
      <c r="A1" s="529"/>
      <c r="B1" s="15" t="str">
        <f>'B8'!B1</f>
        <v>_____חברה מנהלת</v>
      </c>
      <c r="C1" s="530"/>
      <c r="D1" s="642" t="s">
        <v>263</v>
      </c>
      <c r="E1" s="529"/>
    </row>
    <row r="2" spans="1:5" ht="18" hidden="1">
      <c r="A2" s="529"/>
      <c r="B2" s="111"/>
      <c r="C2" s="532"/>
      <c r="D2" s="532"/>
      <c r="E2" s="529"/>
    </row>
    <row r="3" spans="1:5" ht="15.5">
      <c r="A3" s="529"/>
      <c r="B3" s="28" t="str">
        <f>line3</f>
        <v>הנתונים באלפי ש"ח</v>
      </c>
      <c r="C3" s="529"/>
      <c r="D3" s="533" t="str">
        <f>Date1</f>
        <v>31.12.2021</v>
      </c>
    </row>
    <row r="4" spans="1:5" ht="14" hidden="1">
      <c r="A4" s="529"/>
      <c r="B4" s="529"/>
      <c r="C4" s="588"/>
      <c r="D4" s="588"/>
      <c r="E4" s="588"/>
    </row>
    <row r="5" spans="1:5" ht="15.5">
      <c r="B5" s="711" t="str">
        <f>Information!$F$19</f>
        <v>באור 16 - זכאים ויתרות זכות</v>
      </c>
      <c r="C5" s="663"/>
    </row>
    <row r="7" spans="1:5" ht="14">
      <c r="B7" s="767"/>
      <c r="C7" s="3" t="str">
        <f>Date1</f>
        <v>31.12.2021</v>
      </c>
      <c r="D7" s="2" t="str">
        <f>Date3</f>
        <v>31.12.2020</v>
      </c>
    </row>
    <row r="8" spans="1:5" ht="14">
      <c r="B8" s="1469" t="s">
        <v>3876</v>
      </c>
      <c r="C8" s="868" t="s">
        <v>29</v>
      </c>
      <c r="D8" s="869" t="s">
        <v>41</v>
      </c>
    </row>
    <row r="9" spans="1:5" ht="15.75" customHeight="1">
      <c r="B9" s="713" t="s">
        <v>1191</v>
      </c>
      <c r="C9" s="655"/>
      <c r="D9" s="668"/>
    </row>
    <row r="10" spans="1:5" ht="14">
      <c r="B10" s="713" t="s">
        <v>1200</v>
      </c>
      <c r="C10" s="655"/>
      <c r="D10" s="668"/>
    </row>
    <row r="11" spans="1:5" ht="14">
      <c r="B11" s="713" t="s">
        <v>1192</v>
      </c>
      <c r="C11" s="655"/>
      <c r="D11" s="668"/>
    </row>
    <row r="12" spans="1:5" ht="14">
      <c r="B12" s="713" t="s">
        <v>1193</v>
      </c>
      <c r="C12" s="655"/>
      <c r="D12" s="668"/>
    </row>
    <row r="13" spans="1:5" ht="14">
      <c r="B13" s="713" t="s">
        <v>1194</v>
      </c>
      <c r="C13" s="655"/>
      <c r="D13" s="668"/>
    </row>
    <row r="14" spans="1:5" ht="14">
      <c r="B14" s="713" t="s">
        <v>313</v>
      </c>
      <c r="C14" s="655"/>
      <c r="D14" s="668"/>
    </row>
    <row r="15" spans="1:5" ht="14">
      <c r="B15" s="713" t="s">
        <v>1201</v>
      </c>
      <c r="C15" s="655"/>
      <c r="D15" s="668"/>
    </row>
    <row r="16" spans="1:5" ht="14">
      <c r="B16" s="713" t="s">
        <v>1202</v>
      </c>
      <c r="C16" s="655"/>
      <c r="D16" s="668"/>
    </row>
    <row r="17" spans="2:4" ht="14">
      <c r="B17" s="713" t="s">
        <v>1195</v>
      </c>
      <c r="C17" s="655"/>
      <c r="D17" s="668"/>
    </row>
    <row r="18" spans="2:4" ht="14">
      <c r="B18" s="713" t="s">
        <v>1196</v>
      </c>
      <c r="C18" s="655"/>
      <c r="D18" s="668"/>
    </row>
    <row r="19" spans="2:4" ht="14">
      <c r="B19" s="1053" t="s">
        <v>1197</v>
      </c>
      <c r="C19" s="660">
        <f>SUM(C9:C18)</f>
        <v>0</v>
      </c>
      <c r="D19" s="661">
        <f>SUM(D9:D18)</f>
        <v>0</v>
      </c>
    </row>
  </sheetData>
  <sheetProtection password="C7A8" sheet="1" objects="1" scenarios="1" formatCells="0" formatColumns="0" formatRows="0"/>
  <conditionalFormatting sqref="C9:D19">
    <cfRule type="expression" dxfId="285" priority="2" stopIfTrue="1">
      <formula>AND(CELL("protect",C9)=1,CELL("type",C9)="v")</formula>
    </cfRule>
    <cfRule type="expression" dxfId="284" priority="3" stopIfTrue="1">
      <formula>CELL("protect",C9)</formula>
    </cfRule>
  </conditionalFormatting>
  <hyperlinks>
    <hyperlink ref="D1" location="Information!A1" display="חזרה"/>
    <hyperlink ref="B8" location="Information!A60" display="Information!A60"/>
  </hyperlinks>
  <pageMargins left="0" right="0" top="0" bottom="0.39370078740157483" header="0" footer="0.11811023622047245"/>
  <pageSetup paperSize="9" scale="72"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49ACB6B8-14AD-471D-965A-4A787DFA477E}">
            <xm:f>Information!$G$54&gt;0</xm:f>
            <x14:dxf>
              <font>
                <b/>
                <i val="0"/>
                <color theme="1"/>
              </font>
              <fill>
                <patternFill>
                  <bgColor rgb="FFFFFF00"/>
                </patternFill>
              </fill>
            </x14:dxf>
          </x14:cfRule>
          <xm:sqref>B8</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FF00"/>
    <pageSetUpPr fitToPage="1"/>
  </sheetPr>
  <dimension ref="B1:Q5"/>
  <sheetViews>
    <sheetView rightToLeft="1" workbookViewId="0"/>
  </sheetViews>
  <sheetFormatPr defaultColWidth="9.1796875" defaultRowHeight="12.5"/>
  <cols>
    <col min="1" max="1" width="4.54296875" style="529" customWidth="1"/>
    <col min="2" max="2" width="50.54296875" style="529" customWidth="1"/>
    <col min="3" max="3" width="12.1796875" style="529" customWidth="1"/>
    <col min="4" max="4" width="10.453125" style="529" customWidth="1"/>
    <col min="5" max="7" width="9.1796875" style="529"/>
    <col min="8" max="8" width="29.54296875" style="529" customWidth="1"/>
    <col min="9" max="11" width="9.1796875" style="529"/>
    <col min="12" max="12" width="10.1796875" style="529" bestFit="1" customWidth="1"/>
    <col min="13" max="16384" width="9.1796875" style="529"/>
  </cols>
  <sheetData>
    <row r="1" spans="2:17" ht="18">
      <c r="B1" s="15" t="str">
        <f>'B8'!B1</f>
        <v>_____חברה מנהלת</v>
      </c>
      <c r="C1" s="530"/>
      <c r="D1" s="642" t="s">
        <v>263</v>
      </c>
      <c r="L1" s="531" t="str">
        <f>date</f>
        <v>21</v>
      </c>
      <c r="M1" s="529" t="e">
        <f>VLOOKUP(L1,O4:Q4,3,0)</f>
        <v>#N/A</v>
      </c>
      <c r="N1" s="529" t="str">
        <f>CONCATENATE(N2,N2)</f>
        <v/>
      </c>
    </row>
    <row r="2" spans="2:17" ht="18" hidden="1">
      <c r="B2" s="111"/>
      <c r="C2" s="532"/>
      <c r="D2" s="532"/>
      <c r="L2" s="531"/>
    </row>
    <row r="3" spans="2:17" ht="15.5">
      <c r="B3" s="28" t="str">
        <f>line3</f>
        <v>הנתונים באלפי ש"ח</v>
      </c>
      <c r="D3" s="533" t="str">
        <f>Date1</f>
        <v>31.12.2021</v>
      </c>
      <c r="L3" s="531" t="e">
        <f>INDEX($O$4:$O$4,$M$1+2)</f>
        <v>#N/A</v>
      </c>
    </row>
    <row r="4" spans="2:17" ht="14">
      <c r="C4" s="588"/>
      <c r="D4" s="588"/>
      <c r="E4" s="588"/>
      <c r="F4" s="588"/>
      <c r="G4" s="588"/>
      <c r="H4" s="588"/>
      <c r="I4" s="588"/>
      <c r="J4" s="588"/>
      <c r="K4" s="588"/>
      <c r="L4" s="529" t="e">
        <f>INDEX($P$4:$P$4,M1)</f>
        <v>#N/A</v>
      </c>
      <c r="O4" s="529" t="s">
        <v>333</v>
      </c>
      <c r="P4" s="529">
        <v>2012</v>
      </c>
      <c r="Q4" s="529">
        <v>1</v>
      </c>
    </row>
    <row r="5" spans="2:17" ht="15.5">
      <c r="B5" s="711"/>
      <c r="C5" s="663"/>
      <c r="D5" s="642" t="s">
        <v>263</v>
      </c>
      <c r="E5" s="719"/>
    </row>
  </sheetData>
  <sheetProtection password="C704" sheet="1" objects="1" scenarios="1" formatCells="0" formatColumns="0" formatRows="0"/>
  <hyperlinks>
    <hyperlink ref="D5" location="Information!A1" display="חזרה"/>
    <hyperlink ref="D1" location="Information!A1" display="חזרה"/>
  </hyperlinks>
  <pageMargins left="0" right="0" top="0" bottom="0.5" header="0" footer="0.25"/>
  <pageSetup paperSize="9" orientation="portrait" blackAndWhite="1" r:id="rId1"/>
  <headerFooter alignWithMargins="0">
    <oddFooter>&amp;L&amp;Z&amp;F&amp;R&amp;A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FFFF00"/>
    <pageSetUpPr fitToPage="1"/>
  </sheetPr>
  <dimension ref="A1:R77"/>
  <sheetViews>
    <sheetView rightToLeft="1" workbookViewId="0"/>
  </sheetViews>
  <sheetFormatPr defaultColWidth="9.1796875" defaultRowHeight="12.5"/>
  <cols>
    <col min="1" max="1" width="4.54296875" style="529" customWidth="1"/>
    <col min="2" max="2" width="50.54296875" style="529" customWidth="1"/>
    <col min="3" max="3" width="12.1796875" style="529" customWidth="1"/>
    <col min="4" max="5" width="10.453125" style="529" customWidth="1"/>
    <col min="6" max="8" width="9.1796875" style="529"/>
    <col min="9" max="9" width="13.453125" style="529" customWidth="1"/>
    <col min="10" max="11" width="9.1796875" style="529"/>
    <col min="12" max="12" width="10.81640625" style="529" customWidth="1"/>
    <col min="13" max="13" width="10.1796875" style="529" bestFit="1" customWidth="1"/>
    <col min="14" max="16384" width="9.1796875" style="529"/>
  </cols>
  <sheetData>
    <row r="1" spans="2:18" ht="18">
      <c r="B1" s="15" t="str">
        <f>'B8'!B1</f>
        <v>_____חברה מנהלת</v>
      </c>
      <c r="C1" s="530"/>
      <c r="D1" s="642" t="s">
        <v>263</v>
      </c>
      <c r="M1" s="531" t="str">
        <f>date</f>
        <v>21</v>
      </c>
      <c r="N1" s="529" t="e">
        <f>VLOOKUP(M1,P4:R4,3,0)</f>
        <v>#N/A</v>
      </c>
      <c r="O1" s="529" t="str">
        <f>CONCATENATE(O2,O2)</f>
        <v/>
      </c>
    </row>
    <row r="2" spans="2:18" ht="18" hidden="1">
      <c r="B2" s="111"/>
      <c r="C2" s="532"/>
      <c r="D2" s="532"/>
      <c r="E2" s="532"/>
      <c r="M2" s="531"/>
    </row>
    <row r="3" spans="2:18" ht="15.5">
      <c r="B3" s="28" t="str">
        <f>line3</f>
        <v>הנתונים באלפי ש"ח</v>
      </c>
      <c r="C3" s="1469" t="s">
        <v>3876</v>
      </c>
      <c r="D3" s="533" t="str">
        <f>Date1</f>
        <v>31.12.2021</v>
      </c>
      <c r="E3" s="533"/>
      <c r="M3" s="531" t="e">
        <f>INDEX($P$4:$P$4,$N$1+2)</f>
        <v>#N/A</v>
      </c>
    </row>
    <row r="4" spans="2:18" ht="14">
      <c r="C4" s="588"/>
      <c r="D4" s="588"/>
      <c r="E4" s="588"/>
      <c r="F4" s="588"/>
      <c r="G4" s="588"/>
      <c r="H4" s="588"/>
      <c r="I4" s="588"/>
      <c r="J4" s="588"/>
      <c r="K4" s="588"/>
      <c r="L4" s="588"/>
      <c r="M4" s="529" t="e">
        <f>INDEX($Q$4:$Q$4,N1)</f>
        <v>#N/A</v>
      </c>
      <c r="P4" s="529" t="s">
        <v>333</v>
      </c>
      <c r="Q4" s="529">
        <v>2012</v>
      </c>
      <c r="R4" s="529">
        <v>1</v>
      </c>
    </row>
    <row r="5" spans="2:18" ht="15.5">
      <c r="B5" s="711" t="str">
        <f>Information!$C$45</f>
        <v>באור 14א' מסים על ההכנסה הכלולים בדוחות רווח והפסד</v>
      </c>
      <c r="C5" s="742"/>
      <c r="D5" s="642" t="s">
        <v>263</v>
      </c>
      <c r="E5" s="747"/>
      <c r="F5" s="747"/>
    </row>
    <row r="6" spans="2:18" ht="15.5">
      <c r="B6" s="22"/>
      <c r="C6" s="743"/>
      <c r="D6" s="743"/>
      <c r="E6" s="747"/>
      <c r="F6" s="747"/>
    </row>
    <row r="7" spans="2:18" ht="15.5">
      <c r="B7" s="616"/>
      <c r="C7" s="744" t="str">
        <f>Period1</f>
        <v>שנת 2021</v>
      </c>
      <c r="D7" s="4" t="str">
        <f>Period2</f>
        <v>שנת 2020</v>
      </c>
      <c r="E7" s="747"/>
      <c r="F7" s="747"/>
    </row>
    <row r="8" spans="2:18" ht="15.5">
      <c r="B8" s="617"/>
      <c r="C8" s="754" t="s">
        <v>29</v>
      </c>
      <c r="D8" s="845" t="s">
        <v>41</v>
      </c>
      <c r="E8" s="747"/>
      <c r="F8" s="747"/>
    </row>
    <row r="9" spans="2:18" ht="15.5">
      <c r="B9" s="748" t="s">
        <v>1156</v>
      </c>
      <c r="C9" s="652"/>
      <c r="D9" s="653"/>
      <c r="E9" s="747"/>
      <c r="F9" s="747"/>
    </row>
    <row r="10" spans="2:18" ht="15.5">
      <c r="B10" s="749" t="s">
        <v>1157</v>
      </c>
      <c r="C10" s="655"/>
      <c r="D10" s="668"/>
      <c r="E10" s="747"/>
      <c r="F10" s="747"/>
    </row>
    <row r="11" spans="2:18" ht="15.5">
      <c r="B11" s="749" t="s">
        <v>1158</v>
      </c>
      <c r="C11" s="655"/>
      <c r="D11" s="668"/>
      <c r="E11" s="747"/>
      <c r="F11" s="747"/>
    </row>
    <row r="12" spans="2:18" ht="14">
      <c r="B12" s="748" t="s">
        <v>1161</v>
      </c>
      <c r="C12" s="652">
        <f>SUM(C10:C11)</f>
        <v>0</v>
      </c>
      <c r="D12" s="653">
        <f>SUM(D10:D11)</f>
        <v>0</v>
      </c>
    </row>
    <row r="13" spans="2:18" ht="14">
      <c r="B13" s="748" t="s">
        <v>1159</v>
      </c>
      <c r="C13" s="652"/>
      <c r="D13" s="653"/>
    </row>
    <row r="14" spans="2:18" ht="14">
      <c r="B14" s="749" t="s">
        <v>1547</v>
      </c>
      <c r="C14" s="655"/>
      <c r="D14" s="668"/>
    </row>
    <row r="15" spans="2:18" ht="15.5">
      <c r="B15" s="749" t="s">
        <v>1160</v>
      </c>
      <c r="C15" s="655"/>
      <c r="D15" s="668"/>
      <c r="E15" s="747"/>
      <c r="F15" s="747"/>
    </row>
    <row r="16" spans="2:18" ht="15.5">
      <c r="B16" s="749" t="s">
        <v>70</v>
      </c>
      <c r="C16" s="655"/>
      <c r="D16" s="668"/>
      <c r="E16" s="747"/>
      <c r="F16" s="747"/>
    </row>
    <row r="17" spans="1:12" ht="14">
      <c r="B17" s="748" t="s">
        <v>1162</v>
      </c>
      <c r="C17" s="652">
        <f>SUM(C14:C16)</f>
        <v>0</v>
      </c>
      <c r="D17" s="653">
        <f>SUM(D14:D16)</f>
        <v>0</v>
      </c>
    </row>
    <row r="18" spans="1:12" ht="15.5">
      <c r="B18" s="751" t="s">
        <v>1155</v>
      </c>
      <c r="C18" s="660">
        <f>C12+C17</f>
        <v>0</v>
      </c>
      <c r="D18" s="661">
        <f>D12+D17</f>
        <v>0</v>
      </c>
      <c r="E18" s="747"/>
      <c r="F18" s="747"/>
    </row>
    <row r="20" spans="1:12" ht="15.5">
      <c r="B20" s="711" t="str">
        <f>Information!$C$46</f>
        <v>באור 14ב' מסים נדחים הרכב</v>
      </c>
      <c r="C20" s="22"/>
      <c r="D20" s="642" t="s">
        <v>263</v>
      </c>
      <c r="E20" s="747"/>
      <c r="F20" s="747"/>
      <c r="G20" s="22"/>
      <c r="H20" s="22"/>
      <c r="I20" s="22"/>
      <c r="J20" s="22"/>
    </row>
    <row r="21" spans="1:12" ht="15.5">
      <c r="B21" s="662"/>
      <c r="C21" s="22"/>
      <c r="D21" s="22"/>
      <c r="E21" s="22"/>
      <c r="F21" s="747"/>
      <c r="G21" s="22"/>
      <c r="H21" s="22"/>
      <c r="I21" s="22"/>
      <c r="J21" s="22"/>
    </row>
    <row r="22" spans="1:12" ht="28.5">
      <c r="B22" s="846"/>
      <c r="C22" s="752" t="s">
        <v>1163</v>
      </c>
      <c r="D22" s="752" t="s">
        <v>1164</v>
      </c>
      <c r="E22" s="752" t="s">
        <v>811</v>
      </c>
      <c r="F22" s="752" t="s">
        <v>1165</v>
      </c>
      <c r="G22" s="752" t="s">
        <v>213</v>
      </c>
      <c r="H22" s="752" t="s">
        <v>1166</v>
      </c>
      <c r="I22" s="752" t="s">
        <v>233</v>
      </c>
      <c r="J22" s="753" t="s">
        <v>272</v>
      </c>
    </row>
    <row r="23" spans="1:12" ht="15.5">
      <c r="B23" s="847"/>
      <c r="C23" s="754" t="s">
        <v>29</v>
      </c>
      <c r="D23" s="754" t="s">
        <v>41</v>
      </c>
      <c r="E23" s="754" t="s">
        <v>63</v>
      </c>
      <c r="F23" s="754" t="s">
        <v>65</v>
      </c>
      <c r="G23" s="754" t="s">
        <v>86</v>
      </c>
      <c r="H23" s="754" t="s">
        <v>88</v>
      </c>
      <c r="I23" s="754" t="s">
        <v>195</v>
      </c>
      <c r="J23" s="754" t="s">
        <v>197</v>
      </c>
    </row>
    <row r="24" spans="1:12" ht="14">
      <c r="B24" s="748" t="s">
        <v>924</v>
      </c>
      <c r="C24" s="652"/>
      <c r="D24" s="652"/>
      <c r="E24" s="652"/>
      <c r="F24" s="652"/>
      <c r="G24" s="652"/>
      <c r="H24" s="652"/>
      <c r="I24" s="652"/>
      <c r="J24" s="653"/>
    </row>
    <row r="25" spans="1:12" ht="14">
      <c r="B25" s="748" t="str">
        <f>CONCATENATE("יתרת נכס (התחייבות) מס נדחה ליום 1 בינואר ",Period2)</f>
        <v>יתרת נכס (התחייבות) מס נדחה ליום 1 בינואר שנת 2020</v>
      </c>
      <c r="C25" s="655"/>
      <c r="D25" s="655"/>
      <c r="E25" s="655"/>
      <c r="F25" s="655"/>
      <c r="G25" s="655"/>
      <c r="H25" s="655"/>
      <c r="I25" s="655"/>
      <c r="J25" s="653">
        <f>SUM(C25:I25)</f>
        <v>0</v>
      </c>
    </row>
    <row r="26" spans="1:12" ht="14">
      <c r="B26" s="755" t="s">
        <v>1167</v>
      </c>
      <c r="C26" s="655"/>
      <c r="D26" s="655"/>
      <c r="E26" s="655"/>
      <c r="F26" s="655"/>
      <c r="G26" s="655"/>
      <c r="H26" s="655"/>
      <c r="I26" s="655"/>
      <c r="J26" s="653">
        <f t="shared" ref="J26:J46" si="0">SUM(C26:I26)</f>
        <v>0</v>
      </c>
    </row>
    <row r="27" spans="1:12" ht="14">
      <c r="B27" s="755" t="s">
        <v>1172</v>
      </c>
      <c r="C27" s="655"/>
      <c r="D27" s="655"/>
      <c r="E27" s="655"/>
      <c r="F27" s="655"/>
      <c r="G27" s="655"/>
      <c r="H27" s="655"/>
      <c r="I27" s="655"/>
      <c r="J27" s="653">
        <f t="shared" si="0"/>
        <v>0</v>
      </c>
      <c r="L27" s="721" t="s">
        <v>1172</v>
      </c>
    </row>
    <row r="28" spans="1:12" ht="14">
      <c r="B28" s="755" t="s">
        <v>1168</v>
      </c>
      <c r="C28" s="655"/>
      <c r="D28" s="655"/>
      <c r="E28" s="655"/>
      <c r="F28" s="655"/>
      <c r="G28" s="655"/>
      <c r="H28" s="655"/>
      <c r="I28" s="655"/>
      <c r="J28" s="653">
        <f t="shared" si="0"/>
        <v>0</v>
      </c>
    </row>
    <row r="29" spans="1:12" ht="14">
      <c r="B29" s="755" t="s">
        <v>933</v>
      </c>
      <c r="C29" s="655"/>
      <c r="D29" s="655"/>
      <c r="E29" s="655"/>
      <c r="F29" s="655"/>
      <c r="G29" s="655"/>
      <c r="H29" s="655"/>
      <c r="I29" s="655"/>
      <c r="J29" s="653">
        <f t="shared" si="0"/>
        <v>0</v>
      </c>
    </row>
    <row r="30" spans="1:12" ht="14">
      <c r="B30" s="755" t="s">
        <v>1169</v>
      </c>
      <c r="C30" s="655"/>
      <c r="D30" s="655"/>
      <c r="E30" s="655"/>
      <c r="F30" s="655"/>
      <c r="G30" s="655"/>
      <c r="H30" s="655"/>
      <c r="I30" s="655"/>
      <c r="J30" s="653">
        <f t="shared" si="0"/>
        <v>0</v>
      </c>
    </row>
    <row r="31" spans="1:12" ht="14">
      <c r="A31" s="1165"/>
      <c r="B31" s="755" t="s">
        <v>2714</v>
      </c>
      <c r="C31" s="655"/>
      <c r="D31" s="655"/>
      <c r="E31" s="655"/>
      <c r="F31" s="655"/>
      <c r="G31" s="655"/>
      <c r="H31" s="655"/>
      <c r="I31" s="655"/>
      <c r="J31" s="653">
        <f t="shared" si="0"/>
        <v>0</v>
      </c>
    </row>
    <row r="32" spans="1:12" ht="14">
      <c r="B32" s="755" t="s">
        <v>961</v>
      </c>
      <c r="C32" s="655"/>
      <c r="D32" s="655"/>
      <c r="E32" s="655"/>
      <c r="F32" s="655"/>
      <c r="G32" s="655"/>
      <c r="H32" s="655"/>
      <c r="I32" s="655"/>
      <c r="J32" s="653">
        <f t="shared" si="0"/>
        <v>0</v>
      </c>
    </row>
    <row r="33" spans="1:10" ht="14">
      <c r="B33" s="755" t="s">
        <v>1170</v>
      </c>
      <c r="C33" s="655"/>
      <c r="D33" s="655"/>
      <c r="E33" s="655"/>
      <c r="F33" s="655"/>
      <c r="G33" s="655"/>
      <c r="H33" s="655"/>
      <c r="I33" s="655"/>
      <c r="J33" s="653">
        <f t="shared" si="0"/>
        <v>0</v>
      </c>
    </row>
    <row r="34" spans="1:10" ht="14">
      <c r="B34" s="755" t="s">
        <v>70</v>
      </c>
      <c r="C34" s="655"/>
      <c r="D34" s="655"/>
      <c r="E34" s="655"/>
      <c r="F34" s="655"/>
      <c r="G34" s="655"/>
      <c r="H34" s="655"/>
      <c r="I34" s="655"/>
      <c r="J34" s="653">
        <f t="shared" si="0"/>
        <v>0</v>
      </c>
    </row>
    <row r="35" spans="1:10" ht="14">
      <c r="B35" s="748" t="str">
        <f>CONCATENATE("יתרת נכס (התחייבות) מס נדחה ליום 31 בדצמבר, ",Period2)</f>
        <v>יתרת נכס (התחייבות) מס נדחה ליום 31 בדצמבר, שנת 2020</v>
      </c>
      <c r="C35" s="652">
        <f t="shared" ref="C35:I35" si="1">SUM(C24:C34)</f>
        <v>0</v>
      </c>
      <c r="D35" s="652">
        <f t="shared" si="1"/>
        <v>0</v>
      </c>
      <c r="E35" s="652">
        <f t="shared" si="1"/>
        <v>0</v>
      </c>
      <c r="F35" s="652">
        <f t="shared" si="1"/>
        <v>0</v>
      </c>
      <c r="G35" s="652">
        <f t="shared" si="1"/>
        <v>0</v>
      </c>
      <c r="H35" s="652">
        <f t="shared" si="1"/>
        <v>0</v>
      </c>
      <c r="I35" s="652">
        <f t="shared" si="1"/>
        <v>0</v>
      </c>
      <c r="J35" s="653">
        <f t="shared" si="0"/>
        <v>0</v>
      </c>
    </row>
    <row r="36" spans="1:10" ht="14">
      <c r="B36" s="748" t="s">
        <v>934</v>
      </c>
      <c r="C36" s="652"/>
      <c r="D36" s="652"/>
      <c r="E36" s="652"/>
      <c r="F36" s="652"/>
      <c r="G36" s="652"/>
      <c r="H36" s="652"/>
      <c r="I36" s="652"/>
      <c r="J36" s="653"/>
    </row>
    <row r="37" spans="1:10" ht="14">
      <c r="B37" s="748" t="str">
        <f>CONCATENATE("יתרת נכס (התחייבות) מס נדחה ליום 1 בינואר ",Period1)</f>
        <v>יתרת נכס (התחייבות) מס נדחה ליום 1 בינואר שנת 2021</v>
      </c>
      <c r="C37" s="652">
        <f t="shared" ref="C37:I37" si="2">C35</f>
        <v>0</v>
      </c>
      <c r="D37" s="652">
        <f t="shared" si="2"/>
        <v>0</v>
      </c>
      <c r="E37" s="652">
        <f t="shared" si="2"/>
        <v>0</v>
      </c>
      <c r="F37" s="652">
        <f t="shared" si="2"/>
        <v>0</v>
      </c>
      <c r="G37" s="652">
        <f t="shared" si="2"/>
        <v>0</v>
      </c>
      <c r="H37" s="652">
        <f t="shared" si="2"/>
        <v>0</v>
      </c>
      <c r="I37" s="652">
        <f t="shared" si="2"/>
        <v>0</v>
      </c>
      <c r="J37" s="653">
        <f t="shared" si="0"/>
        <v>0</v>
      </c>
    </row>
    <row r="38" spans="1:10" ht="14">
      <c r="B38" s="755" t="s">
        <v>1167</v>
      </c>
      <c r="C38" s="655"/>
      <c r="D38" s="655"/>
      <c r="E38" s="655"/>
      <c r="F38" s="655"/>
      <c r="G38" s="655"/>
      <c r="H38" s="655"/>
      <c r="I38" s="655"/>
      <c r="J38" s="653">
        <f t="shared" si="0"/>
        <v>0</v>
      </c>
    </row>
    <row r="39" spans="1:10" ht="14">
      <c r="B39" s="755" t="s">
        <v>1172</v>
      </c>
      <c r="C39" s="655"/>
      <c r="D39" s="655"/>
      <c r="E39" s="655"/>
      <c r="F39" s="655"/>
      <c r="G39" s="655"/>
      <c r="H39" s="655"/>
      <c r="I39" s="655"/>
      <c r="J39" s="653">
        <f t="shared" ref="J39:J45" si="3">SUM(C39:I39)</f>
        <v>0</v>
      </c>
    </row>
    <row r="40" spans="1:10" ht="14">
      <c r="B40" s="755" t="s">
        <v>1168</v>
      </c>
      <c r="C40" s="655"/>
      <c r="D40" s="655"/>
      <c r="E40" s="655"/>
      <c r="F40" s="655"/>
      <c r="G40" s="655"/>
      <c r="H40" s="655"/>
      <c r="I40" s="655"/>
      <c r="J40" s="653">
        <f t="shared" si="3"/>
        <v>0</v>
      </c>
    </row>
    <row r="41" spans="1:10" ht="14">
      <c r="B41" s="755" t="s">
        <v>933</v>
      </c>
      <c r="C41" s="655"/>
      <c r="D41" s="655"/>
      <c r="E41" s="655"/>
      <c r="F41" s="655"/>
      <c r="G41" s="655"/>
      <c r="H41" s="655"/>
      <c r="I41" s="655"/>
      <c r="J41" s="653">
        <f t="shared" si="3"/>
        <v>0</v>
      </c>
    </row>
    <row r="42" spans="1:10" ht="14">
      <c r="B42" s="755" t="s">
        <v>1169</v>
      </c>
      <c r="C42" s="655"/>
      <c r="D42" s="655"/>
      <c r="E42" s="655"/>
      <c r="F42" s="655"/>
      <c r="G42" s="655"/>
      <c r="H42" s="655"/>
      <c r="I42" s="655"/>
      <c r="J42" s="653">
        <f t="shared" si="3"/>
        <v>0</v>
      </c>
    </row>
    <row r="43" spans="1:10" ht="14">
      <c r="A43" s="1165"/>
      <c r="B43" s="755" t="s">
        <v>2714</v>
      </c>
      <c r="C43" s="655"/>
      <c r="D43" s="655"/>
      <c r="E43" s="655"/>
      <c r="F43" s="655"/>
      <c r="G43" s="655"/>
      <c r="H43" s="655"/>
      <c r="I43" s="655"/>
      <c r="J43" s="653">
        <f t="shared" si="3"/>
        <v>0</v>
      </c>
    </row>
    <row r="44" spans="1:10" ht="14">
      <c r="B44" s="755" t="s">
        <v>961</v>
      </c>
      <c r="C44" s="655"/>
      <c r="D44" s="655"/>
      <c r="E44" s="655"/>
      <c r="F44" s="655"/>
      <c r="G44" s="655"/>
      <c r="H44" s="655"/>
      <c r="I44" s="655"/>
      <c r="J44" s="653">
        <f t="shared" si="3"/>
        <v>0</v>
      </c>
    </row>
    <row r="45" spans="1:10" ht="14">
      <c r="B45" s="755" t="s">
        <v>1170</v>
      </c>
      <c r="C45" s="655"/>
      <c r="D45" s="655"/>
      <c r="E45" s="655"/>
      <c r="F45" s="655"/>
      <c r="G45" s="655"/>
      <c r="H45" s="655"/>
      <c r="I45" s="655"/>
      <c r="J45" s="653">
        <f t="shared" si="3"/>
        <v>0</v>
      </c>
    </row>
    <row r="46" spans="1:10" ht="14">
      <c r="B46" s="755" t="s">
        <v>70</v>
      </c>
      <c r="C46" s="655"/>
      <c r="D46" s="655"/>
      <c r="E46" s="655"/>
      <c r="F46" s="655"/>
      <c r="G46" s="655"/>
      <c r="H46" s="655"/>
      <c r="I46" s="655"/>
      <c r="J46" s="653">
        <f t="shared" si="0"/>
        <v>0</v>
      </c>
    </row>
    <row r="47" spans="1:10" ht="14">
      <c r="B47" s="751" t="str">
        <f>CONCATENATE("יתרת נכס (התחייבות) מס נדחה ליום 31 בדצמבר, ",Period1)</f>
        <v>יתרת נכס (התחייבות) מס נדחה ליום 31 בדצמבר, שנת 2021</v>
      </c>
      <c r="C47" s="660">
        <f>SUM(C37:C46)</f>
        <v>0</v>
      </c>
      <c r="D47" s="660">
        <f t="shared" ref="D47:J47" si="4">SUM(D37:D46)</f>
        <v>0</v>
      </c>
      <c r="E47" s="660">
        <f t="shared" si="4"/>
        <v>0</v>
      </c>
      <c r="F47" s="660">
        <f t="shared" si="4"/>
        <v>0</v>
      </c>
      <c r="G47" s="660">
        <f t="shared" si="4"/>
        <v>0</v>
      </c>
      <c r="H47" s="660">
        <f t="shared" si="4"/>
        <v>0</v>
      </c>
      <c r="I47" s="660">
        <f t="shared" si="4"/>
        <v>0</v>
      </c>
      <c r="J47" s="661">
        <f t="shared" si="4"/>
        <v>0</v>
      </c>
    </row>
    <row r="49" spans="2:5" ht="15.5">
      <c r="B49" s="711" t="str">
        <f>Information!$C$47</f>
        <v>באור 14ג' - הצגה של המסים הנדחים במאזן</v>
      </c>
      <c r="C49" s="743"/>
      <c r="D49" s="642" t="s">
        <v>263</v>
      </c>
    </row>
    <row r="50" spans="2:5" ht="15.5">
      <c r="B50" s="662"/>
      <c r="C50" s="743"/>
      <c r="D50" s="743"/>
    </row>
    <row r="51" spans="2:5" ht="14">
      <c r="B51" s="767"/>
      <c r="C51" s="744" t="str">
        <f>Date1</f>
        <v>31.12.2021</v>
      </c>
      <c r="D51" s="745" t="str">
        <f>Date3</f>
        <v>31.12.2020</v>
      </c>
    </row>
    <row r="52" spans="2:5" ht="14">
      <c r="B52" s="761"/>
      <c r="C52" s="754" t="s">
        <v>29</v>
      </c>
      <c r="D52" s="845" t="s">
        <v>41</v>
      </c>
    </row>
    <row r="53" spans="2:5" ht="14">
      <c r="B53" s="746" t="s">
        <v>1175</v>
      </c>
      <c r="C53" s="655"/>
      <c r="D53" s="668"/>
    </row>
    <row r="54" spans="2:5" ht="14">
      <c r="B54" s="756" t="s">
        <v>830</v>
      </c>
      <c r="C54" s="655"/>
      <c r="D54" s="668"/>
    </row>
    <row r="55" spans="2:5" ht="14">
      <c r="B55" s="715" t="s">
        <v>1176</v>
      </c>
      <c r="C55" s="757">
        <f>C53+C54</f>
        <v>0</v>
      </c>
      <c r="D55" s="758">
        <f>D53+D54</f>
        <v>0</v>
      </c>
    </row>
    <row r="57" spans="2:5" ht="15.5">
      <c r="B57" s="711" t="str">
        <f>Information!$C$48</f>
        <v>באור 14ד' - מסים על ההכנסה - מס תיאורטי</v>
      </c>
      <c r="C57" s="743"/>
      <c r="D57" s="642" t="s">
        <v>263</v>
      </c>
      <c r="E57" s="22"/>
    </row>
    <row r="58" spans="2:5" ht="15.5">
      <c r="B58" s="662"/>
      <c r="C58" s="743"/>
      <c r="D58" s="743"/>
      <c r="E58" s="22"/>
    </row>
    <row r="59" spans="2:5" ht="43.4" customHeight="1">
      <c r="B59" s="767"/>
      <c r="C59" s="5" t="str">
        <f>Period1</f>
        <v>שנת 2021</v>
      </c>
      <c r="D59" s="5" t="str">
        <f>Period2</f>
        <v>שנת 2020</v>
      </c>
      <c r="E59" s="4" t="str">
        <f>Period5</f>
        <v>שנת 2019</v>
      </c>
    </row>
    <row r="60" spans="2:5" ht="14">
      <c r="B60" s="761"/>
      <c r="C60" s="754" t="s">
        <v>29</v>
      </c>
      <c r="D60" s="754" t="s">
        <v>41</v>
      </c>
      <c r="E60" s="845" t="s">
        <v>63</v>
      </c>
    </row>
    <row r="61" spans="2:5" ht="14">
      <c r="B61" s="746" t="s">
        <v>865</v>
      </c>
      <c r="C61" s="655"/>
      <c r="D61" s="655"/>
      <c r="E61" s="668"/>
    </row>
    <row r="62" spans="2:5" ht="14">
      <c r="B62" s="746" t="s">
        <v>1177</v>
      </c>
      <c r="C62" s="683"/>
      <c r="D62" s="683"/>
      <c r="E62" s="759"/>
    </row>
    <row r="63" spans="2:5" ht="28">
      <c r="B63" s="746" t="s">
        <v>1548</v>
      </c>
      <c r="C63" s="674">
        <f>C61*C62</f>
        <v>0</v>
      </c>
      <c r="D63" s="674">
        <f>D61*D62</f>
        <v>0</v>
      </c>
      <c r="E63" s="730">
        <f>E61*E62</f>
        <v>0</v>
      </c>
    </row>
    <row r="64" spans="2:5" ht="14">
      <c r="B64" s="748" t="s">
        <v>1178</v>
      </c>
      <c r="C64" s="652"/>
      <c r="D64" s="652"/>
      <c r="E64" s="653"/>
    </row>
    <row r="65" spans="2:5" ht="14">
      <c r="B65" s="749" t="s">
        <v>1179</v>
      </c>
      <c r="C65" s="655"/>
      <c r="D65" s="655"/>
      <c r="E65" s="668"/>
    </row>
    <row r="66" spans="2:5" ht="14">
      <c r="B66" s="749" t="s">
        <v>1180</v>
      </c>
      <c r="C66" s="655"/>
      <c r="D66" s="655"/>
      <c r="E66" s="668"/>
    </row>
    <row r="67" spans="2:5" ht="14">
      <c r="B67" s="749" t="s">
        <v>1181</v>
      </c>
      <c r="C67" s="655"/>
      <c r="D67" s="655"/>
      <c r="E67" s="668"/>
    </row>
    <row r="68" spans="2:5" ht="14">
      <c r="B68" s="749" t="s">
        <v>1182</v>
      </c>
      <c r="C68" s="655"/>
      <c r="D68" s="655"/>
      <c r="E68" s="668"/>
    </row>
    <row r="69" spans="2:5" ht="28">
      <c r="B69" s="749" t="s">
        <v>1183</v>
      </c>
      <c r="C69" s="655"/>
      <c r="D69" s="655"/>
      <c r="E69" s="668"/>
    </row>
    <row r="70" spans="2:5" ht="14">
      <c r="B70" s="749" t="s">
        <v>1184</v>
      </c>
      <c r="C70" s="655"/>
      <c r="D70" s="655"/>
      <c r="E70" s="668"/>
    </row>
    <row r="71" spans="2:5" ht="14">
      <c r="B71" s="749" t="s">
        <v>1185</v>
      </c>
      <c r="C71" s="655"/>
      <c r="D71" s="655"/>
      <c r="E71" s="668"/>
    </row>
    <row r="72" spans="2:5" ht="28">
      <c r="B72" s="749" t="s">
        <v>1186</v>
      </c>
      <c r="C72" s="655"/>
      <c r="D72" s="655"/>
      <c r="E72" s="668"/>
    </row>
    <row r="73" spans="2:5" ht="14">
      <c r="B73" s="749" t="s">
        <v>1187</v>
      </c>
      <c r="C73" s="655"/>
      <c r="D73" s="655"/>
      <c r="E73" s="668"/>
    </row>
    <row r="74" spans="2:5" ht="14">
      <c r="B74" s="749" t="s">
        <v>1154</v>
      </c>
      <c r="C74" s="655"/>
      <c r="D74" s="655"/>
      <c r="E74" s="668"/>
    </row>
    <row r="75" spans="2:5" ht="14">
      <c r="B75" s="749" t="s">
        <v>233</v>
      </c>
      <c r="C75" s="655"/>
      <c r="D75" s="655"/>
      <c r="E75" s="668"/>
    </row>
    <row r="76" spans="2:5" ht="14">
      <c r="B76" s="748" t="s">
        <v>1188</v>
      </c>
      <c r="C76" s="652">
        <f>SUM(C63:C75)</f>
        <v>0</v>
      </c>
      <c r="D76" s="652">
        <f>SUM(D63:D75)</f>
        <v>0</v>
      </c>
      <c r="E76" s="653">
        <f>SUM(E63:E75)</f>
        <v>0</v>
      </c>
    </row>
    <row r="77" spans="2:5" ht="14">
      <c r="B77" s="715" t="s">
        <v>1189</v>
      </c>
      <c r="C77" s="698"/>
      <c r="D77" s="1052"/>
      <c r="E77" s="699"/>
    </row>
  </sheetData>
  <sheetProtection password="EA32" sheet="1" objects="1" scenarios="1" formatCells="0" formatColumns="0" formatRows="0"/>
  <conditionalFormatting sqref="C9:D12 C24:J47 C61:E76">
    <cfRule type="expression" dxfId="282" priority="12" stopIfTrue="1">
      <formula>AND(CELL("protect",C9)=1,CELL("type",C9)="v")</formula>
    </cfRule>
    <cfRule type="expression" dxfId="281" priority="13" stopIfTrue="1">
      <formula>CELL("protect",C9)</formula>
    </cfRule>
  </conditionalFormatting>
  <conditionalFormatting sqref="C13:D17">
    <cfRule type="expression" dxfId="280" priority="10" stopIfTrue="1">
      <formula>AND(CELL("protect",C13)=1,CELL("type",C13)="v")</formula>
    </cfRule>
    <cfRule type="expression" dxfId="279" priority="11" stopIfTrue="1">
      <formula>CELL("protect",C13)</formula>
    </cfRule>
  </conditionalFormatting>
  <conditionalFormatting sqref="C18:D18">
    <cfRule type="expression" dxfId="278" priority="8" stopIfTrue="1">
      <formula>AND(CELL("protect",C18)=1,CELL("type",C18)="v")</formula>
    </cfRule>
    <cfRule type="expression" dxfId="277" priority="9" stopIfTrue="1">
      <formula>CELL("protect",C18)</formula>
    </cfRule>
  </conditionalFormatting>
  <conditionalFormatting sqref="C53:D54">
    <cfRule type="expression" dxfId="276" priority="4" stopIfTrue="1">
      <formula>AND(CELL("protect",C53)=1,CELL("type",C53)="v")</formula>
    </cfRule>
    <cfRule type="expression" dxfId="275" priority="5" stopIfTrue="1">
      <formula>CELL("protect",C53)</formula>
    </cfRule>
  </conditionalFormatting>
  <hyperlinks>
    <hyperlink ref="D1" location="Information!A1" display="חזרה"/>
    <hyperlink ref="D5" location="Information!A1" display="חזרה"/>
    <hyperlink ref="D20" location="Information!A1" display="חזרה"/>
    <hyperlink ref="D49" location="Information!A1" display="חזרה"/>
    <hyperlink ref="D57" location="Information!A1" display="חזרה"/>
    <hyperlink ref="C3" location="Information!A60" display="Information!A60"/>
  </hyperlinks>
  <pageMargins left="0" right="0" top="0" bottom="0.5" header="0" footer="0.25"/>
  <pageSetup paperSize="9" scale="64"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D8A49505-A4A4-4C56-A523-D09FC6E065F1}">
            <xm:f>Information!$G$54&gt;0</xm:f>
            <x14:dxf>
              <font>
                <b/>
                <i val="0"/>
                <color theme="1"/>
              </font>
              <fill>
                <patternFill>
                  <bgColor rgb="FFFFFF00"/>
                </patternFill>
              </fill>
            </x14:dxf>
          </x14:cfRule>
          <xm:sqref>C3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B0F0"/>
    <pageSetUpPr fitToPage="1"/>
  </sheetPr>
  <dimension ref="A1:Q49"/>
  <sheetViews>
    <sheetView rightToLeft="1" workbookViewId="0">
      <selection activeCell="D20" sqref="D20:E20"/>
    </sheetView>
  </sheetViews>
  <sheetFormatPr defaultColWidth="9.1796875" defaultRowHeight="12.5"/>
  <cols>
    <col min="1" max="1" width="4.81640625" style="529" customWidth="1"/>
    <col min="2" max="2" width="50.54296875" style="529" customWidth="1"/>
    <col min="3" max="3" width="12.1796875" style="529" customWidth="1"/>
    <col min="4" max="4" width="10.453125" style="529" customWidth="1"/>
    <col min="5" max="7" width="9.1796875" style="529"/>
    <col min="8" max="8" width="29.54296875" style="529" customWidth="1"/>
    <col min="9" max="11" width="9.1796875" style="529"/>
    <col min="12" max="12" width="10.1796875" style="529" bestFit="1" customWidth="1"/>
    <col min="13" max="16384" width="9.1796875" style="529"/>
  </cols>
  <sheetData>
    <row r="1" spans="2:17" ht="18">
      <c r="B1" s="15" t="str">
        <f>'B8'!B1</f>
        <v>_____חברה מנהלת</v>
      </c>
      <c r="C1" s="530"/>
      <c r="D1" s="642" t="s">
        <v>263</v>
      </c>
      <c r="L1" s="531" t="str">
        <f>date</f>
        <v>21</v>
      </c>
      <c r="M1" s="529" t="e">
        <f>VLOOKUP(L1,O4:Q4,3,0)</f>
        <v>#N/A</v>
      </c>
      <c r="N1" s="529" t="str">
        <f>CONCATENATE(N2,N2)</f>
        <v/>
      </c>
    </row>
    <row r="2" spans="2:17" ht="18" hidden="1">
      <c r="B2" s="111"/>
      <c r="C2" s="532"/>
      <c r="D2" s="532"/>
      <c r="L2" s="531"/>
    </row>
    <row r="3" spans="2:17" ht="15.5">
      <c r="B3" s="28" t="str">
        <f>line3</f>
        <v>הנתונים באלפי ש"ח</v>
      </c>
      <c r="C3" s="1469" t="s">
        <v>3876</v>
      </c>
      <c r="D3" s="533" t="str">
        <f>Date1</f>
        <v>31.12.2021</v>
      </c>
      <c r="L3" s="531" t="e">
        <f>INDEX($O$4:$O$4,$M$1+2)</f>
        <v>#N/A</v>
      </c>
    </row>
    <row r="4" spans="2:17" ht="14">
      <c r="C4" s="588"/>
      <c r="D4" s="588"/>
      <c r="E4" s="588"/>
      <c r="F4" s="588"/>
      <c r="G4" s="588"/>
      <c r="H4" s="588"/>
      <c r="I4" s="588"/>
      <c r="J4" s="588"/>
      <c r="K4" s="588"/>
      <c r="L4" s="529" t="e">
        <f>INDEX($P$4:$P$4,M1)</f>
        <v>#N/A</v>
      </c>
      <c r="O4" s="529" t="s">
        <v>333</v>
      </c>
      <c r="P4" s="529">
        <v>2012</v>
      </c>
      <c r="Q4" s="529">
        <v>1</v>
      </c>
    </row>
    <row r="5" spans="2:17" ht="15.5">
      <c r="B5" s="711" t="str">
        <f>Information!$C$43</f>
        <v>באור 13א' - הון עצמי ודרישות הון - דיבידנד</v>
      </c>
      <c r="C5" s="663"/>
      <c r="D5" s="642" t="s">
        <v>263</v>
      </c>
      <c r="E5" s="719"/>
    </row>
    <row r="6" spans="2:17" ht="14" hidden="1">
      <c r="B6" s="720"/>
      <c r="C6" s="721"/>
      <c r="D6" s="721"/>
      <c r="E6" s="22"/>
    </row>
    <row r="7" spans="2:17" ht="51" customHeight="1">
      <c r="B7" s="722" t="s">
        <v>1124</v>
      </c>
      <c r="C7" s="3" t="str">
        <f>Period1</f>
        <v>שנת 2021</v>
      </c>
      <c r="D7" s="3" t="str">
        <f>Period2</f>
        <v>שנת 2020</v>
      </c>
      <c r="E7" s="2" t="str">
        <f>Period5</f>
        <v>שנת 2019</v>
      </c>
    </row>
    <row r="8" spans="2:17" ht="14">
      <c r="B8" s="1069"/>
      <c r="C8" s="754" t="s">
        <v>29</v>
      </c>
      <c r="D8" s="754" t="s">
        <v>41</v>
      </c>
      <c r="E8" s="845" t="s">
        <v>63</v>
      </c>
    </row>
    <row r="9" spans="2:17" ht="14">
      <c r="B9" s="723" t="s">
        <v>1125</v>
      </c>
      <c r="C9" s="652"/>
      <c r="D9" s="652"/>
      <c r="E9" s="653"/>
    </row>
    <row r="10" spans="2:17" ht="14">
      <c r="B10" s="724" t="s">
        <v>1126</v>
      </c>
      <c r="C10" s="725"/>
      <c r="D10" s="725"/>
      <c r="E10" s="726"/>
    </row>
    <row r="11" spans="2:17" ht="14">
      <c r="B11" s="724" t="s">
        <v>1127</v>
      </c>
      <c r="C11" s="725"/>
      <c r="D11" s="725"/>
      <c r="E11" s="726"/>
    </row>
    <row r="12" spans="2:17" ht="14">
      <c r="B12" s="723" t="s">
        <v>1128</v>
      </c>
      <c r="C12" s="652">
        <f>C10+C11</f>
        <v>0</v>
      </c>
      <c r="D12" s="652">
        <f>D10+D11</f>
        <v>0</v>
      </c>
      <c r="E12" s="653">
        <f>E10+E11</f>
        <v>0</v>
      </c>
    </row>
    <row r="13" spans="2:17" ht="14">
      <c r="B13" s="723" t="s">
        <v>1129</v>
      </c>
      <c r="C13" s="652"/>
      <c r="D13" s="652"/>
      <c r="E13" s="653"/>
    </row>
    <row r="14" spans="2:17" ht="14">
      <c r="B14" s="724" t="s">
        <v>1126</v>
      </c>
      <c r="C14" s="725"/>
      <c r="D14" s="725"/>
      <c r="E14" s="726"/>
    </row>
    <row r="15" spans="2:17" ht="14">
      <c r="B15" s="724" t="s">
        <v>1127</v>
      </c>
      <c r="C15" s="725"/>
      <c r="D15" s="725"/>
      <c r="E15" s="726"/>
    </row>
    <row r="16" spans="2:17" ht="14">
      <c r="B16" s="723" t="s">
        <v>1130</v>
      </c>
      <c r="C16" s="652">
        <f>C14+C15</f>
        <v>0</v>
      </c>
      <c r="D16" s="652">
        <f>D14+D15</f>
        <v>0</v>
      </c>
      <c r="E16" s="653">
        <f>E14+E15</f>
        <v>0</v>
      </c>
    </row>
    <row r="17" spans="2:11" ht="14">
      <c r="B17" s="723" t="s">
        <v>1131</v>
      </c>
      <c r="C17" s="652"/>
      <c r="D17" s="652"/>
      <c r="E17" s="653"/>
    </row>
    <row r="18" spans="2:11" ht="14">
      <c r="B18" s="724" t="s">
        <v>1126</v>
      </c>
      <c r="C18" s="725"/>
      <c r="D18" s="725"/>
      <c r="E18" s="726"/>
    </row>
    <row r="19" spans="2:11" ht="14">
      <c r="B19" s="724" t="s">
        <v>1127</v>
      </c>
      <c r="C19" s="725"/>
      <c r="D19" s="725"/>
      <c r="E19" s="726"/>
    </row>
    <row r="20" spans="2:11" ht="14">
      <c r="B20" s="727" t="s">
        <v>1132</v>
      </c>
      <c r="C20" s="660">
        <f>C18+C19</f>
        <v>0</v>
      </c>
      <c r="D20" s="1792">
        <f t="shared" ref="D20:E20" si="0">D18+D19</f>
        <v>0</v>
      </c>
      <c r="E20" s="1793">
        <f t="shared" si="0"/>
        <v>0</v>
      </c>
    </row>
    <row r="22" spans="2:11" ht="15.5">
      <c r="B22" s="711" t="str">
        <f>Information!$C$44</f>
        <v>באור 13ב' - הון עצמי ודרישות הון - הון עצמי מינימלי</v>
      </c>
      <c r="C22" s="663"/>
      <c r="D22" s="642" t="s">
        <v>263</v>
      </c>
    </row>
    <row r="23" spans="2:11" ht="15.5" hidden="1">
      <c r="B23" s="728" t="str">
        <f>IF(SUM($C$34)&lt;&gt;0,mess_cap1,"")</f>
        <v/>
      </c>
      <c r="C23" s="721"/>
      <c r="D23" s="721"/>
    </row>
    <row r="24" spans="2:11" ht="14">
      <c r="B24" s="767"/>
      <c r="C24" s="3" t="str">
        <f>Date1</f>
        <v>31.12.2021</v>
      </c>
      <c r="D24" s="2" t="str">
        <f>Date3</f>
        <v>31.12.2020</v>
      </c>
    </row>
    <row r="25" spans="2:11" ht="14">
      <c r="B25" s="761"/>
      <c r="C25" s="754" t="s">
        <v>29</v>
      </c>
      <c r="D25" s="845" t="s">
        <v>41</v>
      </c>
    </row>
    <row r="26" spans="2:11" ht="14">
      <c r="B26" s="723" t="s">
        <v>1134</v>
      </c>
      <c r="C26" s="652"/>
      <c r="D26" s="653"/>
    </row>
    <row r="27" spans="2:11" ht="14">
      <c r="B27" s="724" t="s">
        <v>1138</v>
      </c>
      <c r="C27" s="655"/>
      <c r="D27" s="729"/>
    </row>
    <row r="28" spans="2:11" ht="14" hidden="1">
      <c r="B28" s="724" t="s">
        <v>1545</v>
      </c>
      <c r="C28" s="655"/>
      <c r="D28" s="668"/>
    </row>
    <row r="29" spans="2:11" ht="14" hidden="1">
      <c r="B29" s="724" t="s">
        <v>1544</v>
      </c>
      <c r="C29" s="652">
        <f>C27-C28</f>
        <v>0</v>
      </c>
      <c r="D29" s="653">
        <f>D27-D28</f>
        <v>0</v>
      </c>
    </row>
    <row r="30" spans="2:11" ht="14" hidden="1">
      <c r="B30" s="724" t="s">
        <v>1139</v>
      </c>
      <c r="C30" s="732">
        <v>1</v>
      </c>
      <c r="D30" s="733">
        <v>1</v>
      </c>
    </row>
    <row r="31" spans="2:11" ht="14" hidden="1">
      <c r="B31" s="724" t="s">
        <v>1546</v>
      </c>
      <c r="C31" s="652">
        <f>IF(C29&lt;0,C27,C28+C29*C30)</f>
        <v>0</v>
      </c>
      <c r="D31" s="653">
        <f>IF(D29&lt;0,D27,D28+D29*D30)</f>
        <v>0</v>
      </c>
      <c r="K31" s="529" t="s">
        <v>1153</v>
      </c>
    </row>
    <row r="32" spans="2:11" ht="14">
      <c r="B32" s="724" t="s">
        <v>324</v>
      </c>
      <c r="C32" s="655"/>
      <c r="D32" s="668"/>
      <c r="K32" s="740">
        <v>0</v>
      </c>
    </row>
    <row r="33" spans="1:11" ht="14">
      <c r="B33" s="724" t="s">
        <v>1135</v>
      </c>
      <c r="C33" s="652">
        <f>C32-C31</f>
        <v>0</v>
      </c>
      <c r="D33" s="653">
        <f>D32-D31</f>
        <v>0</v>
      </c>
      <c r="K33" s="740">
        <v>0.3</v>
      </c>
    </row>
    <row r="34" spans="1:11" ht="14">
      <c r="B34" s="723" t="s">
        <v>1140</v>
      </c>
      <c r="C34" s="652"/>
      <c r="D34" s="653"/>
      <c r="K34" s="740">
        <v>0.6</v>
      </c>
    </row>
    <row r="35" spans="1:11" ht="14">
      <c r="B35" s="734" t="s">
        <v>890</v>
      </c>
      <c r="C35" s="655"/>
      <c r="D35" s="668"/>
      <c r="K35" s="740">
        <v>0.8</v>
      </c>
    </row>
    <row r="36" spans="1:11" ht="14">
      <c r="B36" s="734" t="s">
        <v>1141</v>
      </c>
      <c r="C36" s="655"/>
      <c r="D36" s="668"/>
      <c r="K36" s="740">
        <v>1</v>
      </c>
    </row>
    <row r="37" spans="1:11" ht="14">
      <c r="B37" s="734" t="s">
        <v>1142</v>
      </c>
      <c r="C37" s="655"/>
      <c r="D37" s="668"/>
    </row>
    <row r="38" spans="1:11" ht="14">
      <c r="B38" s="723" t="s">
        <v>1143</v>
      </c>
      <c r="C38" s="652">
        <f>SUM(C35:C37)</f>
        <v>0</v>
      </c>
      <c r="D38" s="653">
        <f>SUM(D35:D37)</f>
        <v>0</v>
      </c>
    </row>
    <row r="39" spans="1:11" ht="14">
      <c r="B39" s="723" t="s">
        <v>1552</v>
      </c>
      <c r="C39" s="652">
        <f>C33+C38</f>
        <v>0</v>
      </c>
      <c r="D39" s="653">
        <f>D33+D38</f>
        <v>0</v>
      </c>
    </row>
    <row r="40" spans="1:11" ht="28">
      <c r="B40" s="731" t="s">
        <v>1144</v>
      </c>
      <c r="C40" s="655"/>
      <c r="D40" s="668"/>
    </row>
    <row r="41" spans="1:11" ht="14">
      <c r="B41" s="723" t="s">
        <v>1136</v>
      </c>
      <c r="C41" s="652"/>
      <c r="D41" s="653"/>
    </row>
    <row r="42" spans="1:11" ht="14">
      <c r="A42" s="1165"/>
      <c r="B42" s="724" t="s">
        <v>286</v>
      </c>
      <c r="C42" s="655"/>
      <c r="D42" s="668"/>
    </row>
    <row r="43" spans="1:11" ht="14">
      <c r="B43" s="724" t="s">
        <v>1145</v>
      </c>
      <c r="C43" s="655"/>
      <c r="D43" s="668"/>
      <c r="H43" s="492"/>
    </row>
    <row r="44" spans="1:11" ht="14">
      <c r="B44" s="724" t="s">
        <v>290</v>
      </c>
      <c r="C44" s="655"/>
      <c r="D44" s="668"/>
      <c r="H44" s="492"/>
    </row>
    <row r="45" spans="1:11" ht="14">
      <c r="B45" s="724" t="s">
        <v>1146</v>
      </c>
      <c r="C45" s="655"/>
      <c r="D45" s="668"/>
      <c r="H45" s="492"/>
    </row>
    <row r="46" spans="1:11" ht="14">
      <c r="B46" s="724" t="s">
        <v>1147</v>
      </c>
      <c r="C46" s="655"/>
      <c r="D46" s="668"/>
      <c r="H46" s="492"/>
    </row>
    <row r="47" spans="1:11" ht="14">
      <c r="B47" s="724" t="s">
        <v>1148</v>
      </c>
      <c r="C47" s="655"/>
      <c r="D47" s="668"/>
      <c r="H47" s="492"/>
    </row>
    <row r="48" spans="1:11" ht="14">
      <c r="B48" s="724" t="s">
        <v>1149</v>
      </c>
      <c r="C48" s="655"/>
      <c r="D48" s="668"/>
      <c r="H48" s="492"/>
    </row>
    <row r="49" spans="2:8" ht="14">
      <c r="B49" s="737" t="s">
        <v>1150</v>
      </c>
      <c r="C49" s="738">
        <f>SUM(C45:C48)+MAX(C42,C43+C44)</f>
        <v>0</v>
      </c>
      <c r="D49" s="739">
        <f>SUM(D45:D48)+MAX(D42,D43+D44)</f>
        <v>0</v>
      </c>
      <c r="H49" s="492"/>
    </row>
  </sheetData>
  <sheetProtection password="DF6F" sheet="1" objects="1" scenarios="1" formatCells="0" formatColumns="0" formatRows="0"/>
  <conditionalFormatting sqref="C26:D49">
    <cfRule type="expression" dxfId="273" priority="8" stopIfTrue="1">
      <formula>AND(CELL("protect",C26)=1,CELL("type",C26)="v")</formula>
    </cfRule>
    <cfRule type="expression" dxfId="272" priority="9" stopIfTrue="1">
      <formula>CELL("protect",C26)</formula>
    </cfRule>
  </conditionalFormatting>
  <conditionalFormatting sqref="C20 C16:E17 C12:E13 C9:E9">
    <cfRule type="expression" dxfId="271" priority="6" stopIfTrue="1">
      <formula>AND(CELL("protect",C9)=1,CELL("type",C9)="v")</formula>
    </cfRule>
    <cfRule type="expression" dxfId="270" priority="7" stopIfTrue="1">
      <formula>CELL("protect",C9)</formula>
    </cfRule>
  </conditionalFormatting>
  <dataValidations count="1">
    <dataValidation type="list" allowBlank="1" showInputMessage="1" showErrorMessage="1" sqref="C30:D30">
      <formula1>percent</formula1>
    </dataValidation>
  </dataValidations>
  <hyperlinks>
    <hyperlink ref="D5" location="Information!A1" display="חזרה"/>
    <hyperlink ref="D1" location="Information!A1" display="חזרה"/>
    <hyperlink ref="D22" location="Information!A1" display="חזרה"/>
    <hyperlink ref="C3" location="Information!A60" display="Information!A60"/>
  </hyperlinks>
  <pageMargins left="0" right="0" top="0" bottom="0.5" header="0" footer="0.25"/>
  <pageSetup paperSize="9"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9C2D8E2C-CC15-46C8-BF2C-52598CC65C4E}">
            <xm:f>Information!$G$54&gt;0</xm:f>
            <x14:dxf>
              <font>
                <b/>
                <i val="0"/>
                <color theme="1"/>
              </font>
              <fill>
                <patternFill>
                  <bgColor rgb="FFFFFF00"/>
                </patternFill>
              </fill>
            </x14:dxf>
          </x14:cfRule>
          <xm:sqref>C3</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00B0F0"/>
    <pageSetUpPr fitToPage="1"/>
  </sheetPr>
  <dimension ref="A1:J47"/>
  <sheetViews>
    <sheetView rightToLeft="1" workbookViewId="0"/>
  </sheetViews>
  <sheetFormatPr defaultRowHeight="12.5"/>
  <cols>
    <col min="2" max="2" width="37.54296875" customWidth="1"/>
    <col min="3" max="4" width="12.54296875" customWidth="1"/>
    <col min="5" max="6" width="12.54296875" hidden="1" customWidth="1"/>
    <col min="7" max="7" width="15.54296875" customWidth="1"/>
    <col min="8" max="8" width="11.453125" customWidth="1"/>
    <col min="11" max="11" width="31.1796875" customWidth="1"/>
  </cols>
  <sheetData>
    <row r="1" spans="1:10" ht="18">
      <c r="A1" s="529"/>
      <c r="B1" s="15" t="str">
        <f>'B8'!B1</f>
        <v>_____חברה מנהלת</v>
      </c>
      <c r="C1" s="530"/>
      <c r="D1" s="642" t="s">
        <v>263</v>
      </c>
      <c r="E1" s="529"/>
    </row>
    <row r="2" spans="1:10" ht="18">
      <c r="A2" s="1361" t="s">
        <v>371</v>
      </c>
      <c r="B2" s="111" t="s">
        <v>1044</v>
      </c>
      <c r="C2" s="532"/>
      <c r="D2" s="532"/>
      <c r="E2" s="529"/>
    </row>
    <row r="3" spans="1:10" ht="15.5">
      <c r="A3" s="529" t="str">
        <f>IF(MID(D3,4,2)="08","12",(MID(D3,4,2)))</f>
        <v>12</v>
      </c>
      <c r="B3" s="28" t="str">
        <f>line3</f>
        <v>הנתונים באלפי ש"ח</v>
      </c>
      <c r="C3" s="1469" t="s">
        <v>3876</v>
      </c>
      <c r="D3" s="533" t="str">
        <f>Date1</f>
        <v>31.12.2021</v>
      </c>
      <c r="E3" s="529"/>
    </row>
    <row r="4" spans="1:10" ht="14" hidden="1">
      <c r="A4" s="529"/>
      <c r="B4" s="529"/>
      <c r="C4" s="588"/>
      <c r="D4" s="588"/>
      <c r="E4" s="588"/>
    </row>
    <row r="5" spans="1:10" ht="18">
      <c r="A5" s="529"/>
      <c r="B5" s="1278" t="str">
        <f>Information!$C$41</f>
        <v>באור 11ט' -מכשירים פיננסים שווי הוגן לעומת הערך בספרים</v>
      </c>
      <c r="C5" s="588"/>
      <c r="D5" s="588"/>
      <c r="E5" s="588"/>
    </row>
    <row r="6" spans="1:10" ht="15.5" hidden="1">
      <c r="A6" s="535"/>
      <c r="B6" s="529"/>
      <c r="C6" s="529"/>
      <c r="D6" s="529"/>
      <c r="E6" s="529"/>
    </row>
    <row r="7" spans="1:10" ht="15.5">
      <c r="A7" s="665"/>
      <c r="B7" s="1269" t="s">
        <v>2853</v>
      </c>
      <c r="C7" s="1916" t="str">
        <f>'1'!C4</f>
        <v>31.12.2021</v>
      </c>
      <c r="D7" s="1917"/>
      <c r="E7" s="1917" t="str">
        <f>'1'!D4</f>
        <v>לא לדווח</v>
      </c>
      <c r="F7" s="1917"/>
      <c r="G7" s="1917" t="str">
        <f>'1'!E4</f>
        <v>31.12.2020</v>
      </c>
      <c r="H7" s="1918"/>
    </row>
    <row r="8" spans="1:10" ht="14">
      <c r="A8" s="667"/>
      <c r="B8" s="1113"/>
      <c r="C8" s="1263" t="s">
        <v>1151</v>
      </c>
      <c r="D8" s="1264" t="s">
        <v>1152</v>
      </c>
      <c r="E8" s="1264" t="str">
        <f>C8</f>
        <v xml:space="preserve">ערך בספרים </v>
      </c>
      <c r="F8" s="1264" t="str">
        <f>D8</f>
        <v>שווי הוגן</v>
      </c>
      <c r="G8" s="1264" t="str">
        <f>E8</f>
        <v xml:space="preserve">ערך בספרים </v>
      </c>
      <c r="H8" s="1265" t="str">
        <f>F8</f>
        <v>שווי הוגן</v>
      </c>
    </row>
    <row r="9" spans="1:10" ht="14">
      <c r="A9" s="667"/>
      <c r="B9" s="1114"/>
      <c r="C9" s="1266" t="s">
        <v>29</v>
      </c>
      <c r="D9" s="1267" t="s">
        <v>41</v>
      </c>
      <c r="E9" s="1266" t="s">
        <v>63</v>
      </c>
      <c r="F9" s="1267" t="s">
        <v>65</v>
      </c>
      <c r="G9" s="1266" t="s">
        <v>86</v>
      </c>
      <c r="H9" s="1267" t="s">
        <v>88</v>
      </c>
    </row>
    <row r="10" spans="1:10" ht="14">
      <c r="A10">
        <v>1</v>
      </c>
      <c r="B10" s="1261" t="s">
        <v>2815</v>
      </c>
      <c r="C10" s="1269"/>
      <c r="D10" s="1269"/>
      <c r="E10" s="1269"/>
      <c r="F10" s="1269"/>
      <c r="G10" s="1269"/>
      <c r="H10" s="1270"/>
    </row>
    <row r="11" spans="1:10" ht="14">
      <c r="A11">
        <f>A10+1</f>
        <v>2</v>
      </c>
      <c r="B11" s="1262" t="s">
        <v>1041</v>
      </c>
      <c r="C11" s="1269"/>
      <c r="D11" s="1269"/>
      <c r="E11" s="1269"/>
      <c r="F11" s="1269"/>
      <c r="G11" s="1269"/>
      <c r="H11" s="1270"/>
      <c r="J11" s="465"/>
    </row>
    <row r="12" spans="1:10" ht="28">
      <c r="A12">
        <f t="shared" ref="A12:A26" si="0">A11+1</f>
        <v>3</v>
      </c>
      <c r="B12" s="1362" t="s">
        <v>2816</v>
      </c>
      <c r="C12" s="1268">
        <f>IF($A$3&lt;&gt;$A$2,C33,B11B!C12)</f>
        <v>0</v>
      </c>
      <c r="D12" s="1268">
        <f>IF($A$3&lt;&gt;$A$2,D33,B11B!D12)</f>
        <v>0</v>
      </c>
      <c r="E12" s="1268" t="str">
        <f>IF($A$3&lt;&gt;$A$2,E33,"")</f>
        <v/>
      </c>
      <c r="F12" s="1268" t="str">
        <f>IF($A$3&lt;&gt;$A$2,F33,"")</f>
        <v/>
      </c>
      <c r="G12" s="1268">
        <f>IF($A$3&lt;&gt;$A$2,G33,B11B!E12)</f>
        <v>0</v>
      </c>
      <c r="H12" s="1268">
        <f>IF($A$3&lt;&gt;$A$2,H33,B11B!F12)</f>
        <v>0</v>
      </c>
    </row>
    <row r="13" spans="1:10" ht="14">
      <c r="A13">
        <f t="shared" si="0"/>
        <v>4</v>
      </c>
      <c r="B13" s="1362" t="s">
        <v>2817</v>
      </c>
      <c r="C13" s="1268">
        <f>IF($A$3&lt;&gt;$A$2,C34,B11B!C17)</f>
        <v>0</v>
      </c>
      <c r="D13" s="1268">
        <f>IF($A$3&lt;&gt;$A$2,D34,B11B!D17)</f>
        <v>0</v>
      </c>
      <c r="E13" s="1268" t="str">
        <f>IF($A$3&lt;&gt;$A$2,E34,"")</f>
        <v/>
      </c>
      <c r="F13" s="1268" t="str">
        <f>IF($A$3&lt;&gt;$A$2,F34,"")</f>
        <v/>
      </c>
      <c r="G13" s="1268">
        <f>IF($A$3&lt;&gt;$A$2,G34,B11B!E17)</f>
        <v>0</v>
      </c>
      <c r="H13" s="1268">
        <f>IF($A$3&lt;&gt;$A$2,H34,B11B!F17)</f>
        <v>0</v>
      </c>
    </row>
    <row r="14" spans="1:10" ht="14">
      <c r="A14">
        <f t="shared" si="0"/>
        <v>5</v>
      </c>
      <c r="B14" s="1363" t="s">
        <v>2818</v>
      </c>
      <c r="C14" s="1268"/>
      <c r="D14" s="1269"/>
      <c r="E14" s="1269"/>
      <c r="F14" s="1269"/>
      <c r="G14" s="1269"/>
      <c r="H14" s="1270"/>
    </row>
    <row r="15" spans="1:10" ht="14">
      <c r="A15">
        <f t="shared" si="0"/>
        <v>6</v>
      </c>
      <c r="B15" s="1362" t="s">
        <v>1063</v>
      </c>
      <c r="C15" s="1268">
        <f>IF($A$3&lt;&gt;$A$2,C36,B11A!C30)</f>
        <v>0</v>
      </c>
      <c r="D15" s="1268">
        <f>IF($A$3&lt;&gt;$A$2,D36,B11A!C51)</f>
        <v>0</v>
      </c>
      <c r="E15" s="1268" t="str">
        <f t="shared" ref="E15:F17" si="1">IF($A$3&lt;&gt;$A$2,E36,"")</f>
        <v/>
      </c>
      <c r="F15" s="1268" t="str">
        <f t="shared" si="1"/>
        <v/>
      </c>
      <c r="G15" s="1268">
        <f>IF($A$3&lt;&gt;$A$2,G36,B11A!D30)</f>
        <v>0</v>
      </c>
      <c r="H15" s="1268">
        <f>IF($A$3&lt;&gt;$A$2,H36,B11A!D51)</f>
        <v>0</v>
      </c>
      <c r="J15" s="465"/>
    </row>
    <row r="16" spans="1:10" ht="28">
      <c r="A16">
        <f t="shared" si="0"/>
        <v>7</v>
      </c>
      <c r="B16" s="1362" t="s">
        <v>2816</v>
      </c>
      <c r="C16" s="1268">
        <f>IF($A$3&lt;&gt;$A$2,C37,B11A!C38)</f>
        <v>0</v>
      </c>
      <c r="D16" s="1268">
        <f>IF($A$3&lt;&gt;$A$2,D37,B11A!C53)</f>
        <v>0</v>
      </c>
      <c r="E16" s="1268" t="str">
        <f t="shared" si="1"/>
        <v/>
      </c>
      <c r="F16" s="1268" t="str">
        <f t="shared" si="1"/>
        <v/>
      </c>
      <c r="G16" s="1268">
        <f>IF($A$3&lt;&gt;$A$2,G37,B11A!D38)</f>
        <v>0</v>
      </c>
      <c r="H16" s="1268">
        <f>IF($A$3&lt;&gt;$A$2,H37,B11A!D53)</f>
        <v>0</v>
      </c>
    </row>
    <row r="17" spans="1:8" ht="14">
      <c r="A17">
        <f t="shared" si="0"/>
        <v>8</v>
      </c>
      <c r="B17" s="1362" t="s">
        <v>2817</v>
      </c>
      <c r="C17" s="1268">
        <f>IF($A$3&lt;&gt;$A$2,C38,B11A!C45)</f>
        <v>0</v>
      </c>
      <c r="D17" s="1268">
        <f>IF($A$3&lt;&gt;$A$2,D38,B11A!C54)</f>
        <v>0</v>
      </c>
      <c r="E17" s="1268" t="str">
        <f t="shared" si="1"/>
        <v/>
      </c>
      <c r="F17" s="1268" t="str">
        <f t="shared" si="1"/>
        <v/>
      </c>
      <c r="G17" s="1268">
        <f>IF($A$3&lt;&gt;$A$2,G38,B11A!D45)</f>
        <v>0</v>
      </c>
      <c r="H17" s="1268">
        <f>IF($A$3&lt;&gt;$A$2,H38,B11A!D54)</f>
        <v>0</v>
      </c>
    </row>
    <row r="18" spans="1:8" ht="14">
      <c r="A18">
        <f t="shared" si="0"/>
        <v>9</v>
      </c>
      <c r="B18" s="1364" t="s">
        <v>2819</v>
      </c>
      <c r="C18" s="1365">
        <f t="shared" ref="C18:H18" si="2">SUM(C12:C17)</f>
        <v>0</v>
      </c>
      <c r="D18" s="1366">
        <f t="shared" si="2"/>
        <v>0</v>
      </c>
      <c r="E18" s="1366">
        <f t="shared" si="2"/>
        <v>0</v>
      </c>
      <c r="F18" s="1366">
        <f t="shared" si="2"/>
        <v>0</v>
      </c>
      <c r="G18" s="1366">
        <f t="shared" si="2"/>
        <v>0</v>
      </c>
      <c r="H18" s="1367">
        <f t="shared" si="2"/>
        <v>0</v>
      </c>
    </row>
    <row r="19" spans="1:8" ht="14">
      <c r="A19">
        <f t="shared" si="0"/>
        <v>10</v>
      </c>
      <c r="B19" s="1364" t="s">
        <v>2820</v>
      </c>
      <c r="C19" s="1269"/>
      <c r="D19" s="1269"/>
      <c r="E19" s="1269"/>
      <c r="F19" s="1269"/>
      <c r="G19" s="1269"/>
      <c r="H19" s="1270"/>
    </row>
    <row r="20" spans="1:8" ht="14">
      <c r="A20">
        <f t="shared" si="0"/>
        <v>11</v>
      </c>
      <c r="B20" s="1362" t="s">
        <v>1205</v>
      </c>
      <c r="C20" s="1368">
        <f>IF($A$3&lt;&gt;$A$2,C41,'B17'!C11)</f>
        <v>0</v>
      </c>
      <c r="D20" s="1368">
        <f>IF($A$3&lt;&gt;$A$2,D41,'B17'!E11)</f>
        <v>0</v>
      </c>
      <c r="E20" s="1368" t="str">
        <f t="shared" ref="E20:F25" si="3">IF($A$3&lt;&gt;$A$2,E41,"")</f>
        <v/>
      </c>
      <c r="F20" s="1368" t="str">
        <f t="shared" si="3"/>
        <v/>
      </c>
      <c r="G20" s="1368">
        <f>IF($A$3&lt;&gt;$A$2,G41,'B17'!D11)</f>
        <v>0</v>
      </c>
      <c r="H20" s="1368">
        <f>IF($A$3&lt;&gt;$A$2,H41,'B17'!F11)</f>
        <v>0</v>
      </c>
    </row>
    <row r="21" spans="1:8" ht="14">
      <c r="A21">
        <f t="shared" si="0"/>
        <v>12</v>
      </c>
      <c r="B21" s="1362" t="s">
        <v>1206</v>
      </c>
      <c r="C21" s="1368">
        <f>IF($A$3&lt;&gt;$A$2,C42,'B17'!C12)</f>
        <v>0</v>
      </c>
      <c r="D21" s="1368">
        <f>IF($A$3&lt;&gt;$A$2,D42,'B17'!E12)</f>
        <v>0</v>
      </c>
      <c r="E21" s="1368" t="str">
        <f t="shared" si="3"/>
        <v/>
      </c>
      <c r="F21" s="1368" t="str">
        <f t="shared" si="3"/>
        <v/>
      </c>
      <c r="G21" s="1368">
        <f>IF($A$3&lt;&gt;$A$2,G42,'B17'!D12)</f>
        <v>0</v>
      </c>
      <c r="H21" s="1368">
        <f>IF($A$3&lt;&gt;$A$2,H42,'B17'!F12)</f>
        <v>0</v>
      </c>
    </row>
    <row r="22" spans="1:8" ht="14">
      <c r="A22">
        <f t="shared" si="0"/>
        <v>13</v>
      </c>
      <c r="B22" s="1362" t="s">
        <v>1207</v>
      </c>
      <c r="C22" s="1368">
        <f>IF($A$3&lt;&gt;$A$2,C43,'B17'!C13)</f>
        <v>0</v>
      </c>
      <c r="D22" s="1368">
        <f>IF($A$3&lt;&gt;$A$2,D43,'B17'!E13)</f>
        <v>0</v>
      </c>
      <c r="E22" s="1368" t="str">
        <f t="shared" si="3"/>
        <v/>
      </c>
      <c r="F22" s="1368" t="str">
        <f t="shared" si="3"/>
        <v/>
      </c>
      <c r="G22" s="1368">
        <f>IF($A$3&lt;&gt;$A$2,G43,'B17'!D13)</f>
        <v>0</v>
      </c>
      <c r="H22" s="1368">
        <f>IF($A$3&lt;&gt;$A$2,H43,'B17'!F13)</f>
        <v>0</v>
      </c>
    </row>
    <row r="23" spans="1:8" ht="14">
      <c r="A23">
        <f t="shared" si="0"/>
        <v>14</v>
      </c>
      <c r="B23" s="1362" t="s">
        <v>1208</v>
      </c>
      <c r="C23" s="1368">
        <f>IF($A$3&lt;&gt;$A$2,C44,'B17'!C14)</f>
        <v>0</v>
      </c>
      <c r="D23" s="1368">
        <f>IF($A$3&lt;&gt;$A$2,D44,'B17'!E14)</f>
        <v>0</v>
      </c>
      <c r="E23" s="1368" t="str">
        <f t="shared" si="3"/>
        <v/>
      </c>
      <c r="F23" s="1368" t="str">
        <f t="shared" si="3"/>
        <v/>
      </c>
      <c r="G23" s="1368">
        <f>IF($A$3&lt;&gt;$A$2,G44,'B17'!D14)</f>
        <v>0</v>
      </c>
      <c r="H23" s="1368">
        <f>IF($A$3&lt;&gt;$A$2,H44,'B17'!F14)</f>
        <v>0</v>
      </c>
    </row>
    <row r="24" spans="1:8" ht="14">
      <c r="A24">
        <f t="shared" si="0"/>
        <v>15</v>
      </c>
      <c r="B24" s="1362" t="s">
        <v>1209</v>
      </c>
      <c r="C24" s="1368">
        <f>IF($A$3&lt;&gt;$A$2,C45,'B17'!C15)</f>
        <v>0</v>
      </c>
      <c r="D24" s="1368">
        <f>IF($A$3&lt;&gt;$A$2,D45,'B17'!E15)</f>
        <v>0</v>
      </c>
      <c r="E24" s="1368" t="str">
        <f t="shared" si="3"/>
        <v/>
      </c>
      <c r="F24" s="1368" t="str">
        <f t="shared" si="3"/>
        <v/>
      </c>
      <c r="G24" s="1368">
        <f>IF($A$3&lt;&gt;$A$2,G45,'B17'!D15)</f>
        <v>0</v>
      </c>
      <c r="H24" s="1368">
        <f>IF($A$3&lt;&gt;$A$2,H45,'B17'!F15)</f>
        <v>0</v>
      </c>
    </row>
    <row r="25" spans="1:8" ht="14">
      <c r="A25">
        <f t="shared" si="0"/>
        <v>16</v>
      </c>
      <c r="B25" s="1362" t="s">
        <v>1211</v>
      </c>
      <c r="C25" s="1368">
        <f>IF($A$3&lt;&gt;$A$2,C46,'B17'!C16)</f>
        <v>0</v>
      </c>
      <c r="D25" s="1368">
        <f>IF($A$3&lt;&gt;$A$2,D46,'B17'!E16)</f>
        <v>0</v>
      </c>
      <c r="E25" s="1368" t="str">
        <f t="shared" si="3"/>
        <v/>
      </c>
      <c r="F25" s="1368" t="str">
        <f t="shared" si="3"/>
        <v/>
      </c>
      <c r="G25" s="1368">
        <f>IF($A$3&lt;&gt;$A$2,G46,'B17'!D16)</f>
        <v>0</v>
      </c>
      <c r="H25" s="1368">
        <f>IF($A$3&lt;&gt;$A$2,H46,'B17'!F16)</f>
        <v>0</v>
      </c>
    </row>
    <row r="26" spans="1:8" ht="18.75" customHeight="1">
      <c r="A26">
        <f t="shared" si="0"/>
        <v>17</v>
      </c>
      <c r="B26" s="1364" t="s">
        <v>1212</v>
      </c>
      <c r="C26" s="1365">
        <f t="shared" ref="C26:H26" si="4">SUM(C20:C25)</f>
        <v>0</v>
      </c>
      <c r="D26" s="1366">
        <f t="shared" si="4"/>
        <v>0</v>
      </c>
      <c r="E26" s="1366">
        <f t="shared" si="4"/>
        <v>0</v>
      </c>
      <c r="F26" s="1366">
        <f t="shared" si="4"/>
        <v>0</v>
      </c>
      <c r="G26" s="1366">
        <f t="shared" si="4"/>
        <v>0</v>
      </c>
      <c r="H26" s="1367">
        <f t="shared" si="4"/>
        <v>0</v>
      </c>
    </row>
    <row r="28" spans="1:8" ht="14">
      <c r="B28" s="1269" t="s">
        <v>2852</v>
      </c>
      <c r="C28" s="1916" t="str">
        <f>C7</f>
        <v>31.12.2021</v>
      </c>
      <c r="D28" s="1917"/>
      <c r="E28" s="1916" t="str">
        <f>E7</f>
        <v>לא לדווח</v>
      </c>
      <c r="F28" s="1917"/>
      <c r="G28" s="1916" t="str">
        <f>G7</f>
        <v>31.12.2020</v>
      </c>
      <c r="H28" s="1917"/>
    </row>
    <row r="29" spans="1:8" ht="14">
      <c r="B29" s="1113"/>
      <c r="C29" s="1263" t="s">
        <v>1151</v>
      </c>
      <c r="D29" s="1264" t="s">
        <v>1152</v>
      </c>
      <c r="E29" s="1264" t="str">
        <f>C29</f>
        <v xml:space="preserve">ערך בספרים </v>
      </c>
      <c r="F29" s="1264" t="str">
        <f>D29</f>
        <v>שווי הוגן</v>
      </c>
      <c r="G29" s="1264" t="str">
        <f>E29</f>
        <v xml:space="preserve">ערך בספרים </v>
      </c>
      <c r="H29" s="1265" t="str">
        <f>F29</f>
        <v>שווי הוגן</v>
      </c>
    </row>
    <row r="30" spans="1:8" ht="14">
      <c r="B30" s="1114"/>
      <c r="C30" s="1266" t="s">
        <v>29</v>
      </c>
      <c r="D30" s="1267" t="s">
        <v>41</v>
      </c>
      <c r="E30" s="1266" t="s">
        <v>63</v>
      </c>
      <c r="F30" s="1267" t="s">
        <v>65</v>
      </c>
      <c r="G30" s="1266" t="s">
        <v>86</v>
      </c>
      <c r="H30" s="1267" t="s">
        <v>88</v>
      </c>
    </row>
    <row r="31" spans="1:8" ht="14">
      <c r="A31">
        <v>1</v>
      </c>
      <c r="B31" s="1261" t="s">
        <v>2815</v>
      </c>
      <c r="C31" s="1268"/>
      <c r="D31" s="1269"/>
      <c r="E31" s="1269"/>
      <c r="F31" s="1269"/>
      <c r="G31" s="1269"/>
      <c r="H31" s="1270"/>
    </row>
    <row r="32" spans="1:8" ht="14">
      <c r="A32">
        <f>A31+1</f>
        <v>2</v>
      </c>
      <c r="B32" s="1262" t="s">
        <v>1041</v>
      </c>
      <c r="C32" s="1268"/>
      <c r="D32" s="1269"/>
      <c r="E32" s="1269"/>
      <c r="F32" s="1269"/>
      <c r="G32" s="1269"/>
      <c r="H32" s="1270"/>
    </row>
    <row r="33" spans="1:8" ht="28">
      <c r="A33">
        <f t="shared" ref="A33:A47" si="5">A32+1</f>
        <v>3</v>
      </c>
      <c r="B33" s="1277" t="s">
        <v>2816</v>
      </c>
      <c r="C33" s="1271"/>
      <c r="D33" s="1272"/>
      <c r="E33" s="1272"/>
      <c r="F33" s="1272"/>
      <c r="G33" s="1272"/>
      <c r="H33" s="1273"/>
    </row>
    <row r="34" spans="1:8" ht="14">
      <c r="A34">
        <f t="shared" si="5"/>
        <v>4</v>
      </c>
      <c r="B34" s="1277" t="s">
        <v>2817</v>
      </c>
      <c r="C34" s="1271"/>
      <c r="D34" s="1272"/>
      <c r="E34" s="1272"/>
      <c r="F34" s="1272"/>
      <c r="G34" s="1272"/>
      <c r="H34" s="1273"/>
    </row>
    <row r="35" spans="1:8" ht="14">
      <c r="A35">
        <f t="shared" si="5"/>
        <v>5</v>
      </c>
      <c r="B35" s="1262" t="s">
        <v>2818</v>
      </c>
      <c r="C35" s="1268"/>
      <c r="D35" s="1269"/>
      <c r="E35" s="1269"/>
      <c r="F35" s="1269"/>
      <c r="G35" s="1269"/>
      <c r="H35" s="1270"/>
    </row>
    <row r="36" spans="1:8" ht="14">
      <c r="A36">
        <f t="shared" si="5"/>
        <v>6</v>
      </c>
      <c r="B36" s="1277" t="s">
        <v>1063</v>
      </c>
      <c r="C36" s="1271"/>
      <c r="D36" s="1272"/>
      <c r="E36" s="1272"/>
      <c r="F36" s="1272"/>
      <c r="G36" s="1272"/>
      <c r="H36" s="1273"/>
    </row>
    <row r="37" spans="1:8" ht="28">
      <c r="A37">
        <f t="shared" si="5"/>
        <v>7</v>
      </c>
      <c r="B37" s="1277" t="s">
        <v>2816</v>
      </c>
      <c r="C37" s="1271"/>
      <c r="D37" s="1272"/>
      <c r="E37" s="1272"/>
      <c r="F37" s="1272"/>
      <c r="G37" s="1272"/>
      <c r="H37" s="1273"/>
    </row>
    <row r="38" spans="1:8" ht="14">
      <c r="A38">
        <f t="shared" si="5"/>
        <v>8</v>
      </c>
      <c r="B38" s="1277" t="s">
        <v>2817</v>
      </c>
      <c r="C38" s="1271"/>
      <c r="D38" s="1272"/>
      <c r="E38" s="1272"/>
      <c r="F38" s="1272"/>
      <c r="G38" s="1272"/>
      <c r="H38" s="1273"/>
    </row>
    <row r="39" spans="1:8" ht="14">
      <c r="A39">
        <f t="shared" si="5"/>
        <v>9</v>
      </c>
      <c r="B39" s="1261" t="s">
        <v>2819</v>
      </c>
      <c r="C39" s="1274">
        <f t="shared" ref="C39:H39" si="6">SUM(C33:C38)</f>
        <v>0</v>
      </c>
      <c r="D39" s="1275">
        <f t="shared" si="6"/>
        <v>0</v>
      </c>
      <c r="E39" s="1275">
        <f t="shared" si="6"/>
        <v>0</v>
      </c>
      <c r="F39" s="1275">
        <f t="shared" si="6"/>
        <v>0</v>
      </c>
      <c r="G39" s="1275">
        <f t="shared" si="6"/>
        <v>0</v>
      </c>
      <c r="H39" s="1276">
        <f t="shared" si="6"/>
        <v>0</v>
      </c>
    </row>
    <row r="40" spans="1:8" ht="14">
      <c r="A40">
        <f t="shared" si="5"/>
        <v>10</v>
      </c>
      <c r="B40" s="1261" t="s">
        <v>2820</v>
      </c>
      <c r="C40" s="1268"/>
      <c r="D40" s="1269"/>
      <c r="E40" s="1269"/>
      <c r="F40" s="1269"/>
      <c r="G40" s="1269"/>
      <c r="H40" s="1270"/>
    </row>
    <row r="41" spans="1:8" ht="14">
      <c r="A41">
        <f t="shared" si="5"/>
        <v>11</v>
      </c>
      <c r="B41" s="1277" t="s">
        <v>1205</v>
      </c>
      <c r="C41" s="1271"/>
      <c r="D41" s="1272"/>
      <c r="E41" s="1272"/>
      <c r="F41" s="1272"/>
      <c r="G41" s="1272"/>
      <c r="H41" s="1272"/>
    </row>
    <row r="42" spans="1:8" ht="14">
      <c r="A42">
        <f t="shared" si="5"/>
        <v>12</v>
      </c>
      <c r="B42" s="1277" t="s">
        <v>1206</v>
      </c>
      <c r="C42" s="1271"/>
      <c r="D42" s="1272"/>
      <c r="E42" s="1272"/>
      <c r="F42" s="1272"/>
      <c r="G42" s="1272"/>
      <c r="H42" s="1272"/>
    </row>
    <row r="43" spans="1:8" ht="14">
      <c r="A43">
        <f t="shared" si="5"/>
        <v>13</v>
      </c>
      <c r="B43" s="1277" t="s">
        <v>1207</v>
      </c>
      <c r="C43" s="1271"/>
      <c r="D43" s="1272"/>
      <c r="E43" s="1272"/>
      <c r="F43" s="1272"/>
      <c r="G43" s="1272"/>
      <c r="H43" s="1272"/>
    </row>
    <row r="44" spans="1:8" ht="14">
      <c r="A44">
        <f t="shared" si="5"/>
        <v>14</v>
      </c>
      <c r="B44" s="1277" t="s">
        <v>1208</v>
      </c>
      <c r="C44" s="1271"/>
      <c r="D44" s="1272"/>
      <c r="E44" s="1272"/>
      <c r="F44" s="1272"/>
      <c r="G44" s="1272"/>
      <c r="H44" s="1272"/>
    </row>
    <row r="45" spans="1:8" ht="14">
      <c r="A45">
        <f t="shared" si="5"/>
        <v>15</v>
      </c>
      <c r="B45" s="1277" t="s">
        <v>1209</v>
      </c>
      <c r="C45" s="1271"/>
      <c r="D45" s="1272"/>
      <c r="E45" s="1272"/>
      <c r="F45" s="1272"/>
      <c r="G45" s="1272"/>
      <c r="H45" s="1272"/>
    </row>
    <row r="46" spans="1:8" ht="14">
      <c r="A46">
        <f t="shared" si="5"/>
        <v>16</v>
      </c>
      <c r="B46" s="1277" t="s">
        <v>1211</v>
      </c>
      <c r="C46" s="1271"/>
      <c r="D46" s="1272"/>
      <c r="E46" s="1272"/>
      <c r="F46" s="1272"/>
      <c r="G46" s="1272"/>
      <c r="H46" s="1272"/>
    </row>
    <row r="47" spans="1:8" ht="28">
      <c r="A47">
        <f t="shared" si="5"/>
        <v>17</v>
      </c>
      <c r="B47" s="1261" t="s">
        <v>1212</v>
      </c>
      <c r="C47" s="1274">
        <f t="shared" ref="C47:H47" si="7">SUM(C41:C46)</f>
        <v>0</v>
      </c>
      <c r="D47" s="1275">
        <f t="shared" si="7"/>
        <v>0</v>
      </c>
      <c r="E47" s="1275">
        <f t="shared" si="7"/>
        <v>0</v>
      </c>
      <c r="F47" s="1275">
        <f t="shared" si="7"/>
        <v>0</v>
      </c>
      <c r="G47" s="1275">
        <f t="shared" si="7"/>
        <v>0</v>
      </c>
      <c r="H47" s="1276">
        <f t="shared" si="7"/>
        <v>0</v>
      </c>
    </row>
  </sheetData>
  <sheetProtection password="D3D6" sheet="1" objects="1" scenarios="1" formatCells="0" formatColumns="0" formatRows="0"/>
  <mergeCells count="6">
    <mergeCell ref="C7:D7"/>
    <mergeCell ref="E7:F7"/>
    <mergeCell ref="G7:H7"/>
    <mergeCell ref="C28:D28"/>
    <mergeCell ref="E28:F28"/>
    <mergeCell ref="G28:H28"/>
  </mergeCells>
  <conditionalFormatting sqref="C14:F14">
    <cfRule type="expression" dxfId="268" priority="42" stopIfTrue="1">
      <formula>AND(CELL("protect",C14)=1,CELL("type",C14)="v")</formula>
    </cfRule>
    <cfRule type="expression" dxfId="267" priority="43" stopIfTrue="1">
      <formula>CELL("protect",C14)</formula>
    </cfRule>
  </conditionalFormatting>
  <conditionalFormatting sqref="G10:H11 G18:H19 G26:H26">
    <cfRule type="expression" dxfId="266" priority="40" stopIfTrue="1">
      <formula>AND(CELL("protect",G10)=1,CELL("type",G10)="v")</formula>
    </cfRule>
    <cfRule type="expression" dxfId="265" priority="41" stopIfTrue="1">
      <formula>CELL("protect",G10)</formula>
    </cfRule>
  </conditionalFormatting>
  <conditionalFormatting sqref="G14:H14">
    <cfRule type="expression" dxfId="264" priority="38" stopIfTrue="1">
      <formula>AND(CELL("protect",G14)=1,CELL("type",G14)="v")</formula>
    </cfRule>
    <cfRule type="expression" dxfId="263" priority="39" stopIfTrue="1">
      <formula>CELL("protect",G14)</formula>
    </cfRule>
  </conditionalFormatting>
  <conditionalFormatting sqref="C31:F34 C36:F47 E41:H46">
    <cfRule type="expression" dxfId="262" priority="36" stopIfTrue="1">
      <formula>AND(CELL("protect",C31)=1,CELL("type",C31)="v")</formula>
    </cfRule>
    <cfRule type="expression" dxfId="261" priority="37" stopIfTrue="1">
      <formula>CELL("protect",C31)</formula>
    </cfRule>
  </conditionalFormatting>
  <conditionalFormatting sqref="C35:F35">
    <cfRule type="expression" dxfId="260" priority="34" stopIfTrue="1">
      <formula>AND(CELL("protect",C35)=1,CELL("type",C35)="v")</formula>
    </cfRule>
    <cfRule type="expression" dxfId="259" priority="35" stopIfTrue="1">
      <formula>CELL("protect",C35)</formula>
    </cfRule>
  </conditionalFormatting>
  <conditionalFormatting sqref="G31:H34 G36:H47">
    <cfRule type="expression" dxfId="258" priority="32" stopIfTrue="1">
      <formula>AND(CELL("protect",G31)=1,CELL("type",G31)="v")</formula>
    </cfRule>
    <cfRule type="expression" dxfId="257" priority="33" stopIfTrue="1">
      <formula>CELL("protect",G31)</formula>
    </cfRule>
  </conditionalFormatting>
  <conditionalFormatting sqref="G35:H35">
    <cfRule type="expression" dxfId="256" priority="30" stopIfTrue="1">
      <formula>AND(CELL("protect",G35)=1,CELL("type",G35)="v")</formula>
    </cfRule>
    <cfRule type="expression" dxfId="255" priority="31" stopIfTrue="1">
      <formula>CELL("protect",G35)</formula>
    </cfRule>
  </conditionalFormatting>
  <conditionalFormatting sqref="C19:F19">
    <cfRule type="expression" dxfId="254" priority="8" stopIfTrue="1">
      <formula>AND(CELL("protect",C19)=1,CELL("type",C19)="v")</formula>
    </cfRule>
    <cfRule type="expression" dxfId="253" priority="9" stopIfTrue="1">
      <formula>CELL("protect",C19)</formula>
    </cfRule>
  </conditionalFormatting>
  <conditionalFormatting sqref="C10:F11">
    <cfRule type="expression" dxfId="252" priority="6" stopIfTrue="1">
      <formula>AND(CELL("protect",C10)=1,CELL("type",C10)="v")</formula>
    </cfRule>
    <cfRule type="expression" dxfId="251" priority="7" stopIfTrue="1">
      <formula>CELL("protect",C10)</formula>
    </cfRule>
  </conditionalFormatting>
  <conditionalFormatting sqref="B7">
    <cfRule type="expression" dxfId="250" priority="4" stopIfTrue="1">
      <formula>AND(CELL("protect",B7)=1,CELL("type",B7)="v")</formula>
    </cfRule>
    <cfRule type="expression" dxfId="249" priority="5" stopIfTrue="1">
      <formula>CELL("protect",B7)</formula>
    </cfRule>
  </conditionalFormatting>
  <conditionalFormatting sqref="B28">
    <cfRule type="expression" dxfId="248" priority="2" stopIfTrue="1">
      <formula>AND(CELL("protect",B28)=1,CELL("type",B28)="v")</formula>
    </cfRule>
    <cfRule type="expression" dxfId="247" priority="3" stopIfTrue="1">
      <formula>CELL("protect",B28)</formula>
    </cfRule>
  </conditionalFormatting>
  <hyperlinks>
    <hyperlink ref="D1" location="Information!A1" display="חזרה"/>
    <hyperlink ref="C3" location="Information!A60" display="Information!A60"/>
  </hyperlinks>
  <pageMargins left="0" right="0" top="0" bottom="0.39370078740157499" header="0" footer="0.118110236220472"/>
  <pageSetup paperSize="9" orientation="landscape" r:id="rId1"/>
  <headerFooter>
    <oddFooter>&amp;L&amp;Z&amp;F&amp;A</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266B3FF-B4F4-4F1D-A3D7-931589AB9B4A}">
            <xm:f>Information!$G$54&gt;0</xm:f>
            <x14:dxf>
              <font>
                <b/>
                <i val="0"/>
                <color theme="1"/>
              </font>
              <fill>
                <patternFill>
                  <bgColor rgb="FFFFFF00"/>
                </patternFill>
              </fill>
            </x14:dxf>
          </x14:cfRule>
          <xm:sqref>C3</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B0F0"/>
    <pageSetUpPr fitToPage="1"/>
  </sheetPr>
  <dimension ref="A1:G87"/>
  <sheetViews>
    <sheetView rightToLeft="1" workbookViewId="0"/>
  </sheetViews>
  <sheetFormatPr defaultRowHeight="12.5"/>
  <cols>
    <col min="2" max="2" width="37.54296875" customWidth="1"/>
    <col min="3" max="6" width="12.54296875" customWidth="1"/>
    <col min="7" max="7" width="15.54296875" customWidth="1"/>
    <col min="8" max="8" width="11.453125" customWidth="1"/>
    <col min="11" max="11" width="31.1796875" customWidth="1"/>
  </cols>
  <sheetData>
    <row r="1" spans="1:7" ht="18">
      <c r="A1" s="529"/>
      <c r="B1" s="15" t="str">
        <f>'B8'!B1</f>
        <v>_____חברה מנהלת</v>
      </c>
      <c r="C1" s="530"/>
      <c r="D1" s="642" t="s">
        <v>263</v>
      </c>
      <c r="E1" s="529"/>
    </row>
    <row r="2" spans="1:7" ht="18">
      <c r="A2" s="529"/>
      <c r="B2" s="111" t="s">
        <v>1044</v>
      </c>
      <c r="C2" s="532"/>
      <c r="D2" s="532"/>
      <c r="E2" s="529"/>
    </row>
    <row r="3" spans="1:7" ht="15.5">
      <c r="A3" s="529"/>
      <c r="B3" s="28" t="str">
        <f>line3</f>
        <v>הנתונים באלפי ש"ח</v>
      </c>
      <c r="C3" s="1469" t="s">
        <v>3876</v>
      </c>
      <c r="D3" s="533" t="str">
        <f>Date1</f>
        <v>31.12.2021</v>
      </c>
      <c r="E3" s="529"/>
    </row>
    <row r="4" spans="1:7" ht="14" hidden="1">
      <c r="A4" s="529"/>
      <c r="B4" s="529"/>
      <c r="C4" s="588"/>
      <c r="D4" s="588"/>
      <c r="E4" s="588"/>
    </row>
    <row r="5" spans="1:7" ht="15.5">
      <c r="A5" s="529"/>
      <c r="B5" s="711" t="str">
        <f>Information!$C$38</f>
        <v>באור 11ז2' - שווי הוגן של הכסים פיננסיים בחלוקה לרמות</v>
      </c>
      <c r="C5" s="22"/>
      <c r="D5" s="22"/>
      <c r="E5" s="22"/>
      <c r="F5" s="22"/>
      <c r="G5" s="22"/>
    </row>
    <row r="6" spans="1:7" ht="15.75" hidden="1" customHeight="1">
      <c r="A6" s="535"/>
      <c r="B6" s="22"/>
      <c r="C6" s="22"/>
      <c r="D6" s="22"/>
      <c r="E6" s="22"/>
      <c r="F6" s="20" t="s">
        <v>263</v>
      </c>
      <c r="G6" s="22"/>
    </row>
    <row r="7" spans="1:7" ht="15.5">
      <c r="A7" s="665"/>
      <c r="B7" s="700"/>
      <c r="C7" s="1919" t="s">
        <v>1105</v>
      </c>
      <c r="D7" s="1919"/>
      <c r="E7" s="1919"/>
      <c r="F7" s="1920"/>
      <c r="G7" s="22"/>
    </row>
    <row r="8" spans="1:7" ht="15.5">
      <c r="A8" s="667"/>
      <c r="B8" s="701"/>
      <c r="C8" s="1048" t="s">
        <v>1106</v>
      </c>
      <c r="D8" s="1048" t="s">
        <v>1107</v>
      </c>
      <c r="E8" s="1048" t="s">
        <v>1108</v>
      </c>
      <c r="F8" s="1049" t="s">
        <v>1109</v>
      </c>
      <c r="G8" s="22"/>
    </row>
    <row r="9" spans="1:7" ht="14">
      <c r="A9" s="667"/>
      <c r="B9" s="765"/>
      <c r="C9" s="754" t="s">
        <v>29</v>
      </c>
      <c r="D9" s="754" t="s">
        <v>41</v>
      </c>
      <c r="E9" s="754" t="s">
        <v>63</v>
      </c>
      <c r="F9" s="845" t="s">
        <v>65</v>
      </c>
      <c r="G9" s="22"/>
    </row>
    <row r="10" spans="1:7" ht="15.5">
      <c r="A10">
        <v>1</v>
      </c>
      <c r="B10" s="848" t="str">
        <f>D3</f>
        <v>31.12.2021</v>
      </c>
      <c r="C10" s="849"/>
      <c r="D10" s="850"/>
      <c r="E10" s="850"/>
      <c r="F10" s="703"/>
      <c r="G10" s="22"/>
    </row>
    <row r="11" spans="1:7" ht="14">
      <c r="A11">
        <f>A10+1</f>
        <v>2</v>
      </c>
      <c r="B11" s="669" t="s">
        <v>1042</v>
      </c>
      <c r="C11" s="706"/>
      <c r="D11" s="706"/>
      <c r="E11" s="706"/>
      <c r="F11" s="707">
        <f>SUM(C11:E11)</f>
        <v>0</v>
      </c>
    </row>
    <row r="12" spans="1:7" ht="14">
      <c r="A12">
        <f t="shared" ref="A12:A27" si="0">A11+1</f>
        <v>3</v>
      </c>
      <c r="B12" s="669" t="s">
        <v>816</v>
      </c>
      <c r="C12" s="706"/>
      <c r="D12" s="706"/>
      <c r="E12" s="706"/>
      <c r="F12" s="707">
        <f>SUM(C12:E12)</f>
        <v>0</v>
      </c>
    </row>
    <row r="13" spans="1:7" ht="14">
      <c r="A13">
        <f t="shared" si="0"/>
        <v>4</v>
      </c>
      <c r="B13" s="669" t="s">
        <v>75</v>
      </c>
      <c r="C13" s="706"/>
      <c r="D13" s="706"/>
      <c r="E13" s="706"/>
      <c r="F13" s="707">
        <f>SUM(C13:E13)</f>
        <v>0</v>
      </c>
    </row>
    <row r="14" spans="1:7" ht="14">
      <c r="A14">
        <f t="shared" si="0"/>
        <v>5</v>
      </c>
      <c r="B14" s="669" t="s">
        <v>817</v>
      </c>
      <c r="C14" s="706"/>
      <c r="D14" s="706"/>
      <c r="E14" s="706"/>
      <c r="F14" s="707">
        <f>SUM(C14:E14)</f>
        <v>0</v>
      </c>
    </row>
    <row r="15" spans="1:7" ht="14">
      <c r="A15">
        <f t="shared" si="0"/>
        <v>6</v>
      </c>
      <c r="B15" s="654" t="s">
        <v>272</v>
      </c>
      <c r="C15" s="714">
        <f>SUM(C11:C14)</f>
        <v>0</v>
      </c>
      <c r="D15" s="714">
        <f>SUM(D11:D14)</f>
        <v>0</v>
      </c>
      <c r="E15" s="714">
        <f>SUM(E11:E14)</f>
        <v>0</v>
      </c>
      <c r="F15" s="707">
        <f>SUM(C15:E15)</f>
        <v>0</v>
      </c>
    </row>
    <row r="16" spans="1:7" ht="15.5">
      <c r="A16" s="1021">
        <f t="shared" si="0"/>
        <v>7</v>
      </c>
      <c r="B16" s="848" t="str">
        <f>'1'!D4</f>
        <v>לא לדווח</v>
      </c>
      <c r="C16" s="849"/>
      <c r="D16" s="850"/>
      <c r="E16" s="850"/>
      <c r="F16" s="703"/>
    </row>
    <row r="17" spans="1:7" ht="14">
      <c r="A17" s="1021">
        <f t="shared" si="0"/>
        <v>8</v>
      </c>
      <c r="B17" s="669" t="s">
        <v>1042</v>
      </c>
      <c r="C17" s="706"/>
      <c r="D17" s="706"/>
      <c r="E17" s="706"/>
      <c r="F17" s="707">
        <f>SUM(C17:E17)</f>
        <v>0</v>
      </c>
    </row>
    <row r="18" spans="1:7" ht="14">
      <c r="A18" s="1021">
        <f t="shared" si="0"/>
        <v>9</v>
      </c>
      <c r="B18" s="669" t="s">
        <v>816</v>
      </c>
      <c r="C18" s="706"/>
      <c r="D18" s="706"/>
      <c r="E18" s="706"/>
      <c r="F18" s="707">
        <f>SUM(C18:E18)</f>
        <v>0</v>
      </c>
    </row>
    <row r="19" spans="1:7" ht="14">
      <c r="A19" s="1021">
        <f t="shared" si="0"/>
        <v>10</v>
      </c>
      <c r="B19" s="669" t="s">
        <v>75</v>
      </c>
      <c r="C19" s="706"/>
      <c r="D19" s="706"/>
      <c r="E19" s="706"/>
      <c r="F19" s="707">
        <f>SUM(C19:E19)</f>
        <v>0</v>
      </c>
    </row>
    <row r="20" spans="1:7" ht="14">
      <c r="A20" s="1021">
        <f t="shared" si="0"/>
        <v>11</v>
      </c>
      <c r="B20" s="669" t="s">
        <v>817</v>
      </c>
      <c r="C20" s="706"/>
      <c r="D20" s="706"/>
      <c r="E20" s="706"/>
      <c r="F20" s="707">
        <f>SUM(C20:E20)</f>
        <v>0</v>
      </c>
    </row>
    <row r="21" spans="1:7" ht="14">
      <c r="A21" s="1021">
        <f t="shared" si="0"/>
        <v>12</v>
      </c>
      <c r="B21" s="654" t="s">
        <v>272</v>
      </c>
      <c r="C21" s="714">
        <f>SUM(C17:C20)</f>
        <v>0</v>
      </c>
      <c r="D21" s="714">
        <f>SUM(D17:D20)</f>
        <v>0</v>
      </c>
      <c r="E21" s="714">
        <f>SUM(E17:E20)</f>
        <v>0</v>
      </c>
      <c r="F21" s="707">
        <f>SUM(C21:E21)</f>
        <v>0</v>
      </c>
    </row>
    <row r="22" spans="1:7" ht="15.5">
      <c r="A22">
        <f t="shared" si="0"/>
        <v>13</v>
      </c>
      <c r="B22" s="851" t="str">
        <f>'1'!E4</f>
        <v>31.12.2020</v>
      </c>
      <c r="C22" s="702"/>
      <c r="D22" s="702"/>
      <c r="E22" s="702"/>
      <c r="F22" s="703"/>
    </row>
    <row r="23" spans="1:7" ht="14">
      <c r="A23">
        <f t="shared" si="0"/>
        <v>14</v>
      </c>
      <c r="B23" s="669" t="s">
        <v>1042</v>
      </c>
      <c r="C23" s="706"/>
      <c r="D23" s="706"/>
      <c r="E23" s="706"/>
      <c r="F23" s="707">
        <f>SUM(C23:E23)</f>
        <v>0</v>
      </c>
    </row>
    <row r="24" spans="1:7" ht="14">
      <c r="A24">
        <f t="shared" si="0"/>
        <v>15</v>
      </c>
      <c r="B24" s="669" t="s">
        <v>816</v>
      </c>
      <c r="C24" s="706"/>
      <c r="D24" s="706"/>
      <c r="E24" s="706"/>
      <c r="F24" s="707">
        <f>SUM(C24:E24)</f>
        <v>0</v>
      </c>
    </row>
    <row r="25" spans="1:7" ht="14">
      <c r="A25">
        <f t="shared" si="0"/>
        <v>16</v>
      </c>
      <c r="B25" s="669" t="s">
        <v>75</v>
      </c>
      <c r="C25" s="706"/>
      <c r="D25" s="706"/>
      <c r="E25" s="706"/>
      <c r="F25" s="707">
        <f>SUM(C25:E25)</f>
        <v>0</v>
      </c>
    </row>
    <row r="26" spans="1:7" ht="14">
      <c r="A26">
        <f t="shared" si="0"/>
        <v>17</v>
      </c>
      <c r="B26" s="669" t="s">
        <v>817</v>
      </c>
      <c r="C26" s="706"/>
      <c r="D26" s="706"/>
      <c r="E26" s="706"/>
      <c r="F26" s="707">
        <f>SUM(C26:E26)</f>
        <v>0</v>
      </c>
    </row>
    <row r="27" spans="1:7" ht="14">
      <c r="A27">
        <f t="shared" si="0"/>
        <v>18</v>
      </c>
      <c r="B27" s="694" t="s">
        <v>272</v>
      </c>
      <c r="C27" s="708">
        <f>SUM(C23:C26)</f>
        <v>0</v>
      </c>
      <c r="D27" s="708">
        <f>SUM(D23:D26)</f>
        <v>0</v>
      </c>
      <c r="E27" s="708">
        <f>SUM(E23:E26)</f>
        <v>0</v>
      </c>
      <c r="F27" s="709">
        <f>SUM(C27:E27)</f>
        <v>0</v>
      </c>
    </row>
    <row r="29" spans="1:7" ht="15.5">
      <c r="B29" s="711" t="str">
        <f>Information!$C$39</f>
        <v>באור 11ז3' - השקעות פיננסיות אחרות הנמדדים בשווי הוגן ברמה 3</v>
      </c>
      <c r="F29" s="642" t="s">
        <v>263</v>
      </c>
    </row>
    <row r="31" spans="1:7" ht="31.5" customHeight="1">
      <c r="B31" s="700"/>
      <c r="C31" s="1921" t="s">
        <v>1542</v>
      </c>
      <c r="D31" s="1921"/>
      <c r="E31" s="1921"/>
      <c r="F31" s="1921"/>
      <c r="G31" s="1922"/>
    </row>
    <row r="32" spans="1:7" ht="28">
      <c r="B32" s="701"/>
      <c r="C32" s="1050" t="s">
        <v>1042</v>
      </c>
      <c r="D32" s="1050" t="s">
        <v>816</v>
      </c>
      <c r="E32" s="1050" t="s">
        <v>75</v>
      </c>
      <c r="F32" s="1050" t="s">
        <v>1112</v>
      </c>
      <c r="G32" s="1051" t="s">
        <v>272</v>
      </c>
    </row>
    <row r="33" spans="1:7" ht="14">
      <c r="B33" s="765"/>
      <c r="C33" s="754" t="s">
        <v>29</v>
      </c>
      <c r="D33" s="754" t="s">
        <v>41</v>
      </c>
      <c r="E33" s="754" t="s">
        <v>63</v>
      </c>
      <c r="F33" s="754" t="s">
        <v>65</v>
      </c>
      <c r="G33" s="845" t="s">
        <v>86</v>
      </c>
    </row>
    <row r="34" spans="1:7" ht="14">
      <c r="B34" s="712" t="s">
        <v>934</v>
      </c>
      <c r="C34" s="652"/>
      <c r="D34" s="652"/>
      <c r="E34" s="652"/>
      <c r="F34" s="652"/>
      <c r="G34" s="653"/>
    </row>
    <row r="35" spans="1:7" ht="14">
      <c r="B35" s="713" t="str">
        <f>CONCATENATE("יתרה ליום 1 בינואר  ",Period1)</f>
        <v>יתרה ליום 1 בינואר  שנת 2021</v>
      </c>
      <c r="C35" s="706"/>
      <c r="D35" s="706"/>
      <c r="E35" s="706"/>
      <c r="F35" s="706"/>
      <c r="G35" s="707">
        <f t="shared" ref="G35:G45" si="1">SUM(C35:F35)</f>
        <v>0</v>
      </c>
    </row>
    <row r="36" spans="1:7" ht="14">
      <c r="B36" s="669" t="s">
        <v>1113</v>
      </c>
      <c r="C36" s="706"/>
      <c r="D36" s="706"/>
      <c r="E36" s="706"/>
      <c r="F36" s="706"/>
      <c r="G36" s="707">
        <f t="shared" si="1"/>
        <v>0</v>
      </c>
    </row>
    <row r="37" spans="1:7" ht="28">
      <c r="B37" s="669" t="s">
        <v>1114</v>
      </c>
      <c r="C37" s="706"/>
      <c r="D37" s="706"/>
      <c r="E37" s="706"/>
      <c r="F37" s="706"/>
      <c r="G37" s="707"/>
    </row>
    <row r="38" spans="1:7" ht="14">
      <c r="B38" s="669" t="s">
        <v>1115</v>
      </c>
      <c r="C38" s="706"/>
      <c r="D38" s="706"/>
      <c r="E38" s="706"/>
      <c r="F38" s="706"/>
      <c r="G38" s="707">
        <f t="shared" si="1"/>
        <v>0</v>
      </c>
    </row>
    <row r="39" spans="1:7" ht="14">
      <c r="B39" s="669" t="s">
        <v>1116</v>
      </c>
      <c r="C39" s="706"/>
      <c r="D39" s="706"/>
      <c r="E39" s="706"/>
      <c r="F39" s="706"/>
      <c r="G39" s="707">
        <f t="shared" si="1"/>
        <v>0</v>
      </c>
    </row>
    <row r="40" spans="1:7" ht="14">
      <c r="B40" s="669" t="s">
        <v>1117</v>
      </c>
      <c r="C40" s="706"/>
      <c r="D40" s="706"/>
      <c r="E40" s="706"/>
      <c r="F40" s="706"/>
      <c r="G40" s="707">
        <f t="shared" si="1"/>
        <v>0</v>
      </c>
    </row>
    <row r="41" spans="1:7" ht="14">
      <c r="B41" s="669" t="s">
        <v>1118</v>
      </c>
      <c r="C41" s="706"/>
      <c r="D41" s="706"/>
      <c r="E41" s="706"/>
      <c r="F41" s="706"/>
      <c r="G41" s="707">
        <f t="shared" si="1"/>
        <v>0</v>
      </c>
    </row>
    <row r="42" spans="1:7" ht="14">
      <c r="B42" s="669" t="s">
        <v>1119</v>
      </c>
      <c r="C42" s="706"/>
      <c r="D42" s="706"/>
      <c r="E42" s="706"/>
      <c r="F42" s="706"/>
      <c r="G42" s="707">
        <f t="shared" si="1"/>
        <v>0</v>
      </c>
    </row>
    <row r="43" spans="1:7" ht="14">
      <c r="A43" s="1021"/>
      <c r="B43" s="669" t="s">
        <v>70</v>
      </c>
      <c r="C43" s="706"/>
      <c r="D43" s="706"/>
      <c r="E43" s="706"/>
      <c r="F43" s="706"/>
      <c r="G43" s="707">
        <f>SUM(C43:F43)</f>
        <v>0</v>
      </c>
    </row>
    <row r="44" spans="1:7" ht="14">
      <c r="B44" s="713" t="str">
        <f>CONCATENATE("יתרה ליום 31 בדצמבר ",Period1)</f>
        <v>יתרה ליום 31 בדצמבר שנת 2021</v>
      </c>
      <c r="C44" s="714">
        <f>SUM(C35:C43)</f>
        <v>0</v>
      </c>
      <c r="D44" s="714">
        <f>SUM(D35:D43)</f>
        <v>0</v>
      </c>
      <c r="E44" s="714">
        <f>SUM(E35:E43)</f>
        <v>0</v>
      </c>
      <c r="F44" s="714">
        <f>SUM(F35:F43)</f>
        <v>0</v>
      </c>
      <c r="G44" s="707">
        <f t="shared" si="1"/>
        <v>0</v>
      </c>
    </row>
    <row r="45" spans="1:7" ht="42">
      <c r="B45" s="715" t="str">
        <f>CONCATENATE("סך הרווחים (ההפסדים) לתקופה שנכללו ברווח והפסד בגין נכסים המוחזקים נכון ליום 31 בדצמבר ",Period1)</f>
        <v>סך הרווחים (ההפסדים) לתקופה שנכללו ברווח והפסד בגין נכסים המוחזקים נכון ליום 31 בדצמבר שנת 2021</v>
      </c>
      <c r="C45" s="716"/>
      <c r="D45" s="716"/>
      <c r="E45" s="716"/>
      <c r="F45" s="716"/>
      <c r="G45" s="709">
        <f t="shared" si="1"/>
        <v>0</v>
      </c>
    </row>
    <row r="46" spans="1:7" ht="14">
      <c r="A46" s="1021"/>
      <c r="B46" s="712"/>
      <c r="C46" s="652"/>
      <c r="D46" s="652"/>
      <c r="E46" s="652"/>
      <c r="F46" s="652"/>
      <c r="G46" s="653"/>
    </row>
    <row r="47" spans="1:7" ht="14">
      <c r="A47" s="1021"/>
      <c r="B47" s="713" t="str">
        <f>CONCATENATE("יתרה ליום 1 בינואר  ",Period2)</f>
        <v>יתרה ליום 1 בינואר  שנת 2020</v>
      </c>
      <c r="C47" s="706"/>
      <c r="D47" s="706"/>
      <c r="E47" s="706"/>
      <c r="F47" s="706"/>
      <c r="G47" s="707">
        <f t="shared" ref="G47:G48" si="2">SUM(C47:F47)</f>
        <v>0</v>
      </c>
    </row>
    <row r="48" spans="1:7" ht="14">
      <c r="A48" s="1021"/>
      <c r="B48" s="669" t="s">
        <v>1113</v>
      </c>
      <c r="C48" s="706"/>
      <c r="D48" s="706"/>
      <c r="E48" s="706"/>
      <c r="F48" s="706"/>
      <c r="G48" s="707">
        <f t="shared" si="2"/>
        <v>0</v>
      </c>
    </row>
    <row r="49" spans="1:7" ht="28">
      <c r="A49" s="1021"/>
      <c r="B49" s="669" t="s">
        <v>1114</v>
      </c>
      <c r="C49" s="706"/>
      <c r="D49" s="706"/>
      <c r="E49" s="706"/>
      <c r="F49" s="706"/>
      <c r="G49" s="707"/>
    </row>
    <row r="50" spans="1:7" ht="14">
      <c r="A50" s="1021"/>
      <c r="B50" s="669" t="s">
        <v>1115</v>
      </c>
      <c r="C50" s="706"/>
      <c r="D50" s="706"/>
      <c r="E50" s="706"/>
      <c r="F50" s="706"/>
      <c r="G50" s="707">
        <f t="shared" ref="G50:G54" si="3">SUM(C50:F50)</f>
        <v>0</v>
      </c>
    </row>
    <row r="51" spans="1:7" ht="14">
      <c r="A51" s="1021"/>
      <c r="B51" s="669" t="s">
        <v>1116</v>
      </c>
      <c r="C51" s="706"/>
      <c r="D51" s="706"/>
      <c r="E51" s="706"/>
      <c r="F51" s="706"/>
      <c r="G51" s="707">
        <f t="shared" si="3"/>
        <v>0</v>
      </c>
    </row>
    <row r="52" spans="1:7" ht="14">
      <c r="A52" s="1021"/>
      <c r="B52" s="669" t="s">
        <v>1117</v>
      </c>
      <c r="C52" s="706"/>
      <c r="D52" s="706"/>
      <c r="E52" s="706"/>
      <c r="F52" s="706"/>
      <c r="G52" s="707">
        <f t="shared" si="3"/>
        <v>0</v>
      </c>
    </row>
    <row r="53" spans="1:7" ht="14">
      <c r="A53" s="1021"/>
      <c r="B53" s="669" t="s">
        <v>1118</v>
      </c>
      <c r="C53" s="706"/>
      <c r="D53" s="706"/>
      <c r="E53" s="706"/>
      <c r="F53" s="706"/>
      <c r="G53" s="707">
        <f t="shared" si="3"/>
        <v>0</v>
      </c>
    </row>
    <row r="54" spans="1:7" ht="14">
      <c r="A54" s="1021"/>
      <c r="B54" s="669" t="s">
        <v>1119</v>
      </c>
      <c r="C54" s="706"/>
      <c r="D54" s="706"/>
      <c r="E54" s="706"/>
      <c r="F54" s="706"/>
      <c r="G54" s="707">
        <f t="shared" si="3"/>
        <v>0</v>
      </c>
    </row>
    <row r="55" spans="1:7" ht="14">
      <c r="A55" s="1021"/>
      <c r="B55" s="669" t="s">
        <v>70</v>
      </c>
      <c r="C55" s="706"/>
      <c r="D55" s="706"/>
      <c r="E55" s="706"/>
      <c r="F55" s="706"/>
      <c r="G55" s="707">
        <f>SUM(C55:F55)</f>
        <v>0</v>
      </c>
    </row>
    <row r="56" spans="1:7" ht="14">
      <c r="A56" s="1021"/>
      <c r="B56" s="713" t="str">
        <f>CONCATENATE("יתרה לסוף ",Period2)</f>
        <v>יתרה לסוף שנת 2020</v>
      </c>
      <c r="C56" s="714">
        <f>SUM(C47:C55)</f>
        <v>0</v>
      </c>
      <c r="D56" s="714">
        <f>SUM(D47:D55)</f>
        <v>0</v>
      </c>
      <c r="E56" s="714">
        <f>SUM(E47:E55)</f>
        <v>0</v>
      </c>
      <c r="F56" s="714">
        <f>SUM(F47:F55)</f>
        <v>0</v>
      </c>
      <c r="G56" s="707">
        <f t="shared" ref="G56:G57" si="4">SUM(C56:F56)</f>
        <v>0</v>
      </c>
    </row>
    <row r="57" spans="1:7" ht="42">
      <c r="A57" s="1021"/>
      <c r="B57" s="715" t="str">
        <f>CONCATENATE("סך הרווחים (ההפסדים) לתקופה שנכללו ברווח והפסד בגין נכסים המוחזקים נכון ליסוף ",Period2)</f>
        <v>סך הרווחים (ההפסדים) לתקופה שנכללו ברווח והפסד בגין נכסים המוחזקים נכון ליסוף שנת 2020</v>
      </c>
      <c r="C57" s="716"/>
      <c r="D57" s="716"/>
      <c r="E57" s="716"/>
      <c r="F57" s="716"/>
      <c r="G57" s="709">
        <f t="shared" si="4"/>
        <v>0</v>
      </c>
    </row>
    <row r="58" spans="1:7" ht="15.5">
      <c r="B58" s="676"/>
      <c r="C58" s="717"/>
      <c r="D58" s="717"/>
      <c r="E58" s="717"/>
      <c r="F58" s="717"/>
      <c r="G58" s="718"/>
    </row>
    <row r="59" spans="1:7" ht="14">
      <c r="B59" s="713" t="str">
        <f>CONCATENATE("יתרה ליום 1 בינואר  ",Period5)</f>
        <v>יתרה ליום 1 בינואר  שנת 2019</v>
      </c>
      <c r="C59" s="706"/>
      <c r="D59" s="706"/>
      <c r="E59" s="706"/>
      <c r="F59" s="706"/>
      <c r="G59" s="707">
        <f>SUM(C59:F59)</f>
        <v>0</v>
      </c>
    </row>
    <row r="60" spans="1:7" ht="14">
      <c r="B60" s="669" t="s">
        <v>1113</v>
      </c>
      <c r="C60" s="706"/>
      <c r="D60" s="706"/>
      <c r="E60" s="706"/>
      <c r="F60" s="706"/>
      <c r="G60" s="707">
        <f t="shared" ref="G60:G69" si="5">SUM(C60:F60)</f>
        <v>0</v>
      </c>
    </row>
    <row r="61" spans="1:7" ht="28">
      <c r="B61" s="669" t="s">
        <v>1114</v>
      </c>
      <c r="C61" s="706"/>
      <c r="D61" s="706"/>
      <c r="E61" s="706"/>
      <c r="F61" s="706"/>
      <c r="G61" s="707"/>
    </row>
    <row r="62" spans="1:7" ht="14">
      <c r="B62" s="669" t="s">
        <v>1115</v>
      </c>
      <c r="C62" s="706"/>
      <c r="D62" s="706"/>
      <c r="E62" s="706"/>
      <c r="F62" s="706"/>
      <c r="G62" s="707">
        <f t="shared" si="5"/>
        <v>0</v>
      </c>
    </row>
    <row r="63" spans="1:7" ht="14">
      <c r="B63" s="669" t="s">
        <v>1116</v>
      </c>
      <c r="C63" s="706"/>
      <c r="D63" s="706"/>
      <c r="E63" s="706"/>
      <c r="F63" s="706"/>
      <c r="G63" s="707">
        <f t="shared" si="5"/>
        <v>0</v>
      </c>
    </row>
    <row r="64" spans="1:7" ht="14">
      <c r="B64" s="669" t="s">
        <v>1117</v>
      </c>
      <c r="C64" s="706"/>
      <c r="D64" s="706"/>
      <c r="E64" s="706"/>
      <c r="F64" s="706"/>
      <c r="G64" s="707">
        <f t="shared" si="5"/>
        <v>0</v>
      </c>
    </row>
    <row r="65" spans="1:7" ht="14">
      <c r="B65" s="669" t="s">
        <v>1118</v>
      </c>
      <c r="C65" s="706"/>
      <c r="D65" s="706"/>
      <c r="E65" s="706"/>
      <c r="F65" s="706"/>
      <c r="G65" s="707">
        <f t="shared" si="5"/>
        <v>0</v>
      </c>
    </row>
    <row r="66" spans="1:7" ht="14">
      <c r="B66" s="669" t="s">
        <v>1119</v>
      </c>
      <c r="C66" s="706"/>
      <c r="D66" s="706"/>
      <c r="E66" s="706"/>
      <c r="F66" s="706"/>
      <c r="G66" s="707">
        <f t="shared" si="5"/>
        <v>0</v>
      </c>
    </row>
    <row r="67" spans="1:7" ht="14">
      <c r="A67" s="1021"/>
      <c r="B67" s="669" t="s">
        <v>70</v>
      </c>
      <c r="C67" s="706"/>
      <c r="D67" s="706"/>
      <c r="E67" s="706"/>
      <c r="F67" s="706"/>
      <c r="G67" s="707">
        <f t="shared" si="5"/>
        <v>0</v>
      </c>
    </row>
    <row r="68" spans="1:7" ht="14">
      <c r="B68" s="713" t="str">
        <f>CONCATENATE("יתרה ליום 31 בדצמבר ",Period5)</f>
        <v>יתרה ליום 31 בדצמבר שנת 2019</v>
      </c>
      <c r="C68" s="714">
        <f>SUM(C59:C67)</f>
        <v>0</v>
      </c>
      <c r="D68" s="714">
        <f>SUM(D59:D67)</f>
        <v>0</v>
      </c>
      <c r="E68" s="714">
        <f>SUM(E59:E67)</f>
        <v>0</v>
      </c>
      <c r="F68" s="714">
        <f>SUM(F59:F67)</f>
        <v>0</v>
      </c>
      <c r="G68" s="707">
        <f t="shared" si="5"/>
        <v>0</v>
      </c>
    </row>
    <row r="69" spans="1:7" ht="42">
      <c r="B69" s="715" t="str">
        <f>CONCATENATE("סך הרווחים (ההפסדים) לתקופה שנכללו ברווח והפסד בגין נכסים המוחזקים נכון ליום 31 בדצמבר ",Period5)</f>
        <v>סך הרווחים (ההפסדים) לתקופה שנכללו ברווח והפסד בגין נכסים המוחזקים נכון ליום 31 בדצמבר שנת 2019</v>
      </c>
      <c r="C69" s="716"/>
      <c r="D69" s="716"/>
      <c r="E69" s="716"/>
      <c r="F69" s="716"/>
      <c r="G69" s="709">
        <f t="shared" si="5"/>
        <v>0</v>
      </c>
    </row>
    <row r="71" spans="1:7" ht="15.5">
      <c r="B71" s="1321" t="str">
        <f>Information!C40</f>
        <v>באור 11ח' -  השקעות פיננסיות שנמדדות בשווי הוגן לצרכי גילוי בחלוקה לרמות</v>
      </c>
      <c r="C71" s="1322"/>
      <c r="D71" s="1322"/>
      <c r="E71" s="1322"/>
      <c r="F71" s="22"/>
    </row>
    <row r="72" spans="1:7" ht="15.5">
      <c r="A72" s="465" t="s">
        <v>2836</v>
      </c>
      <c r="B72" s="22"/>
      <c r="C72" s="22"/>
      <c r="D72" s="22"/>
      <c r="E72" s="22"/>
      <c r="F72" s="20" t="s">
        <v>263</v>
      </c>
    </row>
    <row r="73" spans="1:7" ht="15.5">
      <c r="B73" s="1312"/>
      <c r="C73" s="1313" t="s">
        <v>1106</v>
      </c>
      <c r="D73" s="1313" t="s">
        <v>1107</v>
      </c>
      <c r="E73" s="1313" t="s">
        <v>1108</v>
      </c>
      <c r="F73" s="1314" t="s">
        <v>1109</v>
      </c>
    </row>
    <row r="74" spans="1:7" ht="15.5">
      <c r="B74" s="1315" t="str">
        <f>'1'!C4</f>
        <v>31.12.2021</v>
      </c>
      <c r="C74" s="1316"/>
      <c r="D74" s="704"/>
      <c r="E74" s="705"/>
      <c r="F74" s="703"/>
    </row>
    <row r="75" spans="1:7" ht="14">
      <c r="B75" s="669" t="s">
        <v>816</v>
      </c>
      <c r="C75" s="1317"/>
      <c r="D75" s="1317"/>
      <c r="E75" s="1317"/>
      <c r="F75" s="707">
        <f>SUM(C75:E75)</f>
        <v>0</v>
      </c>
    </row>
    <row r="76" spans="1:7" ht="15.5">
      <c r="B76" s="1315" t="str">
        <f>'1'!D4</f>
        <v>לא לדווח</v>
      </c>
      <c r="C76" s="1316"/>
      <c r="D76" s="704"/>
      <c r="E76" s="705"/>
      <c r="F76" s="703"/>
    </row>
    <row r="77" spans="1:7" ht="14">
      <c r="B77" s="669" t="s">
        <v>816</v>
      </c>
      <c r="C77" s="1317"/>
      <c r="D77" s="1317"/>
      <c r="E77" s="1317"/>
      <c r="F77" s="707">
        <f>SUM(C77:E77)</f>
        <v>0</v>
      </c>
    </row>
    <row r="78" spans="1:7" ht="15.5">
      <c r="B78" s="1315" t="str">
        <f>'1'!E4</f>
        <v>31.12.2020</v>
      </c>
      <c r="C78" s="1318"/>
      <c r="D78" s="1318"/>
      <c r="E78" s="1318"/>
      <c r="F78" s="703"/>
    </row>
    <row r="79" spans="1:7" ht="14">
      <c r="B79" s="686" t="s">
        <v>816</v>
      </c>
      <c r="C79" s="716"/>
      <c r="D79" s="716"/>
      <c r="E79" s="716"/>
      <c r="F79" s="709">
        <f>SUM(C79:E79)</f>
        <v>0</v>
      </c>
    </row>
    <row r="81" spans="2:5" ht="15.5">
      <c r="B81" s="711" t="str">
        <f>Information!$C$42</f>
        <v>באור 12 - מזומנים ושווי מזומנים</v>
      </c>
      <c r="C81" s="663"/>
      <c r="D81" s="642" t="s">
        <v>263</v>
      </c>
      <c r="E81" s="663"/>
    </row>
    <row r="82" spans="2:5" ht="13">
      <c r="B82" s="22"/>
      <c r="C82" s="22"/>
      <c r="D82" s="22"/>
      <c r="E82" s="22"/>
    </row>
    <row r="83" spans="2:5" ht="14">
      <c r="B83" s="616"/>
      <c r="C83" s="538" t="str">
        <f>Date1</f>
        <v>31.12.2021</v>
      </c>
      <c r="D83" s="539" t="str">
        <f>Date3</f>
        <v>31.12.2020</v>
      </c>
      <c r="E83" s="22"/>
    </row>
    <row r="84" spans="2:5" ht="14">
      <c r="B84" s="761"/>
      <c r="C84" s="754" t="s">
        <v>29</v>
      </c>
      <c r="D84" s="845" t="s">
        <v>41</v>
      </c>
      <c r="E84" s="22"/>
    </row>
    <row r="85" spans="2:5" ht="14">
      <c r="B85" s="617" t="s">
        <v>1121</v>
      </c>
      <c r="C85" s="655"/>
      <c r="D85" s="668"/>
      <c r="E85" s="22"/>
    </row>
    <row r="86" spans="2:5" ht="14">
      <c r="B86" s="617" t="s">
        <v>1122</v>
      </c>
      <c r="C86" s="655"/>
      <c r="D86" s="668"/>
      <c r="E86" s="22"/>
    </row>
    <row r="87" spans="2:5" ht="14">
      <c r="B87" s="686" t="s">
        <v>1123</v>
      </c>
      <c r="C87" s="660">
        <f>SUM(C85:C86)</f>
        <v>0</v>
      </c>
      <c r="D87" s="661">
        <f>SUM(D85:D86)</f>
        <v>0</v>
      </c>
      <c r="E87" s="22"/>
    </row>
  </sheetData>
  <sheetProtection password="C675" sheet="1" objects="1" scenarios="1" formatCells="0" formatColumns="0" formatRows="0"/>
  <mergeCells count="2">
    <mergeCell ref="C7:F7"/>
    <mergeCell ref="C31:G31"/>
  </mergeCells>
  <conditionalFormatting sqref="C34:G34 C58:G58">
    <cfRule type="expression" dxfId="245" priority="6" stopIfTrue="1">
      <formula>AND(CELL("protect",C34)=1,CELL("type",C34)="v")</formula>
    </cfRule>
    <cfRule type="expression" dxfId="244" priority="7" stopIfTrue="1">
      <formula>CELL("protect",C34)=1</formula>
    </cfRule>
  </conditionalFormatting>
  <conditionalFormatting sqref="C85:D87">
    <cfRule type="expression" dxfId="243" priority="4" stopIfTrue="1">
      <formula>AND(CELL("protect",C85)=1,CELL("type",C85)="v")</formula>
    </cfRule>
    <cfRule type="expression" dxfId="242" priority="5" stopIfTrue="1">
      <formula>CELL("protect",C85)</formula>
    </cfRule>
  </conditionalFormatting>
  <conditionalFormatting sqref="C46:G46">
    <cfRule type="expression" dxfId="241" priority="1" stopIfTrue="1">
      <formula>AND(CELL("protect",C46)=1,CELL("type",C46)="v")</formula>
    </cfRule>
    <cfRule type="expression" dxfId="240" priority="2" stopIfTrue="1">
      <formula>CELL("protect",C46)=1</formula>
    </cfRule>
  </conditionalFormatting>
  <hyperlinks>
    <hyperlink ref="D1" location="Information!A1" display="חזרה"/>
    <hyperlink ref="F6" location="Information!A1" display="חזרה"/>
    <hyperlink ref="F29" location="Information!A1" display="חזרה"/>
    <hyperlink ref="D81" location="Information!A1" display="חזרה"/>
    <hyperlink ref="F72" location="Information!A1" display="חזרה"/>
    <hyperlink ref="C3" location="Information!A60" display="Information!A60"/>
  </hyperlinks>
  <pageMargins left="0" right="0" top="0" bottom="0.39370078740157483" header="0" footer="0.11811023622047245"/>
  <pageSetup paperSize="9" scale="96"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3" id="{EB2EE906-FF83-40C1-92AF-A937A06C4E51}">
            <xm:f>Information!$G$54&gt;0</xm:f>
            <x14:dxf>
              <font>
                <b/>
                <i val="0"/>
                <color theme="1"/>
              </font>
              <fill>
                <patternFill>
                  <bgColor rgb="FFFFFF00"/>
                </patternFill>
              </fill>
            </x14:dxf>
          </x14:cfRule>
          <xm:sqref>C3</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FFFF00"/>
    <pageSetUpPr fitToPage="1"/>
  </sheetPr>
  <dimension ref="A1:F97"/>
  <sheetViews>
    <sheetView rightToLeft="1" workbookViewId="0"/>
  </sheetViews>
  <sheetFormatPr defaultRowHeight="12.5"/>
  <cols>
    <col min="2" max="2" width="37.54296875" customWidth="1"/>
    <col min="3" max="6" width="12.54296875" customWidth="1"/>
    <col min="7" max="7" width="15.54296875" customWidth="1"/>
    <col min="8" max="8" width="11.453125" customWidth="1"/>
    <col min="11" max="11" width="31.1796875" customWidth="1"/>
  </cols>
  <sheetData>
    <row r="1" spans="1:6" ht="18">
      <c r="A1" s="529"/>
      <c r="B1" s="15" t="str">
        <f>'B8'!B1</f>
        <v>_____חברה מנהלת</v>
      </c>
      <c r="C1" s="530"/>
      <c r="D1" s="642" t="s">
        <v>263</v>
      </c>
      <c r="E1" s="529"/>
    </row>
    <row r="2" spans="1:6" ht="18">
      <c r="A2" s="529"/>
      <c r="B2" s="111" t="s">
        <v>1044</v>
      </c>
      <c r="C2" s="532"/>
      <c r="D2" s="532"/>
      <c r="E2" s="529"/>
    </row>
    <row r="3" spans="1:6" ht="15.5">
      <c r="A3" s="529"/>
      <c r="B3" s="28" t="str">
        <f>line3</f>
        <v>הנתונים באלפי ש"ח</v>
      </c>
      <c r="C3" s="1469" t="s">
        <v>3876</v>
      </c>
      <c r="D3" s="533" t="str">
        <f>Date1</f>
        <v>31.12.2021</v>
      </c>
      <c r="E3" s="529"/>
    </row>
    <row r="4" spans="1:6" ht="14" hidden="1">
      <c r="A4" s="529"/>
      <c r="B4" s="529"/>
      <c r="C4" s="588"/>
      <c r="D4" s="588"/>
      <c r="E4" s="588"/>
    </row>
    <row r="5" spans="1:6" ht="18">
      <c r="A5" s="529"/>
      <c r="B5" s="111" t="str">
        <f>Information!$C$32</f>
        <v>באור 11ג' -נכסי חוב שאינם סחירים</v>
      </c>
      <c r="C5" s="588"/>
      <c r="D5" s="588"/>
      <c r="E5" s="588"/>
    </row>
    <row r="6" spans="1:6" ht="15.5" hidden="1">
      <c r="A6" s="535"/>
      <c r="B6" s="529"/>
      <c r="C6" s="529"/>
      <c r="D6" s="529"/>
      <c r="E6" s="529"/>
    </row>
    <row r="7" spans="1:6" ht="15.5">
      <c r="A7" s="665"/>
      <c r="B7" s="854"/>
      <c r="C7" s="1907" t="str">
        <f>Date1</f>
        <v>31.12.2021</v>
      </c>
      <c r="D7" s="1907"/>
      <c r="E7" s="1907" t="str">
        <f>Date3</f>
        <v>31.12.2020</v>
      </c>
      <c r="F7" s="1908"/>
    </row>
    <row r="8" spans="1:6" ht="14">
      <c r="A8" s="667"/>
      <c r="B8" s="844"/>
      <c r="C8" s="913" t="s">
        <v>1151</v>
      </c>
      <c r="D8" s="913" t="s">
        <v>1152</v>
      </c>
      <c r="E8" s="913" t="str">
        <f>C8</f>
        <v xml:space="preserve">ערך בספרים </v>
      </c>
      <c r="F8" s="915" t="str">
        <f>D8</f>
        <v>שווי הוגן</v>
      </c>
    </row>
    <row r="9" spans="1:6" ht="14">
      <c r="A9" s="667"/>
      <c r="B9" s="761"/>
      <c r="C9" s="754" t="s">
        <v>29</v>
      </c>
      <c r="D9" s="754" t="s">
        <v>41</v>
      </c>
      <c r="E9" s="754" t="s">
        <v>63</v>
      </c>
      <c r="F9" s="845" t="s">
        <v>65</v>
      </c>
    </row>
    <row r="10" spans="1:6" ht="14">
      <c r="A10">
        <v>1</v>
      </c>
      <c r="B10" s="712" t="s">
        <v>1053</v>
      </c>
      <c r="C10" s="652"/>
      <c r="D10" s="652"/>
      <c r="E10" s="652"/>
      <c r="F10" s="653"/>
    </row>
    <row r="11" spans="1:6" ht="28">
      <c r="A11">
        <f>A10+1</f>
        <v>2</v>
      </c>
      <c r="B11" s="677" t="s">
        <v>1072</v>
      </c>
      <c r="C11" s="655"/>
      <c r="D11" s="655"/>
      <c r="E11" s="655"/>
      <c r="F11" s="668"/>
    </row>
    <row r="12" spans="1:6" ht="28">
      <c r="A12">
        <f t="shared" ref="A12:A21" si="0">A11+1</f>
        <v>3</v>
      </c>
      <c r="B12" s="677" t="s">
        <v>1069</v>
      </c>
      <c r="C12" s="655"/>
      <c r="D12" s="655"/>
      <c r="E12" s="655"/>
      <c r="F12" s="668"/>
    </row>
    <row r="13" spans="1:6" ht="14">
      <c r="A13">
        <f t="shared" si="0"/>
        <v>4</v>
      </c>
      <c r="B13" s="677" t="s">
        <v>1039</v>
      </c>
      <c r="C13" s="655"/>
      <c r="D13" s="655"/>
      <c r="E13" s="655"/>
      <c r="F13" s="668"/>
    </row>
    <row r="14" spans="1:6" ht="14">
      <c r="A14">
        <f t="shared" si="0"/>
        <v>5</v>
      </c>
      <c r="B14" s="712" t="s">
        <v>1056</v>
      </c>
      <c r="C14" s="678">
        <f>SUM(C11:C13)</f>
        <v>0</v>
      </c>
      <c r="D14" s="678">
        <f>SUM(D11:D13)</f>
        <v>0</v>
      </c>
      <c r="E14" s="678">
        <f>SUM(E11:E13)</f>
        <v>0</v>
      </c>
      <c r="F14" s="679">
        <f>SUM(F11:F13)</f>
        <v>0</v>
      </c>
    </row>
    <row r="15" spans="1:6" ht="14">
      <c r="A15">
        <f t="shared" si="0"/>
        <v>6</v>
      </c>
      <c r="B15" s="712" t="s">
        <v>1057</v>
      </c>
      <c r="C15" s="652"/>
      <c r="D15" s="652"/>
      <c r="E15" s="652"/>
      <c r="F15" s="653"/>
    </row>
    <row r="16" spans="1:6" ht="28">
      <c r="A16">
        <f t="shared" si="0"/>
        <v>7</v>
      </c>
      <c r="B16" s="677" t="s">
        <v>1072</v>
      </c>
      <c r="C16" s="655"/>
      <c r="D16" s="655"/>
      <c r="E16" s="655"/>
      <c r="F16" s="668"/>
    </row>
    <row r="17" spans="1:6" ht="14">
      <c r="A17">
        <f t="shared" si="0"/>
        <v>8</v>
      </c>
      <c r="B17" s="677" t="s">
        <v>1070</v>
      </c>
      <c r="C17" s="655"/>
      <c r="D17" s="655"/>
      <c r="E17" s="655"/>
      <c r="F17" s="668"/>
    </row>
    <row r="18" spans="1:6" ht="14">
      <c r="A18">
        <f t="shared" si="0"/>
        <v>9</v>
      </c>
      <c r="B18" s="677" t="s">
        <v>1039</v>
      </c>
      <c r="C18" s="655"/>
      <c r="D18" s="655"/>
      <c r="E18" s="655"/>
      <c r="F18" s="668"/>
    </row>
    <row r="19" spans="1:6" ht="18.75" customHeight="1">
      <c r="A19">
        <f t="shared" si="0"/>
        <v>10</v>
      </c>
      <c r="B19" s="712" t="s">
        <v>1059</v>
      </c>
      <c r="C19" s="678">
        <f>SUM(C16:C18)</f>
        <v>0</v>
      </c>
      <c r="D19" s="678">
        <f>SUM(D16:D18)</f>
        <v>0</v>
      </c>
      <c r="E19" s="678">
        <f>SUM(E16:E18)</f>
        <v>0</v>
      </c>
      <c r="F19" s="679">
        <f>SUM(F16:F18)</f>
        <v>0</v>
      </c>
    </row>
    <row r="20" spans="1:6" ht="14">
      <c r="A20">
        <f t="shared" si="0"/>
        <v>11</v>
      </c>
      <c r="B20" s="712" t="s">
        <v>1071</v>
      </c>
      <c r="C20" s="678">
        <f>C14+C19</f>
        <v>0</v>
      </c>
      <c r="D20" s="678">
        <f>D14+D19</f>
        <v>0</v>
      </c>
      <c r="E20" s="678">
        <f>E14+E19</f>
        <v>0</v>
      </c>
      <c r="F20" s="679">
        <f>F14+F19</f>
        <v>0</v>
      </c>
    </row>
    <row r="21" spans="1:6" ht="14">
      <c r="A21">
        <f t="shared" si="0"/>
        <v>12</v>
      </c>
      <c r="B21" s="1047" t="s">
        <v>1537</v>
      </c>
      <c r="C21" s="680"/>
      <c r="D21" s="680"/>
      <c r="E21" s="680"/>
      <c r="F21" s="681"/>
    </row>
    <row r="23" spans="1:6" ht="18">
      <c r="B23" s="111" t="str">
        <f>Information!$C$33</f>
        <v>באור 11ד' - פרטים בדבר ריבית והצמדה בגין נכסי חוב</v>
      </c>
      <c r="E23" s="642" t="s">
        <v>263</v>
      </c>
    </row>
    <row r="24" spans="1:6" hidden="1"/>
    <row r="25" spans="1:6" ht="14">
      <c r="B25" s="616"/>
      <c r="C25" s="682" t="str">
        <f>Date1</f>
        <v>31.12.2021</v>
      </c>
      <c r="D25" s="2" t="str">
        <f>Date3</f>
        <v>31.12.2020</v>
      </c>
    </row>
    <row r="26" spans="1:6" ht="15" customHeight="1">
      <c r="B26" s="617"/>
      <c r="C26" s="1923" t="s">
        <v>1074</v>
      </c>
      <c r="D26" s="1924"/>
    </row>
    <row r="27" spans="1:6" ht="15" customHeight="1">
      <c r="B27" s="617"/>
      <c r="C27" s="754" t="s">
        <v>29</v>
      </c>
      <c r="D27" s="845" t="s">
        <v>41</v>
      </c>
    </row>
    <row r="28" spans="1:6" ht="14">
      <c r="B28" s="658" t="s">
        <v>1075</v>
      </c>
      <c r="C28" s="652"/>
      <c r="D28" s="653"/>
    </row>
    <row r="29" spans="1:6" ht="14">
      <c r="B29" s="669" t="s">
        <v>71</v>
      </c>
      <c r="C29" s="683"/>
      <c r="D29" s="684"/>
    </row>
    <row r="30" spans="1:6" ht="14">
      <c r="B30" s="669" t="s">
        <v>1076</v>
      </c>
      <c r="C30" s="683"/>
      <c r="D30" s="685"/>
    </row>
    <row r="31" spans="1:6" ht="14">
      <c r="B31" s="669" t="s">
        <v>55</v>
      </c>
      <c r="C31" s="683"/>
      <c r="D31" s="685"/>
    </row>
    <row r="32" spans="1:6" ht="14">
      <c r="B32" s="669" t="s">
        <v>70</v>
      </c>
      <c r="C32" s="683"/>
      <c r="D32" s="685"/>
    </row>
    <row r="33" spans="2:4" ht="14">
      <c r="B33" s="658" t="s">
        <v>1077</v>
      </c>
      <c r="C33" s="652"/>
      <c r="D33" s="653"/>
    </row>
    <row r="34" spans="2:4" ht="14">
      <c r="B34" s="669" t="s">
        <v>71</v>
      </c>
      <c r="C34" s="683"/>
      <c r="D34" s="684"/>
    </row>
    <row r="35" spans="2:4" ht="14">
      <c r="B35" s="669" t="s">
        <v>1076</v>
      </c>
      <c r="C35" s="683"/>
      <c r="D35" s="685"/>
    </row>
    <row r="36" spans="2:4" ht="14">
      <c r="B36" s="669" t="s">
        <v>55</v>
      </c>
      <c r="C36" s="683"/>
      <c r="D36" s="685"/>
    </row>
    <row r="37" spans="2:4" ht="14">
      <c r="B37" s="686" t="s">
        <v>70</v>
      </c>
      <c r="C37" s="687"/>
      <c r="D37" s="688"/>
    </row>
    <row r="39" spans="2:4" ht="18">
      <c r="B39" s="689" t="str">
        <f>Information!$C$34</f>
        <v>באור 11ה' - מניות</v>
      </c>
      <c r="D39" s="642" t="s">
        <v>263</v>
      </c>
    </row>
    <row r="40" spans="2:4" hidden="1"/>
    <row r="41" spans="2:4" ht="14">
      <c r="B41" s="690"/>
      <c r="C41" s="682" t="str">
        <f>Date1</f>
        <v>31.12.2021</v>
      </c>
      <c r="D41" s="736" t="str">
        <f>Date3</f>
        <v>31.12.2020</v>
      </c>
    </row>
    <row r="42" spans="2:4" ht="14">
      <c r="B42" s="852"/>
      <c r="C42" s="754" t="s">
        <v>29</v>
      </c>
      <c r="D42" s="845" t="s">
        <v>41</v>
      </c>
    </row>
    <row r="43" spans="2:4" ht="14">
      <c r="B43" s="658" t="s">
        <v>1079</v>
      </c>
      <c r="C43" s="652"/>
      <c r="D43" s="653"/>
    </row>
    <row r="44" spans="2:4" ht="14">
      <c r="B44" s="654" t="s">
        <v>1536</v>
      </c>
      <c r="C44" s="652"/>
      <c r="D44" s="653"/>
    </row>
    <row r="45" spans="2:4" ht="14">
      <c r="B45" s="669" t="s">
        <v>1047</v>
      </c>
      <c r="C45" s="655"/>
      <c r="D45" s="668"/>
    </row>
    <row r="46" spans="2:4" ht="14">
      <c r="B46" s="669" t="s">
        <v>1048</v>
      </c>
      <c r="C46" s="655"/>
      <c r="D46" s="668"/>
    </row>
    <row r="47" spans="2:4" ht="14">
      <c r="B47" s="654" t="s">
        <v>1050</v>
      </c>
      <c r="C47" s="655"/>
      <c r="D47" s="668"/>
    </row>
    <row r="48" spans="2:4" ht="14">
      <c r="B48" s="658" t="s">
        <v>1080</v>
      </c>
      <c r="C48" s="652">
        <f>SUM(C43:C47)</f>
        <v>0</v>
      </c>
      <c r="D48" s="653">
        <f>SUM(D43:D47)</f>
        <v>0</v>
      </c>
    </row>
    <row r="49" spans="2:6" ht="14">
      <c r="B49" s="658" t="s">
        <v>1081</v>
      </c>
      <c r="C49" s="655"/>
      <c r="D49" s="668"/>
    </row>
    <row r="50" spans="2:6" ht="32.25" customHeight="1">
      <c r="B50" s="654" t="s">
        <v>1084</v>
      </c>
      <c r="C50" s="655"/>
      <c r="D50" s="668"/>
    </row>
    <row r="51" spans="2:6" ht="14">
      <c r="B51" s="654" t="s">
        <v>1050</v>
      </c>
      <c r="C51" s="655"/>
      <c r="D51" s="668"/>
    </row>
    <row r="52" spans="2:6" ht="14">
      <c r="B52" s="658" t="s">
        <v>1082</v>
      </c>
      <c r="C52" s="652">
        <f>SUM(C49:C51)</f>
        <v>0</v>
      </c>
      <c r="D52" s="653">
        <f>SUM(D49:D51)</f>
        <v>0</v>
      </c>
    </row>
    <row r="53" spans="2:6" ht="14">
      <c r="B53" s="658" t="s">
        <v>1083</v>
      </c>
      <c r="C53" s="652">
        <f>C48+C52</f>
        <v>0</v>
      </c>
      <c r="D53" s="653">
        <f>D48+D52</f>
        <v>0</v>
      </c>
    </row>
    <row r="54" spans="2:6" ht="14">
      <c r="B54" s="691" t="s">
        <v>1537</v>
      </c>
      <c r="C54" s="680"/>
      <c r="D54" s="681"/>
    </row>
    <row r="56" spans="2:6" ht="18">
      <c r="B56" s="689" t="str">
        <f>Information!$C$35</f>
        <v>באור 11ו' - השקעות פיננסיות אחרות</v>
      </c>
      <c r="C56" s="663"/>
      <c r="D56" s="642" t="s">
        <v>263</v>
      </c>
      <c r="F56" s="663"/>
    </row>
    <row r="57" spans="2:6" ht="15.5" hidden="1">
      <c r="B57" s="662"/>
      <c r="C57" s="663"/>
      <c r="D57" s="663"/>
      <c r="E57" s="663"/>
      <c r="F57" s="663"/>
    </row>
    <row r="58" spans="2:6" ht="14">
      <c r="B58" s="692"/>
      <c r="C58" s="735" t="str">
        <f>Date1</f>
        <v>31.12.2021</v>
      </c>
      <c r="D58" s="736" t="str">
        <f>Date3</f>
        <v>31.12.2020</v>
      </c>
      <c r="F58" s="663"/>
    </row>
    <row r="59" spans="2:6" ht="14">
      <c r="B59" s="853"/>
      <c r="C59" s="754" t="s">
        <v>29</v>
      </c>
      <c r="D59" s="845" t="s">
        <v>41</v>
      </c>
      <c r="F59" s="663"/>
    </row>
    <row r="60" spans="2:6" ht="14">
      <c r="B60" s="658" t="s">
        <v>1079</v>
      </c>
      <c r="C60" s="652"/>
      <c r="D60" s="653"/>
      <c r="F60" s="663"/>
    </row>
    <row r="61" spans="2:6" ht="14">
      <c r="B61" s="677" t="s">
        <v>1538</v>
      </c>
      <c r="C61" s="652"/>
      <c r="D61" s="653"/>
      <c r="F61" s="663"/>
    </row>
    <row r="62" spans="2:6" ht="14">
      <c r="B62" s="669" t="s">
        <v>1047</v>
      </c>
      <c r="C62" s="655"/>
      <c r="D62" s="668"/>
      <c r="F62" s="663"/>
    </row>
    <row r="63" spans="2:6" ht="14">
      <c r="B63" s="669" t="s">
        <v>1085</v>
      </c>
      <c r="C63" s="655"/>
      <c r="D63" s="668"/>
      <c r="F63" s="663"/>
    </row>
    <row r="64" spans="2:6" ht="14">
      <c r="B64" s="677" t="s">
        <v>1050</v>
      </c>
      <c r="C64" s="655"/>
      <c r="D64" s="668"/>
      <c r="F64" s="663"/>
    </row>
    <row r="65" spans="2:6" ht="14">
      <c r="B65" s="677" t="s">
        <v>1539</v>
      </c>
      <c r="C65" s="655"/>
      <c r="D65" s="668"/>
      <c r="F65" s="663"/>
    </row>
    <row r="66" spans="2:6" ht="14" hidden="1">
      <c r="B66" s="669" t="s">
        <v>1087</v>
      </c>
      <c r="C66" s="652"/>
      <c r="D66" s="653"/>
      <c r="F66" s="663"/>
    </row>
    <row r="67" spans="2:6" ht="14" hidden="1">
      <c r="B67" s="669" t="s">
        <v>1088</v>
      </c>
      <c r="C67" s="652"/>
      <c r="D67" s="653"/>
      <c r="F67" s="663"/>
    </row>
    <row r="68" spans="2:6" ht="14">
      <c r="B68" s="658" t="s">
        <v>1089</v>
      </c>
      <c r="C68" s="652">
        <f>SUM(C60:C67)</f>
        <v>0</v>
      </c>
      <c r="D68" s="653">
        <f>SUM(D60:D67)</f>
        <v>0</v>
      </c>
      <c r="F68" s="663"/>
    </row>
    <row r="69" spans="2:6" ht="14">
      <c r="B69" s="658" t="s">
        <v>1081</v>
      </c>
      <c r="C69" s="652"/>
      <c r="D69" s="653"/>
      <c r="F69" s="663"/>
    </row>
    <row r="70" spans="2:6" ht="28">
      <c r="B70" s="677" t="s">
        <v>1093</v>
      </c>
      <c r="C70" s="655"/>
      <c r="D70" s="668"/>
      <c r="F70" s="663"/>
    </row>
    <row r="71" spans="2:6" ht="14">
      <c r="B71" s="677" t="str">
        <f>B64</f>
        <v>זמינות למכירה</v>
      </c>
      <c r="C71" s="655"/>
      <c r="D71" s="668"/>
      <c r="F71" s="663"/>
    </row>
    <row r="72" spans="2:6" ht="14">
      <c r="B72" s="677" t="s">
        <v>1086</v>
      </c>
      <c r="C72" s="655"/>
      <c r="D72" s="668"/>
      <c r="F72" s="663"/>
    </row>
    <row r="73" spans="2:6" ht="14">
      <c r="B73" s="658" t="s">
        <v>1090</v>
      </c>
      <c r="C73" s="652">
        <f>SUM(C69:C72)</f>
        <v>0</v>
      </c>
      <c r="D73" s="653">
        <f>SUM(D69:D72)</f>
        <v>0</v>
      </c>
      <c r="F73" s="663"/>
    </row>
    <row r="74" spans="2:6" ht="14">
      <c r="B74" s="658" t="s">
        <v>1091</v>
      </c>
      <c r="C74" s="652">
        <f>SUM(C73,C68)</f>
        <v>0</v>
      </c>
      <c r="D74" s="653">
        <f>SUM(D73,D68)</f>
        <v>0</v>
      </c>
      <c r="F74" s="663"/>
    </row>
    <row r="75" spans="2:6" ht="14">
      <c r="B75" s="691" t="s">
        <v>1540</v>
      </c>
      <c r="C75" s="680"/>
      <c r="D75" s="681"/>
      <c r="F75" s="663"/>
    </row>
    <row r="77" spans="2:6" ht="18">
      <c r="B77" s="689" t="str">
        <f>Information!$C$36</f>
        <v>באור 11ו1' - מכשירים נגזרים - סכום החשיפה</v>
      </c>
      <c r="C77" s="22"/>
      <c r="D77" s="642" t="s">
        <v>263</v>
      </c>
    </row>
    <row r="78" spans="2:6" ht="14">
      <c r="B78" s="693"/>
      <c r="C78" s="22"/>
      <c r="D78" s="22"/>
    </row>
    <row r="79" spans="2:6" ht="14">
      <c r="B79" s="616"/>
      <c r="C79" s="3" t="str">
        <f>Date1</f>
        <v>31.12.2021</v>
      </c>
      <c r="D79" s="2" t="str">
        <f>Date3</f>
        <v>31.12.2020</v>
      </c>
    </row>
    <row r="80" spans="2:6" ht="14">
      <c r="B80" s="761"/>
      <c r="C80" s="754" t="s">
        <v>29</v>
      </c>
      <c r="D80" s="845" t="s">
        <v>41</v>
      </c>
    </row>
    <row r="81" spans="2:5" ht="14">
      <c r="B81" s="654" t="s">
        <v>75</v>
      </c>
      <c r="C81" s="655"/>
      <c r="D81" s="668"/>
    </row>
    <row r="82" spans="2:5" ht="14">
      <c r="B82" s="654" t="s">
        <v>1094</v>
      </c>
      <c r="C82" s="655"/>
      <c r="D82" s="668"/>
    </row>
    <row r="83" spans="2:5" ht="14">
      <c r="B83" s="654" t="s">
        <v>1095</v>
      </c>
      <c r="C83" s="655"/>
      <c r="D83" s="668"/>
    </row>
    <row r="84" spans="2:5" ht="14">
      <c r="B84" s="654" t="s">
        <v>1096</v>
      </c>
      <c r="C84" s="655"/>
      <c r="D84" s="668"/>
    </row>
    <row r="85" spans="2:5" ht="14">
      <c r="B85" s="654" t="s">
        <v>110</v>
      </c>
      <c r="C85" s="655"/>
      <c r="D85" s="668"/>
    </row>
    <row r="86" spans="2:5" ht="14">
      <c r="B86" s="694" t="s">
        <v>70</v>
      </c>
      <c r="C86" s="680"/>
      <c r="D86" s="681"/>
    </row>
    <row r="88" spans="2:5" ht="18">
      <c r="B88" s="689" t="str">
        <f>Information!$C$37</f>
        <v>באור 11ז1' - שיעורי הריבית ששימשו בקביעת השווי ההוגן</v>
      </c>
      <c r="C88" s="663"/>
      <c r="E88" s="642" t="s">
        <v>263</v>
      </c>
    </row>
    <row r="89" spans="2:5" ht="13">
      <c r="B89" s="695" t="s">
        <v>1098</v>
      </c>
      <c r="C89" s="22"/>
      <c r="D89" s="22"/>
    </row>
    <row r="90" spans="2:5" ht="14">
      <c r="B90" s="616"/>
      <c r="C90" s="3" t="str">
        <f>C79</f>
        <v>31.12.2021</v>
      </c>
      <c r="D90" s="2" t="str">
        <f>D79</f>
        <v>31.12.2020</v>
      </c>
    </row>
    <row r="91" spans="2:5" ht="14">
      <c r="B91" s="761"/>
      <c r="C91" s="754" t="s">
        <v>29</v>
      </c>
      <c r="D91" s="845" t="s">
        <v>41</v>
      </c>
    </row>
    <row r="92" spans="2:5" ht="15.5">
      <c r="B92" s="696" t="s">
        <v>1099</v>
      </c>
      <c r="C92" s="652"/>
      <c r="D92" s="653"/>
    </row>
    <row r="93" spans="2:5" ht="14">
      <c r="B93" s="669" t="s">
        <v>1100</v>
      </c>
      <c r="C93" s="697"/>
      <c r="D93" s="684"/>
    </row>
    <row r="94" spans="2:5" ht="14">
      <c r="B94" s="669" t="s">
        <v>1101</v>
      </c>
      <c r="C94" s="697"/>
      <c r="D94" s="684"/>
    </row>
    <row r="95" spans="2:5" ht="14">
      <c r="B95" s="669" t="s">
        <v>1102</v>
      </c>
      <c r="C95" s="697"/>
      <c r="D95" s="684"/>
    </row>
    <row r="96" spans="2:5" ht="14">
      <c r="B96" s="669" t="s">
        <v>1103</v>
      </c>
      <c r="C96" s="697"/>
      <c r="D96" s="684"/>
    </row>
    <row r="97" spans="2:4" ht="14">
      <c r="B97" s="686" t="s">
        <v>1104</v>
      </c>
      <c r="C97" s="698"/>
      <c r="D97" s="699"/>
    </row>
  </sheetData>
  <sheetProtection password="ED56" sheet="1" objects="1" scenarios="1" formatCells="0" formatColumns="0" formatRows="0"/>
  <mergeCells count="3">
    <mergeCell ref="C7:D7"/>
    <mergeCell ref="E7:F7"/>
    <mergeCell ref="C26:D26"/>
  </mergeCells>
  <conditionalFormatting sqref="C10:F21 C43:D54 C60:D75">
    <cfRule type="expression" dxfId="238" priority="12" stopIfTrue="1">
      <formula>AND(CELL("protect",C10)=1,CELL("type",C10)="v")</formula>
    </cfRule>
    <cfRule type="expression" dxfId="237" priority="13" stopIfTrue="1">
      <formula>CELL("protect",C10)</formula>
    </cfRule>
  </conditionalFormatting>
  <conditionalFormatting sqref="C28:D28 C33:D33">
    <cfRule type="expression" dxfId="236" priority="10" stopIfTrue="1">
      <formula>AND(CELL("protect",C28)=1,CELL("type",C28)="v")</formula>
    </cfRule>
    <cfRule type="expression" dxfId="235" priority="11" stopIfTrue="1">
      <formula>CELL("protect",C28)</formula>
    </cfRule>
  </conditionalFormatting>
  <conditionalFormatting sqref="C81:D86">
    <cfRule type="expression" dxfId="234" priority="4" stopIfTrue="1">
      <formula>AND(CELL("protect",C81)=1,CELL("type",C81)="v")</formula>
    </cfRule>
    <cfRule type="expression" dxfId="233" priority="5" stopIfTrue="1">
      <formula>CELL("protect",C81)</formula>
    </cfRule>
  </conditionalFormatting>
  <conditionalFormatting sqref="C92:D92">
    <cfRule type="expression" dxfId="232" priority="2" stopIfTrue="1">
      <formula>AND(CELL("protect",C92)=1,CELL("type",C92)="v")</formula>
    </cfRule>
    <cfRule type="expression" dxfId="231" priority="3" stopIfTrue="1">
      <formula>CELL("protect",C92)</formula>
    </cfRule>
  </conditionalFormatting>
  <hyperlinks>
    <hyperlink ref="D1" location="Information!A1" display="חזרה"/>
    <hyperlink ref="E23" location="Information!A1" display="חזרה"/>
    <hyperlink ref="D39" location="Information!A1" display="חזרה"/>
    <hyperlink ref="D56" location="Information!A1" display="חזרה"/>
    <hyperlink ref="D77" location="Information!A1" display="חזרה"/>
    <hyperlink ref="E88" location="Information!A1" display="חזרה"/>
    <hyperlink ref="C3" location="Information!A60" display="Information!A60"/>
  </hyperlinks>
  <pageMargins left="0" right="0" top="0" bottom="0.39370078740157483" header="0" footer="0.11811023622047245"/>
  <pageSetup paperSize="9" scale="72"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0FCB6C12-1557-450F-9D7E-7DF518FD0120}">
            <xm:f>Information!$G$54&gt;0</xm:f>
            <x14:dxf>
              <font>
                <b/>
                <i val="0"/>
                <color theme="1"/>
              </font>
              <fill>
                <patternFill>
                  <bgColor rgb="FFFFFF00"/>
                </patternFill>
              </fill>
            </x14:dxf>
          </x14:cfRule>
          <xm:sqref>C3</xm:sqref>
        </x14:conditionalFormatting>
      </x14:conditionalFormatting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FFFF00"/>
    <pageSetUpPr fitToPage="1"/>
  </sheetPr>
  <dimension ref="A1:K55"/>
  <sheetViews>
    <sheetView rightToLeft="1" workbookViewId="0"/>
  </sheetViews>
  <sheetFormatPr defaultRowHeight="12.5"/>
  <cols>
    <col min="2" max="2" width="29.453125" customWidth="1"/>
    <col min="3" max="7" width="12.54296875" customWidth="1"/>
    <col min="8" max="8" width="11.453125" customWidth="1"/>
  </cols>
  <sheetData>
    <row r="1" spans="1:7" ht="18">
      <c r="A1" s="529"/>
      <c r="B1" s="15" t="str">
        <f>'B8'!B1</f>
        <v>_____חברה מנהלת</v>
      </c>
      <c r="C1" s="530"/>
      <c r="D1" s="642" t="s">
        <v>263</v>
      </c>
      <c r="E1" s="529"/>
    </row>
    <row r="2" spans="1:7" ht="18">
      <c r="A2" s="529"/>
      <c r="B2" s="111" t="s">
        <v>1044</v>
      </c>
      <c r="C2" s="532"/>
      <c r="D2" s="532"/>
      <c r="E2" s="529"/>
    </row>
    <row r="3" spans="1:7" ht="15.5">
      <c r="A3" s="529"/>
      <c r="B3" s="28" t="str">
        <f>line3</f>
        <v>הנתונים באלפי ש"ח</v>
      </c>
      <c r="C3" s="1469" t="s">
        <v>3876</v>
      </c>
      <c r="D3" s="533" t="str">
        <f>Date1</f>
        <v>31.12.2021</v>
      </c>
      <c r="E3" s="529"/>
    </row>
    <row r="4" spans="1:7" ht="14">
      <c r="A4" s="529"/>
      <c r="B4" s="529"/>
      <c r="C4" s="588"/>
      <c r="D4" s="588"/>
      <c r="E4" s="588"/>
    </row>
    <row r="5" spans="1:7" ht="18">
      <c r="A5" s="529"/>
      <c r="B5" s="111" t="str">
        <f>Information!$C$30</f>
        <v>באור 11א' -פירוט השקעות פיננסיות</v>
      </c>
      <c r="C5" s="588"/>
      <c r="D5" s="588"/>
      <c r="E5" s="588"/>
    </row>
    <row r="6" spans="1:7" ht="15.5">
      <c r="A6" s="535"/>
      <c r="B6" s="529"/>
      <c r="C6" s="529"/>
      <c r="D6" s="529"/>
      <c r="E6" s="529"/>
    </row>
    <row r="7" spans="1:7" ht="43">
      <c r="A7" s="536"/>
      <c r="B7" s="650"/>
      <c r="C7" s="3" t="s">
        <v>1535</v>
      </c>
      <c r="D7" s="3" t="s">
        <v>1039</v>
      </c>
      <c r="E7" s="3" t="s">
        <v>1040</v>
      </c>
      <c r="F7" s="3" t="s">
        <v>1041</v>
      </c>
      <c r="G7" s="2" t="s">
        <v>272</v>
      </c>
    </row>
    <row r="8" spans="1:7" ht="18">
      <c r="A8" s="536"/>
      <c r="B8" s="651"/>
      <c r="C8" s="754" t="s">
        <v>29</v>
      </c>
      <c r="D8" s="754" t="s">
        <v>41</v>
      </c>
      <c r="E8" s="754" t="s">
        <v>63</v>
      </c>
      <c r="F8" s="754" t="s">
        <v>65</v>
      </c>
      <c r="G8" s="845" t="s">
        <v>86</v>
      </c>
    </row>
    <row r="9" spans="1:7" ht="18">
      <c r="A9" s="529"/>
      <c r="B9" s="651" t="str">
        <f>Date1</f>
        <v>31.12.2021</v>
      </c>
      <c r="C9" s="652"/>
      <c r="D9" s="652"/>
      <c r="E9" s="652"/>
      <c r="F9" s="652"/>
      <c r="G9" s="653"/>
    </row>
    <row r="10" spans="1:7" ht="14">
      <c r="A10" s="529"/>
      <c r="B10" s="654" t="s">
        <v>1042</v>
      </c>
      <c r="C10" s="655"/>
      <c r="D10" s="655"/>
      <c r="E10" s="655"/>
      <c r="F10" s="655"/>
      <c r="G10" s="653">
        <f>SUM(C10:F10)</f>
        <v>0</v>
      </c>
    </row>
    <row r="11" spans="1:7" ht="14">
      <c r="A11" s="529"/>
      <c r="B11" s="654" t="s">
        <v>816</v>
      </c>
      <c r="C11" s="655"/>
      <c r="D11" s="655"/>
      <c r="E11" s="655"/>
      <c r="F11" s="655"/>
      <c r="G11" s="653">
        <f>SUM(C11:F11)</f>
        <v>0</v>
      </c>
    </row>
    <row r="12" spans="1:7" ht="14">
      <c r="A12" s="529"/>
      <c r="B12" s="654" t="s">
        <v>75</v>
      </c>
      <c r="C12" s="655"/>
      <c r="D12" s="655"/>
      <c r="E12" s="655"/>
      <c r="F12" s="655"/>
      <c r="G12" s="653">
        <f>SUM(C12:F12)</f>
        <v>0</v>
      </c>
    </row>
    <row r="13" spans="1:7" ht="14">
      <c r="A13" s="529"/>
      <c r="B13" s="654" t="s">
        <v>817</v>
      </c>
      <c r="C13" s="655"/>
      <c r="D13" s="655"/>
      <c r="E13" s="655"/>
      <c r="F13" s="655"/>
      <c r="G13" s="653">
        <f>SUM(C13:F13)</f>
        <v>0</v>
      </c>
    </row>
    <row r="14" spans="1:7" ht="14">
      <c r="B14" s="656" t="s">
        <v>1043</v>
      </c>
      <c r="C14" s="652">
        <f>SUM(C10:C13)</f>
        <v>0</v>
      </c>
      <c r="D14" s="652">
        <f>SUM(D10:D13)</f>
        <v>0</v>
      </c>
      <c r="E14" s="652">
        <f>SUM(E10:E13)</f>
        <v>0</v>
      </c>
      <c r="F14" s="652">
        <f>SUM(F10:F13)</f>
        <v>0</v>
      </c>
      <c r="G14" s="653">
        <f>SUM(C14:F14)</f>
        <v>0</v>
      </c>
    </row>
    <row r="15" spans="1:7" ht="18">
      <c r="B15" s="657" t="str">
        <f>Date3</f>
        <v>31.12.2020</v>
      </c>
      <c r="C15" s="652"/>
      <c r="D15" s="652"/>
      <c r="E15" s="652"/>
      <c r="F15" s="652"/>
      <c r="G15" s="653"/>
    </row>
    <row r="16" spans="1:7" ht="14">
      <c r="B16" s="654" t="s">
        <v>1042</v>
      </c>
      <c r="C16" s="655"/>
      <c r="D16" s="655"/>
      <c r="E16" s="655"/>
      <c r="F16" s="655"/>
      <c r="G16" s="653">
        <f>SUM(C16:F16)</f>
        <v>0</v>
      </c>
    </row>
    <row r="17" spans="1:11" ht="14">
      <c r="B17" s="654" t="s">
        <v>816</v>
      </c>
      <c r="C17" s="655"/>
      <c r="D17" s="655"/>
      <c r="E17" s="655"/>
      <c r="F17" s="655"/>
      <c r="G17" s="653">
        <f>SUM(C17:F17)</f>
        <v>0</v>
      </c>
    </row>
    <row r="18" spans="1:11" ht="14">
      <c r="B18" s="654" t="s">
        <v>75</v>
      </c>
      <c r="C18" s="655"/>
      <c r="D18" s="655"/>
      <c r="E18" s="655"/>
      <c r="F18" s="655"/>
      <c r="G18" s="653">
        <f>SUM(C18:F18)</f>
        <v>0</v>
      </c>
    </row>
    <row r="19" spans="1:11" ht="14">
      <c r="B19" s="654" t="s">
        <v>817</v>
      </c>
      <c r="C19" s="655"/>
      <c r="D19" s="655"/>
      <c r="E19" s="655"/>
      <c r="F19" s="655"/>
      <c r="G19" s="653">
        <f>SUM(C19:F19)</f>
        <v>0</v>
      </c>
      <c r="K19" s="261" t="s">
        <v>0</v>
      </c>
    </row>
    <row r="20" spans="1:11" ht="14">
      <c r="B20" s="659" t="str">
        <f>B14</f>
        <v>סך כל השקעות פיננסיות אחרות</v>
      </c>
      <c r="C20" s="660">
        <f>SUM(C16:C19)</f>
        <v>0</v>
      </c>
      <c r="D20" s="660">
        <f>SUM(D16:D19)</f>
        <v>0</v>
      </c>
      <c r="E20" s="660">
        <f>SUM(E16:E19)</f>
        <v>0</v>
      </c>
      <c r="F20" s="660">
        <f>SUM(F16:F19)</f>
        <v>0</v>
      </c>
      <c r="G20" s="661">
        <f>SUM(C20:F20)</f>
        <v>0</v>
      </c>
    </row>
    <row r="22" spans="1:11" ht="18">
      <c r="B22" s="111" t="str">
        <f>Information!$C$31</f>
        <v>באור 11ב' -נכסי חוב סחירים</v>
      </c>
      <c r="D22" s="642" t="s">
        <v>263</v>
      </c>
    </row>
    <row r="23" spans="1:11" ht="15.5">
      <c r="B23" s="662"/>
      <c r="C23" s="663"/>
      <c r="D23" s="663"/>
      <c r="E23" s="664"/>
      <c r="F23" s="664"/>
    </row>
    <row r="24" spans="1:11" ht="15.5">
      <c r="A24" s="665"/>
      <c r="B24" s="616"/>
      <c r="C24" s="682" t="str">
        <f>Date1</f>
        <v>31.12.2021</v>
      </c>
      <c r="D24" s="736" t="str">
        <f>Date3</f>
        <v>31.12.2020</v>
      </c>
    </row>
    <row r="25" spans="1:11" ht="14">
      <c r="A25" s="667"/>
      <c r="B25" s="617"/>
      <c r="C25" s="754" t="s">
        <v>29</v>
      </c>
      <c r="D25" s="845" t="s">
        <v>41</v>
      </c>
    </row>
    <row r="26" spans="1:11" ht="14">
      <c r="A26">
        <v>1</v>
      </c>
      <c r="B26" s="658" t="s">
        <v>1045</v>
      </c>
      <c r="C26" s="652"/>
      <c r="D26" s="653"/>
    </row>
    <row r="27" spans="1:11" ht="28">
      <c r="A27">
        <v>4</v>
      </c>
      <c r="B27" s="669" t="s">
        <v>1046</v>
      </c>
      <c r="C27" s="652"/>
      <c r="D27" s="653"/>
    </row>
    <row r="28" spans="1:11" ht="14">
      <c r="A28">
        <v>4</v>
      </c>
      <c r="B28" s="672" t="s">
        <v>1047</v>
      </c>
      <c r="C28" s="655"/>
      <c r="D28" s="668"/>
    </row>
    <row r="29" spans="1:11" ht="14">
      <c r="A29">
        <v>4</v>
      </c>
      <c r="B29" s="672" t="s">
        <v>1048</v>
      </c>
      <c r="C29" s="655"/>
      <c r="D29" s="668"/>
    </row>
    <row r="30" spans="1:11" ht="14">
      <c r="A30">
        <v>4</v>
      </c>
      <c r="B30" s="669" t="s">
        <v>1049</v>
      </c>
      <c r="C30" s="655"/>
      <c r="D30" s="668"/>
    </row>
    <row r="31" spans="1:11" ht="14">
      <c r="A31">
        <v>4</v>
      </c>
      <c r="B31" s="669" t="s">
        <v>1050</v>
      </c>
      <c r="C31" s="655"/>
      <c r="D31" s="668"/>
    </row>
    <row r="32" spans="1:11" ht="14">
      <c r="A32">
        <v>4</v>
      </c>
      <c r="B32" s="658" t="s">
        <v>1051</v>
      </c>
      <c r="C32" s="652">
        <f>SUM(C26:C31)</f>
        <v>0</v>
      </c>
      <c r="D32" s="653">
        <f>SUM(D26:D31)</f>
        <v>0</v>
      </c>
    </row>
    <row r="33" spans="1:4" ht="14">
      <c r="A33">
        <v>1</v>
      </c>
      <c r="B33" s="658" t="s">
        <v>1052</v>
      </c>
      <c r="C33" s="652"/>
      <c r="D33" s="653"/>
    </row>
    <row r="34" spans="1:4" ht="14">
      <c r="A34">
        <v>1</v>
      </c>
      <c r="B34" s="670" t="s">
        <v>1053</v>
      </c>
      <c r="C34" s="652"/>
      <c r="D34" s="653"/>
    </row>
    <row r="35" spans="1:4" ht="28">
      <c r="A35">
        <v>4</v>
      </c>
      <c r="B35" s="669" t="s">
        <v>1054</v>
      </c>
      <c r="C35" s="652"/>
      <c r="D35" s="653"/>
    </row>
    <row r="36" spans="1:4" ht="14">
      <c r="A36">
        <v>4</v>
      </c>
      <c r="B36" s="672" t="s">
        <v>1047</v>
      </c>
      <c r="C36" s="655"/>
      <c r="D36" s="668"/>
    </row>
    <row r="37" spans="1:4" ht="14">
      <c r="A37">
        <v>4</v>
      </c>
      <c r="B37" s="672" t="s">
        <v>1055</v>
      </c>
      <c r="C37" s="655"/>
      <c r="D37" s="668"/>
    </row>
    <row r="38" spans="1:4" ht="14">
      <c r="A38">
        <v>4</v>
      </c>
      <c r="B38" s="669" t="s">
        <v>1040</v>
      </c>
      <c r="C38" s="655"/>
      <c r="D38" s="668"/>
    </row>
    <row r="39" spans="1:4" ht="14">
      <c r="A39">
        <v>4</v>
      </c>
      <c r="B39" s="669" t="s">
        <v>1039</v>
      </c>
      <c r="C39" s="655"/>
      <c r="D39" s="668"/>
    </row>
    <row r="40" spans="1:4" ht="28">
      <c r="A40">
        <v>4</v>
      </c>
      <c r="B40" s="671" t="s">
        <v>1056</v>
      </c>
      <c r="C40" s="652">
        <f>SUM(C34:C39)</f>
        <v>0</v>
      </c>
      <c r="D40" s="653">
        <f>SUM(D34:D39)</f>
        <v>0</v>
      </c>
    </row>
    <row r="41" spans="1:4" ht="14">
      <c r="A41">
        <v>1</v>
      </c>
      <c r="B41" s="670" t="s">
        <v>1057</v>
      </c>
      <c r="C41" s="652"/>
      <c r="D41" s="653"/>
    </row>
    <row r="42" spans="1:4" ht="28">
      <c r="A42">
        <v>4</v>
      </c>
      <c r="B42" s="669" t="s">
        <v>1058</v>
      </c>
      <c r="C42" s="652"/>
      <c r="D42" s="653"/>
    </row>
    <row r="43" spans="1:4" ht="14">
      <c r="A43">
        <v>4</v>
      </c>
      <c r="B43" s="672" t="s">
        <v>1047</v>
      </c>
      <c r="C43" s="655"/>
      <c r="D43" s="668"/>
    </row>
    <row r="44" spans="1:4" ht="14">
      <c r="A44">
        <v>4</v>
      </c>
      <c r="B44" s="672" t="s">
        <v>1055</v>
      </c>
      <c r="C44" s="655"/>
      <c r="D44" s="668"/>
    </row>
    <row r="45" spans="1:4" ht="14">
      <c r="A45">
        <v>4</v>
      </c>
      <c r="B45" s="673" t="s">
        <v>1040</v>
      </c>
      <c r="C45" s="655"/>
      <c r="D45" s="668"/>
    </row>
    <row r="46" spans="1:4" ht="14">
      <c r="A46">
        <v>4</v>
      </c>
      <c r="B46" s="673" t="s">
        <v>1039</v>
      </c>
      <c r="C46" s="655"/>
      <c r="D46" s="668"/>
    </row>
    <row r="47" spans="1:4" ht="28">
      <c r="A47">
        <v>4</v>
      </c>
      <c r="B47" s="671" t="s">
        <v>1059</v>
      </c>
      <c r="C47" s="652">
        <f>SUM(C41:C46)</f>
        <v>0</v>
      </c>
      <c r="D47" s="653">
        <f>SUM(D41:D46)</f>
        <v>0</v>
      </c>
    </row>
    <row r="48" spans="1:4" ht="14">
      <c r="A48" s="261">
        <v>1</v>
      </c>
      <c r="B48" s="670" t="s">
        <v>1060</v>
      </c>
      <c r="C48" s="652">
        <f>SUM(C32,C40,C47)</f>
        <v>0</v>
      </c>
      <c r="D48" s="653">
        <f>SUM(D32,D40,D47)</f>
        <v>0</v>
      </c>
    </row>
    <row r="49" spans="1:4" ht="28">
      <c r="A49">
        <v>1</v>
      </c>
      <c r="B49" s="658" t="s">
        <v>1061</v>
      </c>
      <c r="C49" s="655"/>
      <c r="D49" s="668"/>
    </row>
    <row r="50" spans="1:4" ht="28">
      <c r="A50">
        <v>4</v>
      </c>
      <c r="B50" s="656" t="s">
        <v>1062</v>
      </c>
      <c r="C50" s="652"/>
      <c r="D50" s="653"/>
    </row>
    <row r="51" spans="1:4" ht="14">
      <c r="A51">
        <v>4</v>
      </c>
      <c r="B51" s="673" t="s">
        <v>1063</v>
      </c>
      <c r="C51" s="655"/>
      <c r="D51" s="668"/>
    </row>
    <row r="52" spans="1:4" ht="14">
      <c r="A52">
        <v>4</v>
      </c>
      <c r="B52" s="669" t="s">
        <v>1052</v>
      </c>
      <c r="C52" s="652"/>
      <c r="D52" s="653"/>
    </row>
    <row r="53" spans="1:4" ht="14">
      <c r="A53">
        <v>4</v>
      </c>
      <c r="B53" s="672" t="s">
        <v>1053</v>
      </c>
      <c r="C53" s="655"/>
      <c r="D53" s="668"/>
    </row>
    <row r="54" spans="1:4" ht="14">
      <c r="A54">
        <v>4</v>
      </c>
      <c r="B54" s="672" t="s">
        <v>1057</v>
      </c>
      <c r="C54" s="655"/>
      <c r="D54" s="668"/>
    </row>
    <row r="55" spans="1:4" ht="28">
      <c r="A55">
        <v>4</v>
      </c>
      <c r="B55" s="675" t="s">
        <v>1064</v>
      </c>
      <c r="C55" s="660">
        <f>SUM(C53:C54,C51)</f>
        <v>0</v>
      </c>
      <c r="D55" s="661">
        <f>SUM(D53:D54,D51)</f>
        <v>0</v>
      </c>
    </row>
  </sheetData>
  <sheetProtection password="817D" sheet="1" objects="1" scenarios="1" formatCells="0" formatColumns="0" formatRows="0"/>
  <conditionalFormatting sqref="C27:C33 C55:D55 C52:D52 C9:G20 C35:C40 C42:C50 D26:D50">
    <cfRule type="expression" dxfId="229" priority="8" stopIfTrue="1">
      <formula>AND(CELL("protect",C9)=1,CELL("type",C9)="v")</formula>
    </cfRule>
    <cfRule type="expression" dxfId="228" priority="9" stopIfTrue="1">
      <formula>CELL("protect",C9)</formula>
    </cfRule>
  </conditionalFormatting>
  <conditionalFormatting sqref="C51:D51">
    <cfRule type="expression" dxfId="227" priority="10" stopIfTrue="1">
      <formula>AND(C30&lt;&gt;0,C51=0)</formula>
    </cfRule>
  </conditionalFormatting>
  <conditionalFormatting sqref="C53:D53">
    <cfRule type="expression" dxfId="226" priority="11" stopIfTrue="1">
      <formula>AND(C38&lt;&gt;0,C53=0)</formula>
    </cfRule>
  </conditionalFormatting>
  <conditionalFormatting sqref="C54:D54">
    <cfRule type="expression" dxfId="225" priority="12" stopIfTrue="1">
      <formula>AND(C45&lt;&gt;0,C54=0)</formula>
    </cfRule>
  </conditionalFormatting>
  <conditionalFormatting sqref="C26">
    <cfRule type="expression" dxfId="224" priority="6" stopIfTrue="1">
      <formula>AND(CELL("protect",C26)=1,CELL("type",C26)="v")</formula>
    </cfRule>
    <cfRule type="expression" dxfId="223" priority="7" stopIfTrue="1">
      <formula>CELL("protect",C26)</formula>
    </cfRule>
  </conditionalFormatting>
  <conditionalFormatting sqref="C34">
    <cfRule type="expression" dxfId="222" priority="4" stopIfTrue="1">
      <formula>AND(CELL("protect",C34)=1,CELL("type",C34)="v")</formula>
    </cfRule>
    <cfRule type="expression" dxfId="221" priority="5" stopIfTrue="1">
      <formula>CELL("protect",C34)</formula>
    </cfRule>
  </conditionalFormatting>
  <conditionalFormatting sqref="C41">
    <cfRule type="expression" dxfId="220" priority="2" stopIfTrue="1">
      <formula>AND(CELL("protect",C41)=1,CELL("type",C41)="v")</formula>
    </cfRule>
    <cfRule type="expression" dxfId="219" priority="3" stopIfTrue="1">
      <formula>CELL("protect",C41)</formula>
    </cfRule>
  </conditionalFormatting>
  <hyperlinks>
    <hyperlink ref="D1" location="Information!A1" display="חזרה"/>
    <hyperlink ref="D22" location="Information!A1" display="חזרה"/>
    <hyperlink ref="C3" location="Information!A60" display="Information!A60"/>
  </hyperlinks>
  <pageMargins left="0" right="0" top="0" bottom="0.39370078740157483" header="0" footer="0.11811023622047245"/>
  <pageSetup paperSize="9" scale="92"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3B1651EC-B44F-4BE0-ADBE-FD4908F0E85E}">
            <xm:f>Information!$G$54&gt;0</xm:f>
            <x14:dxf>
              <font>
                <b/>
                <i val="0"/>
                <color theme="1"/>
              </font>
              <fill>
                <patternFill>
                  <bgColor rgb="FFFFFF00"/>
                </patternFill>
              </fill>
            </x14:dxf>
          </x14:cfRule>
          <xm:sqref>C3</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FF00"/>
  </sheetPr>
  <dimension ref="A1:E19"/>
  <sheetViews>
    <sheetView rightToLeft="1" workbookViewId="0"/>
  </sheetViews>
  <sheetFormatPr defaultRowHeight="12.5"/>
  <cols>
    <col min="2" max="2" width="29.453125" customWidth="1"/>
    <col min="3" max="4" width="10.54296875" customWidth="1"/>
    <col min="7" max="7" width="45.54296875" customWidth="1"/>
  </cols>
  <sheetData>
    <row r="1" spans="1:5" ht="18">
      <c r="A1" s="529"/>
      <c r="B1" s="15" t="str">
        <f>'B8'!B1</f>
        <v>_____חברה מנהלת</v>
      </c>
      <c r="C1" s="530"/>
      <c r="D1" s="642" t="s">
        <v>263</v>
      </c>
      <c r="E1" s="529"/>
    </row>
    <row r="2" spans="1:5" ht="18">
      <c r="A2" s="529"/>
      <c r="B2" s="111"/>
      <c r="C2" s="532"/>
      <c r="D2" s="532"/>
      <c r="E2" s="529"/>
    </row>
    <row r="3" spans="1:5" ht="15.5">
      <c r="A3" s="529"/>
      <c r="B3" s="28" t="str">
        <f>line3</f>
        <v>הנתונים באלפי ש"ח</v>
      </c>
      <c r="C3" s="1469" t="s">
        <v>3876</v>
      </c>
      <c r="D3" s="533" t="str">
        <f>Date1</f>
        <v>31.12.2021</v>
      </c>
      <c r="E3" s="529"/>
    </row>
    <row r="4" spans="1:5" ht="14">
      <c r="A4" s="529"/>
      <c r="B4" s="529"/>
      <c r="C4" s="588"/>
      <c r="D4" s="588"/>
      <c r="E4" s="588"/>
    </row>
    <row r="5" spans="1:5" ht="18">
      <c r="A5" s="529"/>
      <c r="B5" s="111" t="str">
        <f>Information!$C$29</f>
        <v>באור 10 - חייבים ויתרות חובה</v>
      </c>
      <c r="C5" s="588"/>
      <c r="D5" s="588"/>
      <c r="E5" s="588"/>
    </row>
    <row r="6" spans="1:5" ht="15.5">
      <c r="A6" s="535"/>
      <c r="B6" s="529"/>
      <c r="C6" s="529"/>
      <c r="D6" s="529"/>
      <c r="E6" s="529"/>
    </row>
    <row r="7" spans="1:5" ht="14">
      <c r="A7" s="536"/>
      <c r="B7" s="537"/>
      <c r="C7" s="538" t="str">
        <f>Date1</f>
        <v>31.12.2021</v>
      </c>
      <c r="D7" s="539" t="str">
        <f>Date3</f>
        <v>31.12.2020</v>
      </c>
      <c r="E7" s="529"/>
    </row>
    <row r="8" spans="1:5" ht="14">
      <c r="A8" s="536"/>
      <c r="B8" s="855"/>
      <c r="C8" s="754" t="s">
        <v>29</v>
      </c>
      <c r="D8" s="845" t="s">
        <v>41</v>
      </c>
      <c r="E8" s="529"/>
    </row>
    <row r="9" spans="1:5" ht="14">
      <c r="A9" s="529"/>
      <c r="B9" s="632" t="s">
        <v>1028</v>
      </c>
      <c r="C9" s="643"/>
      <c r="D9" s="644"/>
      <c r="E9" s="529"/>
    </row>
    <row r="10" spans="1:5" ht="14">
      <c r="A10" s="529"/>
      <c r="B10" s="632" t="s">
        <v>1029</v>
      </c>
      <c r="C10" s="643"/>
      <c r="D10" s="644"/>
      <c r="E10" s="529"/>
    </row>
    <row r="11" spans="1:5" ht="14">
      <c r="A11" s="529"/>
      <c r="B11" s="632" t="s">
        <v>1030</v>
      </c>
      <c r="C11" s="643"/>
      <c r="D11" s="644"/>
      <c r="E11" s="529"/>
    </row>
    <row r="12" spans="1:5" ht="14">
      <c r="A12" s="529"/>
      <c r="B12" s="632" t="s">
        <v>1031</v>
      </c>
      <c r="C12" s="643"/>
      <c r="D12" s="644"/>
      <c r="E12" s="529"/>
    </row>
    <row r="13" spans="1:5" ht="14">
      <c r="A13" s="529"/>
      <c r="B13" s="632" t="s">
        <v>1032</v>
      </c>
      <c r="C13" s="643"/>
      <c r="D13" s="644"/>
      <c r="E13" s="529"/>
    </row>
    <row r="14" spans="1:5" ht="14">
      <c r="B14" s="632" t="s">
        <v>313</v>
      </c>
      <c r="C14" s="643"/>
      <c r="D14" s="644"/>
    </row>
    <row r="15" spans="1:5" ht="14">
      <c r="B15" s="632" t="s">
        <v>1033</v>
      </c>
      <c r="C15" s="643"/>
      <c r="D15" s="644"/>
    </row>
    <row r="16" spans="1:5" ht="14">
      <c r="B16" s="632" t="s">
        <v>1034</v>
      </c>
      <c r="C16" s="643"/>
      <c r="D16" s="644"/>
    </row>
    <row r="17" spans="2:4" ht="14">
      <c r="B17" s="632" t="s">
        <v>1037</v>
      </c>
      <c r="C17" s="645">
        <f>SUM(C9:C16)</f>
        <v>0</v>
      </c>
      <c r="D17" s="646">
        <f>SUM(D9:D16)</f>
        <v>0</v>
      </c>
    </row>
    <row r="18" spans="2:4" ht="14">
      <c r="B18" s="632" t="s">
        <v>1035</v>
      </c>
      <c r="C18" s="643"/>
      <c r="D18" s="644"/>
    </row>
    <row r="19" spans="2:4" ht="14">
      <c r="B19" s="647" t="s">
        <v>1036</v>
      </c>
      <c r="C19" s="648">
        <f>C17-C18</f>
        <v>0</v>
      </c>
      <c r="D19" s="649">
        <f>D17-D18</f>
        <v>0</v>
      </c>
    </row>
  </sheetData>
  <sheetProtection password="8411" sheet="1" objects="1" scenarios="1" formatCells="0" formatColumns="0" formatRows="0"/>
  <conditionalFormatting sqref="C9:D19">
    <cfRule type="expression" dxfId="217" priority="2" stopIfTrue="1">
      <formula>AND(CELL("protect",C9)=1,CELL("type",C9)="v")</formula>
    </cfRule>
    <cfRule type="expression" dxfId="216" priority="3" stopIfTrue="1">
      <formula>CELL("protect",C9)</formula>
    </cfRule>
  </conditionalFormatting>
  <hyperlinks>
    <hyperlink ref="D1" location="Information!A1" display="חזרה"/>
    <hyperlink ref="C3" location="Information!A60" display="Information!A60"/>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6D25506E-26D4-4282-A1A9-BE384C4A4D0A}">
            <xm:f>Information!$G$54&gt;0</xm:f>
            <x14:dxf>
              <font>
                <b/>
                <i val="0"/>
                <color theme="1"/>
              </font>
              <fill>
                <patternFill>
                  <bgColor rgb="FFFFFF00"/>
                </patternFill>
              </fill>
            </x14:dxf>
          </x14:cfRule>
          <xm:sqref>C3</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pageSetUpPr fitToPage="1"/>
  </sheetPr>
  <dimension ref="A1:Q90"/>
  <sheetViews>
    <sheetView rightToLeft="1" workbookViewId="0">
      <selection activeCell="D1" sqref="D1"/>
    </sheetView>
  </sheetViews>
  <sheetFormatPr defaultColWidth="9.1796875" defaultRowHeight="12.5"/>
  <cols>
    <col min="1" max="1" width="4.54296875" style="529" customWidth="1"/>
    <col min="2" max="2" width="38.81640625" style="529" customWidth="1"/>
    <col min="3" max="3" width="12.1796875" style="529" customWidth="1"/>
    <col min="4" max="4" width="10.453125" style="529" customWidth="1"/>
    <col min="5" max="6" width="9.1796875" style="529"/>
    <col min="7" max="7" width="0" style="529" hidden="1" customWidth="1"/>
    <col min="8" max="8" width="12.453125" style="529" customWidth="1"/>
    <col min="9" max="11" width="9.1796875" style="529"/>
    <col min="12" max="12" width="10.1796875" style="529" bestFit="1" customWidth="1"/>
    <col min="13" max="16384" width="9.1796875" style="529"/>
  </cols>
  <sheetData>
    <row r="1" spans="1:17" ht="18">
      <c r="B1" s="15" t="str">
        <f>'B8'!B1</f>
        <v>_____חברה מנהלת</v>
      </c>
      <c r="C1" s="530"/>
      <c r="D1" s="642" t="s">
        <v>263</v>
      </c>
      <c r="L1" s="531" t="str">
        <f>date</f>
        <v>21</v>
      </c>
      <c r="M1" s="529" t="e">
        <f>VLOOKUP(L1,O4:Q11,3,0)</f>
        <v>#N/A</v>
      </c>
      <c r="N1" s="529" t="str">
        <f>CONCATENATE(N2,N2)</f>
        <v/>
      </c>
    </row>
    <row r="2" spans="1:17" ht="18">
      <c r="B2" s="111" t="str">
        <f>Information!$C$25</f>
        <v>באור 9א' - נדל"ן להשקעה</v>
      </c>
      <c r="C2" s="532"/>
      <c r="D2" s="532"/>
      <c r="L2" s="531" t="e">
        <f>INDEX($O$4:$O$11,$M$1+1)</f>
        <v>#N/A</v>
      </c>
    </row>
    <row r="3" spans="1:17" ht="15.5">
      <c r="B3" s="28" t="str">
        <f>line3</f>
        <v>הנתונים באלפי ש"ח</v>
      </c>
      <c r="C3" s="1469" t="s">
        <v>3876</v>
      </c>
      <c r="D3" s="533" t="str">
        <f>Date1</f>
        <v>31.12.2021</v>
      </c>
      <c r="L3" s="531" t="e">
        <f>INDEX($O$4:$O$11,$M$1+2)</f>
        <v>#N/A</v>
      </c>
    </row>
    <row r="4" spans="1:17" ht="14">
      <c r="C4" s="588"/>
      <c r="D4" s="588"/>
      <c r="E4" s="588"/>
      <c r="F4" s="588"/>
      <c r="G4" s="588"/>
      <c r="H4" s="588"/>
      <c r="I4" s="588"/>
      <c r="J4" s="588"/>
      <c r="K4" s="588"/>
      <c r="L4" s="529" t="e">
        <f>INDEX($P$4:$P$11,M1)</f>
        <v>#N/A</v>
      </c>
      <c r="O4" s="529" t="s">
        <v>333</v>
      </c>
      <c r="P4" s="529">
        <v>2012</v>
      </c>
      <c r="Q4" s="529">
        <v>1</v>
      </c>
    </row>
    <row r="5" spans="1:17" ht="15.75" customHeight="1">
      <c r="B5" s="111" t="str">
        <f>Information!$C$25</f>
        <v>באור 9א' - נדל"ן להשקעה</v>
      </c>
      <c r="C5" s="588"/>
      <c r="D5" s="588"/>
      <c r="E5" s="588"/>
      <c r="F5" s="630">
        <f>SUM(C24:F24)</f>
        <v>0</v>
      </c>
      <c r="G5" s="588"/>
      <c r="H5" s="588"/>
      <c r="I5" s="588"/>
      <c r="J5" s="588"/>
      <c r="K5" s="588"/>
      <c r="L5" s="529" t="e">
        <f>INDEX($P$4:$P$11,M1+1)</f>
        <v>#N/A</v>
      </c>
      <c r="O5" s="529" t="s">
        <v>797</v>
      </c>
      <c r="P5" s="529">
        <v>2011</v>
      </c>
      <c r="Q5" s="529">
        <v>2</v>
      </c>
    </row>
    <row r="6" spans="1:17" ht="15.5">
      <c r="A6" s="535"/>
      <c r="L6" s="529" t="e">
        <f>INDEX($P$4:$P$11,M1+2)</f>
        <v>#N/A</v>
      </c>
      <c r="O6" s="529" t="s">
        <v>915</v>
      </c>
      <c r="P6" s="529">
        <v>2010</v>
      </c>
      <c r="Q6" s="529">
        <v>3</v>
      </c>
    </row>
    <row r="7" spans="1:17" ht="14">
      <c r="A7" s="536"/>
      <c r="B7" s="537"/>
      <c r="C7" s="538" t="str">
        <f>Date1</f>
        <v>31.12.2021</v>
      </c>
      <c r="D7" s="539" t="str">
        <f>Date3</f>
        <v>31.12.2020</v>
      </c>
      <c r="O7" s="529" t="s">
        <v>921</v>
      </c>
      <c r="P7" s="529">
        <v>2009</v>
      </c>
      <c r="Q7" s="529">
        <v>4</v>
      </c>
    </row>
    <row r="8" spans="1:17" ht="14">
      <c r="A8" s="536"/>
      <c r="B8" s="855"/>
      <c r="C8" s="754" t="s">
        <v>29</v>
      </c>
      <c r="D8" s="845" t="s">
        <v>41</v>
      </c>
    </row>
    <row r="9" spans="1:17" ht="14">
      <c r="B9" s="631" t="s">
        <v>1006</v>
      </c>
      <c r="C9" s="544"/>
      <c r="D9" s="566"/>
      <c r="H9" s="541">
        <f>SUM(H4:H7)</f>
        <v>0</v>
      </c>
      <c r="L9" s="529" t="s">
        <v>901</v>
      </c>
      <c r="O9" s="529" t="s">
        <v>923</v>
      </c>
      <c r="P9" s="529">
        <v>2008</v>
      </c>
      <c r="Q9" s="529">
        <v>5</v>
      </c>
    </row>
    <row r="10" spans="1:17" ht="14">
      <c r="B10" s="631" t="s">
        <v>954</v>
      </c>
      <c r="C10" s="541"/>
      <c r="D10" s="542"/>
      <c r="H10" s="544"/>
      <c r="L10" s="529" t="s">
        <v>925</v>
      </c>
      <c r="O10" s="529" t="s">
        <v>926</v>
      </c>
      <c r="P10" s="529">
        <v>2007</v>
      </c>
      <c r="Q10" s="529">
        <v>6</v>
      </c>
    </row>
    <row r="11" spans="1:17" ht="14">
      <c r="B11" s="586" t="s">
        <v>1007</v>
      </c>
      <c r="C11" s="544"/>
      <c r="D11" s="566"/>
      <c r="H11" s="541"/>
      <c r="L11" s="529" t="s">
        <v>928</v>
      </c>
      <c r="O11" s="529" t="s">
        <v>929</v>
      </c>
      <c r="P11" s="529">
        <v>2006</v>
      </c>
      <c r="Q11" s="529">
        <v>7</v>
      </c>
    </row>
    <row r="12" spans="1:17" ht="14">
      <c r="B12" s="586" t="s">
        <v>1008</v>
      </c>
      <c r="C12" s="544"/>
      <c r="D12" s="566"/>
    </row>
    <row r="13" spans="1:17" ht="14">
      <c r="A13" s="1165"/>
      <c r="B13" s="586" t="s">
        <v>2715</v>
      </c>
      <c r="C13" s="544"/>
      <c r="D13" s="566"/>
    </row>
    <row r="14" spans="1:17" ht="14">
      <c r="B14" s="586" t="s">
        <v>1009</v>
      </c>
      <c r="C14" s="544"/>
      <c r="D14" s="566"/>
    </row>
    <row r="15" spans="1:17" ht="14">
      <c r="B15" s="631" t="s">
        <v>946</v>
      </c>
      <c r="C15" s="541">
        <f>SUM(C11:C14)</f>
        <v>0</v>
      </c>
      <c r="D15" s="542">
        <f>SUM(D11:D14)</f>
        <v>0</v>
      </c>
    </row>
    <row r="16" spans="1:17" ht="14">
      <c r="B16" s="631" t="s">
        <v>1010</v>
      </c>
      <c r="C16" s="541"/>
      <c r="D16" s="542"/>
    </row>
    <row r="17" spans="2:4" ht="14">
      <c r="B17" s="586" t="s">
        <v>1011</v>
      </c>
      <c r="C17" s="544"/>
      <c r="D17" s="566"/>
    </row>
    <row r="18" spans="2:4" ht="14">
      <c r="B18" s="586" t="s">
        <v>961</v>
      </c>
      <c r="C18" s="544"/>
      <c r="D18" s="566"/>
    </row>
    <row r="19" spans="2:4" ht="14">
      <c r="B19" s="586" t="s">
        <v>1012</v>
      </c>
      <c r="C19" s="544"/>
      <c r="D19" s="566"/>
    </row>
    <row r="20" spans="2:4" ht="14">
      <c r="B20" s="586" t="s">
        <v>1013</v>
      </c>
      <c r="C20" s="544"/>
      <c r="D20" s="566"/>
    </row>
    <row r="21" spans="2:4" ht="14">
      <c r="B21" s="631" t="s">
        <v>1014</v>
      </c>
      <c r="C21" s="541">
        <f>SUM(C17:C20)</f>
        <v>0</v>
      </c>
      <c r="D21" s="542">
        <f>SUM(D17:D20)</f>
        <v>0</v>
      </c>
    </row>
    <row r="22" spans="2:4" ht="28">
      <c r="B22" s="631" t="s">
        <v>933</v>
      </c>
      <c r="C22" s="544"/>
      <c r="D22" s="566"/>
    </row>
    <row r="23" spans="2:4" ht="14">
      <c r="B23" s="631" t="s">
        <v>1534</v>
      </c>
      <c r="C23" s="544"/>
      <c r="D23" s="566"/>
    </row>
    <row r="24" spans="2:4" ht="14">
      <c r="B24" s="631" t="s">
        <v>1015</v>
      </c>
      <c r="C24" s="541">
        <f>C9+C15-C21+C23+C22</f>
        <v>0</v>
      </c>
      <c r="D24" s="542">
        <f>D9+D15-D21+D23+D22</f>
        <v>0</v>
      </c>
    </row>
    <row r="25" spans="2:4" ht="14">
      <c r="B25" s="631" t="s">
        <v>1016</v>
      </c>
      <c r="C25" s="541"/>
      <c r="D25" s="542"/>
    </row>
    <row r="26" spans="2:4" ht="14">
      <c r="B26" s="585" t="s">
        <v>1017</v>
      </c>
      <c r="C26" s="544"/>
      <c r="D26" s="566"/>
    </row>
    <row r="27" spans="2:4" ht="14">
      <c r="B27" s="585" t="s">
        <v>1018</v>
      </c>
      <c r="C27" s="544"/>
      <c r="D27" s="566"/>
    </row>
    <row r="28" spans="2:4" ht="14">
      <c r="B28" s="633" t="s">
        <v>1019</v>
      </c>
      <c r="C28" s="608"/>
      <c r="D28" s="567"/>
    </row>
    <row r="31" spans="2:4" ht="18">
      <c r="B31" s="111" t="str">
        <f>Information!$C$26</f>
        <v>באור 9ב' - סכומים שהוכרו בדוח רווח והפסד</v>
      </c>
      <c r="D31" s="642" t="s">
        <v>263</v>
      </c>
    </row>
    <row r="33" spans="1:8" s="1251" customFormat="1" ht="14">
      <c r="B33" s="1248"/>
      <c r="C33" s="1249" t="str">
        <f>Period1</f>
        <v>שנת 2021</v>
      </c>
      <c r="D33" s="639" t="str">
        <f>Period2</f>
        <v>שנת 2020</v>
      </c>
      <c r="E33" s="1250" t="str">
        <f>Period5</f>
        <v>שנת 2019</v>
      </c>
    </row>
    <row r="34" spans="1:8" ht="14">
      <c r="B34" s="856"/>
      <c r="C34" s="754" t="s">
        <v>29</v>
      </c>
      <c r="D34" s="754" t="s">
        <v>41</v>
      </c>
      <c r="E34" s="845" t="s">
        <v>63</v>
      </c>
    </row>
    <row r="35" spans="1:8" ht="15.5">
      <c r="B35" s="640" t="s">
        <v>1020</v>
      </c>
      <c r="C35" s="634"/>
      <c r="D35" s="634"/>
      <c r="E35" s="635"/>
      <c r="H35" s="460"/>
    </row>
    <row r="36" spans="1:8" ht="28">
      <c r="B36" s="640" t="s">
        <v>1021</v>
      </c>
      <c r="C36" s="634"/>
      <c r="D36" s="634"/>
      <c r="E36" s="635"/>
      <c r="H36" s="462"/>
    </row>
    <row r="37" spans="1:8" ht="28">
      <c r="B37" s="640" t="s">
        <v>1022</v>
      </c>
      <c r="C37" s="634"/>
      <c r="D37" s="634"/>
      <c r="E37" s="635"/>
      <c r="H37" s="462"/>
    </row>
    <row r="38" spans="1:8" ht="14">
      <c r="B38" s="641" t="s">
        <v>1025</v>
      </c>
      <c r="C38" s="636">
        <f>SUM(C35:C37)</f>
        <v>0</v>
      </c>
      <c r="D38" s="636">
        <f>SUM(D35:D37)</f>
        <v>0</v>
      </c>
      <c r="E38" s="637">
        <f>SUM(E35:E37)</f>
        <v>0</v>
      </c>
    </row>
    <row r="40" spans="1:8" ht="18">
      <c r="A40" s="1165"/>
      <c r="B40" s="111" t="str">
        <f>Information!$C$27</f>
        <v>באור 9ג - שווי הוגן של נדל"ן להשקעה בחלוקה לרמות</v>
      </c>
      <c r="C40" s="593"/>
      <c r="D40" s="593"/>
      <c r="E40" s="593"/>
      <c r="F40" s="20" t="s">
        <v>263</v>
      </c>
    </row>
    <row r="41" spans="1:8" ht="13">
      <c r="B41" s="593"/>
      <c r="C41" s="593"/>
      <c r="D41" s="593"/>
      <c r="E41" s="593"/>
    </row>
    <row r="42" spans="1:8" ht="15.5">
      <c r="B42" s="1372"/>
      <c r="C42" s="1925" t="s">
        <v>1105</v>
      </c>
      <c r="D42" s="1926"/>
      <c r="E42" s="1926"/>
      <c r="F42" s="1927"/>
    </row>
    <row r="43" spans="1:8" ht="15.5">
      <c r="B43" s="1373"/>
      <c r="C43" s="1374" t="s">
        <v>1106</v>
      </c>
      <c r="D43" s="1375" t="s">
        <v>1107</v>
      </c>
      <c r="E43" s="1375" t="s">
        <v>1108</v>
      </c>
      <c r="F43" s="1376" t="s">
        <v>1109</v>
      </c>
    </row>
    <row r="44" spans="1:8" ht="15.5">
      <c r="B44" s="1377" t="str">
        <f>C7</f>
        <v>31.12.2021</v>
      </c>
      <c r="C44" s="1378"/>
      <c r="D44" s="1379"/>
      <c r="E44" s="1380"/>
      <c r="F44" s="1376"/>
    </row>
    <row r="45" spans="1:8" ht="14">
      <c r="B45" s="1381" t="s">
        <v>2859</v>
      </c>
      <c r="C45" s="1382"/>
      <c r="D45" s="1382"/>
      <c r="E45" s="1382"/>
      <c r="F45" s="1383">
        <f>SUM(C45:E45)</f>
        <v>0</v>
      </c>
    </row>
    <row r="46" spans="1:8" ht="14">
      <c r="B46" s="1381" t="s">
        <v>2860</v>
      </c>
      <c r="C46" s="1382"/>
      <c r="D46" s="1382"/>
      <c r="E46" s="1382"/>
      <c r="F46" s="1383">
        <f>SUM(C46:E46)</f>
        <v>0</v>
      </c>
    </row>
    <row r="47" spans="1:8" ht="14">
      <c r="B47" s="1381" t="s">
        <v>70</v>
      </c>
      <c r="C47" s="1382"/>
      <c r="D47" s="1382"/>
      <c r="E47" s="1382"/>
      <c r="F47" s="1383">
        <f>SUM(C47:E47)</f>
        <v>0</v>
      </c>
    </row>
    <row r="48" spans="1:8" ht="14" hidden="1">
      <c r="B48" s="1381"/>
      <c r="C48" s="1382"/>
      <c r="D48" s="1382"/>
      <c r="E48" s="1382"/>
      <c r="F48" s="1383">
        <f>SUM(C48:E48)</f>
        <v>0</v>
      </c>
    </row>
    <row r="49" spans="1:11" ht="14" hidden="1">
      <c r="B49" s="1381"/>
      <c r="C49" s="1384"/>
      <c r="D49" s="1384"/>
      <c r="E49" s="1384"/>
      <c r="F49" s="1385"/>
    </row>
    <row r="50" spans="1:11" ht="14">
      <c r="B50" s="1386" t="s">
        <v>2861</v>
      </c>
      <c r="C50" s="1387">
        <f>SUM(C45:C48)</f>
        <v>0</v>
      </c>
      <c r="D50" s="1387">
        <f>SUM(D45:D48)</f>
        <v>0</v>
      </c>
      <c r="E50" s="1387">
        <f>SUM(E45:E48)</f>
        <v>0</v>
      </c>
      <c r="F50" s="1388">
        <f>SUM(C50:E50)</f>
        <v>0</v>
      </c>
    </row>
    <row r="51" spans="1:11" ht="15.5">
      <c r="B51" s="1389"/>
      <c r="C51" s="1375" t="s">
        <v>1106</v>
      </c>
      <c r="D51" s="1375" t="s">
        <v>1107</v>
      </c>
      <c r="E51" s="1375" t="s">
        <v>1108</v>
      </c>
      <c r="F51" s="1376" t="s">
        <v>1109</v>
      </c>
    </row>
    <row r="52" spans="1:11" ht="15.5">
      <c r="B52" s="1390" t="str">
        <f>D7</f>
        <v>31.12.2020</v>
      </c>
      <c r="C52" s="1375"/>
      <c r="D52" s="1375"/>
      <c r="E52" s="1375"/>
      <c r="F52" s="1376"/>
    </row>
    <row r="53" spans="1:11" ht="14">
      <c r="B53" s="545" t="str">
        <f t="shared" ref="B53:B58" si="0">B45</f>
        <v>נדל"ן מסחרי</v>
      </c>
      <c r="C53" s="1382"/>
      <c r="D53" s="1382"/>
      <c r="E53" s="1382"/>
      <c r="F53" s="1383">
        <f>SUM(C53:E53)</f>
        <v>0</v>
      </c>
    </row>
    <row r="54" spans="1:11" ht="14">
      <c r="B54" s="545" t="str">
        <f t="shared" si="0"/>
        <v>נדל"ן משרדים</v>
      </c>
      <c r="C54" s="1382"/>
      <c r="D54" s="1382"/>
      <c r="E54" s="1382"/>
      <c r="F54" s="1383">
        <f>SUM(C54:E54)</f>
        <v>0</v>
      </c>
    </row>
    <row r="55" spans="1:11" ht="14">
      <c r="B55" s="545" t="str">
        <f t="shared" si="0"/>
        <v>אחר</v>
      </c>
      <c r="C55" s="1382"/>
      <c r="D55" s="1382"/>
      <c r="E55" s="1382"/>
      <c r="F55" s="1383">
        <f>SUM(C55:E55)</f>
        <v>0</v>
      </c>
    </row>
    <row r="56" spans="1:11" ht="14" hidden="1">
      <c r="B56" s="545">
        <f t="shared" si="0"/>
        <v>0</v>
      </c>
      <c r="C56" s="1382"/>
      <c r="D56" s="1382"/>
      <c r="E56" s="1382"/>
      <c r="F56" s="1383">
        <f>SUM(C56:E56)</f>
        <v>0</v>
      </c>
    </row>
    <row r="57" spans="1:11" ht="14" hidden="1">
      <c r="B57" s="545">
        <f t="shared" si="0"/>
        <v>0</v>
      </c>
      <c r="C57" s="1384"/>
      <c r="D57" s="1384"/>
      <c r="E57" s="1384"/>
      <c r="F57" s="1385"/>
    </row>
    <row r="58" spans="1:11" ht="14">
      <c r="B58" s="1386" t="str">
        <f t="shared" si="0"/>
        <v>סה"כ שווי הוגן של נדל"ן להשקעה</v>
      </c>
      <c r="C58" s="1387">
        <f>SUM(C53:C56)</f>
        <v>0</v>
      </c>
      <c r="D58" s="1387">
        <f>SUM(D53:D56)</f>
        <v>0</v>
      </c>
      <c r="E58" s="1387">
        <f>SUM(E53:E56)</f>
        <v>0</v>
      </c>
      <c r="F58" s="1388">
        <f>SUM(C58:E58)</f>
        <v>0</v>
      </c>
    </row>
    <row r="60" spans="1:11" ht="18">
      <c r="A60" s="1165"/>
      <c r="B60" s="111" t="str">
        <f>Information!$C$28</f>
        <v>באור 9ד - נדל"ן להשקעה הנמדד בשווי הוגן ברמה 3</v>
      </c>
    </row>
    <row r="61" spans="1:11" ht="15.5">
      <c r="F61" s="20" t="s">
        <v>263</v>
      </c>
    </row>
    <row r="62" spans="1:11" ht="25">
      <c r="B62" s="1391"/>
      <c r="C62" s="1392" t="str">
        <f>B45</f>
        <v>נדל"ן מסחרי</v>
      </c>
      <c r="D62" s="1392" t="str">
        <f>B46</f>
        <v>נדל"ן משרדים</v>
      </c>
      <c r="E62" s="1392" t="str">
        <f>B47</f>
        <v>אחר</v>
      </c>
      <c r="F62" s="1392"/>
      <c r="G62" s="1392"/>
      <c r="H62" s="1393" t="s">
        <v>272</v>
      </c>
    </row>
    <row r="63" spans="1:11" ht="14">
      <c r="B63" s="543" t="s">
        <v>934</v>
      </c>
      <c r="C63" s="1371"/>
      <c r="D63" s="1371"/>
      <c r="E63" s="1371"/>
      <c r="F63" s="1371"/>
      <c r="G63" s="1371"/>
      <c r="H63" s="542"/>
      <c r="K63" s="1400" t="str">
        <f>RIGHT('2'!$G$4,4)</f>
        <v>2019</v>
      </c>
    </row>
    <row r="64" spans="1:11" ht="14">
      <c r="B64" s="543" t="str">
        <f>CONCATENATE($K$65,$K$64)</f>
        <v>יתרה ל-1 בינואר 2021</v>
      </c>
      <c r="C64" s="1399"/>
      <c r="D64" s="1399"/>
      <c r="E64" s="1399"/>
      <c r="F64" s="1399"/>
      <c r="G64" s="1394">
        <f>G89</f>
        <v>0</v>
      </c>
      <c r="H64" s="1383">
        <f>SUM(C64:G64)</f>
        <v>0</v>
      </c>
      <c r="K64" s="1400" t="str">
        <f>RIGHT('2'!$C$4,4)</f>
        <v>2021</v>
      </c>
    </row>
    <row r="65" spans="2:11" ht="14">
      <c r="B65" s="545" t="s">
        <v>1007</v>
      </c>
      <c r="C65" s="1382"/>
      <c r="D65" s="1382"/>
      <c r="E65" s="1382"/>
      <c r="F65" s="1382"/>
      <c r="G65" s="1382"/>
      <c r="H65" s="1383">
        <f t="shared" ref="H65:H76" si="1">SUM(C65:G65)</f>
        <v>0</v>
      </c>
      <c r="K65" s="529" t="s">
        <v>2862</v>
      </c>
    </row>
    <row r="66" spans="2:11" ht="14">
      <c r="B66" s="545" t="s">
        <v>1008</v>
      </c>
      <c r="C66" s="1382"/>
      <c r="D66" s="1382"/>
      <c r="E66" s="1382"/>
      <c r="F66" s="1382"/>
      <c r="G66" s="1382"/>
      <c r="H66" s="1383">
        <f t="shared" si="1"/>
        <v>0</v>
      </c>
      <c r="K66" s="529" t="s">
        <v>2863</v>
      </c>
    </row>
    <row r="67" spans="2:11" ht="14">
      <c r="B67" s="545" t="s">
        <v>2715</v>
      </c>
      <c r="C67" s="1382"/>
      <c r="D67" s="1382"/>
      <c r="E67" s="1382"/>
      <c r="F67" s="1382"/>
      <c r="G67" s="1382"/>
      <c r="H67" s="1383">
        <f t="shared" si="1"/>
        <v>0</v>
      </c>
    </row>
    <row r="68" spans="2:11" ht="14">
      <c r="B68" s="545" t="s">
        <v>1009</v>
      </c>
      <c r="C68" s="1382"/>
      <c r="D68" s="1382"/>
      <c r="E68" s="1382"/>
      <c r="F68" s="1382"/>
      <c r="G68" s="1382"/>
      <c r="H68" s="1383">
        <f t="shared" si="1"/>
        <v>0</v>
      </c>
    </row>
    <row r="69" spans="2:11" ht="14">
      <c r="B69" s="545" t="s">
        <v>1011</v>
      </c>
      <c r="C69" s="1382"/>
      <c r="D69" s="1382"/>
      <c r="E69" s="1382"/>
      <c r="F69" s="1382"/>
      <c r="G69" s="1382"/>
      <c r="H69" s="1383">
        <f t="shared" si="1"/>
        <v>0</v>
      </c>
    </row>
    <row r="70" spans="2:11" ht="14">
      <c r="B70" s="545" t="s">
        <v>961</v>
      </c>
      <c r="C70" s="1382"/>
      <c r="D70" s="1382"/>
      <c r="E70" s="1382"/>
      <c r="F70" s="1382"/>
      <c r="G70" s="1382"/>
      <c r="H70" s="1383">
        <f t="shared" si="1"/>
        <v>0</v>
      </c>
    </row>
    <row r="71" spans="2:11" ht="14">
      <c r="B71" s="545" t="s">
        <v>1012</v>
      </c>
      <c r="C71" s="1382"/>
      <c r="D71" s="1382"/>
      <c r="E71" s="1382"/>
      <c r="F71" s="1382"/>
      <c r="G71" s="1382"/>
      <c r="H71" s="1383">
        <f t="shared" si="1"/>
        <v>0</v>
      </c>
    </row>
    <row r="72" spans="2:11" ht="14">
      <c r="B72" s="545" t="s">
        <v>1013</v>
      </c>
      <c r="C72" s="1382"/>
      <c r="D72" s="1382"/>
      <c r="E72" s="1382"/>
      <c r="F72" s="1382"/>
      <c r="G72" s="1382"/>
      <c r="H72" s="1383">
        <f t="shared" si="1"/>
        <v>0</v>
      </c>
    </row>
    <row r="73" spans="2:11" ht="14">
      <c r="B73" s="545" t="s">
        <v>2864</v>
      </c>
      <c r="C73" s="1382"/>
      <c r="D73" s="1382"/>
      <c r="E73" s="1382"/>
      <c r="F73" s="1382"/>
      <c r="G73" s="1382"/>
      <c r="H73" s="1383">
        <f t="shared" si="1"/>
        <v>0</v>
      </c>
    </row>
    <row r="74" spans="2:11" ht="14">
      <c r="B74" s="545" t="s">
        <v>2865</v>
      </c>
      <c r="C74" s="1397"/>
      <c r="D74" s="1397"/>
      <c r="E74" s="1397"/>
      <c r="F74" s="1397"/>
      <c r="G74" s="1397"/>
      <c r="H74" s="1398"/>
    </row>
    <row r="75" spans="2:11" ht="14">
      <c r="B75" s="543" t="str">
        <f>CONCATENATE($K$66,$K$64)</f>
        <v>יתרה ל-31 דצמבר 2021</v>
      </c>
      <c r="C75" s="1394">
        <f>SUM(C64:C74)</f>
        <v>0</v>
      </c>
      <c r="D75" s="1394">
        <f>SUM(D64:D74)</f>
        <v>0</v>
      </c>
      <c r="E75" s="1394">
        <f>SUM(E64:E74)</f>
        <v>0</v>
      </c>
      <c r="F75" s="1394">
        <f>SUM(F64:F74)</f>
        <v>0</v>
      </c>
      <c r="G75" s="1394">
        <f>SUM(G64:G73)</f>
        <v>0</v>
      </c>
      <c r="H75" s="1383">
        <f t="shared" si="1"/>
        <v>0</v>
      </c>
    </row>
    <row r="76" spans="2:11" ht="28">
      <c r="B76" s="543" t="s">
        <v>2858</v>
      </c>
      <c r="C76" s="1382"/>
      <c r="D76" s="1382"/>
      <c r="E76" s="1382"/>
      <c r="F76" s="1382"/>
      <c r="G76" s="1382"/>
      <c r="H76" s="1383">
        <f t="shared" si="1"/>
        <v>0</v>
      </c>
    </row>
    <row r="77" spans="2:11" ht="14">
      <c r="B77" s="543" t="s">
        <v>924</v>
      </c>
      <c r="C77" s="1395"/>
      <c r="D77" s="1395"/>
      <c r="E77" s="1395"/>
      <c r="F77" s="1395"/>
      <c r="G77" s="1395"/>
      <c r="H77" s="1396"/>
    </row>
    <row r="78" spans="2:11" ht="14">
      <c r="B78" s="543" t="str">
        <f>CONCATENATE($K$65,$K$63)</f>
        <v>יתרה ל-1 בינואר 2019</v>
      </c>
      <c r="C78" s="1382"/>
      <c r="D78" s="1382"/>
      <c r="E78" s="1382"/>
      <c r="F78" s="1382"/>
      <c r="G78" s="1382"/>
      <c r="H78" s="1383">
        <f>SUM(C78:G78)</f>
        <v>0</v>
      </c>
    </row>
    <row r="79" spans="2:11" ht="14">
      <c r="B79" s="545" t="s">
        <v>1007</v>
      </c>
      <c r="C79" s="1382"/>
      <c r="D79" s="1382"/>
      <c r="E79" s="1382"/>
      <c r="F79" s="1382"/>
      <c r="G79" s="1382"/>
      <c r="H79" s="1383">
        <f t="shared" ref="H79:H90" si="2">SUM(C79:G79)</f>
        <v>0</v>
      </c>
    </row>
    <row r="80" spans="2:11" ht="14">
      <c r="B80" s="545" t="s">
        <v>1008</v>
      </c>
      <c r="C80" s="1382"/>
      <c r="D80" s="1382"/>
      <c r="E80" s="1382"/>
      <c r="F80" s="1382"/>
      <c r="G80" s="1382"/>
      <c r="H80" s="1383">
        <f t="shared" si="2"/>
        <v>0</v>
      </c>
    </row>
    <row r="81" spans="2:8" ht="14">
      <c r="B81" s="545" t="s">
        <v>2715</v>
      </c>
      <c r="C81" s="1382"/>
      <c r="D81" s="1382"/>
      <c r="E81" s="1382"/>
      <c r="F81" s="1382"/>
      <c r="G81" s="1382"/>
      <c r="H81" s="1383">
        <f t="shared" si="2"/>
        <v>0</v>
      </c>
    </row>
    <row r="82" spans="2:8" ht="14">
      <c r="B82" s="545" t="s">
        <v>1009</v>
      </c>
      <c r="C82" s="1382"/>
      <c r="D82" s="1382"/>
      <c r="E82" s="1382"/>
      <c r="F82" s="1382"/>
      <c r="G82" s="1382"/>
      <c r="H82" s="1383">
        <f t="shared" si="2"/>
        <v>0</v>
      </c>
    </row>
    <row r="83" spans="2:8" ht="14">
      <c r="B83" s="545" t="s">
        <v>1011</v>
      </c>
      <c r="C83" s="1382"/>
      <c r="D83" s="1382"/>
      <c r="E83" s="1382"/>
      <c r="F83" s="1382"/>
      <c r="G83" s="1382"/>
      <c r="H83" s="1383">
        <f t="shared" si="2"/>
        <v>0</v>
      </c>
    </row>
    <row r="84" spans="2:8" ht="14">
      <c r="B84" s="545" t="s">
        <v>961</v>
      </c>
      <c r="C84" s="1382"/>
      <c r="D84" s="1382"/>
      <c r="E84" s="1382"/>
      <c r="F84" s="1382"/>
      <c r="G84" s="1382"/>
      <c r="H84" s="1383">
        <f t="shared" si="2"/>
        <v>0</v>
      </c>
    </row>
    <row r="85" spans="2:8" ht="14">
      <c r="B85" s="545" t="s">
        <v>1012</v>
      </c>
      <c r="C85" s="1382"/>
      <c r="D85" s="1382"/>
      <c r="E85" s="1382"/>
      <c r="F85" s="1382"/>
      <c r="G85" s="1382"/>
      <c r="H85" s="1383">
        <f t="shared" si="2"/>
        <v>0</v>
      </c>
    </row>
    <row r="86" spans="2:8" ht="14">
      <c r="B86" s="545" t="s">
        <v>1013</v>
      </c>
      <c r="C86" s="1382"/>
      <c r="D86" s="1382"/>
      <c r="E86" s="1382"/>
      <c r="F86" s="1382"/>
      <c r="G86" s="1382"/>
      <c r="H86" s="1383">
        <f t="shared" si="2"/>
        <v>0</v>
      </c>
    </row>
    <row r="87" spans="2:8" ht="14">
      <c r="B87" s="545" t="s">
        <v>2864</v>
      </c>
      <c r="C87" s="1382"/>
      <c r="D87" s="1382"/>
      <c r="E87" s="1382"/>
      <c r="F87" s="1382"/>
      <c r="G87" s="1382"/>
      <c r="H87" s="1383">
        <f t="shared" si="2"/>
        <v>0</v>
      </c>
    </row>
    <row r="88" spans="2:8" ht="14">
      <c r="B88" s="545" t="s">
        <v>2865</v>
      </c>
      <c r="C88" s="1397"/>
      <c r="D88" s="1397"/>
      <c r="E88" s="1397"/>
      <c r="F88" s="1397"/>
      <c r="G88" s="1397"/>
      <c r="H88" s="1398"/>
    </row>
    <row r="89" spans="2:8" ht="14">
      <c r="B89" s="543" t="str">
        <f>CONCATENATE($K$66,$K$63)</f>
        <v>יתרה ל-31 דצמבר 2019</v>
      </c>
      <c r="C89" s="1394">
        <f>SUM(C78:C88)</f>
        <v>0</v>
      </c>
      <c r="D89" s="1394">
        <f>SUM(D78:D88)</f>
        <v>0</v>
      </c>
      <c r="E89" s="1394">
        <f>SUM(E78:E88)</f>
        <v>0</v>
      </c>
      <c r="F89" s="1394">
        <f>SUM(F78:F88)</f>
        <v>0</v>
      </c>
      <c r="G89" s="1394">
        <f>SUM(G78:G87)</f>
        <v>0</v>
      </c>
      <c r="H89" s="1383">
        <f t="shared" si="2"/>
        <v>0</v>
      </c>
    </row>
    <row r="90" spans="2:8" ht="28">
      <c r="B90" s="543" t="s">
        <v>2858</v>
      </c>
      <c r="C90" s="1382"/>
      <c r="D90" s="1382"/>
      <c r="E90" s="1382"/>
      <c r="F90" s="1382"/>
      <c r="G90" s="1382"/>
      <c r="H90" s="1383">
        <f t="shared" si="2"/>
        <v>0</v>
      </c>
    </row>
  </sheetData>
  <sheetProtection password="EFAA" sheet="1" objects="1" scenarios="1" formatCells="0" formatColumns="0" formatRows="0"/>
  <mergeCells count="1">
    <mergeCell ref="C42:F42"/>
  </mergeCells>
  <conditionalFormatting sqref="H9:H10 C9:D15 C17:D28">
    <cfRule type="expression" dxfId="214" priority="14" stopIfTrue="1">
      <formula>AND(CELL("protect",C9)=1,CELL("type",C9)="v")</formula>
    </cfRule>
    <cfRule type="expression" dxfId="213" priority="15" stopIfTrue="1">
      <formula>CELL("protect",C9)</formula>
    </cfRule>
  </conditionalFormatting>
  <conditionalFormatting sqref="H11 C16:D16">
    <cfRule type="expression" dxfId="212" priority="16" stopIfTrue="1">
      <formula>AND(CELL("protect",C11)=1,CELL("type",C11)="v")</formula>
    </cfRule>
    <cfRule type="expression" dxfId="211" priority="17" stopIfTrue="1">
      <formula>CELL("protect",C11)=1</formula>
    </cfRule>
  </conditionalFormatting>
  <conditionalFormatting sqref="C35:E37">
    <cfRule type="expression" dxfId="210" priority="12" stopIfTrue="1">
      <formula>AND(CELL("protect",C35)=1,CELL("type",C35)="v")</formula>
    </cfRule>
    <cfRule type="expression" dxfId="209" priority="13" stopIfTrue="1">
      <formula>CELL("protect",C35)</formula>
    </cfRule>
  </conditionalFormatting>
  <conditionalFormatting sqref="C38:E38">
    <cfRule type="expression" dxfId="208" priority="10" stopIfTrue="1">
      <formula>AND(CELL("protect",C38)=1,CELL("type",C38)="v")</formula>
    </cfRule>
    <cfRule type="expression" dxfId="207" priority="11" stopIfTrue="1">
      <formula>CELL("protect",C38)</formula>
    </cfRule>
  </conditionalFormatting>
  <conditionalFormatting sqref="C63:F63 H63 C77:F77 H77">
    <cfRule type="expression" dxfId="206" priority="8" stopIfTrue="1">
      <formula>AND(CELL("protect",C63)=1,CELL("type",C63)="v")</formula>
    </cfRule>
    <cfRule type="expression" dxfId="205" priority="9" stopIfTrue="1">
      <formula>CELL("protect",C63)=1</formula>
    </cfRule>
  </conditionalFormatting>
  <conditionalFormatting sqref="G63 G77">
    <cfRule type="expression" dxfId="204" priority="6" stopIfTrue="1">
      <formula>AND(CELL("protect",G63)=1,CELL("type",G63)="v")</formula>
    </cfRule>
    <cfRule type="expression" dxfId="203" priority="7" stopIfTrue="1">
      <formula>CELL("protect",G63)=1</formula>
    </cfRule>
  </conditionalFormatting>
  <hyperlinks>
    <hyperlink ref="D31" location="Information!A1" display="חזרה"/>
    <hyperlink ref="D1" location="Information!A1" display="חזרה"/>
    <hyperlink ref="F40" location="Information!A1" display="חזרה"/>
    <hyperlink ref="F61" location="Information!A1" display="חזרה"/>
    <hyperlink ref="C3" location="Information!A60" display="Information!A60"/>
  </hyperlinks>
  <pageMargins left="0" right="0" top="0" bottom="0.5" header="0" footer="0.25"/>
  <pageSetup paperSize="9"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82D0AEBD-70E2-496E-9422-A88AE97350C3}">
            <xm:f>Information!$G$54&gt;0</xm:f>
            <x14:dxf>
              <font>
                <b/>
                <i val="0"/>
                <color theme="1"/>
              </font>
              <fill>
                <patternFill>
                  <bgColor rgb="FFFFFF00"/>
                </patternFill>
              </fill>
            </x14:dxf>
          </x14:cfRule>
          <xm:sqref>C3</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FF00"/>
    <pageSetUpPr fitToPage="1"/>
  </sheetPr>
  <dimension ref="A1:R59"/>
  <sheetViews>
    <sheetView rightToLeft="1" workbookViewId="0"/>
  </sheetViews>
  <sheetFormatPr defaultColWidth="9.1796875" defaultRowHeight="13"/>
  <cols>
    <col min="1" max="1" width="4.54296875" style="593" customWidth="1"/>
    <col min="2" max="2" width="50.54296875" style="593" customWidth="1"/>
    <col min="3" max="3" width="12.1796875" style="593" customWidth="1"/>
    <col min="4" max="4" width="14.1796875" style="593" customWidth="1"/>
    <col min="5" max="5" width="13.1796875" style="593" customWidth="1"/>
    <col min="6" max="8" width="10.54296875" style="593" customWidth="1"/>
    <col min="9" max="12" width="9.1796875" style="593"/>
    <col min="13" max="13" width="10.1796875" style="593" bestFit="1" customWidth="1"/>
    <col min="14" max="16384" width="9.1796875" style="593"/>
  </cols>
  <sheetData>
    <row r="1" spans="1:18" ht="18">
      <c r="B1" s="15" t="str">
        <f>'1'!B1</f>
        <v>_____חברה מנהלת</v>
      </c>
      <c r="C1" s="530"/>
      <c r="D1" s="20" t="s">
        <v>263</v>
      </c>
      <c r="M1" s="594" t="str">
        <f>date</f>
        <v>31.03.2023</v>
      </c>
      <c r="N1" s="593" t="e">
        <f>VLOOKUP(M1,P4:R11,3,0)</f>
        <v>#N/A</v>
      </c>
      <c r="O1" s="593" t="str">
        <f>CONCATENATE(O2,O2)</f>
        <v/>
      </c>
    </row>
    <row r="2" spans="1:18" ht="15.5">
      <c r="B2" s="534"/>
      <c r="C2" s="532"/>
      <c r="D2" s="532"/>
      <c r="M2" s="594" t="e">
        <f>INDEX($P$4:$P$11,$N$1+1)</f>
        <v>#N/A</v>
      </c>
    </row>
    <row r="3" spans="1:18" ht="15.5">
      <c r="B3" s="28" t="s">
        <v>940</v>
      </c>
      <c r="C3" s="1469" t="s">
        <v>3876</v>
      </c>
      <c r="D3" s="609" t="str">
        <f>Information!K4</f>
        <v>31.12.2021</v>
      </c>
      <c r="M3" s="594" t="e">
        <f>INDEX($P$4:$P$11,$N$1+2)</f>
        <v>#N/A</v>
      </c>
    </row>
    <row r="4" spans="1:18" ht="14">
      <c r="C4" s="588"/>
      <c r="D4" s="588"/>
      <c r="E4" s="588"/>
      <c r="F4" s="588"/>
      <c r="G4" s="588"/>
      <c r="H4" s="588"/>
      <c r="I4" s="588"/>
      <c r="J4" s="588"/>
      <c r="K4" s="588"/>
      <c r="L4" s="588"/>
      <c r="M4" s="593" t="e">
        <f>INDEX($Q$4:$Q$11,N1)</f>
        <v>#N/A</v>
      </c>
      <c r="P4" s="593" t="s">
        <v>333</v>
      </c>
      <c r="Q4" s="593">
        <v>2012</v>
      </c>
      <c r="R4" s="593">
        <v>1</v>
      </c>
    </row>
    <row r="5" spans="1:18" ht="15.5">
      <c r="B5" s="1928" t="str">
        <f>Information!$C$20</f>
        <v>באור 8א' - חברות מוחזקות המטופלות לפי שיטת השווי המאזני - ההרכב</v>
      </c>
      <c r="C5" s="1928"/>
      <c r="D5" s="1928"/>
      <c r="E5" s="588"/>
      <c r="F5" s="588"/>
      <c r="G5" s="588"/>
      <c r="H5" s="596"/>
      <c r="I5" s="588"/>
      <c r="J5" s="588"/>
      <c r="K5" s="588"/>
      <c r="L5" s="588"/>
      <c r="M5" s="593" t="e">
        <f>INDEX($Q$4:$Q$11,N1+1)</f>
        <v>#N/A</v>
      </c>
      <c r="P5" s="593" t="s">
        <v>797</v>
      </c>
      <c r="Q5" s="593">
        <v>2011</v>
      </c>
      <c r="R5" s="593">
        <v>2</v>
      </c>
    </row>
    <row r="6" spans="1:18" ht="15.5">
      <c r="A6" s="535"/>
      <c r="G6" s="588"/>
      <c r="H6" s="597"/>
      <c r="M6" s="593" t="e">
        <f>INDEX($Q$4:$Q$11,N1+2)</f>
        <v>#N/A</v>
      </c>
      <c r="P6" s="593" t="s">
        <v>915</v>
      </c>
      <c r="Q6" s="593">
        <v>2010</v>
      </c>
      <c r="R6" s="593">
        <v>3</v>
      </c>
    </row>
    <row r="7" spans="1:18" ht="14">
      <c r="A7" s="536"/>
      <c r="B7" s="537"/>
      <c r="C7" s="581" t="str">
        <f>Date1</f>
        <v>31.12.2021</v>
      </c>
      <c r="D7" s="582" t="str">
        <f>Date3</f>
        <v>31.12.2020</v>
      </c>
      <c r="G7" s="541">
        <f>SUM(G3:G6)</f>
        <v>0</v>
      </c>
      <c r="H7" s="597"/>
      <c r="P7" s="593" t="s">
        <v>921</v>
      </c>
      <c r="Q7" s="593">
        <v>2009</v>
      </c>
      <c r="R7" s="593">
        <v>4</v>
      </c>
    </row>
    <row r="8" spans="1:18" ht="14">
      <c r="A8" s="536"/>
      <c r="B8" s="855"/>
      <c r="C8" s="754" t="s">
        <v>29</v>
      </c>
      <c r="D8" s="845" t="s">
        <v>41</v>
      </c>
      <c r="G8" s="541"/>
      <c r="H8" s="597"/>
    </row>
    <row r="9" spans="1:18" ht="14">
      <c r="B9" s="598" t="s">
        <v>973</v>
      </c>
      <c r="C9" s="544"/>
      <c r="D9" s="566"/>
      <c r="G9" s="544"/>
      <c r="M9" s="593" t="s">
        <v>952</v>
      </c>
      <c r="P9" s="593" t="s">
        <v>923</v>
      </c>
      <c r="Q9" s="593">
        <v>2008</v>
      </c>
      <c r="R9" s="593">
        <v>5</v>
      </c>
    </row>
    <row r="10" spans="1:18" ht="14">
      <c r="B10" s="599" t="s">
        <v>974</v>
      </c>
      <c r="C10" s="544"/>
      <c r="D10" s="566"/>
      <c r="G10" s="541"/>
      <c r="M10" s="593" t="s">
        <v>953</v>
      </c>
      <c r="P10" s="593" t="s">
        <v>926</v>
      </c>
      <c r="Q10" s="593">
        <v>2007</v>
      </c>
      <c r="R10" s="593">
        <v>6</v>
      </c>
    </row>
    <row r="11" spans="1:18" ht="14">
      <c r="B11" s="598" t="s">
        <v>975</v>
      </c>
      <c r="C11" s="544"/>
      <c r="D11" s="566"/>
      <c r="M11" s="593" t="s">
        <v>955</v>
      </c>
      <c r="P11" s="593" t="s">
        <v>929</v>
      </c>
      <c r="Q11" s="593">
        <v>2006</v>
      </c>
      <c r="R11" s="593">
        <v>7</v>
      </c>
    </row>
    <row r="12" spans="1:18" ht="14">
      <c r="B12" s="598" t="s">
        <v>976</v>
      </c>
      <c r="C12" s="544"/>
      <c r="D12" s="566"/>
      <c r="M12" s="593" t="s">
        <v>956</v>
      </c>
    </row>
    <row r="13" spans="1:18" ht="14">
      <c r="B13" s="600" t="s">
        <v>1530</v>
      </c>
      <c r="C13" s="541">
        <f>SUM(C9:C12)</f>
        <v>0</v>
      </c>
      <c r="D13" s="542">
        <f>SUM(D9:D12)</f>
        <v>0</v>
      </c>
      <c r="M13" s="593" t="s">
        <v>928</v>
      </c>
    </row>
    <row r="14" spans="1:18" ht="14">
      <c r="B14" s="601" t="s">
        <v>211</v>
      </c>
      <c r="C14" s="541"/>
      <c r="D14" s="542"/>
    </row>
    <row r="15" spans="1:18" ht="14">
      <c r="B15" s="602" t="s">
        <v>977</v>
      </c>
      <c r="C15" s="544"/>
      <c r="D15" s="566"/>
    </row>
    <row r="16" spans="1:18" ht="14">
      <c r="B16" s="602" t="s">
        <v>978</v>
      </c>
      <c r="C16" s="544"/>
      <c r="D16" s="566"/>
    </row>
    <row r="17" spans="2:9" ht="14">
      <c r="B17" s="602" t="s">
        <v>979</v>
      </c>
      <c r="C17" s="544"/>
      <c r="D17" s="566"/>
    </row>
    <row r="18" spans="2:9" ht="14">
      <c r="B18" s="602" t="s">
        <v>980</v>
      </c>
      <c r="C18" s="544"/>
      <c r="D18" s="566"/>
    </row>
    <row r="19" spans="2:9" ht="14">
      <c r="B19" s="602" t="s">
        <v>981</v>
      </c>
      <c r="C19" s="544"/>
      <c r="D19" s="566"/>
    </row>
    <row r="20" spans="2:9" ht="14">
      <c r="B20" s="602" t="s">
        <v>982</v>
      </c>
      <c r="C20" s="544"/>
      <c r="D20" s="566"/>
    </row>
    <row r="21" spans="2:9" ht="14">
      <c r="B21" s="602" t="s">
        <v>983</v>
      </c>
      <c r="C21" s="544"/>
      <c r="D21" s="566"/>
    </row>
    <row r="22" spans="2:9" ht="14">
      <c r="B22" s="603" t="s">
        <v>984</v>
      </c>
      <c r="C22" s="541">
        <f>SUM(C15:C21)</f>
        <v>0</v>
      </c>
      <c r="D22" s="542">
        <f>SUM(D15:D21)</f>
        <v>0</v>
      </c>
    </row>
    <row r="23" spans="2:9" ht="14">
      <c r="B23" s="603" t="s">
        <v>985</v>
      </c>
      <c r="C23" s="544"/>
      <c r="D23" s="566"/>
    </row>
    <row r="24" spans="2:9" ht="28">
      <c r="B24" s="604" t="s">
        <v>986</v>
      </c>
      <c r="C24" s="560">
        <f>C13+C22+C23</f>
        <v>0</v>
      </c>
      <c r="D24" s="561">
        <f>D13+D22+D23</f>
        <v>0</v>
      </c>
    </row>
    <row r="25" spans="2:9" ht="14">
      <c r="B25" s="605"/>
      <c r="C25" s="597"/>
      <c r="D25" s="597"/>
    </row>
    <row r="26" spans="2:9" ht="31.5" customHeight="1">
      <c r="B26" s="1928" t="str">
        <f>Information!$C$21</f>
        <v>באור 8ב' - חברות מוחזקות המטופלות לפי שיטת השווי המאזני וחברות בשליטה משותפת - תמצית נתונים אודות המצב הכספי</v>
      </c>
      <c r="C26" s="1928"/>
      <c r="D26" s="1928"/>
      <c r="E26" s="1045" t="s">
        <v>263</v>
      </c>
      <c r="H26" s="1046"/>
    </row>
    <row r="27" spans="2:9" ht="15.5">
      <c r="B27" s="597"/>
      <c r="C27" s="1932" t="str">
        <f>C35</f>
        <v>חברות כלולות</v>
      </c>
      <c r="D27" s="1933"/>
      <c r="E27" s="1934" t="str">
        <f>F35</f>
        <v>חברות בשליטה משותפת</v>
      </c>
      <c r="F27" s="1935"/>
      <c r="G27" s="570"/>
      <c r="H27" s="571"/>
      <c r="I27" s="569"/>
    </row>
    <row r="28" spans="2:9" ht="14">
      <c r="B28" s="859" t="s">
        <v>1529</v>
      </c>
      <c r="C28" s="606" t="str">
        <f>Date1</f>
        <v>31.12.2021</v>
      </c>
      <c r="D28" s="1063" t="str">
        <f>Date3</f>
        <v>31.12.2020</v>
      </c>
      <c r="E28" s="1067" t="str">
        <f>Date1</f>
        <v>31.12.2021</v>
      </c>
      <c r="F28" s="582" t="str">
        <f>Date3</f>
        <v>31.12.2020</v>
      </c>
    </row>
    <row r="29" spans="2:9" ht="14">
      <c r="B29" s="599"/>
      <c r="C29" s="754" t="s">
        <v>29</v>
      </c>
      <c r="D29" s="1064" t="s">
        <v>41</v>
      </c>
      <c r="E29" s="858" t="s">
        <v>63</v>
      </c>
      <c r="F29" s="845" t="s">
        <v>65</v>
      </c>
    </row>
    <row r="30" spans="2:9" ht="14">
      <c r="B30" s="598" t="s">
        <v>987</v>
      </c>
      <c r="C30" s="576"/>
      <c r="D30" s="1065"/>
      <c r="E30" s="1068"/>
      <c r="F30" s="577"/>
    </row>
    <row r="31" spans="2:9" ht="14">
      <c r="B31" s="599" t="s">
        <v>988</v>
      </c>
      <c r="C31" s="576"/>
      <c r="D31" s="1065"/>
      <c r="E31" s="1068"/>
      <c r="F31" s="577"/>
    </row>
    <row r="32" spans="2:9" ht="14">
      <c r="B32" s="607" t="s">
        <v>989</v>
      </c>
      <c r="C32" s="578">
        <f>SUM(C30:C31)</f>
        <v>0</v>
      </c>
      <c r="D32" s="1066">
        <f>SUM(D30:D31)</f>
        <v>0</v>
      </c>
      <c r="E32" s="607">
        <f>SUM(E30:E31)</f>
        <v>0</v>
      </c>
      <c r="F32" s="579">
        <f>SUM(F30:F31)</f>
        <v>0</v>
      </c>
    </row>
    <row r="33" spans="2:8">
      <c r="B33" s="597"/>
      <c r="C33" s="597"/>
      <c r="D33" s="597"/>
    </row>
    <row r="34" spans="2:8" ht="35.25" customHeight="1">
      <c r="B34" s="1928" t="str">
        <f>Information!$C$22</f>
        <v>באור 8ג' - חברות מוחזקות המטופלות לפי שיטת השווי המאזני וחברות בשליטה משותפת - תמצית נתונים אודות תוצאות הפעילות</v>
      </c>
      <c r="C34" s="1928"/>
      <c r="D34" s="1928"/>
      <c r="E34" s="1045" t="s">
        <v>263</v>
      </c>
    </row>
    <row r="35" spans="2:8" ht="15.5">
      <c r="B35" s="597"/>
      <c r="C35" s="1929" t="s">
        <v>994</v>
      </c>
      <c r="D35" s="1930"/>
      <c r="E35" s="1931"/>
      <c r="F35" s="1929" t="s">
        <v>995</v>
      </c>
      <c r="G35" s="1930"/>
      <c r="H35" s="1931"/>
    </row>
    <row r="36" spans="2:8" s="1245" customFormat="1" ht="14">
      <c r="B36" s="610" t="str">
        <f>B28</f>
        <v>בהתאמה לשיעורי ההחזקה של החברה:</v>
      </c>
      <c r="C36" s="1243" t="str">
        <f>Period1</f>
        <v>שנת 2021</v>
      </c>
      <c r="D36" s="584" t="str">
        <f>Period2</f>
        <v>שנת 2020</v>
      </c>
      <c r="E36" s="1244" t="str">
        <f>Period5</f>
        <v>שנת 2019</v>
      </c>
      <c r="F36" s="1243" t="str">
        <f>C36</f>
        <v>שנת 2021</v>
      </c>
      <c r="G36" s="584" t="str">
        <f>D36</f>
        <v>שנת 2020</v>
      </c>
      <c r="H36" s="1244" t="str">
        <f>E36</f>
        <v>שנת 2019</v>
      </c>
    </row>
    <row r="37" spans="2:8" ht="14">
      <c r="B37" s="857"/>
      <c r="C37" s="858" t="s">
        <v>29</v>
      </c>
      <c r="D37" s="754" t="s">
        <v>41</v>
      </c>
      <c r="E37" s="845" t="s">
        <v>63</v>
      </c>
      <c r="F37" s="858" t="s">
        <v>65</v>
      </c>
      <c r="G37" s="754" t="s">
        <v>86</v>
      </c>
      <c r="H37" s="845" t="s">
        <v>88</v>
      </c>
    </row>
    <row r="38" spans="2:8" ht="14">
      <c r="B38" s="611" t="s">
        <v>990</v>
      </c>
      <c r="C38" s="613"/>
      <c r="D38" s="544"/>
      <c r="E38" s="566"/>
      <c r="F38" s="613"/>
      <c r="G38" s="544"/>
      <c r="H38" s="566"/>
    </row>
    <row r="39" spans="2:8" ht="14">
      <c r="B39" s="611" t="s">
        <v>991</v>
      </c>
      <c r="C39" s="613"/>
      <c r="D39" s="544"/>
      <c r="E39" s="566"/>
      <c r="F39" s="613"/>
      <c r="G39" s="544"/>
      <c r="H39" s="566"/>
    </row>
    <row r="40" spans="2:8" ht="14">
      <c r="B40" s="611" t="s">
        <v>992</v>
      </c>
      <c r="C40" s="614"/>
      <c r="D40" s="541"/>
      <c r="E40" s="542"/>
      <c r="F40" s="614"/>
      <c r="G40" s="541"/>
      <c r="H40" s="542"/>
    </row>
    <row r="41" spans="2:8" ht="14">
      <c r="B41" s="612" t="s">
        <v>993</v>
      </c>
      <c r="C41" s="615"/>
      <c r="D41" s="608"/>
      <c r="E41" s="567"/>
      <c r="F41" s="615"/>
      <c r="G41" s="608"/>
      <c r="H41" s="567"/>
    </row>
    <row r="42" spans="2:8" ht="13.5" customHeight="1"/>
    <row r="43" spans="2:8" ht="30.75" customHeight="1">
      <c r="B43" s="1928" t="str">
        <f>Information!$C$23</f>
        <v>באור 8ד' - מוניטין אשר נבע מרכישת ההשקעות בחברות מוחזקות</v>
      </c>
      <c r="C43" s="1928"/>
      <c r="D43" s="1928"/>
      <c r="E43" s="626"/>
      <c r="F43" s="626"/>
    </row>
    <row r="44" spans="2:8" ht="15.5">
      <c r="B44" s="22"/>
      <c r="C44" s="22"/>
      <c r="D44" s="22"/>
      <c r="E44" s="20" t="s">
        <v>263</v>
      </c>
      <c r="F44" s="22"/>
    </row>
    <row r="45" spans="2:8" ht="14">
      <c r="B45" s="616"/>
      <c r="C45" s="1907" t="str">
        <f>Date1</f>
        <v>31.12.2021</v>
      </c>
      <c r="D45" s="1907"/>
      <c r="E45" s="1907" t="str">
        <f>Date3</f>
        <v>31.12.2020</v>
      </c>
      <c r="F45" s="1908"/>
    </row>
    <row r="46" spans="2:8" ht="14">
      <c r="B46" s="617"/>
      <c r="C46" s="618" t="s">
        <v>996</v>
      </c>
      <c r="D46" s="618" t="s">
        <v>997</v>
      </c>
      <c r="E46" s="618" t="str">
        <f>C46</f>
        <v>סכום מקורי</v>
      </c>
      <c r="F46" s="619" t="str">
        <f>D46</f>
        <v>יתרה</v>
      </c>
    </row>
    <row r="47" spans="2:8" ht="14">
      <c r="B47" s="617"/>
      <c r="C47" s="754" t="s">
        <v>29</v>
      </c>
      <c r="D47" s="754" t="s">
        <v>41</v>
      </c>
      <c r="E47" s="754" t="s">
        <v>63</v>
      </c>
      <c r="F47" s="845" t="s">
        <v>65</v>
      </c>
    </row>
    <row r="48" spans="2:8" ht="14">
      <c r="B48" s="620" t="s">
        <v>998</v>
      </c>
      <c r="C48" s="621"/>
      <c r="D48" s="621"/>
      <c r="E48" s="621"/>
      <c r="F48" s="622"/>
    </row>
    <row r="49" spans="2:7" ht="14">
      <c r="B49" s="617" t="s">
        <v>1531</v>
      </c>
      <c r="C49" s="621"/>
      <c r="D49" s="621"/>
      <c r="E49" s="621"/>
      <c r="F49" s="622"/>
    </row>
    <row r="50" spans="2:7" ht="14">
      <c r="B50" s="623" t="s">
        <v>999</v>
      </c>
      <c r="C50" s="624">
        <f>SUM(C48:C49)</f>
        <v>0</v>
      </c>
      <c r="D50" s="624">
        <f>SUM(D48:D49)</f>
        <v>0</v>
      </c>
      <c r="E50" s="624">
        <f>SUM(E48:E49)</f>
        <v>0</v>
      </c>
      <c r="F50" s="625">
        <f>SUM(F48:F49)</f>
        <v>0</v>
      </c>
    </row>
    <row r="51" spans="2:7">
      <c r="B51" s="22"/>
      <c r="C51" s="22"/>
      <c r="D51" s="22"/>
      <c r="E51" s="22"/>
      <c r="F51" s="22"/>
    </row>
    <row r="52" spans="2:7" ht="15.5">
      <c r="B52" s="595" t="str">
        <f>Information!$C$24</f>
        <v>באור 8ה' -דיבידנדים שהתקבלו מחברות מוחזקות</v>
      </c>
      <c r="C52" s="627"/>
      <c r="D52" s="627"/>
      <c r="E52" s="20" t="s">
        <v>263</v>
      </c>
    </row>
    <row r="53" spans="2:7">
      <c r="B53" s="597"/>
    </row>
    <row r="54" spans="2:7" s="1245" customFormat="1" ht="14">
      <c r="B54" s="859"/>
      <c r="C54" s="1246" t="str">
        <f>C36</f>
        <v>שנת 2021</v>
      </c>
      <c r="D54" s="581" t="str">
        <f>D36</f>
        <v>שנת 2020</v>
      </c>
      <c r="E54" s="1247" t="str">
        <f>E36</f>
        <v>שנת 2019</v>
      </c>
    </row>
    <row r="55" spans="2:7" ht="14">
      <c r="B55" s="860"/>
      <c r="C55" s="754" t="s">
        <v>29</v>
      </c>
      <c r="D55" s="754" t="s">
        <v>41</v>
      </c>
      <c r="E55" s="845" t="s">
        <v>63</v>
      </c>
    </row>
    <row r="56" spans="2:7" ht="15.5">
      <c r="B56" s="861" t="s">
        <v>1001</v>
      </c>
      <c r="C56" s="544"/>
      <c r="D56" s="544"/>
      <c r="E56" s="566"/>
      <c r="G56" s="460"/>
    </row>
    <row r="57" spans="2:7" ht="15.5">
      <c r="B57" s="861" t="s">
        <v>1002</v>
      </c>
      <c r="C57" s="544"/>
      <c r="D57" s="544"/>
      <c r="E57" s="566"/>
      <c r="G57" s="460"/>
    </row>
    <row r="58" spans="2:7" ht="15.5">
      <c r="B58" s="861" t="s">
        <v>1003</v>
      </c>
      <c r="C58" s="544"/>
      <c r="D58" s="544"/>
      <c r="E58" s="566"/>
      <c r="G58" s="460"/>
    </row>
    <row r="59" spans="2:7" ht="14">
      <c r="B59" s="862" t="s">
        <v>1533</v>
      </c>
      <c r="C59" s="628">
        <f>SUM(C56:C58)</f>
        <v>0</v>
      </c>
      <c r="D59" s="628">
        <f>SUM(D56:D58)</f>
        <v>0</v>
      </c>
      <c r="E59" s="629">
        <f>SUM(E56:E58)</f>
        <v>0</v>
      </c>
    </row>
  </sheetData>
  <sheetProtection password="84A9" sheet="1" objects="1" scenarios="1" formatCells="0" formatColumns="0" formatRows="0"/>
  <mergeCells count="10">
    <mergeCell ref="C45:D45"/>
    <mergeCell ref="E45:F45"/>
    <mergeCell ref="B5:D5"/>
    <mergeCell ref="B26:D26"/>
    <mergeCell ref="C35:E35"/>
    <mergeCell ref="F35:H35"/>
    <mergeCell ref="B34:D34"/>
    <mergeCell ref="B43:D43"/>
    <mergeCell ref="C27:D27"/>
    <mergeCell ref="E27:F27"/>
  </mergeCells>
  <conditionalFormatting sqref="G7:G9 C9:D24 C38:E41">
    <cfRule type="expression" dxfId="201" priority="6" stopIfTrue="1">
      <formula>AND(CELL("protect",C7)=1,CELL("type",C7)="v")</formula>
    </cfRule>
    <cfRule type="expression" dxfId="200" priority="7" stopIfTrue="1">
      <formula>CELL("protect",C7)</formula>
    </cfRule>
  </conditionalFormatting>
  <conditionalFormatting sqref="G10">
    <cfRule type="expression" dxfId="199" priority="8" stopIfTrue="1">
      <formula>AND(CELL("protect",G10)=1,CELL("type",G10)="v")</formula>
    </cfRule>
    <cfRule type="expression" dxfId="198" priority="9" stopIfTrue="1">
      <formula>CELL("protect",G10)=1</formula>
    </cfRule>
  </conditionalFormatting>
  <conditionalFormatting sqref="F38:H41">
    <cfRule type="expression" dxfId="197" priority="4" stopIfTrue="1">
      <formula>AND(CELL("protect",F38)=1,CELL("type",F38)="v")</formula>
    </cfRule>
    <cfRule type="expression" dxfId="196" priority="5" stopIfTrue="1">
      <formula>CELL("protect",F38)</formula>
    </cfRule>
  </conditionalFormatting>
  <conditionalFormatting sqref="C56:E59">
    <cfRule type="expression" dxfId="195" priority="2" stopIfTrue="1">
      <formula>AND(CELL("protect",C56)=1,CELL("type",C56)="v")</formula>
    </cfRule>
    <cfRule type="expression" dxfId="194" priority="3" stopIfTrue="1">
      <formula>CELL("protect",C56)</formula>
    </cfRule>
  </conditionalFormatting>
  <hyperlinks>
    <hyperlink ref="D1" location="Information!A1" display="חזרה"/>
    <hyperlink ref="E26" location="Information!A1" display="חזרה"/>
    <hyperlink ref="E34" location="Information!A1" display="חזרה"/>
    <hyperlink ref="E44" location="Information!A1" display="חזרה"/>
    <hyperlink ref="E52" location="Information!A1" display="חזרה"/>
    <hyperlink ref="C3" location="Information!A60" display="Information!A60"/>
  </hyperlinks>
  <pageMargins left="0" right="0" top="0" bottom="0.5" header="0" footer="0.25"/>
  <pageSetup paperSize="9"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7C471A88-B9CE-4BB1-962F-E34EFA1AFF90}">
            <xm:f>Information!$G$54&gt;0</xm:f>
            <x14:dxf>
              <font>
                <b/>
                <i val="0"/>
                <color theme="1"/>
              </font>
              <fill>
                <patternFill>
                  <bgColor rgb="FFFFFF00"/>
                </patternFill>
              </fill>
            </x14:dxf>
          </x14:cfRule>
          <xm:sqref>C3</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FF00"/>
    <pageSetUpPr fitToPage="1"/>
  </sheetPr>
  <dimension ref="A1:S60"/>
  <sheetViews>
    <sheetView rightToLeft="1" workbookViewId="0"/>
  </sheetViews>
  <sheetFormatPr defaultColWidth="9.1796875" defaultRowHeight="12.5"/>
  <cols>
    <col min="1" max="1" width="4.54296875" style="529" customWidth="1"/>
    <col min="2" max="2" width="36.54296875" style="529" customWidth="1"/>
    <col min="3" max="3" width="12.1796875" style="529" customWidth="1"/>
    <col min="4" max="4" width="10.453125" style="529" customWidth="1"/>
    <col min="5" max="5" width="9.1796875" style="529"/>
    <col min="6" max="6" width="10.81640625" style="529" customWidth="1"/>
    <col min="7" max="7" width="10" style="529" customWidth="1"/>
    <col min="8" max="10" width="9.1796875" style="529"/>
    <col min="11" max="11" width="21.54296875" style="529" customWidth="1"/>
    <col min="12" max="13" width="9.1796875" style="529"/>
    <col min="14" max="14" width="10.1796875" style="529" bestFit="1" customWidth="1"/>
    <col min="15" max="16384" width="9.1796875" style="529"/>
  </cols>
  <sheetData>
    <row r="1" spans="1:19" ht="18">
      <c r="B1" s="15" t="str">
        <f>company</f>
        <v>_____חברה מנהלת</v>
      </c>
      <c r="C1" s="530"/>
      <c r="D1" s="20" t="s">
        <v>263</v>
      </c>
      <c r="N1" s="531" t="str">
        <f>date</f>
        <v>21</v>
      </c>
      <c r="O1" s="529" t="e">
        <f>VLOOKUP(N1,Q4:S13,3,0)</f>
        <v>#N/A</v>
      </c>
      <c r="P1" s="529" t="str">
        <f>CONCATENATE(P2,P2)</f>
        <v/>
      </c>
    </row>
    <row r="2" spans="1:19" ht="15.5">
      <c r="B2" s="534" t="str">
        <f>Information!C19</f>
        <v>באור 7  - רכוש קבוע - הרכב ותנועה</v>
      </c>
      <c r="C2" s="532"/>
      <c r="D2" s="532"/>
      <c r="N2" s="531" t="e">
        <f>INDEX($Q$4:$Q$13,$O$1+1)</f>
        <v>#N/A</v>
      </c>
    </row>
    <row r="3" spans="1:19" ht="15.5">
      <c r="B3" s="28" t="s">
        <v>763</v>
      </c>
      <c r="D3" s="533" t="str">
        <f>Date1</f>
        <v>31.12.2021</v>
      </c>
      <c r="M3" s="541">
        <f>SUM(K4:K7)</f>
        <v>0</v>
      </c>
      <c r="N3" s="531" t="e">
        <f>INDEX($Q$4:$Q$13,$O$1+2)</f>
        <v>#N/A</v>
      </c>
    </row>
    <row r="4" spans="1:19" ht="14" hidden="1">
      <c r="C4" s="588"/>
      <c r="D4" s="588"/>
      <c r="E4" s="588"/>
      <c r="F4" s="588"/>
      <c r="G4" s="588"/>
      <c r="H4" s="588"/>
      <c r="I4" s="588"/>
      <c r="J4" s="588"/>
      <c r="K4" s="588"/>
      <c r="L4" s="588"/>
      <c r="M4" s="544"/>
      <c r="N4" s="529" t="e">
        <f>INDEX($R$4:$R$13,O1)</f>
        <v>#N/A</v>
      </c>
      <c r="Q4" s="529" t="s">
        <v>333</v>
      </c>
      <c r="R4" s="529">
        <v>2012</v>
      </c>
      <c r="S4" s="529">
        <v>1</v>
      </c>
    </row>
    <row r="5" spans="1:19" ht="15.5">
      <c r="B5" s="534"/>
      <c r="C5" s="588"/>
      <c r="D5" s="588"/>
      <c r="E5" s="588"/>
      <c r="F5" s="588"/>
      <c r="G5" s="588"/>
      <c r="H5" s="588"/>
      <c r="I5" s="588"/>
      <c r="J5" s="588"/>
      <c r="K5" s="588"/>
      <c r="L5" s="588"/>
      <c r="M5" s="541"/>
      <c r="N5" s="529" t="e">
        <f>INDEX($R$4:$R$13,O1+1)</f>
        <v>#N/A</v>
      </c>
      <c r="Q5" s="529" t="s">
        <v>797</v>
      </c>
      <c r="R5" s="529">
        <v>2011</v>
      </c>
      <c r="S5" s="529">
        <v>2</v>
      </c>
    </row>
    <row r="6" spans="1:19" ht="7.5" customHeight="1">
      <c r="A6" s="535"/>
      <c r="N6" s="529" t="e">
        <f>INDEX($R$4:$R$13,O1+2)</f>
        <v>#N/A</v>
      </c>
      <c r="Q6" s="529" t="s">
        <v>915</v>
      </c>
      <c r="R6" s="529">
        <v>2010</v>
      </c>
      <c r="S6" s="529">
        <v>3</v>
      </c>
    </row>
    <row r="7" spans="1:19" ht="39.75" customHeight="1">
      <c r="A7" s="536"/>
      <c r="B7" s="1469" t="s">
        <v>3876</v>
      </c>
      <c r="C7" s="538" t="s">
        <v>1522</v>
      </c>
      <c r="D7" s="538" t="s">
        <v>1523</v>
      </c>
      <c r="E7" s="538" t="s">
        <v>217</v>
      </c>
      <c r="F7" s="538" t="s">
        <v>1525</v>
      </c>
      <c r="G7" s="538" t="s">
        <v>1524</v>
      </c>
      <c r="H7" s="538" t="s">
        <v>70</v>
      </c>
      <c r="I7" s="539" t="s">
        <v>920</v>
      </c>
      <c r="Q7" s="529" t="s">
        <v>921</v>
      </c>
      <c r="R7" s="529">
        <v>2009</v>
      </c>
      <c r="S7" s="529">
        <v>4</v>
      </c>
    </row>
    <row r="8" spans="1:19" ht="14">
      <c r="A8" s="536"/>
      <c r="B8" s="1062"/>
      <c r="C8" s="754" t="s">
        <v>29</v>
      </c>
      <c r="D8" s="754" t="s">
        <v>41</v>
      </c>
      <c r="E8" s="754" t="s">
        <v>63</v>
      </c>
      <c r="F8" s="754" t="s">
        <v>65</v>
      </c>
      <c r="G8" s="754" t="s">
        <v>86</v>
      </c>
      <c r="H8" s="754" t="s">
        <v>88</v>
      </c>
      <c r="I8" s="845" t="s">
        <v>195</v>
      </c>
    </row>
    <row r="9" spans="1:19" ht="15.5">
      <c r="A9" s="536"/>
      <c r="B9" s="589" t="s">
        <v>922</v>
      </c>
      <c r="C9" s="541"/>
      <c r="D9" s="541"/>
      <c r="E9" s="541"/>
      <c r="F9" s="541"/>
      <c r="G9" s="541"/>
      <c r="H9" s="541"/>
      <c r="I9" s="542"/>
    </row>
    <row r="10" spans="1:19" ht="15.5">
      <c r="A10" s="536"/>
      <c r="B10" s="589" t="s">
        <v>924</v>
      </c>
      <c r="C10" s="541"/>
      <c r="D10" s="541"/>
      <c r="E10" s="541"/>
      <c r="F10" s="541"/>
      <c r="G10" s="541"/>
      <c r="H10" s="541"/>
      <c r="I10" s="542"/>
    </row>
    <row r="11" spans="1:19" ht="14">
      <c r="B11" s="543" t="s">
        <v>2799</v>
      </c>
      <c r="C11" s="544"/>
      <c r="D11" s="544"/>
      <c r="E11" s="544"/>
      <c r="F11" s="544"/>
      <c r="G11" s="544"/>
      <c r="H11" s="544"/>
      <c r="I11" s="590">
        <f t="shared" ref="I11:I31" si="0">SUM(C11:H11)</f>
        <v>0</v>
      </c>
      <c r="N11" s="529" t="s">
        <v>952</v>
      </c>
      <c r="Q11" s="529" t="s">
        <v>923</v>
      </c>
      <c r="R11" s="529">
        <v>2008</v>
      </c>
      <c r="S11" s="529">
        <v>5</v>
      </c>
    </row>
    <row r="12" spans="1:19" ht="14">
      <c r="B12" s="586" t="s">
        <v>954</v>
      </c>
      <c r="C12" s="544"/>
      <c r="D12" s="544"/>
      <c r="E12" s="544"/>
      <c r="F12" s="544"/>
      <c r="G12" s="544"/>
      <c r="H12" s="544"/>
      <c r="I12" s="590">
        <f t="shared" si="0"/>
        <v>0</v>
      </c>
      <c r="N12" s="529" t="s">
        <v>953</v>
      </c>
      <c r="Q12" s="529" t="s">
        <v>926</v>
      </c>
      <c r="R12" s="529">
        <v>2007</v>
      </c>
      <c r="S12" s="529">
        <v>6</v>
      </c>
    </row>
    <row r="13" spans="1:19" ht="28.5">
      <c r="B13" s="586" t="s">
        <v>933</v>
      </c>
      <c r="C13" s="544"/>
      <c r="D13" s="544"/>
      <c r="E13" s="544"/>
      <c r="F13" s="544"/>
      <c r="G13" s="544"/>
      <c r="H13" s="544"/>
      <c r="I13" s="590">
        <f t="shared" si="0"/>
        <v>0</v>
      </c>
      <c r="K13" s="518"/>
      <c r="N13" s="529" t="s">
        <v>955</v>
      </c>
      <c r="Q13" s="529" t="s">
        <v>929</v>
      </c>
      <c r="R13" s="529">
        <v>2006</v>
      </c>
      <c r="S13" s="529">
        <v>7</v>
      </c>
    </row>
    <row r="14" spans="1:19" ht="14.5">
      <c r="A14" s="1165"/>
      <c r="B14" s="586" t="s">
        <v>2712</v>
      </c>
      <c r="C14" s="544"/>
      <c r="D14" s="544"/>
      <c r="E14" s="544"/>
      <c r="F14" s="544"/>
      <c r="G14" s="544"/>
      <c r="H14" s="544"/>
      <c r="I14" s="590">
        <f t="shared" si="0"/>
        <v>0</v>
      </c>
      <c r="K14" s="518"/>
      <c r="N14" s="529" t="s">
        <v>956</v>
      </c>
    </row>
    <row r="15" spans="1:19" ht="14.5">
      <c r="B15" s="586" t="s">
        <v>957</v>
      </c>
      <c r="C15" s="544"/>
      <c r="D15" s="544"/>
      <c r="E15" s="544"/>
      <c r="F15" s="544"/>
      <c r="G15" s="544"/>
      <c r="H15" s="544"/>
      <c r="I15" s="590">
        <f t="shared" si="0"/>
        <v>0</v>
      </c>
      <c r="K15" s="518"/>
      <c r="N15" s="529" t="s">
        <v>928</v>
      </c>
    </row>
    <row r="16" spans="1:19" ht="27.75" customHeight="1">
      <c r="B16" s="586" t="s">
        <v>959</v>
      </c>
      <c r="C16" s="544"/>
      <c r="D16" s="544"/>
      <c r="E16" s="544"/>
      <c r="F16" s="544"/>
      <c r="G16" s="544"/>
      <c r="H16" s="544"/>
      <c r="I16" s="590">
        <f t="shared" si="0"/>
        <v>0</v>
      </c>
      <c r="K16" s="518"/>
      <c r="N16" s="529" t="s">
        <v>958</v>
      </c>
    </row>
    <row r="17" spans="1:11" ht="14.5">
      <c r="B17" s="586" t="s">
        <v>960</v>
      </c>
      <c r="C17" s="544"/>
      <c r="D17" s="544"/>
      <c r="E17" s="544"/>
      <c r="F17" s="544"/>
      <c r="G17" s="544"/>
      <c r="H17" s="544"/>
      <c r="I17" s="590">
        <f>SUM(C17:H17)</f>
        <v>0</v>
      </c>
      <c r="K17" s="518"/>
    </row>
    <row r="18" spans="1:11" ht="14.5">
      <c r="B18" s="586" t="s">
        <v>961</v>
      </c>
      <c r="C18" s="544"/>
      <c r="D18" s="544"/>
      <c r="E18" s="544"/>
      <c r="F18" s="544"/>
      <c r="G18" s="544"/>
      <c r="H18" s="544"/>
      <c r="I18" s="590">
        <f t="shared" si="0"/>
        <v>0</v>
      </c>
      <c r="K18" s="518"/>
    </row>
    <row r="19" spans="1:11" ht="14.5">
      <c r="B19" s="586" t="s">
        <v>70</v>
      </c>
      <c r="C19" s="544"/>
      <c r="D19" s="544"/>
      <c r="E19" s="544"/>
      <c r="F19" s="544"/>
      <c r="G19" s="544"/>
      <c r="H19" s="544"/>
      <c r="I19" s="590">
        <f t="shared" si="0"/>
        <v>0</v>
      </c>
      <c r="K19" s="518"/>
    </row>
    <row r="20" spans="1:11" ht="14.5">
      <c r="A20" s="529" t="s">
        <v>2709</v>
      </c>
      <c r="B20" s="543" t="s">
        <v>2798</v>
      </c>
      <c r="C20" s="541">
        <f t="shared" ref="C20:H20" si="1">SUM(C11:C19)</f>
        <v>0</v>
      </c>
      <c r="D20" s="541">
        <f t="shared" si="1"/>
        <v>0</v>
      </c>
      <c r="E20" s="541">
        <f t="shared" si="1"/>
        <v>0</v>
      </c>
      <c r="F20" s="541">
        <f t="shared" si="1"/>
        <v>0</v>
      </c>
      <c r="G20" s="541">
        <f t="shared" si="1"/>
        <v>0</v>
      </c>
      <c r="H20" s="541">
        <f t="shared" si="1"/>
        <v>0</v>
      </c>
      <c r="I20" s="542">
        <f t="shared" si="0"/>
        <v>0</v>
      </c>
      <c r="K20" s="518"/>
    </row>
    <row r="21" spans="1:11" ht="14.5">
      <c r="B21" s="543" t="s">
        <v>934</v>
      </c>
      <c r="C21" s="541"/>
      <c r="D21" s="541"/>
      <c r="E21" s="541"/>
      <c r="F21" s="541"/>
      <c r="G21" s="541"/>
      <c r="H21" s="541"/>
      <c r="I21" s="542"/>
      <c r="K21" s="518"/>
    </row>
    <row r="22" spans="1:11" ht="14.5">
      <c r="B22" s="543" t="s">
        <v>2800</v>
      </c>
      <c r="C22" s="541">
        <f>C20</f>
        <v>0</v>
      </c>
      <c r="D22" s="541">
        <f t="shared" ref="D22:I22" si="2">D20</f>
        <v>0</v>
      </c>
      <c r="E22" s="541">
        <f t="shared" si="2"/>
        <v>0</v>
      </c>
      <c r="F22" s="541">
        <f t="shared" si="2"/>
        <v>0</v>
      </c>
      <c r="G22" s="541">
        <f t="shared" si="2"/>
        <v>0</v>
      </c>
      <c r="H22" s="541">
        <f t="shared" si="2"/>
        <v>0</v>
      </c>
      <c r="I22" s="542">
        <f t="shared" si="2"/>
        <v>0</v>
      </c>
      <c r="K22" s="518"/>
    </row>
    <row r="23" spans="1:11" ht="14.5">
      <c r="B23" s="586" t="s">
        <v>954</v>
      </c>
      <c r="C23" s="544"/>
      <c r="D23" s="544"/>
      <c r="E23" s="544"/>
      <c r="F23" s="544"/>
      <c r="G23" s="544"/>
      <c r="H23" s="544"/>
      <c r="I23" s="590">
        <f t="shared" si="0"/>
        <v>0</v>
      </c>
      <c r="K23" s="518"/>
    </row>
    <row r="24" spans="1:11" ht="28.5">
      <c r="B24" s="586" t="s">
        <v>933</v>
      </c>
      <c r="C24" s="544"/>
      <c r="D24" s="544"/>
      <c r="E24" s="544"/>
      <c r="F24" s="544"/>
      <c r="G24" s="544"/>
      <c r="H24" s="544"/>
      <c r="I24" s="590">
        <f t="shared" si="0"/>
        <v>0</v>
      </c>
      <c r="K24" s="518"/>
    </row>
    <row r="25" spans="1:11" ht="14.5">
      <c r="A25" s="1165"/>
      <c r="B25" s="586" t="s">
        <v>2712</v>
      </c>
      <c r="C25" s="544"/>
      <c r="D25" s="544"/>
      <c r="E25" s="544"/>
      <c r="F25" s="544"/>
      <c r="G25" s="544"/>
      <c r="H25" s="544"/>
      <c r="I25" s="590">
        <f t="shared" si="0"/>
        <v>0</v>
      </c>
      <c r="K25" s="518"/>
    </row>
    <row r="26" spans="1:11" ht="14.5">
      <c r="B26" s="586" t="s">
        <v>957</v>
      </c>
      <c r="C26" s="544"/>
      <c r="D26" s="544"/>
      <c r="E26" s="544"/>
      <c r="F26" s="544"/>
      <c r="G26" s="544"/>
      <c r="H26" s="544"/>
      <c r="I26" s="590">
        <f t="shared" si="0"/>
        <v>0</v>
      </c>
      <c r="K26" s="518"/>
    </row>
    <row r="27" spans="1:11" ht="14.5">
      <c r="B27" s="586" t="s">
        <v>959</v>
      </c>
      <c r="C27" s="544"/>
      <c r="D27" s="544"/>
      <c r="E27" s="544"/>
      <c r="F27" s="544"/>
      <c r="G27" s="544"/>
      <c r="H27" s="544"/>
      <c r="I27" s="590">
        <f t="shared" si="0"/>
        <v>0</v>
      </c>
      <c r="K27" s="518"/>
    </row>
    <row r="28" spans="1:11" ht="14.5">
      <c r="B28" s="586" t="s">
        <v>960</v>
      </c>
      <c r="C28" s="544"/>
      <c r="D28" s="544"/>
      <c r="E28" s="544"/>
      <c r="F28" s="544"/>
      <c r="G28" s="544"/>
      <c r="H28" s="544"/>
      <c r="I28" s="590">
        <f t="shared" si="0"/>
        <v>0</v>
      </c>
      <c r="K28" s="518"/>
    </row>
    <row r="29" spans="1:11" ht="14.5">
      <c r="B29" s="586" t="s">
        <v>961</v>
      </c>
      <c r="C29" s="544"/>
      <c r="D29" s="544"/>
      <c r="E29" s="544"/>
      <c r="F29" s="544"/>
      <c r="G29" s="544"/>
      <c r="H29" s="544"/>
      <c r="I29" s="590">
        <f t="shared" si="0"/>
        <v>0</v>
      </c>
      <c r="K29" s="518"/>
    </row>
    <row r="30" spans="1:11" ht="14.5">
      <c r="B30" s="586" t="s">
        <v>70</v>
      </c>
      <c r="C30" s="544"/>
      <c r="D30" s="544"/>
      <c r="E30" s="544"/>
      <c r="F30" s="544"/>
      <c r="G30" s="544"/>
      <c r="H30" s="544"/>
      <c r="I30" s="590">
        <f t="shared" si="0"/>
        <v>0</v>
      </c>
      <c r="K30" s="518"/>
    </row>
    <row r="31" spans="1:11" ht="14.5">
      <c r="B31" s="543" t="s">
        <v>2801</v>
      </c>
      <c r="C31" s="541">
        <f t="shared" ref="C31:H31" si="3">SUM(C22:C30)</f>
        <v>0</v>
      </c>
      <c r="D31" s="541">
        <f t="shared" si="3"/>
        <v>0</v>
      </c>
      <c r="E31" s="541">
        <f t="shared" si="3"/>
        <v>0</v>
      </c>
      <c r="F31" s="541">
        <f t="shared" si="3"/>
        <v>0</v>
      </c>
      <c r="G31" s="541">
        <f t="shared" si="3"/>
        <v>0</v>
      </c>
      <c r="H31" s="541">
        <f t="shared" si="3"/>
        <v>0</v>
      </c>
      <c r="I31" s="542">
        <f t="shared" si="0"/>
        <v>0</v>
      </c>
      <c r="K31" s="518"/>
    </row>
    <row r="32" spans="1:11" ht="15.5">
      <c r="B32" s="589" t="s">
        <v>962</v>
      </c>
      <c r="C32" s="541"/>
      <c r="D32" s="541"/>
      <c r="E32" s="541"/>
      <c r="F32" s="541"/>
      <c r="G32" s="541"/>
      <c r="H32" s="541"/>
      <c r="I32" s="542"/>
      <c r="K32" s="518"/>
    </row>
    <row r="33" spans="1:11" ht="15.5">
      <c r="B33" s="589" t="s">
        <v>924</v>
      </c>
      <c r="C33" s="541"/>
      <c r="D33" s="541"/>
      <c r="E33" s="541"/>
      <c r="F33" s="541"/>
      <c r="G33" s="541"/>
      <c r="H33" s="541"/>
      <c r="I33" s="542"/>
      <c r="K33" s="518"/>
    </row>
    <row r="34" spans="1:11" ht="14.5">
      <c r="B34" s="543" t="s">
        <v>2802</v>
      </c>
      <c r="C34" s="544"/>
      <c r="D34" s="544"/>
      <c r="E34" s="544"/>
      <c r="F34" s="544"/>
      <c r="G34" s="544"/>
      <c r="H34" s="544"/>
      <c r="I34" s="542">
        <f t="shared" ref="I34:I54" si="4">SUM(C34:H34)</f>
        <v>0</v>
      </c>
      <c r="K34" s="518"/>
    </row>
    <row r="35" spans="1:11" ht="14.5">
      <c r="B35" s="586" t="s">
        <v>954</v>
      </c>
      <c r="C35" s="544"/>
      <c r="D35" s="544"/>
      <c r="E35" s="544"/>
      <c r="F35" s="544"/>
      <c r="G35" s="544"/>
      <c r="H35" s="544"/>
      <c r="I35" s="542">
        <f t="shared" si="4"/>
        <v>0</v>
      </c>
      <c r="K35" s="518"/>
    </row>
    <row r="36" spans="1:11" ht="28.5">
      <c r="B36" s="586" t="s">
        <v>933</v>
      </c>
      <c r="C36" s="544"/>
      <c r="D36" s="544"/>
      <c r="E36" s="544"/>
      <c r="F36" s="544"/>
      <c r="G36" s="544"/>
      <c r="H36" s="544"/>
      <c r="I36" s="542">
        <f t="shared" si="4"/>
        <v>0</v>
      </c>
      <c r="K36" s="591"/>
    </row>
    <row r="37" spans="1:11" ht="14.5">
      <c r="A37" s="1165"/>
      <c r="B37" s="586" t="s">
        <v>2714</v>
      </c>
      <c r="C37" s="544"/>
      <c r="D37" s="544"/>
      <c r="E37" s="544"/>
      <c r="F37" s="544"/>
      <c r="G37" s="544"/>
      <c r="H37" s="544"/>
      <c r="I37" s="542">
        <f t="shared" si="4"/>
        <v>0</v>
      </c>
      <c r="K37" s="518"/>
    </row>
    <row r="38" spans="1:11" ht="14.5">
      <c r="B38" s="586" t="s">
        <v>957</v>
      </c>
      <c r="C38" s="544"/>
      <c r="D38" s="544"/>
      <c r="E38" s="544"/>
      <c r="F38" s="544"/>
      <c r="G38" s="544"/>
      <c r="H38" s="544"/>
      <c r="I38" s="542">
        <f t="shared" si="4"/>
        <v>0</v>
      </c>
      <c r="K38" s="518"/>
    </row>
    <row r="39" spans="1:11" ht="14.5">
      <c r="B39" s="586" t="s">
        <v>963</v>
      </c>
      <c r="C39" s="544"/>
      <c r="D39" s="544"/>
      <c r="E39" s="544"/>
      <c r="F39" s="544"/>
      <c r="G39" s="544"/>
      <c r="H39" s="544"/>
      <c r="I39" s="542">
        <f t="shared" si="4"/>
        <v>0</v>
      </c>
      <c r="K39" s="518"/>
    </row>
    <row r="40" spans="1:11" ht="28.5">
      <c r="B40" s="586" t="s">
        <v>964</v>
      </c>
      <c r="C40" s="544"/>
      <c r="D40" s="544"/>
      <c r="E40" s="544"/>
      <c r="F40" s="544"/>
      <c r="G40" s="544"/>
      <c r="H40" s="544"/>
      <c r="I40" s="542">
        <f t="shared" si="4"/>
        <v>0</v>
      </c>
      <c r="K40" s="518"/>
    </row>
    <row r="41" spans="1:11" ht="14.5">
      <c r="B41" s="586" t="s">
        <v>961</v>
      </c>
      <c r="C41" s="544"/>
      <c r="D41" s="544"/>
      <c r="E41" s="544"/>
      <c r="F41" s="544"/>
      <c r="G41" s="544"/>
      <c r="H41" s="544"/>
      <c r="I41" s="542">
        <f t="shared" si="4"/>
        <v>0</v>
      </c>
      <c r="K41" s="518"/>
    </row>
    <row r="42" spans="1:11" ht="14.5">
      <c r="B42" s="586" t="s">
        <v>70</v>
      </c>
      <c r="C42" s="544"/>
      <c r="D42" s="544"/>
      <c r="E42" s="544"/>
      <c r="F42" s="544"/>
      <c r="G42" s="544"/>
      <c r="H42" s="544"/>
      <c r="I42" s="542">
        <f t="shared" si="4"/>
        <v>0</v>
      </c>
      <c r="K42" s="518"/>
    </row>
    <row r="43" spans="1:11" ht="14.5">
      <c r="B43" s="543" t="s">
        <v>2803</v>
      </c>
      <c r="C43" s="541">
        <f t="shared" ref="C43:H43" si="5">SUM(C34:C42)</f>
        <v>0</v>
      </c>
      <c r="D43" s="541">
        <f t="shared" si="5"/>
        <v>0</v>
      </c>
      <c r="E43" s="541">
        <f t="shared" si="5"/>
        <v>0</v>
      </c>
      <c r="F43" s="541">
        <f t="shared" si="5"/>
        <v>0</v>
      </c>
      <c r="G43" s="541">
        <f t="shared" si="5"/>
        <v>0</v>
      </c>
      <c r="H43" s="541">
        <f t="shared" si="5"/>
        <v>0</v>
      </c>
      <c r="I43" s="542">
        <f t="shared" si="4"/>
        <v>0</v>
      </c>
      <c r="K43" s="518"/>
    </row>
    <row r="44" spans="1:11" ht="14.5">
      <c r="B44" s="543" t="s">
        <v>934</v>
      </c>
      <c r="C44" s="541"/>
      <c r="D44" s="541"/>
      <c r="E44" s="541"/>
      <c r="F44" s="541"/>
      <c r="G44" s="541"/>
      <c r="H44" s="541"/>
      <c r="I44" s="542"/>
      <c r="K44" s="518"/>
    </row>
    <row r="45" spans="1:11" ht="14.5">
      <c r="B45" s="543" t="s">
        <v>2804</v>
      </c>
      <c r="C45" s="541">
        <f>C43</f>
        <v>0</v>
      </c>
      <c r="D45" s="541">
        <f t="shared" ref="D45:I45" si="6">D43</f>
        <v>0</v>
      </c>
      <c r="E45" s="541">
        <f t="shared" si="6"/>
        <v>0</v>
      </c>
      <c r="F45" s="541">
        <f t="shared" si="6"/>
        <v>0</v>
      </c>
      <c r="G45" s="541">
        <f t="shared" si="6"/>
        <v>0</v>
      </c>
      <c r="H45" s="541">
        <f t="shared" si="6"/>
        <v>0</v>
      </c>
      <c r="I45" s="542">
        <f t="shared" si="6"/>
        <v>0</v>
      </c>
      <c r="K45" s="518"/>
    </row>
    <row r="46" spans="1:11" ht="14.5">
      <c r="B46" s="586" t="s">
        <v>954</v>
      </c>
      <c r="C46" s="544"/>
      <c r="D46" s="544"/>
      <c r="E46" s="544"/>
      <c r="F46" s="544"/>
      <c r="G46" s="544"/>
      <c r="H46" s="544"/>
      <c r="I46" s="542">
        <f t="shared" si="4"/>
        <v>0</v>
      </c>
      <c r="K46" s="518"/>
    </row>
    <row r="47" spans="1:11" ht="28.5">
      <c r="B47" s="586" t="s">
        <v>933</v>
      </c>
      <c r="C47" s="544"/>
      <c r="D47" s="544"/>
      <c r="E47" s="544"/>
      <c r="F47" s="544"/>
      <c r="G47" s="544"/>
      <c r="H47" s="544"/>
      <c r="I47" s="542">
        <f t="shared" si="4"/>
        <v>0</v>
      </c>
      <c r="K47" s="518"/>
    </row>
    <row r="48" spans="1:11" ht="14.5">
      <c r="A48" s="1165"/>
      <c r="B48" s="586" t="s">
        <v>2714</v>
      </c>
      <c r="C48" s="544"/>
      <c r="D48" s="544"/>
      <c r="E48" s="544"/>
      <c r="F48" s="544"/>
      <c r="G48" s="544"/>
      <c r="H48" s="544"/>
      <c r="I48" s="542">
        <f t="shared" si="4"/>
        <v>0</v>
      </c>
      <c r="K48" s="518"/>
    </row>
    <row r="49" spans="2:13" ht="14.5">
      <c r="B49" s="586" t="s">
        <v>957</v>
      </c>
      <c r="C49" s="544"/>
      <c r="D49" s="544"/>
      <c r="E49" s="544"/>
      <c r="F49" s="544"/>
      <c r="G49" s="544"/>
      <c r="H49" s="544"/>
      <c r="I49" s="542">
        <f t="shared" si="4"/>
        <v>0</v>
      </c>
      <c r="K49" s="518"/>
    </row>
    <row r="50" spans="2:13" ht="14.5">
      <c r="B50" s="586" t="s">
        <v>963</v>
      </c>
      <c r="C50" s="544"/>
      <c r="D50" s="544"/>
      <c r="E50" s="544"/>
      <c r="F50" s="544"/>
      <c r="G50" s="544"/>
      <c r="H50" s="544"/>
      <c r="I50" s="542">
        <f t="shared" si="4"/>
        <v>0</v>
      </c>
      <c r="K50" s="518"/>
    </row>
    <row r="51" spans="2:13" ht="28.5">
      <c r="B51" s="586" t="s">
        <v>964</v>
      </c>
      <c r="C51" s="544"/>
      <c r="D51" s="544"/>
      <c r="E51" s="544"/>
      <c r="F51" s="544"/>
      <c r="G51" s="544"/>
      <c r="H51" s="544"/>
      <c r="I51" s="542">
        <f t="shared" si="4"/>
        <v>0</v>
      </c>
      <c r="K51" s="518"/>
    </row>
    <row r="52" spans="2:13" ht="14.5">
      <c r="B52" s="586" t="s">
        <v>961</v>
      </c>
      <c r="C52" s="544"/>
      <c r="D52" s="544"/>
      <c r="E52" s="544"/>
      <c r="F52" s="544"/>
      <c r="G52" s="544"/>
      <c r="H52" s="544"/>
      <c r="I52" s="542">
        <f t="shared" si="4"/>
        <v>0</v>
      </c>
      <c r="K52" s="518"/>
    </row>
    <row r="53" spans="2:13" ht="14.5">
      <c r="B53" s="586" t="s">
        <v>70</v>
      </c>
      <c r="C53" s="544"/>
      <c r="D53" s="544"/>
      <c r="E53" s="544"/>
      <c r="F53" s="544"/>
      <c r="G53" s="544"/>
      <c r="H53" s="544"/>
      <c r="I53" s="542">
        <f t="shared" si="4"/>
        <v>0</v>
      </c>
      <c r="K53" s="518"/>
    </row>
    <row r="54" spans="2:13" ht="14.5">
      <c r="B54" s="543" t="s">
        <v>2805</v>
      </c>
      <c r="C54" s="541">
        <f t="shared" ref="C54:H54" si="7">SUM(C45:C53)</f>
        <v>0</v>
      </c>
      <c r="D54" s="541">
        <f t="shared" si="7"/>
        <v>0</v>
      </c>
      <c r="E54" s="541">
        <f t="shared" si="7"/>
        <v>0</v>
      </c>
      <c r="F54" s="541">
        <f t="shared" si="7"/>
        <v>0</v>
      </c>
      <c r="G54" s="541">
        <f t="shared" si="7"/>
        <v>0</v>
      </c>
      <c r="H54" s="541">
        <f t="shared" si="7"/>
        <v>0</v>
      </c>
      <c r="I54" s="542">
        <f t="shared" si="4"/>
        <v>0</v>
      </c>
      <c r="K54" s="518"/>
    </row>
    <row r="55" spans="2:13" ht="14.5">
      <c r="B55" s="543" t="s">
        <v>968</v>
      </c>
      <c r="C55" s="541"/>
      <c r="D55" s="541"/>
      <c r="E55" s="541"/>
      <c r="F55" s="541"/>
      <c r="G55" s="541"/>
      <c r="H55" s="541"/>
      <c r="I55" s="542"/>
      <c r="K55" s="518"/>
    </row>
    <row r="56" spans="2:13" ht="14.5">
      <c r="B56" s="558" t="str">
        <f>Date1</f>
        <v>31.12.2021</v>
      </c>
      <c r="C56" s="541">
        <f>C31-C54</f>
        <v>0</v>
      </c>
      <c r="D56" s="541">
        <f t="shared" ref="D56:I56" si="8">D31-D54</f>
        <v>0</v>
      </c>
      <c r="E56" s="541">
        <f t="shared" si="8"/>
        <v>0</v>
      </c>
      <c r="F56" s="541">
        <f t="shared" si="8"/>
        <v>0</v>
      </c>
      <c r="G56" s="541">
        <f t="shared" si="8"/>
        <v>0</v>
      </c>
      <c r="H56" s="541">
        <f t="shared" si="8"/>
        <v>0</v>
      </c>
      <c r="I56" s="542">
        <f t="shared" si="8"/>
        <v>0</v>
      </c>
      <c r="K56" s="518"/>
    </row>
    <row r="57" spans="2:13" ht="14.5">
      <c r="B57" s="559" t="str">
        <f>Date3</f>
        <v>31.12.2020</v>
      </c>
      <c r="C57" s="560">
        <f t="shared" ref="C57:I57" si="9">C20-C43</f>
        <v>0</v>
      </c>
      <c r="D57" s="560">
        <f t="shared" si="9"/>
        <v>0</v>
      </c>
      <c r="E57" s="560">
        <f t="shared" si="9"/>
        <v>0</v>
      </c>
      <c r="F57" s="560">
        <f t="shared" si="9"/>
        <v>0</v>
      </c>
      <c r="G57" s="560">
        <f t="shared" si="9"/>
        <v>0</v>
      </c>
      <c r="H57" s="560">
        <f t="shared" si="9"/>
        <v>0</v>
      </c>
      <c r="I57" s="561">
        <f t="shared" si="9"/>
        <v>0</v>
      </c>
      <c r="K57" s="518"/>
      <c r="M57" s="529" t="s">
        <v>969</v>
      </c>
    </row>
    <row r="58" spans="2:13" ht="14.5">
      <c r="B58" s="543" t="s">
        <v>970</v>
      </c>
      <c r="C58" s="541"/>
      <c r="D58" s="541"/>
      <c r="E58" s="541"/>
      <c r="F58" s="541"/>
      <c r="G58" s="541"/>
      <c r="H58" s="541"/>
      <c r="I58" s="542"/>
      <c r="K58" s="518"/>
    </row>
    <row r="59" spans="2:13" ht="14">
      <c r="B59" s="592" t="str">
        <f>Period1</f>
        <v>שנת 2021</v>
      </c>
      <c r="C59" s="1043"/>
      <c r="D59" s="1043"/>
      <c r="E59" s="1043"/>
      <c r="F59" s="1043"/>
      <c r="G59" s="1043"/>
      <c r="H59" s="505"/>
      <c r="I59" s="863"/>
    </row>
    <row r="60" spans="2:13" ht="14">
      <c r="B60" s="864" t="str">
        <f>Period2</f>
        <v>שנת 2020</v>
      </c>
      <c r="C60" s="1044"/>
      <c r="D60" s="1044"/>
      <c r="E60" s="1044"/>
      <c r="F60" s="1044"/>
      <c r="G60" s="1044"/>
      <c r="H60" s="865"/>
      <c r="I60" s="866"/>
    </row>
  </sheetData>
  <sheetProtection password="EC25" sheet="1" objects="1" scenarios="1" formatCells="0" formatColumns="0" formatRows="0"/>
  <conditionalFormatting sqref="M3:M4 C9:I10 I20:I21 C11:H21 C22 C32:I43">
    <cfRule type="expression" dxfId="192" priority="46" stopIfTrue="1">
      <formula>AND(CELL("protect",C3)=1,CELL("type",C3)="v")</formula>
    </cfRule>
    <cfRule type="expression" dxfId="191" priority="47" stopIfTrue="1">
      <formula>CELL("protect",C3)</formula>
    </cfRule>
  </conditionalFormatting>
  <conditionalFormatting sqref="M5">
    <cfRule type="expression" dxfId="190" priority="48" stopIfTrue="1">
      <formula>AND(CELL("protect",M5)=1,CELL("type",M5)="v")</formula>
    </cfRule>
    <cfRule type="expression" dxfId="189" priority="49" stopIfTrue="1">
      <formula>CELL("protect",M5)=1</formula>
    </cfRule>
  </conditionalFormatting>
  <conditionalFormatting sqref="C23:H30">
    <cfRule type="expression" dxfId="188" priority="44" stopIfTrue="1">
      <formula>AND(CELL("protect",C23)=1,CELL("type",C23)="v")</formula>
    </cfRule>
    <cfRule type="expression" dxfId="187" priority="45" stopIfTrue="1">
      <formula>CELL("protect",C23)</formula>
    </cfRule>
  </conditionalFormatting>
  <conditionalFormatting sqref="C31:I31">
    <cfRule type="expression" dxfId="186" priority="42" stopIfTrue="1">
      <formula>AND(CELL("protect",C31)=1,CELL("type",C31)="v")</formula>
    </cfRule>
    <cfRule type="expression" dxfId="185" priority="43" stopIfTrue="1">
      <formula>CELL("protect",C31)</formula>
    </cfRule>
  </conditionalFormatting>
  <conditionalFormatting sqref="C46:I54">
    <cfRule type="expression" dxfId="184" priority="40" stopIfTrue="1">
      <formula>AND(CELL("protect",C46)=1,CELL("type",C46)="v")</formula>
    </cfRule>
    <cfRule type="expression" dxfId="183" priority="41" stopIfTrue="1">
      <formula>CELL("protect",C46)</formula>
    </cfRule>
  </conditionalFormatting>
  <conditionalFormatting sqref="C55:I55 C56">
    <cfRule type="expression" dxfId="182" priority="38" stopIfTrue="1">
      <formula>AND(CELL("protect",C55)=1,CELL("type",C55)="v")</formula>
    </cfRule>
    <cfRule type="expression" dxfId="181" priority="39" stopIfTrue="1">
      <formula>CELL("protect",C55)</formula>
    </cfRule>
  </conditionalFormatting>
  <conditionalFormatting sqref="C57">
    <cfRule type="expression" dxfId="180" priority="36" stopIfTrue="1">
      <formula>AND(CELL("protect",C57)=1,CELL("type",C57)="v")</formula>
    </cfRule>
    <cfRule type="expression" dxfId="179" priority="37" stopIfTrue="1">
      <formula>CELL("protect",C57)</formula>
    </cfRule>
  </conditionalFormatting>
  <conditionalFormatting sqref="I56">
    <cfRule type="expression" dxfId="178" priority="34" stopIfTrue="1">
      <formula>AND(CELL("protect",I56)=1,CELL("type",I56)="v")</formula>
    </cfRule>
    <cfRule type="expression" dxfId="177" priority="35" stopIfTrue="1">
      <formula>CELL("protect",I56)</formula>
    </cfRule>
  </conditionalFormatting>
  <conditionalFormatting sqref="I57">
    <cfRule type="expression" dxfId="176" priority="32" stopIfTrue="1">
      <formula>AND(CELL("protect",I57)=1,CELL("type",I57)="v")</formula>
    </cfRule>
    <cfRule type="expression" dxfId="175" priority="33" stopIfTrue="1">
      <formula>CELL("protect",I57)</formula>
    </cfRule>
  </conditionalFormatting>
  <conditionalFormatting sqref="C58:I58">
    <cfRule type="expression" dxfId="174" priority="30" stopIfTrue="1">
      <formula>AND(CELL("protect",C58)=1,CELL("type",C58)="v")</formula>
    </cfRule>
    <cfRule type="expression" dxfId="173" priority="31" stopIfTrue="1">
      <formula>CELL("protect",C58)</formula>
    </cfRule>
  </conditionalFormatting>
  <conditionalFormatting sqref="C59:G60">
    <cfRule type="expression" dxfId="172" priority="28" stopIfTrue="1">
      <formula>AND(CELL("protect",C59)=1,CELL("type",C59)="v")</formula>
    </cfRule>
    <cfRule type="expression" dxfId="171" priority="29" stopIfTrue="1">
      <formula>CELL("protect",C59)</formula>
    </cfRule>
  </conditionalFormatting>
  <conditionalFormatting sqref="D56">
    <cfRule type="expression" dxfId="170" priority="26" stopIfTrue="1">
      <formula>AND(CELL("protect",D56)=1,CELL("type",D56)="v")</formula>
    </cfRule>
    <cfRule type="expression" dxfId="169" priority="27" stopIfTrue="1">
      <formula>CELL("protect",D56)</formula>
    </cfRule>
  </conditionalFormatting>
  <conditionalFormatting sqref="D57">
    <cfRule type="expression" dxfId="168" priority="24" stopIfTrue="1">
      <formula>AND(CELL("protect",D57)=1,CELL("type",D57)="v")</formula>
    </cfRule>
    <cfRule type="expression" dxfId="167" priority="25" stopIfTrue="1">
      <formula>CELL("protect",D57)</formula>
    </cfRule>
  </conditionalFormatting>
  <conditionalFormatting sqref="E56">
    <cfRule type="expression" dxfId="166" priority="22" stopIfTrue="1">
      <formula>AND(CELL("protect",E56)=1,CELL("type",E56)="v")</formula>
    </cfRule>
    <cfRule type="expression" dxfId="165" priority="23" stopIfTrue="1">
      <formula>CELL("protect",E56)</formula>
    </cfRule>
  </conditionalFormatting>
  <conditionalFormatting sqref="E57">
    <cfRule type="expression" dxfId="164" priority="20" stopIfTrue="1">
      <formula>AND(CELL("protect",E57)=1,CELL("type",E57)="v")</formula>
    </cfRule>
    <cfRule type="expression" dxfId="163" priority="21" stopIfTrue="1">
      <formula>CELL("protect",E57)</formula>
    </cfRule>
  </conditionalFormatting>
  <conditionalFormatting sqref="F56">
    <cfRule type="expression" dxfId="162" priority="18" stopIfTrue="1">
      <formula>AND(CELL("protect",F56)=1,CELL("type",F56)="v")</formula>
    </cfRule>
    <cfRule type="expression" dxfId="161" priority="19" stopIfTrue="1">
      <formula>CELL("protect",F56)</formula>
    </cfRule>
  </conditionalFormatting>
  <conditionalFormatting sqref="F57">
    <cfRule type="expression" dxfId="160" priority="16" stopIfTrue="1">
      <formula>AND(CELL("protect",F57)=1,CELL("type",F57)="v")</formula>
    </cfRule>
    <cfRule type="expression" dxfId="159" priority="17" stopIfTrue="1">
      <formula>CELL("protect",F57)</formula>
    </cfRule>
  </conditionalFormatting>
  <conditionalFormatting sqref="G56">
    <cfRule type="expression" dxfId="158" priority="14" stopIfTrue="1">
      <formula>AND(CELL("protect",G56)=1,CELL("type",G56)="v")</formula>
    </cfRule>
    <cfRule type="expression" dxfId="157" priority="15" stopIfTrue="1">
      <formula>CELL("protect",G56)</formula>
    </cfRule>
  </conditionalFormatting>
  <conditionalFormatting sqref="G57">
    <cfRule type="expression" dxfId="156" priority="12" stopIfTrue="1">
      <formula>AND(CELL("protect",G57)=1,CELL("type",G57)="v")</formula>
    </cfRule>
    <cfRule type="expression" dxfId="155" priority="13" stopIfTrue="1">
      <formula>CELL("protect",G57)</formula>
    </cfRule>
  </conditionalFormatting>
  <conditionalFormatting sqref="H56">
    <cfRule type="expression" dxfId="154" priority="10" stopIfTrue="1">
      <formula>AND(CELL("protect",H56)=1,CELL("type",H56)="v")</formula>
    </cfRule>
    <cfRule type="expression" dxfId="153" priority="11" stopIfTrue="1">
      <formula>CELL("protect",H56)</formula>
    </cfRule>
  </conditionalFormatting>
  <conditionalFormatting sqref="H57">
    <cfRule type="expression" dxfId="152" priority="8" stopIfTrue="1">
      <formula>AND(CELL("protect",H57)=1,CELL("type",H57)="v")</formula>
    </cfRule>
    <cfRule type="expression" dxfId="151" priority="9" stopIfTrue="1">
      <formula>CELL("protect",H57)</formula>
    </cfRule>
  </conditionalFormatting>
  <conditionalFormatting sqref="D22:I22">
    <cfRule type="expression" dxfId="150" priority="6" stopIfTrue="1">
      <formula>AND(CELL("protect",D22)=1,CELL("type",D22)="v")</formula>
    </cfRule>
    <cfRule type="expression" dxfId="149" priority="7" stopIfTrue="1">
      <formula>CELL("protect",D22)</formula>
    </cfRule>
  </conditionalFormatting>
  <conditionalFormatting sqref="C44:I44 C45">
    <cfRule type="expression" dxfId="148" priority="4" stopIfTrue="1">
      <formula>AND(CELL("protect",C44)=1,CELL("type",C44)="v")</formula>
    </cfRule>
    <cfRule type="expression" dxfId="147" priority="5" stopIfTrue="1">
      <formula>CELL("protect",C44)</formula>
    </cfRule>
  </conditionalFormatting>
  <conditionalFormatting sqref="D45:I45">
    <cfRule type="expression" dxfId="146" priority="2" stopIfTrue="1">
      <formula>AND(CELL("protect",D45)=1,CELL("type",D45)="v")</formula>
    </cfRule>
    <cfRule type="expression" dxfId="145" priority="3" stopIfTrue="1">
      <formula>CELL("protect",D45)</formula>
    </cfRule>
  </conditionalFormatting>
  <hyperlinks>
    <hyperlink ref="D1" location="Information!A1" display="חזרה"/>
    <hyperlink ref="B7" location="Information!A60" display="Information!A60"/>
  </hyperlinks>
  <pageMargins left="0" right="0" top="0" bottom="0.5" header="0" footer="0.25"/>
  <pageSetup paperSize="9" scale="78"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C124245F-65C1-490D-B12E-FD8F74E8CF43}">
            <xm:f>Information!$G$54&gt;0</xm:f>
            <x14:dxf>
              <font>
                <b/>
                <i val="0"/>
                <color theme="1"/>
              </font>
              <fill>
                <patternFill>
                  <bgColor rgb="FFFFFF00"/>
                </patternFill>
              </fill>
            </x14:dxf>
          </x14:cfRule>
          <xm:sqref>B7</xm:sqref>
        </x14:conditionalFormatting>
      </x14:conditionalFormatting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FFFF00"/>
    <pageSetUpPr fitToPage="1"/>
  </sheetPr>
  <dimension ref="A1:R23"/>
  <sheetViews>
    <sheetView rightToLeft="1" workbookViewId="0">
      <selection activeCell="D1" sqref="D1"/>
    </sheetView>
  </sheetViews>
  <sheetFormatPr defaultColWidth="9.1796875" defaultRowHeight="12.5"/>
  <cols>
    <col min="1" max="1" width="5.453125" style="529" customWidth="1"/>
    <col min="2" max="2" width="32.1796875" style="529" customWidth="1"/>
    <col min="3" max="3" width="12.1796875" style="529" customWidth="1"/>
    <col min="4" max="4" width="12.453125" style="529" customWidth="1"/>
    <col min="5" max="5" width="9.1796875" style="529"/>
    <col min="6" max="6" width="11.54296875" style="529" customWidth="1"/>
    <col min="7" max="12" width="9.1796875" style="529"/>
    <col min="13" max="13" width="10.1796875" style="529" bestFit="1" customWidth="1"/>
    <col min="14" max="16384" width="9.1796875" style="529"/>
  </cols>
  <sheetData>
    <row r="1" spans="1:18" ht="18">
      <c r="B1" s="15" t="str">
        <f>company</f>
        <v>_____חברה מנהלת</v>
      </c>
      <c r="C1" s="530"/>
      <c r="D1" s="20" t="s">
        <v>263</v>
      </c>
      <c r="M1" s="531" t="str">
        <f>date</f>
        <v>21</v>
      </c>
      <c r="N1" s="529" t="e">
        <f>VLOOKUP(M1,P4:R10,3,0)</f>
        <v>#N/A</v>
      </c>
      <c r="O1" s="529" t="str">
        <f>CONCATENATE(O2,O2)</f>
        <v/>
      </c>
    </row>
    <row r="2" spans="1:18" ht="18">
      <c r="B2" s="111" t="s">
        <v>1520</v>
      </c>
      <c r="C2" s="532"/>
      <c r="D2" s="532"/>
      <c r="M2" s="531" t="e">
        <f>INDEX($P$4:$P$10,$N$1+1)</f>
        <v>#N/A</v>
      </c>
    </row>
    <row r="3" spans="1:18" ht="15.5">
      <c r="B3" s="28"/>
      <c r="D3" s="533" t="str">
        <f>Date1</f>
        <v>31.12.2021</v>
      </c>
      <c r="M3" s="531" t="e">
        <f>INDEX($P$4:$P$10,$N$1+2)</f>
        <v>#N/A</v>
      </c>
    </row>
    <row r="4" spans="1:18">
      <c r="M4" s="529" t="e">
        <f>INDEX($Q$4:$Q$10,N1)</f>
        <v>#N/A</v>
      </c>
      <c r="P4" s="529" t="s">
        <v>333</v>
      </c>
      <c r="Q4" s="529">
        <v>2012</v>
      </c>
      <c r="R4" s="529">
        <v>1</v>
      </c>
    </row>
    <row r="5" spans="1:18" ht="15.5">
      <c r="B5" s="573" t="str">
        <f>Information!C17</f>
        <v>באור 6א' - הוצאות רכישה נדחות - ההרכב</v>
      </c>
      <c r="D5" s="1469" t="s">
        <v>3876</v>
      </c>
      <c r="M5" s="529" t="e">
        <f>INDEX($Q$4:$Q$10,N1+1)</f>
        <v>#N/A</v>
      </c>
      <c r="P5" s="529" t="s">
        <v>797</v>
      </c>
      <c r="Q5" s="529">
        <v>2011</v>
      </c>
      <c r="R5" s="529">
        <v>2</v>
      </c>
    </row>
    <row r="6" spans="1:18" ht="15.5">
      <c r="A6" s="535"/>
      <c r="B6" s="536" t="s">
        <v>942</v>
      </c>
      <c r="M6" s="529" t="e">
        <f>INDEX($Q$4:$Q$10,N1+2)</f>
        <v>#N/A</v>
      </c>
      <c r="P6" s="529" t="s">
        <v>915</v>
      </c>
      <c r="Q6" s="529">
        <v>2010</v>
      </c>
      <c r="R6" s="529">
        <v>3</v>
      </c>
    </row>
    <row r="7" spans="1:18" ht="45.75" customHeight="1">
      <c r="A7" s="536"/>
      <c r="B7" s="537"/>
      <c r="C7" s="574" t="str">
        <f>Date1</f>
        <v>31.12.2021</v>
      </c>
      <c r="D7" s="575" t="str">
        <f>Date3</f>
        <v>31.12.2020</v>
      </c>
    </row>
    <row r="8" spans="1:18" ht="15.75" customHeight="1">
      <c r="A8" s="536"/>
      <c r="B8" s="855"/>
      <c r="C8" s="754" t="s">
        <v>29</v>
      </c>
      <c r="D8" s="845" t="s">
        <v>41</v>
      </c>
    </row>
    <row r="9" spans="1:18" ht="14">
      <c r="B9" s="632" t="s">
        <v>328</v>
      </c>
      <c r="C9" s="576"/>
      <c r="D9" s="577"/>
    </row>
    <row r="10" spans="1:18" ht="14">
      <c r="B10" s="632" t="s">
        <v>327</v>
      </c>
      <c r="C10" s="576"/>
      <c r="D10" s="577"/>
    </row>
    <row r="11" spans="1:18" ht="14">
      <c r="B11" s="647" t="s">
        <v>943</v>
      </c>
      <c r="C11" s="578">
        <f>SUM(C9:C10)</f>
        <v>0</v>
      </c>
      <c r="D11" s="579">
        <f>SUM(D9:D10)</f>
        <v>0</v>
      </c>
    </row>
    <row r="13" spans="1:18" ht="15.5">
      <c r="B13" s="573" t="str">
        <f>Information!C18</f>
        <v>באור 6ב' - התנועה בהוצאות רכישה נדחות</v>
      </c>
      <c r="C13" s="536"/>
    </row>
    <row r="14" spans="1:18" ht="14">
      <c r="B14" s="536" t="s">
        <v>942</v>
      </c>
    </row>
    <row r="15" spans="1:18" ht="14">
      <c r="B15" s="580"/>
      <c r="C15" s="581" t="s">
        <v>328</v>
      </c>
      <c r="D15" s="581" t="s">
        <v>327</v>
      </c>
      <c r="E15" s="581" t="s">
        <v>272</v>
      </c>
      <c r="F15" s="581" t="str">
        <f>C15</f>
        <v>פנסיה</v>
      </c>
      <c r="G15" s="581" t="str">
        <f>D15</f>
        <v>גמל</v>
      </c>
      <c r="H15" s="582" t="s">
        <v>272</v>
      </c>
    </row>
    <row r="16" spans="1:18" ht="14">
      <c r="B16" s="583"/>
      <c r="C16" s="1936" t="str">
        <f>Period1</f>
        <v>שנת 2021</v>
      </c>
      <c r="D16" s="1936"/>
      <c r="E16" s="1936"/>
      <c r="F16" s="1936" t="str">
        <f>Period2</f>
        <v>שנת 2020</v>
      </c>
      <c r="G16" s="1936"/>
      <c r="H16" s="1937"/>
    </row>
    <row r="17" spans="1:8" ht="14">
      <c r="B17" s="583"/>
      <c r="C17" s="754" t="s">
        <v>29</v>
      </c>
      <c r="D17" s="754" t="s">
        <v>41</v>
      </c>
      <c r="E17" s="754" t="s">
        <v>63</v>
      </c>
      <c r="F17" s="754" t="s">
        <v>65</v>
      </c>
      <c r="G17" s="754" t="s">
        <v>86</v>
      </c>
      <c r="H17" s="845" t="s">
        <v>88</v>
      </c>
    </row>
    <row r="18" spans="1:8" ht="14">
      <c r="B18" s="543" t="s">
        <v>944</v>
      </c>
      <c r="C18" s="541">
        <f>F23</f>
        <v>0</v>
      </c>
      <c r="D18" s="541">
        <f>G23</f>
        <v>0</v>
      </c>
      <c r="E18" s="541">
        <f t="shared" ref="E18:E23" si="0">C18+D18</f>
        <v>0</v>
      </c>
      <c r="F18" s="544"/>
      <c r="G18" s="544"/>
      <c r="H18" s="542">
        <f t="shared" ref="H18:H23" si="1">F18+G18</f>
        <v>0</v>
      </c>
    </row>
    <row r="19" spans="1:8" ht="14">
      <c r="B19" s="585" t="s">
        <v>1551</v>
      </c>
      <c r="C19" s="544"/>
      <c r="D19" s="544"/>
      <c r="E19" s="541">
        <f t="shared" si="0"/>
        <v>0</v>
      </c>
      <c r="F19" s="544"/>
      <c r="G19" s="544"/>
      <c r="H19" s="542">
        <f t="shared" si="1"/>
        <v>0</v>
      </c>
    </row>
    <row r="20" spans="1:8" ht="14">
      <c r="B20" s="585" t="s">
        <v>947</v>
      </c>
      <c r="C20" s="544"/>
      <c r="D20" s="544"/>
      <c r="E20" s="541">
        <f t="shared" si="0"/>
        <v>0</v>
      </c>
      <c r="F20" s="544"/>
      <c r="G20" s="544"/>
      <c r="H20" s="542">
        <f t="shared" si="1"/>
        <v>0</v>
      </c>
    </row>
    <row r="21" spans="1:8" ht="14">
      <c r="B21" s="585" t="s">
        <v>948</v>
      </c>
      <c r="C21" s="544"/>
      <c r="D21" s="544"/>
      <c r="E21" s="541">
        <f t="shared" si="0"/>
        <v>0</v>
      </c>
      <c r="F21" s="544"/>
      <c r="G21" s="544"/>
      <c r="H21" s="542">
        <f t="shared" si="1"/>
        <v>0</v>
      </c>
    </row>
    <row r="22" spans="1:8" ht="14">
      <c r="A22" s="1165"/>
      <c r="B22" s="585" t="s">
        <v>2711</v>
      </c>
      <c r="C22" s="544"/>
      <c r="D22" s="544"/>
      <c r="E22" s="541">
        <f t="shared" si="0"/>
        <v>0</v>
      </c>
      <c r="F22" s="544"/>
      <c r="G22" s="544"/>
      <c r="H22" s="542">
        <f t="shared" si="1"/>
        <v>0</v>
      </c>
    </row>
    <row r="23" spans="1:8" ht="14">
      <c r="B23" s="587" t="s">
        <v>949</v>
      </c>
      <c r="C23" s="560">
        <f>SUM(C18:C22)</f>
        <v>0</v>
      </c>
      <c r="D23" s="560">
        <f>SUM(D18:D22)</f>
        <v>0</v>
      </c>
      <c r="E23" s="560">
        <f t="shared" si="0"/>
        <v>0</v>
      </c>
      <c r="F23" s="560">
        <f>SUM(F18:F22)</f>
        <v>0</v>
      </c>
      <c r="G23" s="560">
        <f>SUM(G18:G22)</f>
        <v>0</v>
      </c>
      <c r="H23" s="561">
        <f t="shared" si="1"/>
        <v>0</v>
      </c>
    </row>
  </sheetData>
  <sheetProtection password="DFB1" sheet="1" objects="1" scenarios="1" formatCells="0" formatColumns="0" formatRows="0"/>
  <mergeCells count="2">
    <mergeCell ref="C16:E16"/>
    <mergeCell ref="F16:H16"/>
  </mergeCells>
  <conditionalFormatting sqref="C18:H23">
    <cfRule type="expression" dxfId="143" priority="2" stopIfTrue="1">
      <formula>AND(CELL("protect",C18)=1,CELL("type",C18)="v")</formula>
    </cfRule>
    <cfRule type="expression" dxfId="142" priority="3" stopIfTrue="1">
      <formula>CELL("protect",C18)</formula>
    </cfRule>
  </conditionalFormatting>
  <hyperlinks>
    <hyperlink ref="D1" location="Information!A1" display="חזרה"/>
    <hyperlink ref="D5" location="Information!A60" display="Information!A60"/>
  </hyperlinks>
  <pageMargins left="0" right="0" top="0" bottom="0.5" header="0" footer="0.25"/>
  <pageSetup paperSize="9" scale="52"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6FE71B1B-6F3E-4240-B447-0AE6B95BDE8D}">
            <xm:f>Information!$G$54&gt;0</xm:f>
            <x14:dxf>
              <font>
                <b/>
                <i val="0"/>
                <color theme="1"/>
              </font>
              <fill>
                <patternFill>
                  <bgColor rgb="FFFFFF00"/>
                </patternFill>
              </fill>
            </x14:dxf>
          </x14:cfRule>
          <xm:sqref>D5</xm:sqref>
        </x14:conditionalFormatting>
      </x14:conditionalFormatting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FFFF00"/>
    <pageSetUpPr fitToPage="1"/>
  </sheetPr>
  <dimension ref="A1:R61"/>
  <sheetViews>
    <sheetView rightToLeft="1" workbookViewId="0">
      <selection activeCell="D1" sqref="D1"/>
    </sheetView>
  </sheetViews>
  <sheetFormatPr defaultColWidth="9.1796875" defaultRowHeight="12.5"/>
  <cols>
    <col min="1" max="1" width="4.453125" style="529" customWidth="1"/>
    <col min="2" max="2" width="32.1796875" style="529" customWidth="1"/>
    <col min="3" max="3" width="12.1796875" style="529" customWidth="1"/>
    <col min="4" max="4" width="12.54296875" style="529" customWidth="1"/>
    <col min="5" max="9" width="9.1796875" style="529"/>
    <col min="10" max="10" width="30.54296875" style="529" customWidth="1"/>
    <col min="11" max="11" width="19.54296875" style="529" customWidth="1"/>
    <col min="12" max="12" width="9.1796875" style="529"/>
    <col min="13" max="13" width="10.1796875" style="529" bestFit="1" customWidth="1"/>
    <col min="14" max="16384" width="9.1796875" style="529"/>
  </cols>
  <sheetData>
    <row r="1" spans="1:18" ht="18">
      <c r="B1" s="15" t="str">
        <f>Information!B2</f>
        <v>_____חברה מנהלת</v>
      </c>
      <c r="C1" s="530"/>
      <c r="D1" s="642" t="s">
        <v>263</v>
      </c>
      <c r="M1" s="531" t="str">
        <f>Information!P1</f>
        <v>31.12.2021</v>
      </c>
      <c r="N1" s="529" t="e">
        <f>VLOOKUP(M1,P4:R12,3,0)</f>
        <v>#N/A</v>
      </c>
      <c r="O1" s="529" t="str">
        <f>CONCATENATE(O2,O2)</f>
        <v/>
      </c>
    </row>
    <row r="2" spans="1:18" ht="18">
      <c r="B2" s="111" t="str">
        <f>Information!C16</f>
        <v>באור 5 - נכסים בלתי מוחשיים</v>
      </c>
      <c r="C2" s="532"/>
      <c r="D2" s="532"/>
      <c r="M2" s="531" t="e">
        <f>INDEX($P$4:$P$12,$N$1+1)</f>
        <v>#N/A</v>
      </c>
    </row>
    <row r="3" spans="1:18" ht="15.5">
      <c r="B3" s="28" t="s">
        <v>940</v>
      </c>
      <c r="D3" s="572" t="str">
        <f>Information!K4</f>
        <v>31.12.2021</v>
      </c>
      <c r="M3" s="531" t="e">
        <f>INDEX($P$4:$P$12,$N$1+2)</f>
        <v>#N/A</v>
      </c>
    </row>
    <row r="4" spans="1:18">
      <c r="M4" s="529" t="e">
        <f>INDEX($Q$4:$Q$12,N1)</f>
        <v>#N/A</v>
      </c>
      <c r="P4" s="529" t="str">
        <f t="shared" ref="P4:P11" si="0">CONCATENATE("31.12.",Q4)</f>
        <v>31.12.2019</v>
      </c>
      <c r="Q4" s="529">
        <f t="shared" ref="Q4:Q11" si="1">Q5+1</f>
        <v>2019</v>
      </c>
      <c r="R4" s="529">
        <v>1</v>
      </c>
    </row>
    <row r="5" spans="1:18" ht="15.5">
      <c r="B5" s="534" t="str">
        <f>Information!C16</f>
        <v>באור 5 - נכסים בלתי מוחשיים</v>
      </c>
      <c r="M5" s="529" t="e">
        <f>INDEX($Q$4:$Q$12,N1+1)</f>
        <v>#N/A</v>
      </c>
      <c r="P5" s="529" t="str">
        <f t="shared" si="0"/>
        <v>31.12.2018</v>
      </c>
      <c r="Q5" s="529">
        <f t="shared" si="1"/>
        <v>2018</v>
      </c>
      <c r="R5" s="529">
        <v>2</v>
      </c>
    </row>
    <row r="6" spans="1:18" ht="15.5">
      <c r="A6" s="535"/>
      <c r="M6" s="529" t="e">
        <f>INDEX($Q$4:$Q$12,N1+2)</f>
        <v>#N/A</v>
      </c>
      <c r="P6" s="529" t="str">
        <f t="shared" si="0"/>
        <v>31.12.2017</v>
      </c>
      <c r="Q6" s="529">
        <f t="shared" si="1"/>
        <v>2017</v>
      </c>
      <c r="R6" s="529">
        <v>3</v>
      </c>
    </row>
    <row r="7" spans="1:18" ht="26">
      <c r="A7" s="536"/>
      <c r="B7" s="1469" t="s">
        <v>3876</v>
      </c>
      <c r="C7" s="538" t="s">
        <v>916</v>
      </c>
      <c r="D7" s="538" t="s">
        <v>917</v>
      </c>
      <c r="E7" s="538" t="s">
        <v>918</v>
      </c>
      <c r="F7" s="538" t="s">
        <v>919</v>
      </c>
      <c r="G7" s="538" t="s">
        <v>70</v>
      </c>
      <c r="H7" s="539" t="s">
        <v>920</v>
      </c>
      <c r="P7" s="529" t="str">
        <f t="shared" si="0"/>
        <v>31.12.2016</v>
      </c>
      <c r="Q7" s="529">
        <f>Q9+1</f>
        <v>2016</v>
      </c>
      <c r="R7" s="529">
        <v>4</v>
      </c>
    </row>
    <row r="8" spans="1:18" ht="14">
      <c r="A8" s="536"/>
      <c r="B8" s="1062"/>
      <c r="C8" s="754" t="s">
        <v>29</v>
      </c>
      <c r="D8" s="754" t="s">
        <v>41</v>
      </c>
      <c r="E8" s="754" t="s">
        <v>63</v>
      </c>
      <c r="F8" s="754" t="s">
        <v>65</v>
      </c>
      <c r="G8" s="754" t="s">
        <v>86</v>
      </c>
      <c r="H8" s="845" t="s">
        <v>88</v>
      </c>
    </row>
    <row r="9" spans="1:18" ht="15.5">
      <c r="B9" s="540" t="s">
        <v>922</v>
      </c>
      <c r="C9" s="541"/>
      <c r="D9" s="541"/>
      <c r="E9" s="541"/>
      <c r="F9" s="541"/>
      <c r="G9" s="541"/>
      <c r="H9" s="542"/>
      <c r="M9" s="529" t="s">
        <v>901</v>
      </c>
      <c r="P9" s="529" t="str">
        <f t="shared" si="0"/>
        <v>31.12.2015</v>
      </c>
      <c r="Q9" s="529">
        <f t="shared" si="1"/>
        <v>2015</v>
      </c>
      <c r="R9" s="529">
        <v>5</v>
      </c>
    </row>
    <row r="10" spans="1:18" ht="15.5">
      <c r="B10" s="540" t="s">
        <v>924</v>
      </c>
      <c r="C10" s="541"/>
      <c r="D10" s="541"/>
      <c r="E10" s="541"/>
      <c r="F10" s="541"/>
      <c r="G10" s="541"/>
      <c r="H10" s="542"/>
      <c r="P10" s="529" t="str">
        <f t="shared" si="0"/>
        <v>31.12.2014</v>
      </c>
      <c r="Q10" s="529">
        <f t="shared" si="1"/>
        <v>2014</v>
      </c>
    </row>
    <row r="11" spans="1:18" ht="14">
      <c r="B11" s="543" t="str">
        <f>CONCATENATE($M$9,Period2)</f>
        <v>יתרה ליום 1 בינואר, שנת 2020</v>
      </c>
      <c r="C11" s="544"/>
      <c r="D11" s="544"/>
      <c r="E11" s="544"/>
      <c r="F11" s="544"/>
      <c r="G11" s="544"/>
      <c r="H11" s="542">
        <f t="shared" ref="H11:H18" si="2">SUM(C11:G11)</f>
        <v>0</v>
      </c>
      <c r="M11" s="529" t="s">
        <v>925</v>
      </c>
      <c r="P11" s="529" t="str">
        <f t="shared" si="0"/>
        <v>31.12.2013</v>
      </c>
      <c r="Q11" s="529">
        <f t="shared" si="1"/>
        <v>2013</v>
      </c>
      <c r="R11" s="529">
        <v>6</v>
      </c>
    </row>
    <row r="12" spans="1:18" ht="14">
      <c r="B12" s="545" t="s">
        <v>927</v>
      </c>
      <c r="C12" s="544"/>
      <c r="D12" s="544"/>
      <c r="E12" s="544"/>
      <c r="F12" s="544"/>
      <c r="G12" s="544"/>
      <c r="H12" s="542">
        <f t="shared" si="2"/>
        <v>0</v>
      </c>
      <c r="M12" s="529" t="s">
        <v>928</v>
      </c>
      <c r="P12" s="529" t="str">
        <f>CONCATENATE("31.12.",Q12)</f>
        <v>31.12.2012</v>
      </c>
      <c r="Q12" s="529">
        <v>2012</v>
      </c>
      <c r="R12" s="529">
        <v>7</v>
      </c>
    </row>
    <row r="13" spans="1:18" ht="14">
      <c r="A13" s="1165"/>
      <c r="B13" s="545" t="s">
        <v>2713</v>
      </c>
      <c r="C13" s="544"/>
      <c r="D13" s="544"/>
      <c r="E13" s="544"/>
      <c r="F13" s="544"/>
      <c r="G13" s="544"/>
      <c r="H13" s="542">
        <f t="shared" si="2"/>
        <v>0</v>
      </c>
    </row>
    <row r="14" spans="1:18" ht="14">
      <c r="B14" s="545" t="s">
        <v>930</v>
      </c>
      <c r="C14" s="544"/>
      <c r="D14" s="544"/>
      <c r="E14" s="544"/>
      <c r="F14" s="544"/>
      <c r="G14" s="544"/>
      <c r="H14" s="542">
        <f t="shared" si="2"/>
        <v>0</v>
      </c>
    </row>
    <row r="15" spans="1:18" ht="14">
      <c r="B15" s="545" t="s">
        <v>931</v>
      </c>
      <c r="C15" s="544"/>
      <c r="D15" s="544"/>
      <c r="E15" s="544"/>
      <c r="F15" s="544"/>
      <c r="G15" s="544"/>
      <c r="H15" s="542">
        <f t="shared" si="2"/>
        <v>0</v>
      </c>
      <c r="J15" s="546"/>
    </row>
    <row r="16" spans="1:18" ht="14">
      <c r="B16" s="545" t="s">
        <v>932</v>
      </c>
      <c r="C16" s="544"/>
      <c r="D16" s="544"/>
      <c r="E16" s="544"/>
      <c r="F16" s="544"/>
      <c r="G16" s="544"/>
      <c r="H16" s="542">
        <f t="shared" si="2"/>
        <v>0</v>
      </c>
      <c r="J16" s="546"/>
    </row>
    <row r="17" spans="1:10" ht="28">
      <c r="B17" s="545" t="s">
        <v>933</v>
      </c>
      <c r="C17" s="544"/>
      <c r="D17" s="544"/>
      <c r="E17" s="544"/>
      <c r="F17" s="544"/>
      <c r="G17" s="544"/>
      <c r="H17" s="542">
        <f t="shared" si="2"/>
        <v>0</v>
      </c>
      <c r="J17" s="546"/>
    </row>
    <row r="18" spans="1:10" ht="14">
      <c r="A18" s="1165"/>
      <c r="B18" s="545" t="s">
        <v>70</v>
      </c>
      <c r="C18" s="544"/>
      <c r="D18" s="544"/>
      <c r="E18" s="544"/>
      <c r="F18" s="544"/>
      <c r="G18" s="544"/>
      <c r="H18" s="542">
        <f t="shared" si="2"/>
        <v>0</v>
      </c>
      <c r="J18" s="546"/>
    </row>
    <row r="19" spans="1:10" ht="14">
      <c r="B19" s="543" t="str">
        <f>CONCATENATE($M$11,Period2)</f>
        <v>יתרה ליום 31 בדצמבר, שנת 2020</v>
      </c>
      <c r="C19" s="541">
        <f t="shared" ref="C19:H19" si="3">SUM(C11:C18)</f>
        <v>0</v>
      </c>
      <c r="D19" s="541">
        <f t="shared" si="3"/>
        <v>0</v>
      </c>
      <c r="E19" s="541">
        <f t="shared" si="3"/>
        <v>0</v>
      </c>
      <c r="F19" s="541">
        <f t="shared" si="3"/>
        <v>0</v>
      </c>
      <c r="G19" s="541">
        <f t="shared" si="3"/>
        <v>0</v>
      </c>
      <c r="H19" s="542">
        <f t="shared" si="3"/>
        <v>0</v>
      </c>
      <c r="J19" s="546"/>
    </row>
    <row r="20" spans="1:10" ht="15.5">
      <c r="B20" s="540" t="s">
        <v>934</v>
      </c>
      <c r="C20" s="541"/>
      <c r="D20" s="541"/>
      <c r="E20" s="541"/>
      <c r="F20" s="541"/>
      <c r="G20" s="541"/>
      <c r="H20" s="542"/>
      <c r="J20" s="546"/>
    </row>
    <row r="21" spans="1:10" ht="14">
      <c r="B21" s="543" t="str">
        <f>CONCATENATE($M$9,Period1)</f>
        <v>יתרה ליום 1 בינואר, שנת 2021</v>
      </c>
      <c r="C21" s="541">
        <f>C19</f>
        <v>0</v>
      </c>
      <c r="D21" s="541">
        <f>D19</f>
        <v>0</v>
      </c>
      <c r="E21" s="541">
        <f>E19</f>
        <v>0</v>
      </c>
      <c r="F21" s="541">
        <f>F19</f>
        <v>0</v>
      </c>
      <c r="G21" s="541">
        <f>G19</f>
        <v>0</v>
      </c>
      <c r="H21" s="542">
        <f t="shared" ref="H21:H27" si="4">SUM(C21:G21)</f>
        <v>0</v>
      </c>
      <c r="J21" s="546"/>
    </row>
    <row r="22" spans="1:10" ht="14">
      <c r="B22" s="545" t="s">
        <v>927</v>
      </c>
      <c r="C22" s="544"/>
      <c r="D22" s="544"/>
      <c r="E22" s="544"/>
      <c r="F22" s="544"/>
      <c r="G22" s="544"/>
      <c r="H22" s="547">
        <f t="shared" si="4"/>
        <v>0</v>
      </c>
      <c r="J22" s="546"/>
    </row>
    <row r="23" spans="1:10" ht="14">
      <c r="A23" s="1165"/>
      <c r="B23" s="545" t="s">
        <v>2713</v>
      </c>
      <c r="C23" s="544"/>
      <c r="D23" s="544"/>
      <c r="E23" s="544"/>
      <c r="F23" s="544"/>
      <c r="G23" s="544"/>
      <c r="H23" s="547">
        <f t="shared" si="4"/>
        <v>0</v>
      </c>
      <c r="J23" s="546"/>
    </row>
    <row r="24" spans="1:10" ht="14">
      <c r="B24" s="545" t="s">
        <v>930</v>
      </c>
      <c r="C24" s="544"/>
      <c r="D24" s="544"/>
      <c r="E24" s="544"/>
      <c r="F24" s="544"/>
      <c r="G24" s="544"/>
      <c r="H24" s="547">
        <f t="shared" si="4"/>
        <v>0</v>
      </c>
      <c r="J24" s="546"/>
    </row>
    <row r="25" spans="1:10" ht="14">
      <c r="B25" s="545" t="s">
        <v>931</v>
      </c>
      <c r="C25" s="544"/>
      <c r="D25" s="544"/>
      <c r="E25" s="544"/>
      <c r="F25" s="544"/>
      <c r="G25" s="544"/>
      <c r="H25" s="547">
        <f t="shared" si="4"/>
        <v>0</v>
      </c>
      <c r="J25" s="546"/>
    </row>
    <row r="26" spans="1:10" ht="14">
      <c r="B26" s="545" t="s">
        <v>932</v>
      </c>
      <c r="C26" s="544"/>
      <c r="D26" s="544"/>
      <c r="E26" s="544"/>
      <c r="F26" s="544"/>
      <c r="G26" s="544"/>
      <c r="H26" s="547">
        <f t="shared" si="4"/>
        <v>0</v>
      </c>
      <c r="J26" s="546"/>
    </row>
    <row r="27" spans="1:10" ht="28">
      <c r="B27" s="545" t="s">
        <v>933</v>
      </c>
      <c r="C27" s="544"/>
      <c r="D27" s="544"/>
      <c r="E27" s="544"/>
      <c r="F27" s="544"/>
      <c r="G27" s="544"/>
      <c r="H27" s="547">
        <f t="shared" si="4"/>
        <v>0</v>
      </c>
      <c r="J27" s="546"/>
    </row>
    <row r="28" spans="1:10" ht="14">
      <c r="A28" s="1165"/>
      <c r="B28" s="545" t="s">
        <v>70</v>
      </c>
      <c r="C28" s="544"/>
      <c r="D28" s="544"/>
      <c r="E28" s="544"/>
      <c r="F28" s="544"/>
      <c r="G28" s="544"/>
      <c r="H28" s="542">
        <f>SUM(C28:G28)</f>
        <v>0</v>
      </c>
      <c r="J28" s="546"/>
    </row>
    <row r="29" spans="1:10" ht="14.5" thickBot="1">
      <c r="B29" s="548" t="str">
        <f>CONCATENATE($M$11,Period1)</f>
        <v>יתרה ליום 31 בדצמבר, שנת 2021</v>
      </c>
      <c r="C29" s="549">
        <f t="shared" ref="C29:H29" si="5">SUM(C21:C28)</f>
        <v>0</v>
      </c>
      <c r="D29" s="549">
        <f t="shared" si="5"/>
        <v>0</v>
      </c>
      <c r="E29" s="549">
        <f t="shared" si="5"/>
        <v>0</v>
      </c>
      <c r="F29" s="549">
        <f t="shared" si="5"/>
        <v>0</v>
      </c>
      <c r="G29" s="549">
        <f t="shared" si="5"/>
        <v>0</v>
      </c>
      <c r="H29" s="550">
        <f t="shared" si="5"/>
        <v>0</v>
      </c>
      <c r="J29" s="546"/>
    </row>
    <row r="30" spans="1:10" ht="31.5" thickTop="1">
      <c r="B30" s="551" t="s">
        <v>935</v>
      </c>
      <c r="C30" s="552"/>
      <c r="D30" s="552"/>
      <c r="E30" s="552"/>
      <c r="F30" s="552"/>
      <c r="G30" s="552"/>
      <c r="H30" s="553"/>
      <c r="J30" s="546"/>
    </row>
    <row r="31" spans="1:10" ht="15.5">
      <c r="B31" s="554" t="s">
        <v>924</v>
      </c>
      <c r="C31" s="541"/>
      <c r="D31" s="541"/>
      <c r="E31" s="541"/>
      <c r="F31" s="541"/>
      <c r="G31" s="541"/>
      <c r="H31" s="542"/>
      <c r="J31" s="546"/>
    </row>
    <row r="32" spans="1:10" ht="14">
      <c r="B32" s="543" t="str">
        <f>B11</f>
        <v>יתרה ליום 1 בינואר, שנת 2020</v>
      </c>
      <c r="C32" s="544"/>
      <c r="D32" s="544"/>
      <c r="E32" s="544"/>
      <c r="F32" s="544"/>
      <c r="G32" s="544"/>
      <c r="H32" s="547">
        <f t="shared" ref="H32:H39" si="6">SUM(C32:G32)</f>
        <v>0</v>
      </c>
      <c r="J32" s="546"/>
    </row>
    <row r="33" spans="1:10" ht="14">
      <c r="B33" s="545" t="s">
        <v>936</v>
      </c>
      <c r="C33" s="544"/>
      <c r="D33" s="544"/>
      <c r="E33" s="544"/>
      <c r="F33" s="544"/>
      <c r="G33" s="544"/>
      <c r="H33" s="547">
        <f t="shared" si="6"/>
        <v>0</v>
      </c>
      <c r="J33" s="546"/>
    </row>
    <row r="34" spans="1:10" ht="28">
      <c r="A34" s="1165"/>
      <c r="B34" s="545" t="s">
        <v>2714</v>
      </c>
      <c r="C34" s="544"/>
      <c r="D34" s="544"/>
      <c r="E34" s="544"/>
      <c r="F34" s="544"/>
      <c r="G34" s="544"/>
      <c r="H34" s="547">
        <f t="shared" si="6"/>
        <v>0</v>
      </c>
      <c r="J34" s="546"/>
    </row>
    <row r="35" spans="1:10" ht="14">
      <c r="B35" s="545" t="s">
        <v>937</v>
      </c>
      <c r="C35" s="544"/>
      <c r="D35" s="544"/>
      <c r="E35" s="544"/>
      <c r="F35" s="544"/>
      <c r="G35" s="544"/>
      <c r="H35" s="547">
        <f t="shared" si="6"/>
        <v>0</v>
      </c>
      <c r="J35" s="546"/>
    </row>
    <row r="36" spans="1:10" ht="14">
      <c r="B36" s="545" t="s">
        <v>930</v>
      </c>
      <c r="C36" s="544"/>
      <c r="D36" s="544"/>
      <c r="E36" s="544"/>
      <c r="F36" s="544"/>
      <c r="G36" s="544"/>
      <c r="H36" s="547">
        <f t="shared" si="6"/>
        <v>0</v>
      </c>
      <c r="J36" s="546"/>
    </row>
    <row r="37" spans="1:10" ht="14">
      <c r="B37" s="545" t="s">
        <v>932</v>
      </c>
      <c r="C37" s="544"/>
      <c r="D37" s="544"/>
      <c r="E37" s="544"/>
      <c r="F37" s="544"/>
      <c r="G37" s="544"/>
      <c r="H37" s="547">
        <f t="shared" si="6"/>
        <v>0</v>
      </c>
      <c r="J37" s="546"/>
    </row>
    <row r="38" spans="1:10" ht="28">
      <c r="B38" s="545" t="s">
        <v>933</v>
      </c>
      <c r="C38" s="544"/>
      <c r="D38" s="544"/>
      <c r="E38" s="544"/>
      <c r="F38" s="544"/>
      <c r="G38" s="544"/>
      <c r="H38" s="547">
        <f t="shared" si="6"/>
        <v>0</v>
      </c>
      <c r="J38" s="546"/>
    </row>
    <row r="39" spans="1:10" ht="14">
      <c r="A39" s="1165"/>
      <c r="B39" s="545" t="s">
        <v>70</v>
      </c>
      <c r="C39" s="544"/>
      <c r="D39" s="544"/>
      <c r="E39" s="544"/>
      <c r="F39" s="544"/>
      <c r="G39" s="544"/>
      <c r="H39" s="542">
        <f t="shared" si="6"/>
        <v>0</v>
      </c>
      <c r="J39" s="546"/>
    </row>
    <row r="40" spans="1:10" ht="14">
      <c r="B40" s="543" t="str">
        <f>B19</f>
        <v>יתרה ליום 31 בדצמבר, שנת 2020</v>
      </c>
      <c r="C40" s="541">
        <f t="shared" ref="C40:H40" si="7">SUM(C32:C39)</f>
        <v>0</v>
      </c>
      <c r="D40" s="541">
        <f t="shared" si="7"/>
        <v>0</v>
      </c>
      <c r="E40" s="541">
        <f t="shared" si="7"/>
        <v>0</v>
      </c>
      <c r="F40" s="541">
        <f t="shared" si="7"/>
        <v>0</v>
      </c>
      <c r="G40" s="541">
        <f t="shared" si="7"/>
        <v>0</v>
      </c>
      <c r="H40" s="542">
        <f t="shared" si="7"/>
        <v>0</v>
      </c>
      <c r="J40" s="546"/>
    </row>
    <row r="41" spans="1:10" ht="15.5">
      <c r="B41" s="540" t="s">
        <v>934</v>
      </c>
      <c r="C41" s="541"/>
      <c r="D41" s="541"/>
      <c r="E41" s="541"/>
      <c r="F41" s="541"/>
      <c r="G41" s="541"/>
      <c r="H41" s="542"/>
      <c r="J41" s="546"/>
    </row>
    <row r="42" spans="1:10" ht="14">
      <c r="B42" s="543" t="str">
        <f>B21</f>
        <v>יתרה ליום 1 בינואר, שנת 2021</v>
      </c>
      <c r="C42" s="541">
        <f>C40</f>
        <v>0</v>
      </c>
      <c r="D42" s="541">
        <f>D40</f>
        <v>0</v>
      </c>
      <c r="E42" s="541">
        <f>E40</f>
        <v>0</v>
      </c>
      <c r="F42" s="541">
        <f>F40</f>
        <v>0</v>
      </c>
      <c r="G42" s="541">
        <f>G40</f>
        <v>0</v>
      </c>
      <c r="H42" s="547">
        <f t="shared" ref="H42:H48" si="8">SUM(C42:G42)</f>
        <v>0</v>
      </c>
      <c r="J42" s="546"/>
    </row>
    <row r="43" spans="1:10" ht="14">
      <c r="B43" s="545" t="s">
        <v>936</v>
      </c>
      <c r="C43" s="544"/>
      <c r="D43" s="544"/>
      <c r="E43" s="544"/>
      <c r="F43" s="544"/>
      <c r="G43" s="544"/>
      <c r="H43" s="547">
        <f>SUM(C43:G43)</f>
        <v>0</v>
      </c>
      <c r="J43" s="546"/>
    </row>
    <row r="44" spans="1:10" ht="28">
      <c r="A44" s="1165"/>
      <c r="B44" s="545" t="s">
        <v>2714</v>
      </c>
      <c r="C44" s="544"/>
      <c r="D44" s="544"/>
      <c r="E44" s="544"/>
      <c r="F44" s="544"/>
      <c r="G44" s="544"/>
      <c r="H44" s="547">
        <f>SUM(C44:G44)</f>
        <v>0</v>
      </c>
      <c r="J44" s="546"/>
    </row>
    <row r="45" spans="1:10" ht="14">
      <c r="B45" s="545" t="s">
        <v>937</v>
      </c>
      <c r="C45" s="544"/>
      <c r="D45" s="544"/>
      <c r="E45" s="544"/>
      <c r="F45" s="544"/>
      <c r="G45" s="544"/>
      <c r="H45" s="547">
        <f t="shared" si="8"/>
        <v>0</v>
      </c>
      <c r="J45" s="546"/>
    </row>
    <row r="46" spans="1:10" ht="14">
      <c r="B46" s="545" t="s">
        <v>930</v>
      </c>
      <c r="C46" s="544"/>
      <c r="D46" s="544"/>
      <c r="E46" s="544"/>
      <c r="F46" s="544"/>
      <c r="G46" s="544"/>
      <c r="H46" s="547">
        <f t="shared" si="8"/>
        <v>0</v>
      </c>
      <c r="J46" s="546"/>
    </row>
    <row r="47" spans="1:10" ht="14">
      <c r="B47" s="545" t="s">
        <v>932</v>
      </c>
      <c r="C47" s="544"/>
      <c r="D47" s="544"/>
      <c r="E47" s="544"/>
      <c r="F47" s="544"/>
      <c r="G47" s="544"/>
      <c r="H47" s="547">
        <f t="shared" si="8"/>
        <v>0</v>
      </c>
      <c r="J47" s="546"/>
    </row>
    <row r="48" spans="1:10" ht="28">
      <c r="B48" s="545" t="s">
        <v>933</v>
      </c>
      <c r="C48" s="544"/>
      <c r="D48" s="544"/>
      <c r="E48" s="544"/>
      <c r="F48" s="544"/>
      <c r="G48" s="544"/>
      <c r="H48" s="547">
        <f t="shared" si="8"/>
        <v>0</v>
      </c>
      <c r="J48" s="546"/>
    </row>
    <row r="49" spans="1:10" ht="14">
      <c r="A49" s="1165"/>
      <c r="B49" s="545" t="s">
        <v>70</v>
      </c>
      <c r="C49" s="544"/>
      <c r="D49" s="544"/>
      <c r="E49" s="544"/>
      <c r="F49" s="544"/>
      <c r="G49" s="544"/>
      <c r="H49" s="542">
        <f>SUM(C49:G49)</f>
        <v>0</v>
      </c>
      <c r="J49" s="546"/>
    </row>
    <row r="50" spans="1:10" ht="14.5" thickBot="1">
      <c r="B50" s="548" t="str">
        <f>B29</f>
        <v>יתרה ליום 31 בדצמבר, שנת 2021</v>
      </c>
      <c r="C50" s="555">
        <f t="shared" ref="C50:H50" si="9">SUM(C42:C49)</f>
        <v>0</v>
      </c>
      <c r="D50" s="555">
        <f t="shared" si="9"/>
        <v>0</v>
      </c>
      <c r="E50" s="555">
        <f t="shared" si="9"/>
        <v>0</v>
      </c>
      <c r="F50" s="555">
        <f t="shared" si="9"/>
        <v>0</v>
      </c>
      <c r="G50" s="555">
        <f t="shared" si="9"/>
        <v>0</v>
      </c>
      <c r="H50" s="550">
        <f t="shared" si="9"/>
        <v>0</v>
      </c>
      <c r="J50" s="546"/>
    </row>
    <row r="51" spans="1:10" ht="16" thickTop="1">
      <c r="B51" s="551" t="s">
        <v>938</v>
      </c>
      <c r="C51" s="556"/>
      <c r="D51" s="556"/>
      <c r="E51" s="556"/>
      <c r="F51" s="556"/>
      <c r="G51" s="556"/>
      <c r="H51" s="557"/>
      <c r="J51" s="546"/>
    </row>
    <row r="52" spans="1:10" ht="14">
      <c r="B52" s="558" t="str">
        <f>CONCATENATE("ביום 31 בדצמבר, ",Period1)</f>
        <v>ביום 31 בדצמבר, שנת 2021</v>
      </c>
      <c r="C52" s="541">
        <f>C29-C50</f>
        <v>0</v>
      </c>
      <c r="D52" s="541">
        <f>D29-D50</f>
        <v>0</v>
      </c>
      <c r="E52" s="541">
        <f>E29-E50</f>
        <v>0</v>
      </c>
      <c r="F52" s="541">
        <f>F29-F50</f>
        <v>0</v>
      </c>
      <c r="G52" s="541">
        <f>G29-G50</f>
        <v>0</v>
      </c>
      <c r="H52" s="542">
        <f>SUM(C52:G52)</f>
        <v>0</v>
      </c>
      <c r="J52" s="546"/>
    </row>
    <row r="53" spans="1:10" ht="14">
      <c r="B53" s="559" t="str">
        <f>CONCATENATE("ביום 31 בדצמבר, ",Period2)</f>
        <v>ביום 31 בדצמבר, שנת 2020</v>
      </c>
      <c r="C53" s="560">
        <f>C19-C40</f>
        <v>0</v>
      </c>
      <c r="D53" s="560">
        <f>D19-D40</f>
        <v>0</v>
      </c>
      <c r="E53" s="560">
        <f>E19-E40</f>
        <v>0</v>
      </c>
      <c r="F53" s="560">
        <f>F19-F40</f>
        <v>0</v>
      </c>
      <c r="G53" s="560">
        <f>G19-G40</f>
        <v>0</v>
      </c>
      <c r="H53" s="561">
        <f>SUM(C53:G53)</f>
        <v>0</v>
      </c>
      <c r="J53" s="546"/>
    </row>
    <row r="54" spans="1:10" ht="28">
      <c r="B54" s="537" t="s">
        <v>939</v>
      </c>
      <c r="C54" s="562"/>
      <c r="D54" s="563"/>
      <c r="E54" s="564"/>
      <c r="F54" s="564"/>
      <c r="G54" s="564"/>
      <c r="H54" s="564"/>
      <c r="J54" s="565"/>
    </row>
    <row r="55" spans="1:10" ht="14">
      <c r="B55" s="558" t="str">
        <f>CONCATENATE($M$12,Period1)</f>
        <v>בשנת שנת 2021</v>
      </c>
      <c r="C55" s="566"/>
      <c r="D55" s="563"/>
      <c r="E55" s="564"/>
      <c r="F55" s="564"/>
      <c r="G55" s="564"/>
      <c r="H55" s="564"/>
    </row>
    <row r="56" spans="1:10" ht="14">
      <c r="B56" s="559" t="str">
        <f>CONCATENATE($M$12,Period2)</f>
        <v>בשנת שנת 2020</v>
      </c>
      <c r="C56" s="567"/>
      <c r="D56" s="563"/>
      <c r="E56" s="564"/>
      <c r="F56" s="564"/>
      <c r="G56" s="564"/>
      <c r="H56" s="564"/>
      <c r="J56" s="565"/>
    </row>
    <row r="57" spans="1:10" ht="14">
      <c r="B57" s="568"/>
      <c r="C57" s="569"/>
      <c r="D57" s="569"/>
      <c r="E57" s="569"/>
      <c r="F57" s="570"/>
      <c r="G57" s="571"/>
      <c r="H57" s="569"/>
    </row>
    <row r="58" spans="1:10" ht="14">
      <c r="B58" s="568"/>
      <c r="C58" s="569"/>
      <c r="D58" s="569"/>
    </row>
    <row r="59" spans="1:10" ht="14">
      <c r="B59" s="568"/>
      <c r="C59" s="569"/>
      <c r="D59" s="569"/>
    </row>
    <row r="60" spans="1:10" ht="14">
      <c r="B60" s="568"/>
      <c r="C60" s="569"/>
      <c r="D60" s="569"/>
    </row>
    <row r="61" spans="1:10" ht="14">
      <c r="B61" s="568"/>
      <c r="C61" s="569"/>
      <c r="D61" s="569"/>
    </row>
  </sheetData>
  <sheetProtection password="E982" sheet="1" objects="1" scenarios="1" formatCells="0" formatColumns="0" formatRows="0"/>
  <conditionalFormatting sqref="C55:C56 C21:H21 C22:G27 C40:H40 C52:H53 C11:H19 C32:G38 C42:G48">
    <cfRule type="expression" dxfId="140" priority="8" stopIfTrue="1">
      <formula>AND(CELL("protect",C11)=1,CELL("type",C11)="v")</formula>
    </cfRule>
    <cfRule type="expression" dxfId="139" priority="9" stopIfTrue="1">
      <formula>CELL("protect",C11)</formula>
    </cfRule>
  </conditionalFormatting>
  <conditionalFormatting sqref="C54 C9:H10 C20:H20 C41:H41 C51:H51 C30:H31">
    <cfRule type="expression" dxfId="138" priority="10" stopIfTrue="1">
      <formula>AND(CELL("protect",C9)=1,CELL("type",C9)="v")</formula>
    </cfRule>
    <cfRule type="expression" dxfId="137" priority="11" stopIfTrue="1">
      <formula>CELL("protect",C9)=1</formula>
    </cfRule>
  </conditionalFormatting>
  <conditionalFormatting sqref="C28:H28">
    <cfRule type="expression" dxfId="136" priority="6" stopIfTrue="1">
      <formula>AND(CELL("protect",C28)=1,CELL("type",C28)="v")</formula>
    </cfRule>
    <cfRule type="expression" dxfId="135" priority="7" stopIfTrue="1">
      <formula>CELL("protect",C28)</formula>
    </cfRule>
  </conditionalFormatting>
  <conditionalFormatting sqref="C39:H39">
    <cfRule type="expression" dxfId="134" priority="4" stopIfTrue="1">
      <formula>AND(CELL("protect",C39)=1,CELL("type",C39)="v")</formula>
    </cfRule>
    <cfRule type="expression" dxfId="133" priority="5" stopIfTrue="1">
      <formula>CELL("protect",C39)</formula>
    </cfRule>
  </conditionalFormatting>
  <conditionalFormatting sqref="C49:H49">
    <cfRule type="expression" dxfId="132" priority="2" stopIfTrue="1">
      <formula>AND(CELL("protect",C49)=1,CELL("type",C49)="v")</formula>
    </cfRule>
    <cfRule type="expression" dxfId="131" priority="3" stopIfTrue="1">
      <formula>CELL("protect",C49)</formula>
    </cfRule>
  </conditionalFormatting>
  <hyperlinks>
    <hyperlink ref="D1" location="Information!A1" display="חזרה"/>
    <hyperlink ref="B7" location="Information!A60" display="Information!A60"/>
  </hyperlinks>
  <pageMargins left="0" right="0" top="0" bottom="0.5" header="0" footer="0.25"/>
  <pageSetup paperSize="9" scale="86" orientation="portrait" blackAndWhite="1" r:id="rId1"/>
  <headerFooter alignWithMargins="0">
    <oddFooter>&amp;L&amp;Z&amp;F&amp;R&amp;A</oddFooter>
  </headerFooter>
  <extLst>
    <ext xmlns:x14="http://schemas.microsoft.com/office/spreadsheetml/2009/9/main" uri="{78C0D931-6437-407d-A8EE-F0AAD7539E65}">
      <x14:conditionalFormattings>
        <x14:conditionalFormatting xmlns:xm="http://schemas.microsoft.com/office/excel/2006/main">
          <x14:cfRule type="expression" priority="1" id="{D4E856D9-14E2-47B1-952D-C4ECD405CF2E}">
            <xm:f>Information!$G$54&gt;0</xm:f>
            <x14:dxf>
              <font>
                <b/>
                <i val="0"/>
                <color theme="1"/>
              </font>
              <fill>
                <patternFill>
                  <bgColor rgb="FFFFFF00"/>
                </patternFill>
              </fill>
            </x14:dxf>
          </x14:cfRule>
          <xm:sqref>B7</xm:sqref>
        </x14:conditionalFormatting>
      </x14:conditionalFormatting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B0F0"/>
  </sheetPr>
  <dimension ref="A1:H54"/>
  <sheetViews>
    <sheetView rightToLeft="1" workbookViewId="0"/>
  </sheetViews>
  <sheetFormatPr defaultColWidth="8.81640625" defaultRowHeight="12.5"/>
  <cols>
    <col min="1" max="1" width="4.453125" style="505" customWidth="1"/>
    <col min="2" max="2" width="50" style="505" customWidth="1"/>
    <col min="3" max="3" width="14" style="505" customWidth="1"/>
    <col min="4" max="6" width="10.453125" style="505" customWidth="1"/>
    <col min="7" max="7" width="14.453125" style="505" customWidth="1"/>
    <col min="8" max="8" width="50" style="505" customWidth="1"/>
    <col min="9" max="16384" width="8.81640625" style="505"/>
  </cols>
  <sheetData>
    <row r="1" spans="1:8" ht="18">
      <c r="A1" s="501">
        <f>SUM(C8:F18)</f>
        <v>0</v>
      </c>
      <c r="B1" s="502" t="str">
        <f>company</f>
        <v>_____חברה מנהלת</v>
      </c>
      <c r="C1" s="503"/>
      <c r="D1" s="504" t="s">
        <v>263</v>
      </c>
      <c r="E1" s="503"/>
      <c r="F1" s="503"/>
    </row>
    <row r="2" spans="1:8" ht="18">
      <c r="A2" s="503"/>
      <c r="B2" s="23" t="s">
        <v>881</v>
      </c>
      <c r="C2" s="503"/>
      <c r="D2" s="503"/>
      <c r="E2" s="503"/>
      <c r="F2" s="503"/>
    </row>
    <row r="3" spans="1:8" ht="14">
      <c r="A3" s="503"/>
      <c r="B3" s="506" t="str">
        <f>line3</f>
        <v>הנתונים באלפי ש"ח</v>
      </c>
      <c r="C3" s="503"/>
      <c r="D3" s="503"/>
      <c r="E3" s="503"/>
      <c r="F3" s="503"/>
    </row>
    <row r="4" spans="1:8" ht="15.5">
      <c r="A4" s="503"/>
      <c r="B4" s="507" t="str">
        <f>Information!$C$14</f>
        <v>באור 3ג' מגזרי פעילות - נתונים נוספים לגבי מגזר גמל</v>
      </c>
      <c r="C4" s="503"/>
      <c r="D4" s="503"/>
      <c r="E4" s="503"/>
      <c r="F4" s="503"/>
    </row>
    <row r="5" spans="1:8" ht="42">
      <c r="A5" s="503"/>
      <c r="B5" s="1469" t="s">
        <v>3876</v>
      </c>
      <c r="C5" s="509" t="s">
        <v>914</v>
      </c>
      <c r="D5" s="509" t="s">
        <v>375</v>
      </c>
      <c r="E5" s="509" t="s">
        <v>70</v>
      </c>
      <c r="F5" s="510" t="s">
        <v>272</v>
      </c>
    </row>
    <row r="6" spans="1:8" ht="18">
      <c r="A6" s="503"/>
      <c r="B6" s="511" t="str">
        <f>Period1</f>
        <v>שנת 2021</v>
      </c>
      <c r="C6" s="473"/>
      <c r="D6" s="473"/>
      <c r="E6" s="473"/>
      <c r="F6" s="512"/>
    </row>
    <row r="7" spans="1:8" ht="14">
      <c r="A7" s="503">
        <v>1</v>
      </c>
      <c r="B7" s="513" t="s">
        <v>882</v>
      </c>
      <c r="C7" s="1206"/>
      <c r="D7" s="1206"/>
      <c r="E7" s="1206"/>
      <c r="F7" s="515">
        <f t="shared" ref="F7:F17" si="0">SUM(C7:E7)</f>
        <v>0</v>
      </c>
    </row>
    <row r="8" spans="1:8" ht="14.5">
      <c r="A8" s="503">
        <f>A7+1</f>
        <v>2</v>
      </c>
      <c r="B8" s="513" t="s">
        <v>856</v>
      </c>
      <c r="C8" s="1205"/>
      <c r="D8" s="1205"/>
      <c r="E8" s="1205"/>
      <c r="F8" s="515">
        <f t="shared" si="0"/>
        <v>0</v>
      </c>
      <c r="H8" s="518"/>
    </row>
    <row r="9" spans="1:8" ht="14.5">
      <c r="A9" s="503">
        <f>A8+1</f>
        <v>3</v>
      </c>
      <c r="B9" s="513" t="s">
        <v>857</v>
      </c>
      <c r="C9" s="1205"/>
      <c r="D9" s="1205"/>
      <c r="E9" s="1205"/>
      <c r="F9" s="515">
        <f t="shared" si="0"/>
        <v>0</v>
      </c>
      <c r="H9" s="518"/>
    </row>
    <row r="10" spans="1:8" ht="14.5">
      <c r="A10" s="503">
        <f t="shared" ref="A10:A20" si="1">A9+1</f>
        <v>4</v>
      </c>
      <c r="B10" s="516" t="s">
        <v>883</v>
      </c>
      <c r="C10" s="517">
        <f>SUM(C7:C9)</f>
        <v>0</v>
      </c>
      <c r="D10" s="517">
        <f>SUM(D7:D9)</f>
        <v>0</v>
      </c>
      <c r="E10" s="517">
        <f>SUM(E7:E9)</f>
        <v>0</v>
      </c>
      <c r="F10" s="515">
        <f t="shared" si="0"/>
        <v>0</v>
      </c>
      <c r="H10" s="519"/>
    </row>
    <row r="11" spans="1:8" ht="14.5">
      <c r="A11" s="503">
        <f t="shared" si="1"/>
        <v>5</v>
      </c>
      <c r="B11" s="513" t="s">
        <v>859</v>
      </c>
      <c r="C11" s="514"/>
      <c r="D11" s="514"/>
      <c r="E11" s="514"/>
      <c r="F11" s="515">
        <f t="shared" si="0"/>
        <v>0</v>
      </c>
      <c r="H11" s="518"/>
    </row>
    <row r="12" spans="1:8" ht="14.5">
      <c r="A12" s="503">
        <f t="shared" si="1"/>
        <v>6</v>
      </c>
      <c r="B12" s="513" t="s">
        <v>884</v>
      </c>
      <c r="C12" s="514"/>
      <c r="D12" s="514"/>
      <c r="E12" s="514"/>
      <c r="F12" s="515">
        <f t="shared" si="0"/>
        <v>0</v>
      </c>
      <c r="H12" s="518"/>
    </row>
    <row r="13" spans="1:8" ht="14.5">
      <c r="A13" s="503">
        <f t="shared" si="1"/>
        <v>7</v>
      </c>
      <c r="B13" s="513" t="s">
        <v>861</v>
      </c>
      <c r="C13" s="514"/>
      <c r="D13" s="514"/>
      <c r="E13" s="514"/>
      <c r="F13" s="515">
        <f t="shared" si="0"/>
        <v>0</v>
      </c>
      <c r="H13" s="518"/>
    </row>
    <row r="14" spans="1:8" ht="14.5">
      <c r="A14" s="503">
        <f t="shared" si="1"/>
        <v>8</v>
      </c>
      <c r="B14" s="513" t="s">
        <v>862</v>
      </c>
      <c r="C14" s="514"/>
      <c r="D14" s="514"/>
      <c r="E14" s="514"/>
      <c r="F14" s="515">
        <f t="shared" si="0"/>
        <v>0</v>
      </c>
      <c r="H14" s="518"/>
    </row>
    <row r="15" spans="1:8" ht="14.5">
      <c r="A15" s="503">
        <f t="shared" si="1"/>
        <v>9</v>
      </c>
      <c r="B15" s="516" t="s">
        <v>863</v>
      </c>
      <c r="C15" s="517">
        <f>SUM(C11:C14)</f>
        <v>0</v>
      </c>
      <c r="D15" s="517">
        <f>SUM(D11:D14)</f>
        <v>0</v>
      </c>
      <c r="E15" s="517">
        <f>SUM(E11:E14)</f>
        <v>0</v>
      </c>
      <c r="F15" s="515">
        <f t="shared" si="0"/>
        <v>0</v>
      </c>
      <c r="H15" s="519"/>
    </row>
    <row r="16" spans="1:8" ht="14.5">
      <c r="A16" s="503">
        <f t="shared" si="1"/>
        <v>10</v>
      </c>
      <c r="B16" s="516" t="s">
        <v>965</v>
      </c>
      <c r="C16" s="517">
        <f>C10-C15</f>
        <v>0</v>
      </c>
      <c r="D16" s="517">
        <f>D10-D15</f>
        <v>0</v>
      </c>
      <c r="E16" s="517">
        <f>E10-E15</f>
        <v>0</v>
      </c>
      <c r="F16" s="515">
        <f>F10-F15</f>
        <v>0</v>
      </c>
      <c r="H16" s="519"/>
    </row>
    <row r="17" spans="1:8" ht="26.5">
      <c r="A17" s="503">
        <f t="shared" si="1"/>
        <v>11</v>
      </c>
      <c r="B17" s="513" t="s">
        <v>885</v>
      </c>
      <c r="C17" s="514"/>
      <c r="D17" s="514"/>
      <c r="E17" s="514"/>
      <c r="F17" s="515">
        <f t="shared" si="0"/>
        <v>0</v>
      </c>
      <c r="H17" s="518"/>
    </row>
    <row r="18" spans="1:8" ht="14.5">
      <c r="A18" s="503">
        <f t="shared" si="1"/>
        <v>12</v>
      </c>
      <c r="B18" s="516" t="s">
        <v>865</v>
      </c>
      <c r="C18" s="517">
        <f>C10-C15+C17</f>
        <v>0</v>
      </c>
      <c r="D18" s="517">
        <f>D10-D15+D17</f>
        <v>0</v>
      </c>
      <c r="E18" s="517">
        <f>E10-E15+E17</f>
        <v>0</v>
      </c>
      <c r="F18" s="515">
        <f>SUM(C18:E18)</f>
        <v>0</v>
      </c>
      <c r="H18" s="519"/>
    </row>
    <row r="19" spans="1:8" ht="14.5">
      <c r="A19" s="503">
        <f t="shared" si="1"/>
        <v>13</v>
      </c>
      <c r="B19" s="1041" t="s">
        <v>966</v>
      </c>
      <c r="C19" s="514"/>
      <c r="D19" s="514"/>
      <c r="E19" s="514"/>
      <c r="F19" s="515">
        <f>SUM(C19:E19)</f>
        <v>0</v>
      </c>
      <c r="H19" s="519"/>
    </row>
    <row r="20" spans="1:8" ht="14.5">
      <c r="A20" s="503">
        <f t="shared" si="1"/>
        <v>14</v>
      </c>
      <c r="B20" s="1042" t="s">
        <v>967</v>
      </c>
      <c r="C20" s="520">
        <f>C18+C19</f>
        <v>0</v>
      </c>
      <c r="D20" s="520">
        <f>D18+D19</f>
        <v>0</v>
      </c>
      <c r="E20" s="520">
        <f>E18+E19</f>
        <v>0</v>
      </c>
      <c r="F20" s="521">
        <f>SUM(C20:E20)</f>
        <v>0</v>
      </c>
      <c r="H20" s="519"/>
    </row>
    <row r="21" spans="1:8">
      <c r="A21" s="522"/>
      <c r="B21" s="522"/>
      <c r="C21" s="522"/>
      <c r="D21" s="522"/>
      <c r="E21" s="522"/>
      <c r="F21" s="522"/>
    </row>
    <row r="22" spans="1:8" ht="42">
      <c r="B22" s="508"/>
      <c r="C22" s="509" t="str">
        <f>$C$5</f>
        <v>קופות אישיות לתגמולים ולפיצויים</v>
      </c>
      <c r="D22" s="509" t="str">
        <f>$D$5</f>
        <v>קרנות השתלמות</v>
      </c>
      <c r="E22" s="509" t="str">
        <f>$E$5</f>
        <v>אחר</v>
      </c>
      <c r="F22" s="510" t="str">
        <f>F5</f>
        <v>סה"כ</v>
      </c>
    </row>
    <row r="23" spans="1:8" ht="18">
      <c r="B23" s="959" t="str">
        <f>Period2</f>
        <v>שנת 2020</v>
      </c>
      <c r="C23" s="473"/>
      <c r="D23" s="473"/>
      <c r="E23" s="473"/>
      <c r="F23" s="512"/>
    </row>
    <row r="24" spans="1:8" ht="14">
      <c r="A24" s="505">
        <v>1</v>
      </c>
      <c r="B24" s="513" t="s">
        <v>882</v>
      </c>
      <c r="C24" s="1206"/>
      <c r="D24" s="1206"/>
      <c r="E24" s="1206"/>
      <c r="F24" s="515">
        <f t="shared" ref="F24:F32" si="2">SUM(C24:E24)</f>
        <v>0</v>
      </c>
    </row>
    <row r="25" spans="1:8" ht="13">
      <c r="A25" s="505">
        <f>A24+1</f>
        <v>2</v>
      </c>
      <c r="B25" s="513" t="s">
        <v>856</v>
      </c>
      <c r="C25" s="1205"/>
      <c r="D25" s="1205"/>
      <c r="E25" s="1205"/>
      <c r="F25" s="515">
        <f t="shared" si="2"/>
        <v>0</v>
      </c>
    </row>
    <row r="26" spans="1:8" ht="14.5">
      <c r="A26" s="505">
        <f t="shared" ref="A26:A37" si="3">A25+1</f>
        <v>3</v>
      </c>
      <c r="B26" s="513" t="s">
        <v>857</v>
      </c>
      <c r="C26" s="1205"/>
      <c r="D26" s="1205"/>
      <c r="E26" s="1205"/>
      <c r="F26" s="515">
        <f t="shared" si="2"/>
        <v>0</v>
      </c>
      <c r="H26" s="518"/>
    </row>
    <row r="27" spans="1:8" ht="13">
      <c r="A27" s="505">
        <f t="shared" si="3"/>
        <v>4</v>
      </c>
      <c r="B27" s="516" t="s">
        <v>883</v>
      </c>
      <c r="C27" s="517">
        <f>SUM(C24:C26)</f>
        <v>0</v>
      </c>
      <c r="D27" s="517">
        <f>SUM(D24:D26)</f>
        <v>0</v>
      </c>
      <c r="E27" s="517">
        <f>SUM(E24:E26)</f>
        <v>0</v>
      </c>
      <c r="F27" s="515">
        <f t="shared" si="2"/>
        <v>0</v>
      </c>
    </row>
    <row r="28" spans="1:8" ht="13">
      <c r="A28" s="505">
        <f t="shared" si="3"/>
        <v>5</v>
      </c>
      <c r="B28" s="513" t="s">
        <v>859</v>
      </c>
      <c r="C28" s="514"/>
      <c r="D28" s="514"/>
      <c r="E28" s="514"/>
      <c r="F28" s="515">
        <f t="shared" si="2"/>
        <v>0</v>
      </c>
    </row>
    <row r="29" spans="1:8" ht="13">
      <c r="A29" s="505">
        <f t="shared" si="3"/>
        <v>6</v>
      </c>
      <c r="B29" s="513" t="s">
        <v>884</v>
      </c>
      <c r="C29" s="514"/>
      <c r="D29" s="514"/>
      <c r="E29" s="514"/>
      <c r="F29" s="515">
        <f t="shared" si="2"/>
        <v>0</v>
      </c>
    </row>
    <row r="30" spans="1:8" ht="13">
      <c r="A30" s="505">
        <f t="shared" si="3"/>
        <v>7</v>
      </c>
      <c r="B30" s="513" t="s">
        <v>861</v>
      </c>
      <c r="C30" s="514"/>
      <c r="D30" s="514"/>
      <c r="E30" s="514"/>
      <c r="F30" s="515">
        <f t="shared" si="2"/>
        <v>0</v>
      </c>
    </row>
    <row r="31" spans="1:8" ht="13">
      <c r="A31" s="505">
        <f t="shared" si="3"/>
        <v>8</v>
      </c>
      <c r="B31" s="513" t="s">
        <v>862</v>
      </c>
      <c r="C31" s="514"/>
      <c r="D31" s="514"/>
      <c r="E31" s="514"/>
      <c r="F31" s="515">
        <f t="shared" si="2"/>
        <v>0</v>
      </c>
    </row>
    <row r="32" spans="1:8" ht="13">
      <c r="A32" s="505">
        <f t="shared" si="3"/>
        <v>9</v>
      </c>
      <c r="B32" s="516" t="s">
        <v>863</v>
      </c>
      <c r="C32" s="517">
        <f>SUM(C28:C31)</f>
        <v>0</v>
      </c>
      <c r="D32" s="517">
        <f>SUM(D28:D31)</f>
        <v>0</v>
      </c>
      <c r="E32" s="517">
        <f>SUM(E28:E31)</f>
        <v>0</v>
      </c>
      <c r="F32" s="515">
        <f t="shared" si="2"/>
        <v>0</v>
      </c>
    </row>
    <row r="33" spans="1:6" ht="13">
      <c r="A33" s="505">
        <f t="shared" si="3"/>
        <v>10</v>
      </c>
      <c r="B33" s="516" t="s">
        <v>965</v>
      </c>
      <c r="C33" s="517">
        <f>C27-C32</f>
        <v>0</v>
      </c>
      <c r="D33" s="517">
        <f>D27-D32</f>
        <v>0</v>
      </c>
      <c r="E33" s="517">
        <f>E27-E32</f>
        <v>0</v>
      </c>
      <c r="F33" s="515">
        <f>F27-F32</f>
        <v>0</v>
      </c>
    </row>
    <row r="34" spans="1:6" ht="26">
      <c r="A34" s="505">
        <f t="shared" si="3"/>
        <v>11</v>
      </c>
      <c r="B34" s="513" t="s">
        <v>885</v>
      </c>
      <c r="C34" s="514"/>
      <c r="D34" s="514"/>
      <c r="E34" s="514"/>
      <c r="F34" s="515">
        <f>SUM(C34:E34)</f>
        <v>0</v>
      </c>
    </row>
    <row r="35" spans="1:6" ht="13">
      <c r="A35" s="505">
        <f t="shared" si="3"/>
        <v>12</v>
      </c>
      <c r="B35" s="516" t="s">
        <v>865</v>
      </c>
      <c r="C35" s="517">
        <f>C27-C32+C34</f>
        <v>0</v>
      </c>
      <c r="D35" s="517">
        <f>D27-D32+D34</f>
        <v>0</v>
      </c>
      <c r="E35" s="517">
        <f>E27-E32+E34</f>
        <v>0</v>
      </c>
      <c r="F35" s="515">
        <f>SUM(C35:E35)</f>
        <v>0</v>
      </c>
    </row>
    <row r="36" spans="1:6" ht="13">
      <c r="A36" s="505">
        <f t="shared" si="3"/>
        <v>13</v>
      </c>
      <c r="B36" s="1041" t="s">
        <v>966</v>
      </c>
      <c r="C36" s="514"/>
      <c r="D36" s="514"/>
      <c r="E36" s="514"/>
      <c r="F36" s="515">
        <f>SUM(C36:E36)</f>
        <v>0</v>
      </c>
    </row>
    <row r="37" spans="1:6" ht="13">
      <c r="A37" s="505">
        <f t="shared" si="3"/>
        <v>14</v>
      </c>
      <c r="B37" s="1042" t="s">
        <v>967</v>
      </c>
      <c r="C37" s="520">
        <f>C35+C36</f>
        <v>0</v>
      </c>
      <c r="D37" s="520">
        <f>D35+D36</f>
        <v>0</v>
      </c>
      <c r="E37" s="520">
        <f>E35+E36</f>
        <v>0</v>
      </c>
      <c r="F37" s="521">
        <f>SUM(C37:E37)</f>
        <v>0</v>
      </c>
    </row>
    <row r="39" spans="1:6" ht="42">
      <c r="B39" s="508"/>
      <c r="C39" s="509" t="str">
        <f>$C$5</f>
        <v>קופות אישיות לתגמולים ולפיצויים</v>
      </c>
      <c r="D39" s="509" t="str">
        <f>$D$5</f>
        <v>קרנות השתלמות</v>
      </c>
      <c r="E39" s="509" t="str">
        <f>$E$5</f>
        <v>אחר</v>
      </c>
      <c r="F39" s="510" t="s">
        <v>272</v>
      </c>
    </row>
    <row r="40" spans="1:6" ht="18">
      <c r="B40" s="959" t="str">
        <f>Period5</f>
        <v>שנת 2019</v>
      </c>
      <c r="C40" s="473"/>
      <c r="D40" s="473"/>
      <c r="E40" s="473"/>
      <c r="F40" s="512"/>
    </row>
    <row r="41" spans="1:6" ht="14">
      <c r="A41" s="505">
        <v>1</v>
      </c>
      <c r="B41" s="513" t="s">
        <v>882</v>
      </c>
      <c r="C41" s="1206"/>
      <c r="D41" s="1206"/>
      <c r="E41" s="1206"/>
      <c r="F41" s="515">
        <f t="shared" ref="F41:F49" si="4">SUM(C41:E41)</f>
        <v>0</v>
      </c>
    </row>
    <row r="42" spans="1:6" ht="13">
      <c r="A42" s="505">
        <f>A41+1</f>
        <v>2</v>
      </c>
      <c r="B42" s="513" t="s">
        <v>856</v>
      </c>
      <c r="C42" s="1205"/>
      <c r="D42" s="1205"/>
      <c r="E42" s="1205"/>
      <c r="F42" s="515">
        <f t="shared" si="4"/>
        <v>0</v>
      </c>
    </row>
    <row r="43" spans="1:6" ht="13">
      <c r="A43" s="505">
        <f t="shared" ref="A43:A54" si="5">A42+1</f>
        <v>3</v>
      </c>
      <c r="B43" s="513" t="s">
        <v>857</v>
      </c>
      <c r="C43" s="1205"/>
      <c r="D43" s="1205"/>
      <c r="E43" s="1205"/>
      <c r="F43" s="515">
        <f t="shared" si="4"/>
        <v>0</v>
      </c>
    </row>
    <row r="44" spans="1:6" ht="13">
      <c r="A44" s="505">
        <f t="shared" si="5"/>
        <v>4</v>
      </c>
      <c r="B44" s="516" t="s">
        <v>883</v>
      </c>
      <c r="C44" s="517">
        <f>SUM(C41:C43)</f>
        <v>0</v>
      </c>
      <c r="D44" s="517">
        <f>SUM(D41:D43)</f>
        <v>0</v>
      </c>
      <c r="E44" s="517">
        <f>SUM(E41:E43)</f>
        <v>0</v>
      </c>
      <c r="F44" s="515">
        <f t="shared" si="4"/>
        <v>0</v>
      </c>
    </row>
    <row r="45" spans="1:6" ht="13">
      <c r="A45" s="505">
        <f t="shared" si="5"/>
        <v>5</v>
      </c>
      <c r="B45" s="513" t="s">
        <v>859</v>
      </c>
      <c r="C45" s="514"/>
      <c r="D45" s="514"/>
      <c r="E45" s="514"/>
      <c r="F45" s="515">
        <f t="shared" si="4"/>
        <v>0</v>
      </c>
    </row>
    <row r="46" spans="1:6" ht="13">
      <c r="A46" s="505">
        <f t="shared" si="5"/>
        <v>6</v>
      </c>
      <c r="B46" s="513" t="s">
        <v>884</v>
      </c>
      <c r="C46" s="514"/>
      <c r="D46" s="514"/>
      <c r="E46" s="514"/>
      <c r="F46" s="515">
        <f t="shared" si="4"/>
        <v>0</v>
      </c>
    </row>
    <row r="47" spans="1:6" ht="13">
      <c r="A47" s="505">
        <f t="shared" si="5"/>
        <v>7</v>
      </c>
      <c r="B47" s="513" t="s">
        <v>861</v>
      </c>
      <c r="C47" s="514"/>
      <c r="D47" s="514"/>
      <c r="E47" s="514"/>
      <c r="F47" s="515">
        <f t="shared" si="4"/>
        <v>0</v>
      </c>
    </row>
    <row r="48" spans="1:6" ht="13">
      <c r="A48" s="505">
        <f t="shared" si="5"/>
        <v>8</v>
      </c>
      <c r="B48" s="513" t="s">
        <v>862</v>
      </c>
      <c r="C48" s="514"/>
      <c r="D48" s="514"/>
      <c r="E48" s="514"/>
      <c r="F48" s="515">
        <f t="shared" si="4"/>
        <v>0</v>
      </c>
    </row>
    <row r="49" spans="1:6" ht="13">
      <c r="A49" s="505">
        <f t="shared" si="5"/>
        <v>9</v>
      </c>
      <c r="B49" s="516" t="s">
        <v>863</v>
      </c>
      <c r="C49" s="517">
        <f>SUM(C45:C48)</f>
        <v>0</v>
      </c>
      <c r="D49" s="517">
        <f>SUM(D45:D48)</f>
        <v>0</v>
      </c>
      <c r="E49" s="517">
        <f>SUM(E45:E48)</f>
        <v>0</v>
      </c>
      <c r="F49" s="515">
        <f t="shared" si="4"/>
        <v>0</v>
      </c>
    </row>
    <row r="50" spans="1:6" ht="13">
      <c r="A50" s="505">
        <f t="shared" si="5"/>
        <v>10</v>
      </c>
      <c r="B50" s="516" t="s">
        <v>965</v>
      </c>
      <c r="C50" s="517">
        <f>C44-C49</f>
        <v>0</v>
      </c>
      <c r="D50" s="517">
        <f>D44-D49</f>
        <v>0</v>
      </c>
      <c r="E50" s="517">
        <f>E44-E49</f>
        <v>0</v>
      </c>
      <c r="F50" s="515">
        <f>F44-F49</f>
        <v>0</v>
      </c>
    </row>
    <row r="51" spans="1:6" ht="26">
      <c r="A51" s="505">
        <f t="shared" si="5"/>
        <v>11</v>
      </c>
      <c r="B51" s="513" t="s">
        <v>885</v>
      </c>
      <c r="C51" s="514"/>
      <c r="D51" s="514"/>
      <c r="E51" s="514"/>
      <c r="F51" s="515">
        <f>SUM(C51:E51)</f>
        <v>0</v>
      </c>
    </row>
    <row r="52" spans="1:6" ht="13">
      <c r="A52" s="505">
        <f t="shared" si="5"/>
        <v>12</v>
      </c>
      <c r="B52" s="516" t="s">
        <v>865</v>
      </c>
      <c r="C52" s="517">
        <f>C44-C49+C51</f>
        <v>0</v>
      </c>
      <c r="D52" s="517">
        <f>D44-D49+D51</f>
        <v>0</v>
      </c>
      <c r="E52" s="517">
        <f>E44-E49+E51</f>
        <v>0</v>
      </c>
      <c r="F52" s="515">
        <f>SUM(C52:E52)</f>
        <v>0</v>
      </c>
    </row>
    <row r="53" spans="1:6" ht="13">
      <c r="A53" s="505">
        <f t="shared" si="5"/>
        <v>13</v>
      </c>
      <c r="B53" s="1041" t="s">
        <v>966</v>
      </c>
      <c r="C53" s="514"/>
      <c r="D53" s="514"/>
      <c r="E53" s="514"/>
      <c r="F53" s="515">
        <f>SUM(C53:E53)</f>
        <v>0</v>
      </c>
    </row>
    <row r="54" spans="1:6" ht="13">
      <c r="A54" s="505">
        <f t="shared" si="5"/>
        <v>14</v>
      </c>
      <c r="B54" s="1042" t="s">
        <v>967</v>
      </c>
      <c r="C54" s="520">
        <f>C52+C53</f>
        <v>0</v>
      </c>
      <c r="D54" s="520">
        <f>D52+D53</f>
        <v>0</v>
      </c>
      <c r="E54" s="520">
        <f>E52+E53</f>
        <v>0</v>
      </c>
      <c r="F54" s="521">
        <f>SUM(C54:E54)</f>
        <v>0</v>
      </c>
    </row>
  </sheetData>
  <sheetProtection password="C676" sheet="1" objects="1" scenarios="1" formatCells="0" formatColumns="0" formatRows="0"/>
  <hyperlinks>
    <hyperlink ref="D1" location="Information!A1" display="חזרה"/>
    <hyperlink ref="B5" location="Information!A60" display="Information!A60"/>
  </hyperlinks>
  <pageMargins left="0" right="0" top="0" bottom="0.98425196850393704" header="0" footer="0.23622047244094491"/>
  <pageSetup paperSize="9" scale="95" fitToHeight="2" orientation="portrait" r:id="rId1"/>
  <headerFooter alignWithMargins="0">
    <oddFooter>&amp;L&amp;Z&amp;F&amp;C&amp;A&amp;R&amp;D</oddFooter>
  </headerFooter>
  <rowBreaks count="1" manualBreakCount="1">
    <brk id="37" min="1" max="5" man="1"/>
  </rowBreaks>
  <extLst>
    <ext xmlns:x14="http://schemas.microsoft.com/office/spreadsheetml/2009/9/main" uri="{78C0D931-6437-407d-A8EE-F0AAD7539E65}">
      <x14:conditionalFormattings>
        <x14:conditionalFormatting xmlns:xm="http://schemas.microsoft.com/office/excel/2006/main">
          <x14:cfRule type="expression" priority="1" id="{C9E2FCF6-B141-4E33-811D-6CEDE9E51229}">
            <xm:f>Information!$G$54&gt;0</xm:f>
            <x14:dxf>
              <font>
                <b/>
                <i val="0"/>
                <color theme="1"/>
              </font>
              <fill>
                <patternFill>
                  <bgColor rgb="FFFFFF00"/>
                </patternFill>
              </fill>
            </x14:dxf>
          </x14:cfRule>
          <xm:sqref>B5</xm:sqref>
        </x14:conditionalFormatting>
      </x14:conditionalFormatting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00B0F0"/>
  </sheetPr>
  <dimension ref="A1:G54"/>
  <sheetViews>
    <sheetView rightToLeft="1" workbookViewId="0">
      <selection activeCell="G11" sqref="G11"/>
    </sheetView>
  </sheetViews>
  <sheetFormatPr defaultColWidth="8.81640625" defaultRowHeight="12.5"/>
  <cols>
    <col min="1" max="1" width="4.453125" style="505" customWidth="1"/>
    <col min="2" max="2" width="50" style="505" customWidth="1"/>
    <col min="3" max="5" width="10.453125" style="505" customWidth="1"/>
    <col min="6" max="6" width="14.453125" style="505" customWidth="1"/>
    <col min="7" max="7" width="50" style="505" customWidth="1"/>
    <col min="8" max="16384" width="8.81640625" style="505"/>
  </cols>
  <sheetData>
    <row r="1" spans="1:7" ht="18">
      <c r="A1" s="501">
        <f>SUM(C8:E18)</f>
        <v>0</v>
      </c>
      <c r="B1" s="502" t="str">
        <f>company</f>
        <v>_____חברה מנהלת</v>
      </c>
      <c r="C1" s="503"/>
      <c r="D1" s="504" t="s">
        <v>263</v>
      </c>
      <c r="E1" s="503"/>
    </row>
    <row r="2" spans="1:7" ht="18">
      <c r="A2" s="503"/>
      <c r="B2" s="23" t="s">
        <v>881</v>
      </c>
      <c r="C2" s="503"/>
      <c r="D2" s="503"/>
      <c r="E2" s="503"/>
    </row>
    <row r="3" spans="1:7" ht="14">
      <c r="A3" s="503"/>
      <c r="B3" s="506" t="str">
        <f>line3</f>
        <v>הנתונים באלפי ש"ח</v>
      </c>
      <c r="C3" s="503"/>
      <c r="D3" s="503"/>
      <c r="E3" s="503"/>
    </row>
    <row r="4" spans="1:7" ht="15.5">
      <c r="A4" s="503"/>
      <c r="B4" s="507" t="str">
        <f>Information!$C$13</f>
        <v>באור 3ב' מגזרי פעילות - נתונים נוספים לגבי מגזר פנסיה</v>
      </c>
      <c r="C4" s="503"/>
      <c r="D4" s="503"/>
      <c r="E4" s="503"/>
    </row>
    <row r="5" spans="1:7" ht="28">
      <c r="A5" s="503"/>
      <c r="B5" s="1469" t="s">
        <v>3876</v>
      </c>
      <c r="C5" s="509" t="s">
        <v>912</v>
      </c>
      <c r="D5" s="509" t="s">
        <v>913</v>
      </c>
      <c r="E5" s="510" t="s">
        <v>272</v>
      </c>
    </row>
    <row r="6" spans="1:7" ht="18">
      <c r="A6" s="503"/>
      <c r="B6" s="511" t="str">
        <f>Period1</f>
        <v>שנת 2021</v>
      </c>
      <c r="C6" s="473"/>
      <c r="D6" s="473"/>
      <c r="E6" s="512"/>
    </row>
    <row r="7" spans="1:7" ht="13">
      <c r="A7" s="503">
        <v>1</v>
      </c>
      <c r="B7" s="513" t="s">
        <v>882</v>
      </c>
      <c r="C7" s="1207"/>
      <c r="D7" s="1207"/>
      <c r="E7" s="515">
        <f>SUM(B7:D7)</f>
        <v>0</v>
      </c>
    </row>
    <row r="8" spans="1:7" ht="14.5">
      <c r="A8" s="503">
        <f>A7+1</f>
        <v>2</v>
      </c>
      <c r="B8" s="513" t="s">
        <v>856</v>
      </c>
      <c r="C8" s="1205"/>
      <c r="D8" s="1205"/>
      <c r="E8" s="515">
        <f t="shared" ref="E8:E15" si="0">SUM(C8:D8)</f>
        <v>0</v>
      </c>
      <c r="G8" s="518"/>
    </row>
    <row r="9" spans="1:7" ht="14.5">
      <c r="A9" s="503">
        <f>A8+1</f>
        <v>3</v>
      </c>
      <c r="B9" s="513" t="s">
        <v>857</v>
      </c>
      <c r="C9" s="1205"/>
      <c r="D9" s="1205"/>
      <c r="E9" s="515">
        <f t="shared" si="0"/>
        <v>0</v>
      </c>
      <c r="G9" s="518"/>
    </row>
    <row r="10" spans="1:7" ht="14.5">
      <c r="A10" s="503">
        <f t="shared" ref="A10:A20" si="1">A9+1</f>
        <v>4</v>
      </c>
      <c r="B10" s="516" t="s">
        <v>883</v>
      </c>
      <c r="C10" s="517">
        <f>SUM(C7:C9)</f>
        <v>0</v>
      </c>
      <c r="D10" s="517">
        <f>SUM(D7:D9)</f>
        <v>0</v>
      </c>
      <c r="E10" s="515">
        <f t="shared" si="0"/>
        <v>0</v>
      </c>
      <c r="G10" s="519"/>
    </row>
    <row r="11" spans="1:7" ht="14.5">
      <c r="A11" s="503">
        <f t="shared" si="1"/>
        <v>5</v>
      </c>
      <c r="B11" s="513" t="s">
        <v>859</v>
      </c>
      <c r="C11" s="1207"/>
      <c r="D11" s="1207"/>
      <c r="E11" s="515">
        <f t="shared" si="0"/>
        <v>0</v>
      </c>
      <c r="G11" s="518"/>
    </row>
    <row r="12" spans="1:7" ht="14.5">
      <c r="A12" s="503">
        <f t="shared" si="1"/>
        <v>6</v>
      </c>
      <c r="B12" s="513" t="s">
        <v>884</v>
      </c>
      <c r="C12" s="1207"/>
      <c r="D12" s="1207"/>
      <c r="E12" s="515">
        <f t="shared" si="0"/>
        <v>0</v>
      </c>
      <c r="G12" s="518"/>
    </row>
    <row r="13" spans="1:7" ht="14.5">
      <c r="A13" s="503">
        <f t="shared" si="1"/>
        <v>7</v>
      </c>
      <c r="B13" s="513" t="s">
        <v>861</v>
      </c>
      <c r="C13" s="1207"/>
      <c r="D13" s="1207"/>
      <c r="E13" s="515">
        <f t="shared" si="0"/>
        <v>0</v>
      </c>
      <c r="G13" s="518"/>
    </row>
    <row r="14" spans="1:7" ht="14.5">
      <c r="A14" s="503">
        <f t="shared" si="1"/>
        <v>8</v>
      </c>
      <c r="B14" s="513" t="s">
        <v>862</v>
      </c>
      <c r="C14" s="1207"/>
      <c r="D14" s="1207"/>
      <c r="E14" s="515">
        <f t="shared" si="0"/>
        <v>0</v>
      </c>
      <c r="G14" s="518"/>
    </row>
    <row r="15" spans="1:7" ht="14.5">
      <c r="A15" s="503">
        <f t="shared" si="1"/>
        <v>9</v>
      </c>
      <c r="B15" s="516" t="s">
        <v>863</v>
      </c>
      <c r="C15" s="517">
        <f>SUM(C11:C14)</f>
        <v>0</v>
      </c>
      <c r="D15" s="517">
        <f>SUM(D11:D14)</f>
        <v>0</v>
      </c>
      <c r="E15" s="515">
        <f t="shared" si="0"/>
        <v>0</v>
      </c>
      <c r="G15" s="519"/>
    </row>
    <row r="16" spans="1:7" ht="14.5">
      <c r="A16" s="503">
        <f t="shared" si="1"/>
        <v>10</v>
      </c>
      <c r="B16" s="516" t="s">
        <v>965</v>
      </c>
      <c r="C16" s="517">
        <f>C10-C15</f>
        <v>0</v>
      </c>
      <c r="D16" s="517">
        <f>D10-D15</f>
        <v>0</v>
      </c>
      <c r="E16" s="515">
        <f>E10-E15</f>
        <v>0</v>
      </c>
      <c r="G16" s="519"/>
    </row>
    <row r="17" spans="1:7" ht="26.5">
      <c r="A17" s="503">
        <f t="shared" si="1"/>
        <v>11</v>
      </c>
      <c r="B17" s="513" t="s">
        <v>885</v>
      </c>
      <c r="C17" s="1207"/>
      <c r="D17" s="1207"/>
      <c r="E17" s="515">
        <f>SUM(C17:D17)</f>
        <v>0</v>
      </c>
      <c r="G17" s="518"/>
    </row>
    <row r="18" spans="1:7" ht="14.5">
      <c r="A18" s="503">
        <f t="shared" si="1"/>
        <v>12</v>
      </c>
      <c r="B18" s="516" t="s">
        <v>865</v>
      </c>
      <c r="C18" s="517">
        <f>C10-C15+C17</f>
        <v>0</v>
      </c>
      <c r="D18" s="517">
        <f>D10-D15+D17</f>
        <v>0</v>
      </c>
      <c r="E18" s="515">
        <f>SUM(C18:D18)</f>
        <v>0</v>
      </c>
      <c r="G18" s="519"/>
    </row>
    <row r="19" spans="1:7" ht="14.5">
      <c r="A19" s="503">
        <f t="shared" si="1"/>
        <v>13</v>
      </c>
      <c r="B19" s="1041" t="s">
        <v>966</v>
      </c>
      <c r="C19" s="1207"/>
      <c r="D19" s="1207"/>
      <c r="E19" s="515">
        <f>SUM(C19:D19)</f>
        <v>0</v>
      </c>
      <c r="G19" s="519"/>
    </row>
    <row r="20" spans="1:7" ht="14.5">
      <c r="A20" s="503">
        <f t="shared" si="1"/>
        <v>14</v>
      </c>
      <c r="B20" s="1042" t="s">
        <v>967</v>
      </c>
      <c r="C20" s="520">
        <f>C18+C19</f>
        <v>0</v>
      </c>
      <c r="D20" s="520">
        <f>D18+D19</f>
        <v>0</v>
      </c>
      <c r="E20" s="521">
        <f>SUM(C20:D20)</f>
        <v>0</v>
      </c>
      <c r="G20" s="519"/>
    </row>
    <row r="21" spans="1:7">
      <c r="A21" s="522"/>
      <c r="B21" s="522"/>
      <c r="C21" s="522"/>
      <c r="D21" s="522"/>
      <c r="E21" s="522"/>
    </row>
    <row r="22" spans="1:7" ht="28">
      <c r="B22" s="508"/>
      <c r="C22" s="509" t="s">
        <v>912</v>
      </c>
      <c r="D22" s="509" t="s">
        <v>913</v>
      </c>
      <c r="E22" s="510" t="s">
        <v>272</v>
      </c>
    </row>
    <row r="23" spans="1:7" ht="18">
      <c r="B23" s="959" t="str">
        <f>Period2</f>
        <v>שנת 2020</v>
      </c>
      <c r="C23" s="473"/>
      <c r="D23" s="473"/>
      <c r="E23" s="512"/>
    </row>
    <row r="24" spans="1:7" ht="13">
      <c r="A24" s="505">
        <v>1</v>
      </c>
      <c r="B24" s="513" t="s">
        <v>882</v>
      </c>
      <c r="C24" s="1207"/>
      <c r="D24" s="1207"/>
      <c r="E24" s="515">
        <f>SUM(B24:D24)</f>
        <v>0</v>
      </c>
    </row>
    <row r="25" spans="1:7" ht="13">
      <c r="A25" s="505">
        <f>A24+1</f>
        <v>2</v>
      </c>
      <c r="B25" s="513" t="s">
        <v>856</v>
      </c>
      <c r="C25" s="1205"/>
      <c r="D25" s="1205"/>
      <c r="E25" s="515">
        <f t="shared" ref="E25:E32" si="2">SUM(C25:D25)</f>
        <v>0</v>
      </c>
    </row>
    <row r="26" spans="1:7" ht="14.5">
      <c r="A26" s="505">
        <f t="shared" ref="A26:A37" si="3">A25+1</f>
        <v>3</v>
      </c>
      <c r="B26" s="513" t="s">
        <v>857</v>
      </c>
      <c r="C26" s="1205"/>
      <c r="D26" s="1205"/>
      <c r="E26" s="515">
        <f t="shared" si="2"/>
        <v>0</v>
      </c>
      <c r="G26" s="518"/>
    </row>
    <row r="27" spans="1:7" ht="13">
      <c r="A27" s="505">
        <f t="shared" si="3"/>
        <v>4</v>
      </c>
      <c r="B27" s="516" t="s">
        <v>883</v>
      </c>
      <c r="C27" s="517">
        <f>SUM(C24:C26)</f>
        <v>0</v>
      </c>
      <c r="D27" s="517">
        <f>SUM(D24:D26)</f>
        <v>0</v>
      </c>
      <c r="E27" s="515">
        <f t="shared" si="2"/>
        <v>0</v>
      </c>
    </row>
    <row r="28" spans="1:7" ht="13">
      <c r="A28" s="505">
        <f t="shared" si="3"/>
        <v>5</v>
      </c>
      <c r="B28" s="513" t="s">
        <v>859</v>
      </c>
      <c r="C28" s="1207"/>
      <c r="D28" s="1207"/>
      <c r="E28" s="515">
        <f t="shared" si="2"/>
        <v>0</v>
      </c>
    </row>
    <row r="29" spans="1:7" ht="13">
      <c r="A29" s="505">
        <f t="shared" si="3"/>
        <v>6</v>
      </c>
      <c r="B29" s="513" t="s">
        <v>884</v>
      </c>
      <c r="C29" s="1207"/>
      <c r="D29" s="1207"/>
      <c r="E29" s="515">
        <f t="shared" si="2"/>
        <v>0</v>
      </c>
    </row>
    <row r="30" spans="1:7" ht="13">
      <c r="A30" s="505">
        <f t="shared" si="3"/>
        <v>7</v>
      </c>
      <c r="B30" s="513" t="s">
        <v>861</v>
      </c>
      <c r="C30" s="1207"/>
      <c r="D30" s="1207"/>
      <c r="E30" s="515">
        <f t="shared" si="2"/>
        <v>0</v>
      </c>
    </row>
    <row r="31" spans="1:7" ht="13">
      <c r="A31" s="505">
        <f t="shared" si="3"/>
        <v>8</v>
      </c>
      <c r="B31" s="513" t="s">
        <v>862</v>
      </c>
      <c r="C31" s="1207"/>
      <c r="D31" s="1207"/>
      <c r="E31" s="515">
        <f t="shared" si="2"/>
        <v>0</v>
      </c>
    </row>
    <row r="32" spans="1:7" ht="13">
      <c r="A32" s="505">
        <f t="shared" si="3"/>
        <v>9</v>
      </c>
      <c r="B32" s="516" t="s">
        <v>863</v>
      </c>
      <c r="C32" s="517">
        <f>SUM(C28:C31)</f>
        <v>0</v>
      </c>
      <c r="D32" s="517">
        <f>SUM(D28:D31)</f>
        <v>0</v>
      </c>
      <c r="E32" s="515">
        <f t="shared" si="2"/>
        <v>0</v>
      </c>
    </row>
    <row r="33" spans="1:5" ht="13">
      <c r="A33" s="505">
        <f t="shared" si="3"/>
        <v>10</v>
      </c>
      <c r="B33" s="516" t="s">
        <v>965</v>
      </c>
      <c r="C33" s="517">
        <f>C27-C32</f>
        <v>0</v>
      </c>
      <c r="D33" s="517">
        <f>D27-D32</f>
        <v>0</v>
      </c>
      <c r="E33" s="515">
        <f>E27-E32</f>
        <v>0</v>
      </c>
    </row>
    <row r="34" spans="1:5" ht="26">
      <c r="A34" s="505">
        <f t="shared" si="3"/>
        <v>11</v>
      </c>
      <c r="B34" s="513" t="s">
        <v>885</v>
      </c>
      <c r="C34" s="1207"/>
      <c r="D34" s="1207"/>
      <c r="E34" s="515">
        <f>SUM(C34:D34)</f>
        <v>0</v>
      </c>
    </row>
    <row r="35" spans="1:5" ht="13">
      <c r="A35" s="505">
        <f t="shared" si="3"/>
        <v>12</v>
      </c>
      <c r="B35" s="516" t="s">
        <v>865</v>
      </c>
      <c r="C35" s="517">
        <f>C27-C32+C34</f>
        <v>0</v>
      </c>
      <c r="D35" s="517">
        <f>D27-D32+D34</f>
        <v>0</v>
      </c>
      <c r="E35" s="515">
        <f>SUM(C35:D35)</f>
        <v>0</v>
      </c>
    </row>
    <row r="36" spans="1:5" ht="13">
      <c r="A36" s="505">
        <f t="shared" si="3"/>
        <v>13</v>
      </c>
      <c r="B36" s="1041" t="s">
        <v>966</v>
      </c>
      <c r="C36" s="1207"/>
      <c r="D36" s="1207"/>
      <c r="E36" s="515">
        <f>SUM(C36:D36)</f>
        <v>0</v>
      </c>
    </row>
    <row r="37" spans="1:5" ht="13">
      <c r="A37" s="505">
        <f t="shared" si="3"/>
        <v>14</v>
      </c>
      <c r="B37" s="1042" t="s">
        <v>967</v>
      </c>
      <c r="C37" s="520">
        <f>C35+C36</f>
        <v>0</v>
      </c>
      <c r="D37" s="520">
        <f>D35+D36</f>
        <v>0</v>
      </c>
      <c r="E37" s="521">
        <f>SUM(C37:D37)</f>
        <v>0</v>
      </c>
    </row>
    <row r="39" spans="1:5" ht="28">
      <c r="B39" s="508"/>
      <c r="C39" s="509" t="s">
        <v>912</v>
      </c>
      <c r="D39" s="509" t="s">
        <v>913</v>
      </c>
      <c r="E39" s="510" t="s">
        <v>272</v>
      </c>
    </row>
    <row r="40" spans="1:5" ht="18">
      <c r="B40" s="959" t="str">
        <f>Period5</f>
        <v>שנת 2019</v>
      </c>
      <c r="C40" s="473"/>
      <c r="D40" s="473"/>
      <c r="E40" s="512"/>
    </row>
    <row r="41" spans="1:5" ht="13">
      <c r="A41" s="505">
        <v>1</v>
      </c>
      <c r="B41" s="513" t="s">
        <v>882</v>
      </c>
      <c r="C41" s="1207"/>
      <c r="D41" s="1207"/>
      <c r="E41" s="515">
        <f>SUM(B41:D41)</f>
        <v>0</v>
      </c>
    </row>
    <row r="42" spans="1:5" ht="13">
      <c r="A42" s="505">
        <f>A41+1</f>
        <v>2</v>
      </c>
      <c r="B42" s="513" t="s">
        <v>856</v>
      </c>
      <c r="C42" s="1205"/>
      <c r="D42" s="1205"/>
      <c r="E42" s="515">
        <f t="shared" ref="E42:E49" si="4">SUM(C42:D42)</f>
        <v>0</v>
      </c>
    </row>
    <row r="43" spans="1:5" ht="13">
      <c r="A43" s="505">
        <f t="shared" ref="A43:A54" si="5">A42+1</f>
        <v>3</v>
      </c>
      <c r="B43" s="513" t="s">
        <v>857</v>
      </c>
      <c r="C43" s="1205"/>
      <c r="D43" s="1205"/>
      <c r="E43" s="515">
        <f t="shared" si="4"/>
        <v>0</v>
      </c>
    </row>
    <row r="44" spans="1:5" ht="13">
      <c r="A44" s="505">
        <f t="shared" si="5"/>
        <v>4</v>
      </c>
      <c r="B44" s="516" t="s">
        <v>883</v>
      </c>
      <c r="C44" s="517">
        <f>SUM(C41:C43)</f>
        <v>0</v>
      </c>
      <c r="D44" s="517">
        <f>SUM(D41:D43)</f>
        <v>0</v>
      </c>
      <c r="E44" s="515">
        <f t="shared" si="4"/>
        <v>0</v>
      </c>
    </row>
    <row r="45" spans="1:5" ht="13">
      <c r="A45" s="505">
        <f t="shared" si="5"/>
        <v>5</v>
      </c>
      <c r="B45" s="513" t="s">
        <v>859</v>
      </c>
      <c r="C45" s="1207"/>
      <c r="D45" s="1207"/>
      <c r="E45" s="515">
        <f t="shared" si="4"/>
        <v>0</v>
      </c>
    </row>
    <row r="46" spans="1:5" ht="13">
      <c r="A46" s="505">
        <f t="shared" si="5"/>
        <v>6</v>
      </c>
      <c r="B46" s="513" t="s">
        <v>884</v>
      </c>
      <c r="C46" s="1207"/>
      <c r="D46" s="1207"/>
      <c r="E46" s="515">
        <f t="shared" si="4"/>
        <v>0</v>
      </c>
    </row>
    <row r="47" spans="1:5" ht="13">
      <c r="A47" s="505">
        <f t="shared" si="5"/>
        <v>7</v>
      </c>
      <c r="B47" s="513" t="s">
        <v>861</v>
      </c>
      <c r="C47" s="1207"/>
      <c r="D47" s="1207"/>
      <c r="E47" s="515">
        <f t="shared" si="4"/>
        <v>0</v>
      </c>
    </row>
    <row r="48" spans="1:5" ht="13">
      <c r="A48" s="505">
        <f t="shared" si="5"/>
        <v>8</v>
      </c>
      <c r="B48" s="513" t="s">
        <v>862</v>
      </c>
      <c r="C48" s="1207"/>
      <c r="D48" s="1207"/>
      <c r="E48" s="515">
        <f t="shared" si="4"/>
        <v>0</v>
      </c>
    </row>
    <row r="49" spans="1:5" ht="13">
      <c r="A49" s="505">
        <f t="shared" si="5"/>
        <v>9</v>
      </c>
      <c r="B49" s="516" t="s">
        <v>863</v>
      </c>
      <c r="C49" s="517">
        <f>SUM(C45:C48)</f>
        <v>0</v>
      </c>
      <c r="D49" s="517">
        <f>SUM(D45:D48)</f>
        <v>0</v>
      </c>
      <c r="E49" s="515">
        <f t="shared" si="4"/>
        <v>0</v>
      </c>
    </row>
    <row r="50" spans="1:5" ht="13">
      <c r="A50" s="505">
        <f t="shared" si="5"/>
        <v>10</v>
      </c>
      <c r="B50" s="516" t="s">
        <v>965</v>
      </c>
      <c r="C50" s="517">
        <f>C44-C49</f>
        <v>0</v>
      </c>
      <c r="D50" s="517">
        <f>D44-D49</f>
        <v>0</v>
      </c>
      <c r="E50" s="515">
        <f>E44-E49</f>
        <v>0</v>
      </c>
    </row>
    <row r="51" spans="1:5" ht="26">
      <c r="A51" s="505">
        <f t="shared" si="5"/>
        <v>11</v>
      </c>
      <c r="B51" s="513" t="s">
        <v>885</v>
      </c>
      <c r="C51" s="1207"/>
      <c r="D51" s="1207"/>
      <c r="E51" s="515">
        <f>SUM(C51:D51)</f>
        <v>0</v>
      </c>
    </row>
    <row r="52" spans="1:5" ht="13">
      <c r="A52" s="505">
        <f t="shared" si="5"/>
        <v>12</v>
      </c>
      <c r="B52" s="516" t="s">
        <v>865</v>
      </c>
      <c r="C52" s="517">
        <f>C44-C49+C51</f>
        <v>0</v>
      </c>
      <c r="D52" s="517">
        <f>D44-D49+D51</f>
        <v>0</v>
      </c>
      <c r="E52" s="515">
        <f>SUM(C52:D52)</f>
        <v>0</v>
      </c>
    </row>
    <row r="53" spans="1:5" ht="13">
      <c r="A53" s="505">
        <f t="shared" si="5"/>
        <v>13</v>
      </c>
      <c r="B53" s="1041" t="s">
        <v>966</v>
      </c>
      <c r="C53" s="1207"/>
      <c r="D53" s="1207"/>
      <c r="E53" s="515">
        <f>SUM(C53:D53)</f>
        <v>0</v>
      </c>
    </row>
    <row r="54" spans="1:5" ht="13">
      <c r="A54" s="505">
        <f t="shared" si="5"/>
        <v>14</v>
      </c>
      <c r="B54" s="1042" t="s">
        <v>967</v>
      </c>
      <c r="C54" s="520">
        <f>C52+C53</f>
        <v>0</v>
      </c>
      <c r="D54" s="520">
        <f>D52+D53</f>
        <v>0</v>
      </c>
      <c r="E54" s="521">
        <f>SUM(C54:D54)</f>
        <v>0</v>
      </c>
    </row>
  </sheetData>
  <sheetProtection password="8181" sheet="1" objects="1" scenarios="1" formatCells="0" formatColumns="0" formatRows="0"/>
  <hyperlinks>
    <hyperlink ref="D1" location="Information!A1" display="חזרה"/>
    <hyperlink ref="B5" location="Information!A60" display="Information!A60"/>
  </hyperlinks>
  <pageMargins left="0" right="0" top="0" bottom="0.98425196850393704" header="0" footer="0.23622047244094491"/>
  <pageSetup paperSize="9" scale="95" fitToHeight="2" orientation="portrait" r:id="rId1"/>
  <headerFooter alignWithMargins="0">
    <oddFooter>&amp;L&amp;Z&amp;F&amp;C&amp;A&amp;R&amp;D</oddFooter>
  </headerFooter>
  <rowBreaks count="1" manualBreakCount="1">
    <brk id="37" min="1" max="5" man="1"/>
  </rowBreaks>
  <extLst>
    <ext xmlns:x14="http://schemas.microsoft.com/office/spreadsheetml/2009/9/main" uri="{78C0D931-6437-407d-A8EE-F0AAD7539E65}">
      <x14:conditionalFormattings>
        <x14:conditionalFormatting xmlns:xm="http://schemas.microsoft.com/office/excel/2006/main">
          <x14:cfRule type="expression" priority="1" id="{873254B7-D52A-4CD3-ACF4-D46FDEBA05D7}">
            <xm:f>Information!$G$54&gt;0</xm:f>
            <x14:dxf>
              <font>
                <b/>
                <i val="0"/>
                <color theme="1"/>
              </font>
              <fill>
                <patternFill>
                  <bgColor rgb="FFFFFF00"/>
                </patternFill>
              </fill>
            </x14:dxf>
          </x14:cfRule>
          <xm:sqref>B5</xm:sqref>
        </x14:conditionalFormatting>
      </x14:conditionalFormatting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B0F0"/>
  </sheetPr>
  <dimension ref="A1:H57"/>
  <sheetViews>
    <sheetView rightToLeft="1" workbookViewId="0"/>
  </sheetViews>
  <sheetFormatPr defaultColWidth="8.81640625" defaultRowHeight="12.5"/>
  <cols>
    <col min="1" max="1" width="4.453125" style="505" customWidth="1"/>
    <col min="2" max="2" width="50" style="505" customWidth="1"/>
    <col min="3" max="6" width="10.453125" style="505" customWidth="1"/>
    <col min="7" max="7" width="14.453125" style="505" customWidth="1"/>
    <col min="8" max="8" width="50" style="505" customWidth="1"/>
    <col min="9" max="16384" width="8.81640625" style="505"/>
  </cols>
  <sheetData>
    <row r="1" spans="1:8" ht="18">
      <c r="A1" s="501">
        <f>SUM(C9:F19)</f>
        <v>0</v>
      </c>
      <c r="B1" s="502" t="str">
        <f>company</f>
        <v>_____חברה מנהלת</v>
      </c>
      <c r="C1" s="503"/>
      <c r="D1" s="503"/>
      <c r="E1" s="503"/>
      <c r="F1" s="503"/>
    </row>
    <row r="2" spans="1:8" ht="18">
      <c r="A2" s="503"/>
      <c r="B2" s="23" t="s">
        <v>881</v>
      </c>
      <c r="C2" s="503"/>
      <c r="D2" s="642" t="s">
        <v>263</v>
      </c>
      <c r="E2" s="503"/>
      <c r="F2" s="503"/>
    </row>
    <row r="3" spans="1:8" ht="14">
      <c r="A3" s="503"/>
      <c r="B3" s="506" t="str">
        <f>line3</f>
        <v>הנתונים באלפי ש"ח</v>
      </c>
      <c r="C3" s="503"/>
      <c r="D3" s="503"/>
      <c r="E3" s="503"/>
      <c r="F3" s="503"/>
    </row>
    <row r="4" spans="1:8" ht="15.5">
      <c r="A4" s="503"/>
      <c r="B4" s="507" t="str">
        <f>Information!$C$12</f>
        <v>באור 3א' מגזרי פעילות</v>
      </c>
      <c r="C4" s="503"/>
      <c r="D4" s="503"/>
      <c r="E4" s="503"/>
      <c r="F4" s="503"/>
    </row>
    <row r="5" spans="1:8" ht="42">
      <c r="A5" s="503"/>
      <c r="B5" s="1469" t="s">
        <v>3876</v>
      </c>
      <c r="C5" s="509" t="s">
        <v>327</v>
      </c>
      <c r="D5" s="509" t="s">
        <v>328</v>
      </c>
      <c r="E5" s="509" t="s">
        <v>886</v>
      </c>
      <c r="F5" s="510" t="s">
        <v>272</v>
      </c>
    </row>
    <row r="6" spans="1:8" ht="18">
      <c r="A6" s="503"/>
      <c r="B6" s="1060"/>
      <c r="C6" s="481" t="s">
        <v>29</v>
      </c>
      <c r="D6" s="481" t="s">
        <v>41</v>
      </c>
      <c r="E6" s="481" t="s">
        <v>63</v>
      </c>
      <c r="F6" s="482" t="s">
        <v>65</v>
      </c>
    </row>
    <row r="7" spans="1:8" ht="18">
      <c r="A7" s="503"/>
      <c r="B7" s="959" t="str">
        <f>Period1</f>
        <v>שנת 2021</v>
      </c>
      <c r="C7" s="473"/>
      <c r="D7" s="473"/>
      <c r="E7" s="473"/>
      <c r="F7" s="512"/>
    </row>
    <row r="8" spans="1:8" ht="14">
      <c r="A8" s="503">
        <v>1</v>
      </c>
      <c r="B8" s="513" t="s">
        <v>882</v>
      </c>
      <c r="C8" s="1206"/>
      <c r="D8" s="1206"/>
      <c r="E8" s="1206"/>
      <c r="F8" s="515">
        <f t="shared" ref="F8:F18" si="0">SUM(C8:E8)</f>
        <v>0</v>
      </c>
    </row>
    <row r="9" spans="1:8" ht="14.5">
      <c r="A9" s="503">
        <f>A8+1</f>
        <v>2</v>
      </c>
      <c r="B9" s="513" t="s">
        <v>856</v>
      </c>
      <c r="C9" s="1205"/>
      <c r="D9" s="1205"/>
      <c r="E9" s="1205"/>
      <c r="F9" s="515">
        <f t="shared" si="0"/>
        <v>0</v>
      </c>
      <c r="H9" s="518"/>
    </row>
    <row r="10" spans="1:8" ht="14.5">
      <c r="A10" s="503">
        <f>A9+1</f>
        <v>3</v>
      </c>
      <c r="B10" s="513" t="s">
        <v>857</v>
      </c>
      <c r="C10" s="1205"/>
      <c r="D10" s="1205"/>
      <c r="E10" s="1205"/>
      <c r="F10" s="515">
        <f t="shared" si="0"/>
        <v>0</v>
      </c>
      <c r="H10" s="518"/>
    </row>
    <row r="11" spans="1:8" ht="14.5">
      <c r="A11" s="503">
        <f t="shared" ref="A11:A21" si="1">A10+1</f>
        <v>4</v>
      </c>
      <c r="B11" s="516" t="s">
        <v>883</v>
      </c>
      <c r="C11" s="517">
        <f>SUM(C8:C10)</f>
        <v>0</v>
      </c>
      <c r="D11" s="517">
        <f>SUM(D8:D10)</f>
        <v>0</v>
      </c>
      <c r="E11" s="517">
        <f>SUM(E8:E10)</f>
        <v>0</v>
      </c>
      <c r="F11" s="515">
        <f t="shared" si="0"/>
        <v>0</v>
      </c>
      <c r="H11" s="519"/>
    </row>
    <row r="12" spans="1:8" ht="14.5">
      <c r="A12" s="503">
        <f t="shared" si="1"/>
        <v>5</v>
      </c>
      <c r="B12" s="513" t="s">
        <v>859</v>
      </c>
      <c r="C12" s="1206"/>
      <c r="D12" s="1206"/>
      <c r="E12" s="1206"/>
      <c r="F12" s="515">
        <f t="shared" si="0"/>
        <v>0</v>
      </c>
      <c r="H12" s="518"/>
    </row>
    <row r="13" spans="1:8" ht="14.5">
      <c r="A13" s="503">
        <f t="shared" si="1"/>
        <v>6</v>
      </c>
      <c r="B13" s="513" t="s">
        <v>884</v>
      </c>
      <c r="C13" s="1206"/>
      <c r="D13" s="1206"/>
      <c r="E13" s="1206"/>
      <c r="F13" s="515">
        <f t="shared" si="0"/>
        <v>0</v>
      </c>
      <c r="H13" s="518"/>
    </row>
    <row r="14" spans="1:8" ht="14.5">
      <c r="A14" s="503">
        <f t="shared" si="1"/>
        <v>7</v>
      </c>
      <c r="B14" s="513" t="s">
        <v>861</v>
      </c>
      <c r="C14" s="1206"/>
      <c r="D14" s="1206"/>
      <c r="E14" s="1206"/>
      <c r="F14" s="515">
        <f t="shared" si="0"/>
        <v>0</v>
      </c>
      <c r="H14" s="518"/>
    </row>
    <row r="15" spans="1:8" ht="14.5">
      <c r="A15" s="503">
        <f t="shared" si="1"/>
        <v>8</v>
      </c>
      <c r="B15" s="513" t="s">
        <v>862</v>
      </c>
      <c r="C15" s="1206"/>
      <c r="D15" s="1206"/>
      <c r="E15" s="1206"/>
      <c r="F15" s="515">
        <f t="shared" si="0"/>
        <v>0</v>
      </c>
      <c r="H15" s="518"/>
    </row>
    <row r="16" spans="1:8" ht="14.5">
      <c r="A16" s="503">
        <f t="shared" si="1"/>
        <v>9</v>
      </c>
      <c r="B16" s="516" t="s">
        <v>863</v>
      </c>
      <c r="C16" s="517">
        <f>SUM(C12:C15)</f>
        <v>0</v>
      </c>
      <c r="D16" s="517">
        <f>SUM(D12:D15)</f>
        <v>0</v>
      </c>
      <c r="E16" s="517">
        <f>SUM(E12:E15)</f>
        <v>0</v>
      </c>
      <c r="F16" s="515">
        <f t="shared" si="0"/>
        <v>0</v>
      </c>
      <c r="H16" s="519"/>
    </row>
    <row r="17" spans="1:8" ht="14.5">
      <c r="A17" s="503">
        <f t="shared" si="1"/>
        <v>10</v>
      </c>
      <c r="B17" s="516" t="s">
        <v>965</v>
      </c>
      <c r="C17" s="517">
        <f>C11-C16</f>
        <v>0</v>
      </c>
      <c r="D17" s="517">
        <f>D11-D16</f>
        <v>0</v>
      </c>
      <c r="E17" s="517">
        <f>E11-E16</f>
        <v>0</v>
      </c>
      <c r="F17" s="515">
        <f>F11-F16</f>
        <v>0</v>
      </c>
      <c r="H17" s="519"/>
    </row>
    <row r="18" spans="1:8" ht="26.5">
      <c r="A18" s="503">
        <f t="shared" si="1"/>
        <v>11</v>
      </c>
      <c r="B18" s="513" t="s">
        <v>1518</v>
      </c>
      <c r="C18" s="1206"/>
      <c r="D18" s="1206"/>
      <c r="E18" s="1206"/>
      <c r="F18" s="515">
        <f t="shared" si="0"/>
        <v>0</v>
      </c>
      <c r="H18" s="518"/>
    </row>
    <row r="19" spans="1:8" ht="14.5">
      <c r="A19" s="503">
        <f t="shared" si="1"/>
        <v>12</v>
      </c>
      <c r="B19" s="516" t="s">
        <v>865</v>
      </c>
      <c r="C19" s="517">
        <f>C11-C16+C18</f>
        <v>0</v>
      </c>
      <c r="D19" s="517">
        <f>D11-D16+D18</f>
        <v>0</v>
      </c>
      <c r="E19" s="517">
        <f>E11-E16+E18</f>
        <v>0</v>
      </c>
      <c r="F19" s="515">
        <f>SUM(C19:E19)</f>
        <v>0</v>
      </c>
      <c r="H19" s="519"/>
    </row>
    <row r="20" spans="1:8" ht="14.5">
      <c r="A20" s="503">
        <f t="shared" si="1"/>
        <v>13</v>
      </c>
      <c r="B20" s="1041" t="s">
        <v>966</v>
      </c>
      <c r="C20" s="1206"/>
      <c r="D20" s="1206"/>
      <c r="E20" s="1206"/>
      <c r="F20" s="515">
        <f>SUM(C20:E20)</f>
        <v>0</v>
      </c>
      <c r="H20" s="519"/>
    </row>
    <row r="21" spans="1:8" ht="14.5">
      <c r="A21" s="503">
        <f t="shared" si="1"/>
        <v>14</v>
      </c>
      <c r="B21" s="1042" t="s">
        <v>967</v>
      </c>
      <c r="C21" s="520">
        <f>C19+C20</f>
        <v>0</v>
      </c>
      <c r="D21" s="520">
        <f>D19+D20</f>
        <v>0</v>
      </c>
      <c r="E21" s="520">
        <f>E19+E20</f>
        <v>0</v>
      </c>
      <c r="F21" s="521">
        <f>SUM(C21:E21)</f>
        <v>0</v>
      </c>
      <c r="H21" s="519"/>
    </row>
    <row r="22" spans="1:8">
      <c r="A22" s="522"/>
      <c r="B22" s="522"/>
      <c r="C22" s="522"/>
      <c r="D22" s="522"/>
      <c r="E22" s="522"/>
      <c r="F22" s="522"/>
    </row>
    <row r="23" spans="1:8" ht="48.75" customHeight="1">
      <c r="B23" s="1061"/>
      <c r="C23" s="509" t="s">
        <v>327</v>
      </c>
      <c r="D23" s="509" t="s">
        <v>328</v>
      </c>
      <c r="E23" s="509" t="s">
        <v>886</v>
      </c>
      <c r="F23" s="510" t="s">
        <v>272</v>
      </c>
    </row>
    <row r="24" spans="1:8" ht="18">
      <c r="B24" s="1060"/>
      <c r="C24" s="481" t="s">
        <v>29</v>
      </c>
      <c r="D24" s="481" t="s">
        <v>41</v>
      </c>
      <c r="E24" s="481" t="s">
        <v>63</v>
      </c>
      <c r="F24" s="482" t="s">
        <v>65</v>
      </c>
    </row>
    <row r="25" spans="1:8" ht="18">
      <c r="B25" s="959" t="str">
        <f>Period2</f>
        <v>שנת 2020</v>
      </c>
      <c r="C25" s="473"/>
      <c r="D25" s="473"/>
      <c r="E25" s="473"/>
      <c r="F25" s="512"/>
    </row>
    <row r="26" spans="1:8" ht="14">
      <c r="A26" s="505">
        <v>1</v>
      </c>
      <c r="B26" s="513" t="s">
        <v>882</v>
      </c>
      <c r="C26" s="1206"/>
      <c r="D26" s="1206"/>
      <c r="E26" s="1206"/>
      <c r="F26" s="515">
        <f t="shared" ref="F26:F34" si="2">SUM(C26:E26)</f>
        <v>0</v>
      </c>
    </row>
    <row r="27" spans="1:8" ht="13">
      <c r="A27" s="505">
        <f>A26+1</f>
        <v>2</v>
      </c>
      <c r="B27" s="513" t="s">
        <v>856</v>
      </c>
      <c r="C27" s="1205"/>
      <c r="D27" s="1205"/>
      <c r="E27" s="1205"/>
      <c r="F27" s="515">
        <f t="shared" si="2"/>
        <v>0</v>
      </c>
    </row>
    <row r="28" spans="1:8" ht="14.5">
      <c r="A28" s="505">
        <f t="shared" ref="A28:A39" si="3">A27+1</f>
        <v>3</v>
      </c>
      <c r="B28" s="513" t="s">
        <v>857</v>
      </c>
      <c r="C28" s="1205"/>
      <c r="D28" s="1205"/>
      <c r="E28" s="1205"/>
      <c r="F28" s="515">
        <f t="shared" si="2"/>
        <v>0</v>
      </c>
      <c r="H28" s="518"/>
    </row>
    <row r="29" spans="1:8" ht="13">
      <c r="A29" s="505">
        <f t="shared" si="3"/>
        <v>4</v>
      </c>
      <c r="B29" s="516" t="s">
        <v>883</v>
      </c>
      <c r="C29" s="517">
        <f>SUM(C26:C28)</f>
        <v>0</v>
      </c>
      <c r="D29" s="517">
        <f>SUM(D26:D28)</f>
        <v>0</v>
      </c>
      <c r="E29" s="517">
        <f>SUM(E26:E28)</f>
        <v>0</v>
      </c>
      <c r="F29" s="515">
        <f t="shared" si="2"/>
        <v>0</v>
      </c>
    </row>
    <row r="30" spans="1:8" ht="14">
      <c r="A30" s="505">
        <f t="shared" si="3"/>
        <v>5</v>
      </c>
      <c r="B30" s="513" t="s">
        <v>859</v>
      </c>
      <c r="C30" s="1206"/>
      <c r="D30" s="1206"/>
      <c r="E30" s="1206"/>
      <c r="F30" s="515">
        <f t="shared" si="2"/>
        <v>0</v>
      </c>
    </row>
    <row r="31" spans="1:8" ht="14">
      <c r="A31" s="505">
        <f t="shared" si="3"/>
        <v>6</v>
      </c>
      <c r="B31" s="513" t="s">
        <v>884</v>
      </c>
      <c r="C31" s="1206"/>
      <c r="D31" s="1206"/>
      <c r="E31" s="1206"/>
      <c r="F31" s="515">
        <f t="shared" si="2"/>
        <v>0</v>
      </c>
    </row>
    <row r="32" spans="1:8" ht="14">
      <c r="A32" s="505">
        <f t="shared" si="3"/>
        <v>7</v>
      </c>
      <c r="B32" s="513" t="s">
        <v>861</v>
      </c>
      <c r="C32" s="1206"/>
      <c r="D32" s="1206"/>
      <c r="E32" s="1206"/>
      <c r="F32" s="515">
        <f t="shared" si="2"/>
        <v>0</v>
      </c>
    </row>
    <row r="33" spans="1:6" ht="14">
      <c r="A33" s="505">
        <f t="shared" si="3"/>
        <v>8</v>
      </c>
      <c r="B33" s="513" t="s">
        <v>862</v>
      </c>
      <c r="C33" s="1206"/>
      <c r="D33" s="1206"/>
      <c r="E33" s="1206"/>
      <c r="F33" s="515">
        <f t="shared" si="2"/>
        <v>0</v>
      </c>
    </row>
    <row r="34" spans="1:6" ht="13">
      <c r="A34" s="505">
        <f t="shared" si="3"/>
        <v>9</v>
      </c>
      <c r="B34" s="516" t="s">
        <v>863</v>
      </c>
      <c r="C34" s="517">
        <f>SUM(C30:C33)</f>
        <v>0</v>
      </c>
      <c r="D34" s="517">
        <f>SUM(D30:D33)</f>
        <v>0</v>
      </c>
      <c r="E34" s="517">
        <f>SUM(E30:E33)</f>
        <v>0</v>
      </c>
      <c r="F34" s="515">
        <f t="shared" si="2"/>
        <v>0</v>
      </c>
    </row>
    <row r="35" spans="1:6" ht="13">
      <c r="A35" s="505">
        <f t="shared" si="3"/>
        <v>10</v>
      </c>
      <c r="B35" s="516" t="s">
        <v>965</v>
      </c>
      <c r="C35" s="517">
        <f>C29-C34</f>
        <v>0</v>
      </c>
      <c r="D35" s="517">
        <f>D29-D34</f>
        <v>0</v>
      </c>
      <c r="E35" s="517">
        <f>E29-E34</f>
        <v>0</v>
      </c>
      <c r="F35" s="515">
        <f>F29-F34</f>
        <v>0</v>
      </c>
    </row>
    <row r="36" spans="1:6" ht="26">
      <c r="A36" s="505">
        <f t="shared" si="3"/>
        <v>11</v>
      </c>
      <c r="B36" s="513" t="s">
        <v>1518</v>
      </c>
      <c r="C36" s="1206"/>
      <c r="D36" s="1206"/>
      <c r="E36" s="1206"/>
      <c r="F36" s="515">
        <f>SUM(C36:E36)</f>
        <v>0</v>
      </c>
    </row>
    <row r="37" spans="1:6" ht="13">
      <c r="A37" s="505">
        <f t="shared" si="3"/>
        <v>12</v>
      </c>
      <c r="B37" s="516" t="s">
        <v>865</v>
      </c>
      <c r="C37" s="517">
        <f>C29-C34+C36</f>
        <v>0</v>
      </c>
      <c r="D37" s="517">
        <f>D29-D34+D36</f>
        <v>0</v>
      </c>
      <c r="E37" s="517">
        <f>E29-E34+E36</f>
        <v>0</v>
      </c>
      <c r="F37" s="515">
        <f>SUM(C37:E37)</f>
        <v>0</v>
      </c>
    </row>
    <row r="38" spans="1:6" ht="14">
      <c r="A38" s="505">
        <f t="shared" si="3"/>
        <v>13</v>
      </c>
      <c r="B38" s="1041" t="s">
        <v>966</v>
      </c>
      <c r="C38" s="1206"/>
      <c r="D38" s="1206"/>
      <c r="E38" s="1206"/>
      <c r="F38" s="515">
        <f>SUM(C38:E38)</f>
        <v>0</v>
      </c>
    </row>
    <row r="39" spans="1:6" ht="13">
      <c r="A39" s="505">
        <f t="shared" si="3"/>
        <v>14</v>
      </c>
      <c r="B39" s="1042" t="s">
        <v>967</v>
      </c>
      <c r="C39" s="520">
        <f>C37+C38</f>
        <v>0</v>
      </c>
      <c r="D39" s="520">
        <f>D37+D38</f>
        <v>0</v>
      </c>
      <c r="E39" s="520">
        <f>E37+E38</f>
        <v>0</v>
      </c>
      <c r="F39" s="521">
        <f>SUM(C39:E39)</f>
        <v>0</v>
      </c>
    </row>
    <row r="41" spans="1:6" ht="42">
      <c r="B41" s="1061"/>
      <c r="C41" s="509" t="s">
        <v>327</v>
      </c>
      <c r="D41" s="509" t="s">
        <v>328</v>
      </c>
      <c r="E41" s="509" t="s">
        <v>886</v>
      </c>
      <c r="F41" s="510" t="s">
        <v>272</v>
      </c>
    </row>
    <row r="42" spans="1:6" ht="18">
      <c r="B42" s="1060"/>
      <c r="C42" s="481" t="s">
        <v>29</v>
      </c>
      <c r="D42" s="481" t="s">
        <v>41</v>
      </c>
      <c r="E42" s="481" t="s">
        <v>63</v>
      </c>
      <c r="F42" s="482" t="s">
        <v>65</v>
      </c>
    </row>
    <row r="43" spans="1:6" ht="18">
      <c r="B43" s="959" t="str">
        <f>Period5</f>
        <v>שנת 2019</v>
      </c>
      <c r="C43" s="473"/>
      <c r="D43" s="473"/>
      <c r="E43" s="473"/>
      <c r="F43" s="512"/>
    </row>
    <row r="44" spans="1:6" ht="14">
      <c r="A44" s="505">
        <v>1</v>
      </c>
      <c r="B44" s="513" t="s">
        <v>882</v>
      </c>
      <c r="C44" s="1206"/>
      <c r="D44" s="1206"/>
      <c r="E44" s="1206"/>
      <c r="F44" s="515">
        <f t="shared" ref="F44:F52" si="4">SUM(C44:E44)</f>
        <v>0</v>
      </c>
    </row>
    <row r="45" spans="1:6" ht="13">
      <c r="A45" s="505">
        <f>A44+1</f>
        <v>2</v>
      </c>
      <c r="B45" s="513" t="s">
        <v>856</v>
      </c>
      <c r="C45" s="1205"/>
      <c r="D45" s="1205"/>
      <c r="E45" s="1205"/>
      <c r="F45" s="515">
        <f t="shared" si="4"/>
        <v>0</v>
      </c>
    </row>
    <row r="46" spans="1:6" ht="13">
      <c r="A46" s="505">
        <f t="shared" ref="A46:A57" si="5">A45+1</f>
        <v>3</v>
      </c>
      <c r="B46" s="513" t="s">
        <v>857</v>
      </c>
      <c r="C46" s="1205"/>
      <c r="D46" s="1205"/>
      <c r="E46" s="1205"/>
      <c r="F46" s="515">
        <f t="shared" si="4"/>
        <v>0</v>
      </c>
    </row>
    <row r="47" spans="1:6" ht="13">
      <c r="A47" s="505">
        <f t="shared" si="5"/>
        <v>4</v>
      </c>
      <c r="B47" s="516" t="s">
        <v>883</v>
      </c>
      <c r="C47" s="517">
        <f>SUM(C44:C46)</f>
        <v>0</v>
      </c>
      <c r="D47" s="517">
        <f>SUM(D44:D46)</f>
        <v>0</v>
      </c>
      <c r="E47" s="517">
        <f>SUM(E44:E46)</f>
        <v>0</v>
      </c>
      <c r="F47" s="515">
        <f t="shared" si="4"/>
        <v>0</v>
      </c>
    </row>
    <row r="48" spans="1:6" ht="14">
      <c r="A48" s="505">
        <f t="shared" si="5"/>
        <v>5</v>
      </c>
      <c r="B48" s="513" t="s">
        <v>859</v>
      </c>
      <c r="C48" s="1206"/>
      <c r="D48" s="1206"/>
      <c r="E48" s="1206"/>
      <c r="F48" s="515">
        <f t="shared" si="4"/>
        <v>0</v>
      </c>
    </row>
    <row r="49" spans="1:6" ht="14">
      <c r="A49" s="505">
        <f t="shared" si="5"/>
        <v>6</v>
      </c>
      <c r="B49" s="513" t="s">
        <v>884</v>
      </c>
      <c r="C49" s="1206"/>
      <c r="D49" s="1206"/>
      <c r="E49" s="1206"/>
      <c r="F49" s="515">
        <f t="shared" si="4"/>
        <v>0</v>
      </c>
    </row>
    <row r="50" spans="1:6" ht="14">
      <c r="A50" s="505">
        <f t="shared" si="5"/>
        <v>7</v>
      </c>
      <c r="B50" s="513" t="s">
        <v>861</v>
      </c>
      <c r="C50" s="1206"/>
      <c r="D50" s="1206"/>
      <c r="E50" s="1206"/>
      <c r="F50" s="515">
        <f t="shared" si="4"/>
        <v>0</v>
      </c>
    </row>
    <row r="51" spans="1:6" ht="14">
      <c r="A51" s="505">
        <f t="shared" si="5"/>
        <v>8</v>
      </c>
      <c r="B51" s="513" t="s">
        <v>862</v>
      </c>
      <c r="C51" s="1206"/>
      <c r="D51" s="1206"/>
      <c r="E51" s="1206"/>
      <c r="F51" s="515">
        <f t="shared" si="4"/>
        <v>0</v>
      </c>
    </row>
    <row r="52" spans="1:6" ht="13">
      <c r="A52" s="505">
        <f t="shared" si="5"/>
        <v>9</v>
      </c>
      <c r="B52" s="516" t="s">
        <v>863</v>
      </c>
      <c r="C52" s="517">
        <f>SUM(C48:C51)</f>
        <v>0</v>
      </c>
      <c r="D52" s="517">
        <f>SUM(D48:D51)</f>
        <v>0</v>
      </c>
      <c r="E52" s="517">
        <f>SUM(E48:E51)</f>
        <v>0</v>
      </c>
      <c r="F52" s="515">
        <f t="shared" si="4"/>
        <v>0</v>
      </c>
    </row>
    <row r="53" spans="1:6" ht="18" customHeight="1">
      <c r="A53" s="505">
        <f t="shared" si="5"/>
        <v>10</v>
      </c>
      <c r="B53" s="516" t="s">
        <v>965</v>
      </c>
      <c r="C53" s="517">
        <f>C47-C52</f>
        <v>0</v>
      </c>
      <c r="D53" s="517">
        <f>D47-D52</f>
        <v>0</v>
      </c>
      <c r="E53" s="517">
        <f>E47-E52</f>
        <v>0</v>
      </c>
      <c r="F53" s="515">
        <f>F47-F52</f>
        <v>0</v>
      </c>
    </row>
    <row r="54" spans="1:6" ht="26">
      <c r="A54" s="505">
        <f t="shared" si="5"/>
        <v>11</v>
      </c>
      <c r="B54" s="513" t="s">
        <v>1518</v>
      </c>
      <c r="C54" s="1206"/>
      <c r="D54" s="1206"/>
      <c r="E54" s="1206"/>
      <c r="F54" s="515">
        <f>SUM(C54:E54)</f>
        <v>0</v>
      </c>
    </row>
    <row r="55" spans="1:6" ht="13">
      <c r="A55" s="505">
        <f t="shared" si="5"/>
        <v>12</v>
      </c>
      <c r="B55" s="516" t="s">
        <v>865</v>
      </c>
      <c r="C55" s="517">
        <f>C47-C52+C54</f>
        <v>0</v>
      </c>
      <c r="D55" s="517">
        <f>D47-D52+D54</f>
        <v>0</v>
      </c>
      <c r="E55" s="517">
        <f>E47-E52+E54</f>
        <v>0</v>
      </c>
      <c r="F55" s="515">
        <f>SUM(C55:E55)</f>
        <v>0</v>
      </c>
    </row>
    <row r="56" spans="1:6" ht="14">
      <c r="A56" s="505">
        <f t="shared" si="5"/>
        <v>13</v>
      </c>
      <c r="B56" s="1041" t="s">
        <v>966</v>
      </c>
      <c r="C56" s="1206"/>
      <c r="D56" s="1206"/>
      <c r="E56" s="1206"/>
      <c r="F56" s="515">
        <f>SUM(C56:E56)</f>
        <v>0</v>
      </c>
    </row>
    <row r="57" spans="1:6" ht="13">
      <c r="A57" s="505">
        <f t="shared" si="5"/>
        <v>14</v>
      </c>
      <c r="B57" s="1042" t="s">
        <v>967</v>
      </c>
      <c r="C57" s="520">
        <f>C55+C56</f>
        <v>0</v>
      </c>
      <c r="D57" s="520">
        <f>D55+D56</f>
        <v>0</v>
      </c>
      <c r="E57" s="520">
        <f>E55+E56</f>
        <v>0</v>
      </c>
      <c r="F57" s="521">
        <f>SUM(C57:E57)</f>
        <v>0</v>
      </c>
    </row>
  </sheetData>
  <sheetProtection password="DDD9" sheet="1" objects="1" scenarios="1" formatCells="0" formatColumns="0" formatRows="0"/>
  <hyperlinks>
    <hyperlink ref="D2" location="Information!A1" display="חזרה"/>
    <hyperlink ref="B5" location="Information!A60" display="Information!A60"/>
  </hyperlinks>
  <pageMargins left="0" right="0" top="0" bottom="0.98425196850393704" header="0" footer="0.23622047244094491"/>
  <pageSetup paperSize="9" scale="95" fitToHeight="2" orientation="portrait" r:id="rId1"/>
  <headerFooter alignWithMargins="0">
    <oddFooter>&amp;L&amp;Z&amp;F&amp;C&amp;A&amp;R&amp;D</oddFooter>
  </headerFooter>
  <rowBreaks count="1" manualBreakCount="1">
    <brk id="39" min="1" max="5" man="1"/>
  </rowBreaks>
  <extLst>
    <ext xmlns:x14="http://schemas.microsoft.com/office/spreadsheetml/2009/9/main" uri="{78C0D931-6437-407d-A8EE-F0AAD7539E65}">
      <x14:conditionalFormattings>
        <x14:conditionalFormatting xmlns:xm="http://schemas.microsoft.com/office/excel/2006/main">
          <x14:cfRule type="expression" priority="1" id="{9F323EB3-2202-49F9-9431-3F7B0B30DCCC}">
            <xm:f>Information!$G$54&gt;0</xm:f>
            <x14:dxf>
              <font>
                <b/>
                <i val="0"/>
                <color theme="1"/>
              </font>
              <fill>
                <patternFill>
                  <bgColor rgb="FFFFFF00"/>
                </patternFill>
              </fill>
            </x14:dxf>
          </x14:cfRule>
          <xm:sqref>B5</xm:sqref>
        </x14:conditionalFormatting>
      </x14:conditionalFormatting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B0F0"/>
    <pageSetUpPr fitToPage="1"/>
  </sheetPr>
  <dimension ref="A1:X127"/>
  <sheetViews>
    <sheetView rightToLeft="1" workbookViewId="0"/>
  </sheetViews>
  <sheetFormatPr defaultRowHeight="12.5"/>
  <cols>
    <col min="1" max="1" width="6.54296875" customWidth="1"/>
    <col min="2" max="2" width="49" customWidth="1"/>
    <col min="3" max="4" width="12.54296875" customWidth="1"/>
    <col min="5" max="6" width="14.54296875" customWidth="1"/>
    <col min="7" max="9" width="12.54296875" customWidth="1"/>
    <col min="10" max="10" width="13" customWidth="1"/>
    <col min="11" max="11" width="11.1796875" customWidth="1"/>
    <col min="20" max="20" width="14.453125" customWidth="1"/>
    <col min="21" max="21" width="23.81640625" bestFit="1" customWidth="1"/>
    <col min="22" max="22" width="18.453125" customWidth="1"/>
  </cols>
  <sheetData>
    <row r="1" spans="2:24" ht="18">
      <c r="B1" s="15" t="str">
        <f>company</f>
        <v>_____חברה מנהלת</v>
      </c>
      <c r="U1" s="528" t="s">
        <v>905</v>
      </c>
      <c r="V1" s="528" t="s">
        <v>906</v>
      </c>
      <c r="W1" s="465">
        <f>quarter</f>
        <v>4</v>
      </c>
      <c r="X1" s="465" t="str">
        <f>year</f>
        <v>2021</v>
      </c>
    </row>
    <row r="2" spans="2:24" ht="18">
      <c r="B2" s="23" t="str">
        <f>Information!C8</f>
        <v>דוח על השינוי במצב ההון</v>
      </c>
      <c r="D2" s="642" t="s">
        <v>263</v>
      </c>
      <c r="U2" s="526" t="s">
        <v>902</v>
      </c>
      <c r="V2" s="465" t="s">
        <v>907</v>
      </c>
    </row>
    <row r="3" spans="2:24" ht="16.5" customHeight="1">
      <c r="B3" s="28" t="str">
        <f>Information!$M$21</f>
        <v>הנתונים באלפי ש"ח</v>
      </c>
      <c r="I3" s="460"/>
      <c r="S3" t="e">
        <f>FIND("-",T3)</f>
        <v>#VALUE!</v>
      </c>
      <c r="T3" s="527" t="str">
        <f>Period1</f>
        <v>שנת 2021</v>
      </c>
      <c r="U3" s="526" t="str">
        <f>IF(quarter=4,CONCATENATE("יתרה ליום 1 בינואר ",'3'!T3),CONCATENATE($U$2,LEFT(T3,S3-1),RIGHT(T3,4)))</f>
        <v>יתרה ליום 1 בינואר שנת 2021</v>
      </c>
      <c r="V3" t="str">
        <f>CONCATENATE("יתרה לסוף ",VLOOKUP($W$1,$W$3:$X$6,2,0)," ",$X$1)</f>
        <v>יתרה לסוף דצמבר 2021</v>
      </c>
      <c r="W3">
        <v>1</v>
      </c>
      <c r="X3" s="465" t="s">
        <v>908</v>
      </c>
    </row>
    <row r="4" spans="2:24" ht="25.5" customHeight="1">
      <c r="B4" s="1468" t="s">
        <v>3876</v>
      </c>
      <c r="C4" s="523" t="s">
        <v>821</v>
      </c>
      <c r="D4" s="487" t="s">
        <v>894</v>
      </c>
      <c r="E4" s="487" t="s">
        <v>895</v>
      </c>
      <c r="F4" s="487" t="s">
        <v>896</v>
      </c>
      <c r="G4" s="523" t="s">
        <v>1516</v>
      </c>
      <c r="H4" s="487" t="s">
        <v>897</v>
      </c>
      <c r="I4" s="487" t="s">
        <v>898</v>
      </c>
      <c r="J4" s="523" t="s">
        <v>827</v>
      </c>
      <c r="K4" s="490" t="s">
        <v>1460</v>
      </c>
      <c r="S4" t="e">
        <f>FIND("-",T4)</f>
        <v>#VALUE!</v>
      </c>
      <c r="T4" s="465" t="str">
        <f>Period2</f>
        <v>שנת 2020</v>
      </c>
      <c r="U4" s="526" t="str">
        <f>IF(quarter=4,CONCATENATE("יתרה ליום 1 בינואר ",'3'!T4),CONCATENATE($U$2,LEFT(T4,S4-1),RIGHT(T4,4)))</f>
        <v>יתרה ליום 1 בינואר שנת 2020</v>
      </c>
      <c r="V4" t="str">
        <f>CONCATENATE("יתרה לסוף ",VLOOKUP($W$1,$W$3:$X$6,2,0)," ",$X$1-1)</f>
        <v>יתרה לסוף דצמבר 2020</v>
      </c>
      <c r="W4">
        <v>2</v>
      </c>
      <c r="X4" s="465" t="s">
        <v>909</v>
      </c>
    </row>
    <row r="5" spans="2:24" ht="15.5">
      <c r="B5" s="1253" t="str">
        <f>Period1</f>
        <v>שנת 2021</v>
      </c>
      <c r="C5" s="481" t="s">
        <v>29</v>
      </c>
      <c r="D5" s="481" t="s">
        <v>41</v>
      </c>
      <c r="E5" s="481" t="s">
        <v>63</v>
      </c>
      <c r="F5" s="481" t="s">
        <v>65</v>
      </c>
      <c r="G5" s="481" t="s">
        <v>86</v>
      </c>
      <c r="H5" s="481" t="s">
        <v>88</v>
      </c>
      <c r="I5" s="481" t="s">
        <v>195</v>
      </c>
      <c r="J5" s="481" t="s">
        <v>197</v>
      </c>
      <c r="K5" s="482" t="s">
        <v>199</v>
      </c>
      <c r="S5" t="e">
        <f>FIND("-",T5)</f>
        <v>#VALUE!</v>
      </c>
      <c r="T5" s="465" t="str">
        <f>Period3</f>
        <v>לא לדווח</v>
      </c>
      <c r="U5" s="526" t="str">
        <f>IF(OR(quarter=1,quarter=4),"לא לדווח",CONCATENATE($U$2,LEFT(T5,S5-1),RIGHT(T5,4)))</f>
        <v>לא לדווח</v>
      </c>
      <c r="V5" t="str">
        <f>IF(OR($W$1=1,$W$1=4),"לא לדווח ",CONCATENATE("יתרה לסוף ",VLOOKUP($W$1,$W$3:$X$6,2,0)," ",$X$1))</f>
        <v xml:space="preserve">לא לדווח </v>
      </c>
      <c r="W5">
        <v>3</v>
      </c>
      <c r="X5" s="465" t="s">
        <v>910</v>
      </c>
    </row>
    <row r="6" spans="2:24" ht="15.5">
      <c r="B6" s="469" t="s">
        <v>2795</v>
      </c>
      <c r="C6" s="493"/>
      <c r="D6" s="493"/>
      <c r="E6" s="493"/>
      <c r="F6" s="493"/>
      <c r="G6" s="493"/>
      <c r="H6" s="493"/>
      <c r="I6" s="922">
        <f>SUM(C6:H6)</f>
        <v>0</v>
      </c>
      <c r="J6" s="493"/>
      <c r="K6" s="923">
        <f>SUM(I6:J6)</f>
        <v>0</v>
      </c>
      <c r="S6" t="e">
        <f>FIND("-",T6)</f>
        <v>#VALUE!</v>
      </c>
      <c r="T6" s="465" t="str">
        <f>Period4</f>
        <v>לא לדווח</v>
      </c>
      <c r="U6" s="526" t="str">
        <f>IF(OR(quarter=1,quarter=4),"לא לדווח",CONCATENATE($U$2,LEFT(T6,S6-1),RIGHT(T6,4)))</f>
        <v>לא לדווח</v>
      </c>
      <c r="V6" t="str">
        <f>IF(OR($W$1=1,$W$1=4),"לא לדווח ",CONCATENATE("יתרה לסוף ",VLOOKUP($W$1,$W$3:$X$6,2,0)," ",$X$1-1))</f>
        <v xml:space="preserve">לא לדווח </v>
      </c>
      <c r="W6">
        <v>4</v>
      </c>
      <c r="X6" s="465" t="s">
        <v>911</v>
      </c>
    </row>
    <row r="7" spans="2:24" ht="15.5">
      <c r="B7" s="469" t="s">
        <v>867</v>
      </c>
      <c r="C7" s="493"/>
      <c r="D7" s="493"/>
      <c r="E7" s="493"/>
      <c r="F7" s="493"/>
      <c r="G7" s="493"/>
      <c r="H7" s="493"/>
      <c r="I7" s="922">
        <f>SUM(C7:H7)</f>
        <v>0</v>
      </c>
      <c r="J7" s="493"/>
      <c r="K7" s="923">
        <f>SUM(I7:J7)</f>
        <v>0</v>
      </c>
      <c r="T7" s="465" t="str">
        <f>Period5</f>
        <v>שנת 2019</v>
      </c>
      <c r="U7" s="526" t="str">
        <f>IF(quarter=4,CONCATENATE("יתרה ליום 1 בינואר ",'3'!T7),U4)</f>
        <v>יתרה ליום 1 בינואר שנת 2019</v>
      </c>
      <c r="V7" t="str">
        <f>IF(W1=4,CONCATENATE(V2," ",X6," ",X1-2),CONCATENATE(V2," ",X6," ",X1-1))</f>
        <v>יתרת לסוף דצמבר 2019</v>
      </c>
    </row>
    <row r="8" spans="2:24" ht="15.5">
      <c r="B8" s="469" t="s">
        <v>1515</v>
      </c>
      <c r="C8" s="524"/>
      <c r="D8" s="524"/>
      <c r="E8" s="524"/>
      <c r="F8" s="524"/>
      <c r="G8" s="524"/>
      <c r="H8" s="524"/>
      <c r="I8" s="524"/>
      <c r="J8" s="524"/>
      <c r="K8" s="920"/>
    </row>
    <row r="9" spans="2:24" ht="15.5">
      <c r="B9" s="472" t="s">
        <v>871</v>
      </c>
      <c r="C9" s="493"/>
      <c r="D9" s="493"/>
      <c r="E9" s="493"/>
      <c r="F9" s="493"/>
      <c r="G9" s="493"/>
      <c r="H9" s="493"/>
      <c r="I9" s="922">
        <f t="shared" ref="I9:I15" si="0">SUM(C9:H9)</f>
        <v>0</v>
      </c>
      <c r="J9" s="493"/>
      <c r="K9" s="923">
        <f t="shared" ref="K9:K15" si="1">SUM(I9:J9)</f>
        <v>0</v>
      </c>
    </row>
    <row r="10" spans="2:24" ht="31">
      <c r="B10" s="472" t="s">
        <v>872</v>
      </c>
      <c r="C10" s="493"/>
      <c r="D10" s="493"/>
      <c r="E10" s="493"/>
      <c r="F10" s="493"/>
      <c r="G10" s="493"/>
      <c r="H10" s="493"/>
      <c r="I10" s="922">
        <f t="shared" si="0"/>
        <v>0</v>
      </c>
      <c r="J10" s="493"/>
      <c r="K10" s="923">
        <f t="shared" si="1"/>
        <v>0</v>
      </c>
    </row>
    <row r="11" spans="2:24" ht="33" customHeight="1">
      <c r="B11" s="472" t="s">
        <v>873</v>
      </c>
      <c r="C11" s="493"/>
      <c r="D11" s="493"/>
      <c r="E11" s="493"/>
      <c r="F11" s="493"/>
      <c r="G11" s="493"/>
      <c r="H11" s="493"/>
      <c r="I11" s="922">
        <f t="shared" si="0"/>
        <v>0</v>
      </c>
      <c r="J11" s="493"/>
      <c r="K11" s="923">
        <f t="shared" si="1"/>
        <v>0</v>
      </c>
    </row>
    <row r="12" spans="2:24" ht="31">
      <c r="B12" s="472" t="s">
        <v>880</v>
      </c>
      <c r="C12" s="493"/>
      <c r="D12" s="493"/>
      <c r="E12" s="493"/>
      <c r="F12" s="493"/>
      <c r="G12" s="493"/>
      <c r="H12" s="493"/>
      <c r="I12" s="922">
        <f t="shared" si="0"/>
        <v>0</v>
      </c>
      <c r="J12" s="493"/>
      <c r="K12" s="923">
        <f t="shared" si="1"/>
        <v>0</v>
      </c>
    </row>
    <row r="13" spans="2:24" ht="31">
      <c r="B13" s="472" t="s">
        <v>874</v>
      </c>
      <c r="C13" s="493"/>
      <c r="D13" s="493"/>
      <c r="E13" s="493"/>
      <c r="F13" s="493"/>
      <c r="G13" s="493"/>
      <c r="H13" s="493"/>
      <c r="I13" s="922">
        <f t="shared" si="0"/>
        <v>0</v>
      </c>
      <c r="J13" s="493"/>
      <c r="K13" s="923">
        <f t="shared" si="1"/>
        <v>0</v>
      </c>
    </row>
    <row r="14" spans="2:24" ht="31">
      <c r="B14" s="472" t="s">
        <v>875</v>
      </c>
      <c r="C14" s="493"/>
      <c r="D14" s="493"/>
      <c r="E14" s="493"/>
      <c r="F14" s="493"/>
      <c r="G14" s="493"/>
      <c r="H14" s="493"/>
      <c r="I14" s="922">
        <f t="shared" si="0"/>
        <v>0</v>
      </c>
      <c r="J14" s="493"/>
      <c r="K14" s="923">
        <f t="shared" si="1"/>
        <v>0</v>
      </c>
    </row>
    <row r="15" spans="2:24" ht="15.5">
      <c r="B15" s="472" t="s">
        <v>70</v>
      </c>
      <c r="C15" s="493"/>
      <c r="D15" s="493"/>
      <c r="E15" s="493"/>
      <c r="F15" s="493"/>
      <c r="G15" s="493"/>
      <c r="H15" s="493"/>
      <c r="I15" s="922">
        <f t="shared" si="0"/>
        <v>0</v>
      </c>
      <c r="J15" s="493"/>
      <c r="K15" s="923">
        <f t="shared" si="1"/>
        <v>0</v>
      </c>
    </row>
    <row r="16" spans="2:24" ht="15.5">
      <c r="B16" s="496" t="s">
        <v>899</v>
      </c>
      <c r="C16" s="478">
        <f>SUM(C9:C15)</f>
        <v>0</v>
      </c>
      <c r="D16" s="478">
        <f t="shared" ref="D16:I16" si="2">SUM(D9:D15)</f>
        <v>0</v>
      </c>
      <c r="E16" s="478">
        <f t="shared" si="2"/>
        <v>0</v>
      </c>
      <c r="F16" s="478">
        <f t="shared" si="2"/>
        <v>0</v>
      </c>
      <c r="G16" s="478">
        <f t="shared" si="2"/>
        <v>0</v>
      </c>
      <c r="H16" s="478">
        <f t="shared" si="2"/>
        <v>0</v>
      </c>
      <c r="I16" s="478">
        <f t="shared" si="2"/>
        <v>0</v>
      </c>
      <c r="J16" s="478">
        <f>SUM(J9:J15)</f>
        <v>0</v>
      </c>
      <c r="K16" s="483">
        <f>SUM(K9:K15)</f>
        <v>0</v>
      </c>
    </row>
    <row r="17" spans="1:11" ht="15.5">
      <c r="B17" s="916" t="s">
        <v>876</v>
      </c>
      <c r="C17" s="493"/>
      <c r="D17" s="493"/>
      <c r="E17" s="493"/>
      <c r="F17" s="493"/>
      <c r="G17" s="493"/>
      <c r="H17" s="493"/>
      <c r="I17" s="922">
        <f>SUM(C17:H17)</f>
        <v>0</v>
      </c>
      <c r="J17" s="493"/>
      <c r="K17" s="923">
        <f>SUM(I17:J17)</f>
        <v>0</v>
      </c>
    </row>
    <row r="18" spans="1:11" ht="15.5">
      <c r="B18" s="469" t="s">
        <v>888</v>
      </c>
      <c r="C18" s="478">
        <f>C16-C17</f>
        <v>0</v>
      </c>
      <c r="D18" s="478">
        <f t="shared" ref="D18:I18" si="3">D16-D17</f>
        <v>0</v>
      </c>
      <c r="E18" s="478">
        <f t="shared" si="3"/>
        <v>0</v>
      </c>
      <c r="F18" s="478">
        <f t="shared" si="3"/>
        <v>0</v>
      </c>
      <c r="G18" s="478">
        <f t="shared" si="3"/>
        <v>0</v>
      </c>
      <c r="H18" s="478">
        <f t="shared" si="3"/>
        <v>0</v>
      </c>
      <c r="I18" s="478">
        <f t="shared" si="3"/>
        <v>0</v>
      </c>
      <c r="J18" s="478">
        <f>J16-J17</f>
        <v>0</v>
      </c>
      <c r="K18" s="483">
        <f>K16-K17</f>
        <v>0</v>
      </c>
    </row>
    <row r="19" spans="1:11" ht="15.5">
      <c r="B19" s="469" t="s">
        <v>889</v>
      </c>
      <c r="C19" s="525"/>
      <c r="D19" s="525"/>
      <c r="E19" s="525"/>
      <c r="F19" s="525"/>
      <c r="G19" s="525"/>
      <c r="H19" s="525"/>
      <c r="I19" s="525"/>
      <c r="J19" s="525"/>
      <c r="K19" s="921"/>
    </row>
    <row r="20" spans="1:11" ht="15.5">
      <c r="B20" s="472" t="s">
        <v>890</v>
      </c>
      <c r="C20" s="497"/>
      <c r="D20" s="497"/>
      <c r="E20" s="497"/>
      <c r="F20" s="497"/>
      <c r="G20" s="497"/>
      <c r="H20" s="497"/>
      <c r="I20" s="922">
        <f t="shared" ref="I20:I25" si="4">SUM(C20:H20)</f>
        <v>0</v>
      </c>
      <c r="J20" s="497"/>
      <c r="K20" s="923">
        <f t="shared" ref="K20:K25" si="5">SUM(I20:J20)</f>
        <v>0</v>
      </c>
    </row>
    <row r="21" spans="1:11" ht="15.5">
      <c r="B21" s="472" t="s">
        <v>891</v>
      </c>
      <c r="C21" s="497"/>
      <c r="D21" s="497"/>
      <c r="E21" s="497"/>
      <c r="F21" s="497"/>
      <c r="G21" s="497"/>
      <c r="H21" s="497"/>
      <c r="I21" s="922">
        <f t="shared" si="4"/>
        <v>0</v>
      </c>
      <c r="J21" s="497"/>
      <c r="K21" s="923">
        <f t="shared" si="5"/>
        <v>0</v>
      </c>
    </row>
    <row r="22" spans="1:11" ht="15.5">
      <c r="B22" s="472" t="s">
        <v>892</v>
      </c>
      <c r="C22" s="497"/>
      <c r="D22" s="497"/>
      <c r="E22" s="497"/>
      <c r="F22" s="497"/>
      <c r="G22" s="497"/>
      <c r="H22" s="497"/>
      <c r="I22" s="922">
        <f t="shared" si="4"/>
        <v>0</v>
      </c>
      <c r="J22" s="497"/>
      <c r="K22" s="923">
        <f t="shared" si="5"/>
        <v>0</v>
      </c>
    </row>
    <row r="23" spans="1:11" ht="15.5">
      <c r="B23" s="472" t="s">
        <v>893</v>
      </c>
      <c r="C23" s="497"/>
      <c r="D23" s="497"/>
      <c r="E23" s="497"/>
      <c r="F23" s="497"/>
      <c r="G23" s="497"/>
      <c r="H23" s="497"/>
      <c r="I23" s="922">
        <f t="shared" si="4"/>
        <v>0</v>
      </c>
      <c r="J23" s="497"/>
      <c r="K23" s="923">
        <f t="shared" si="5"/>
        <v>0</v>
      </c>
    </row>
    <row r="24" spans="1:11" ht="15.5">
      <c r="A24" s="1021"/>
      <c r="B24" s="472" t="s">
        <v>2716</v>
      </c>
      <c r="C24" s="497"/>
      <c r="D24" s="497"/>
      <c r="E24" s="497"/>
      <c r="F24" s="497"/>
      <c r="G24" s="497"/>
      <c r="H24" s="497"/>
      <c r="I24" s="922">
        <f t="shared" si="4"/>
        <v>0</v>
      </c>
      <c r="J24" s="497"/>
      <c r="K24" s="923">
        <f t="shared" si="5"/>
        <v>0</v>
      </c>
    </row>
    <row r="25" spans="1:11" ht="15.5">
      <c r="A25" s="1021"/>
      <c r="B25" s="472" t="s">
        <v>70</v>
      </c>
      <c r="C25" s="497"/>
      <c r="D25" s="497"/>
      <c r="E25" s="497"/>
      <c r="F25" s="497"/>
      <c r="G25" s="497"/>
      <c r="H25" s="497"/>
      <c r="I25" s="922">
        <f t="shared" si="4"/>
        <v>0</v>
      </c>
      <c r="J25" s="497"/>
      <c r="K25" s="923">
        <f t="shared" si="5"/>
        <v>0</v>
      </c>
    </row>
    <row r="26" spans="1:11" ht="15.5">
      <c r="B26" s="469" t="s">
        <v>900</v>
      </c>
      <c r="C26" s="478">
        <f t="shared" ref="C26:K26" si="6">SUM(C20:C25)</f>
        <v>0</v>
      </c>
      <c r="D26" s="478">
        <f t="shared" si="6"/>
        <v>0</v>
      </c>
      <c r="E26" s="478">
        <f t="shared" si="6"/>
        <v>0</v>
      </c>
      <c r="F26" s="478">
        <f t="shared" si="6"/>
        <v>0</v>
      </c>
      <c r="G26" s="478">
        <f t="shared" si="6"/>
        <v>0</v>
      </c>
      <c r="H26" s="478">
        <f t="shared" si="6"/>
        <v>0</v>
      </c>
      <c r="I26" s="478">
        <f t="shared" si="6"/>
        <v>0</v>
      </c>
      <c r="J26" s="478">
        <f t="shared" si="6"/>
        <v>0</v>
      </c>
      <c r="K26" s="483">
        <f t="shared" si="6"/>
        <v>0</v>
      </c>
    </row>
    <row r="27" spans="1:11" ht="15.5">
      <c r="B27" s="471" t="s">
        <v>2796</v>
      </c>
      <c r="C27" s="918">
        <f t="shared" ref="C27:K27" si="7">C6+C7+C18+C26</f>
        <v>0</v>
      </c>
      <c r="D27" s="918">
        <f t="shared" si="7"/>
        <v>0</v>
      </c>
      <c r="E27" s="918">
        <f t="shared" si="7"/>
        <v>0</v>
      </c>
      <c r="F27" s="918">
        <f t="shared" si="7"/>
        <v>0</v>
      </c>
      <c r="G27" s="918">
        <f t="shared" si="7"/>
        <v>0</v>
      </c>
      <c r="H27" s="918">
        <f t="shared" si="7"/>
        <v>0</v>
      </c>
      <c r="I27" s="918">
        <f t="shared" si="7"/>
        <v>0</v>
      </c>
      <c r="J27" s="918">
        <f t="shared" si="7"/>
        <v>0</v>
      </c>
      <c r="K27" s="919">
        <f t="shared" si="7"/>
        <v>0</v>
      </c>
    </row>
    <row r="29" spans="1:11" ht="38.5">
      <c r="B29" s="1252"/>
      <c r="C29" s="523" t="s">
        <v>821</v>
      </c>
      <c r="D29" s="487" t="s">
        <v>894</v>
      </c>
      <c r="E29" s="487" t="s">
        <v>895</v>
      </c>
      <c r="F29" s="487" t="s">
        <v>896</v>
      </c>
      <c r="G29" s="523" t="s">
        <v>1516</v>
      </c>
      <c r="H29" s="487" t="s">
        <v>897</v>
      </c>
      <c r="I29" s="487" t="s">
        <v>898</v>
      </c>
      <c r="J29" s="523" t="s">
        <v>827</v>
      </c>
      <c r="K29" s="490" t="s">
        <v>1460</v>
      </c>
    </row>
    <row r="30" spans="1:11" ht="15.5">
      <c r="B30" s="1253" t="str">
        <f>Period2</f>
        <v>שנת 2020</v>
      </c>
      <c r="C30" s="481" t="s">
        <v>29</v>
      </c>
      <c r="D30" s="481" t="s">
        <v>41</v>
      </c>
      <c r="E30" s="481" t="s">
        <v>63</v>
      </c>
      <c r="F30" s="481" t="s">
        <v>65</v>
      </c>
      <c r="G30" s="481" t="s">
        <v>86</v>
      </c>
      <c r="H30" s="481" t="s">
        <v>88</v>
      </c>
      <c r="I30" s="481" t="s">
        <v>195</v>
      </c>
      <c r="J30" s="481" t="s">
        <v>197</v>
      </c>
      <c r="K30" s="482" t="s">
        <v>199</v>
      </c>
    </row>
    <row r="31" spans="1:11" ht="15.5">
      <c r="B31" s="469" t="str">
        <f>B6</f>
        <v>יתרה לתחלת התקופה</v>
      </c>
      <c r="C31" s="493"/>
      <c r="D31" s="493"/>
      <c r="E31" s="493"/>
      <c r="F31" s="493"/>
      <c r="G31" s="493"/>
      <c r="H31" s="493"/>
      <c r="I31" s="922">
        <f>SUM(C31:H31)</f>
        <v>0</v>
      </c>
      <c r="J31" s="493"/>
      <c r="K31" s="923">
        <f>SUM(I31:J31)</f>
        <v>0</v>
      </c>
    </row>
    <row r="32" spans="1:11" ht="15.5">
      <c r="B32" s="469" t="str">
        <f>$B$7</f>
        <v>רווח (הפסד) לתקופה</v>
      </c>
      <c r="C32" s="493"/>
      <c r="D32" s="493"/>
      <c r="E32" s="493"/>
      <c r="F32" s="493"/>
      <c r="G32" s="493"/>
      <c r="H32" s="493"/>
      <c r="I32" s="922">
        <f>SUM(C32:H32)</f>
        <v>0</v>
      </c>
      <c r="J32" s="493"/>
      <c r="K32" s="923">
        <f>SUM(I32:J32)</f>
        <v>0</v>
      </c>
    </row>
    <row r="33" spans="2:11" ht="15.5">
      <c r="B33" s="469" t="str">
        <f>$B$8</f>
        <v>רכיבים של רווח (הפסד) כולל אחר לתקופה:</v>
      </c>
      <c r="C33" s="524"/>
      <c r="D33" s="524"/>
      <c r="E33" s="524"/>
      <c r="F33" s="524"/>
      <c r="G33" s="524"/>
      <c r="H33" s="524"/>
      <c r="I33" s="524"/>
      <c r="J33" s="524"/>
      <c r="K33" s="920"/>
    </row>
    <row r="34" spans="2:11" ht="15.5">
      <c r="B34" s="472" t="str">
        <f>$B$9</f>
        <v>הערכה מחדש בגין שערוך רכוש קבוע, נטו</v>
      </c>
      <c r="C34" s="493"/>
      <c r="D34" s="493"/>
      <c r="E34" s="493"/>
      <c r="F34" s="493"/>
      <c r="G34" s="493"/>
      <c r="H34" s="493"/>
      <c r="I34" s="922">
        <f t="shared" ref="I34:I40" si="8">SUM(C34:H34)</f>
        <v>0</v>
      </c>
      <c r="J34" s="493"/>
      <c r="K34" s="923">
        <f t="shared" ref="K34:K40" si="9">SUM(I34:J34)</f>
        <v>0</v>
      </c>
    </row>
    <row r="35" spans="2:11" ht="31">
      <c r="B35" s="472" t="str">
        <f>$B$10</f>
        <v>שינוי נטו בשווי ההוגן של נכסים פיננסיים המסווגים כזמינים למכירה</v>
      </c>
      <c r="C35" s="493"/>
      <c r="D35" s="493"/>
      <c r="E35" s="493"/>
      <c r="F35" s="493"/>
      <c r="G35" s="493"/>
      <c r="H35" s="493"/>
      <c r="I35" s="922">
        <f t="shared" si="8"/>
        <v>0</v>
      </c>
      <c r="J35" s="493"/>
      <c r="K35" s="923">
        <f t="shared" si="9"/>
        <v>0</v>
      </c>
    </row>
    <row r="36" spans="2:11" ht="33" customHeight="1">
      <c r="B36" s="472" t="str">
        <f>$B$11</f>
        <v>שינוי נטו בשווי ההוגן של נכסים פיננסיים המסווגים כזמינים למכירה שהועבר לדוח רווח והפסד</v>
      </c>
      <c r="C36" s="493"/>
      <c r="D36" s="493"/>
      <c r="E36" s="493"/>
      <c r="F36" s="493"/>
      <c r="G36" s="493"/>
      <c r="H36" s="493"/>
      <c r="I36" s="922">
        <f t="shared" si="8"/>
        <v>0</v>
      </c>
      <c r="J36" s="493"/>
      <c r="K36" s="923">
        <f t="shared" si="9"/>
        <v>0</v>
      </c>
    </row>
    <row r="37" spans="2:11" ht="32.25" customHeight="1">
      <c r="B37" s="472" t="str">
        <f>$B$12</f>
        <v>הפסד מירידת ערך של נכסים פיננסיים המסווגים כזמינים למכירה שהועבר לדוח רווח והפסד</v>
      </c>
      <c r="C37" s="493"/>
      <c r="D37" s="493"/>
      <c r="E37" s="493"/>
      <c r="F37" s="493"/>
      <c r="G37" s="493"/>
      <c r="H37" s="493"/>
      <c r="I37" s="922">
        <f t="shared" si="8"/>
        <v>0</v>
      </c>
      <c r="J37" s="493"/>
      <c r="K37" s="923">
        <f t="shared" si="9"/>
        <v>0</v>
      </c>
    </row>
    <row r="38" spans="2:11" ht="31">
      <c r="B38" s="472" t="str">
        <f>$B$13</f>
        <v>רווחים (הפסדים) אקטואריים מתוכנית הטבה מוגדרת לעובדים</v>
      </c>
      <c r="C38" s="493"/>
      <c r="D38" s="493"/>
      <c r="E38" s="493"/>
      <c r="F38" s="493"/>
      <c r="G38" s="493"/>
      <c r="H38" s="493"/>
      <c r="I38" s="922">
        <f t="shared" si="8"/>
        <v>0</v>
      </c>
      <c r="J38" s="493"/>
      <c r="K38" s="923">
        <f t="shared" si="9"/>
        <v>0</v>
      </c>
    </row>
    <row r="39" spans="2:11" ht="31">
      <c r="B39" s="472" t="str">
        <f>$B$14</f>
        <v>חלק הקבוצה ברווח כולל אחר של חברות מוחזקות המטופלות לפי שיטת השווי המאזני</v>
      </c>
      <c r="C39" s="493"/>
      <c r="D39" s="493"/>
      <c r="E39" s="493"/>
      <c r="F39" s="493"/>
      <c r="G39" s="493"/>
      <c r="H39" s="493"/>
      <c r="I39" s="922">
        <f t="shared" si="8"/>
        <v>0</v>
      </c>
      <c r="J39" s="493"/>
      <c r="K39" s="923">
        <f t="shared" si="9"/>
        <v>0</v>
      </c>
    </row>
    <row r="40" spans="2:11" ht="15.5">
      <c r="B40" s="472" t="str">
        <f>$B$15</f>
        <v>אחר</v>
      </c>
      <c r="C40" s="493"/>
      <c r="D40" s="493"/>
      <c r="E40" s="493"/>
      <c r="F40" s="493"/>
      <c r="G40" s="493"/>
      <c r="H40" s="493"/>
      <c r="I40" s="922">
        <f t="shared" si="8"/>
        <v>0</v>
      </c>
      <c r="J40" s="493"/>
      <c r="K40" s="923">
        <f t="shared" si="9"/>
        <v>0</v>
      </c>
    </row>
    <row r="41" spans="2:11" ht="15.5">
      <c r="B41" s="496" t="str">
        <f>$B$16</f>
        <v>סה"כ רווח כולל אחר לפני מסים</v>
      </c>
      <c r="C41" s="478">
        <f>SUM(C34:C40)</f>
        <v>0</v>
      </c>
      <c r="D41" s="478">
        <f t="shared" ref="D41:I41" si="10">SUM(D34:D40)</f>
        <v>0</v>
      </c>
      <c r="E41" s="478">
        <f t="shared" si="10"/>
        <v>0</v>
      </c>
      <c r="F41" s="478">
        <f t="shared" si="10"/>
        <v>0</v>
      </c>
      <c r="G41" s="478">
        <f t="shared" si="10"/>
        <v>0</v>
      </c>
      <c r="H41" s="478">
        <f t="shared" si="10"/>
        <v>0</v>
      </c>
      <c r="I41" s="478">
        <f t="shared" si="10"/>
        <v>0</v>
      </c>
      <c r="J41" s="478">
        <f>SUM(J34:J40)</f>
        <v>0</v>
      </c>
      <c r="K41" s="483">
        <f>SUM(K34:K40)</f>
        <v>0</v>
      </c>
    </row>
    <row r="42" spans="2:11" ht="15.5">
      <c r="B42" s="916" t="str">
        <f>$B$17</f>
        <v>מסים על הכנסה המתייחסים לרכיבים של רווח כולל אחר</v>
      </c>
      <c r="C42" s="493"/>
      <c r="D42" s="493"/>
      <c r="E42" s="493"/>
      <c r="F42" s="493"/>
      <c r="G42" s="493"/>
      <c r="H42" s="493"/>
      <c r="I42" s="922">
        <f>SUM(C42:H42)</f>
        <v>0</v>
      </c>
      <c r="J42" s="493"/>
      <c r="K42" s="923">
        <f>SUM(I42:J42)</f>
        <v>0</v>
      </c>
    </row>
    <row r="43" spans="2:11" ht="15.5">
      <c r="B43" s="469" t="str">
        <f>$B$18</f>
        <v>סה"כ רווח (הפסד) כולל אחר לתקופה, נטו ממס</v>
      </c>
      <c r="C43" s="478">
        <f>C41-C42</f>
        <v>0</v>
      </c>
      <c r="D43" s="478">
        <f t="shared" ref="D43:I43" si="11">D41-D42</f>
        <v>0</v>
      </c>
      <c r="E43" s="478">
        <f t="shared" si="11"/>
        <v>0</v>
      </c>
      <c r="F43" s="478">
        <f t="shared" si="11"/>
        <v>0</v>
      </c>
      <c r="G43" s="478">
        <f t="shared" si="11"/>
        <v>0</v>
      </c>
      <c r="H43" s="478">
        <f t="shared" si="11"/>
        <v>0</v>
      </c>
      <c r="I43" s="478">
        <f t="shared" si="11"/>
        <v>0</v>
      </c>
      <c r="J43" s="478">
        <f>J41-J42</f>
        <v>0</v>
      </c>
      <c r="K43" s="483">
        <f>K41-K42</f>
        <v>0</v>
      </c>
    </row>
    <row r="44" spans="2:11" ht="15.5">
      <c r="B44" s="469" t="str">
        <f>$B$19</f>
        <v>עסקאות עם בעלים שנזקפו ישירות להון:</v>
      </c>
      <c r="C44" s="525"/>
      <c r="D44" s="525"/>
      <c r="E44" s="525"/>
      <c r="F44" s="525"/>
      <c r="G44" s="525"/>
      <c r="H44" s="525"/>
      <c r="I44" s="525"/>
      <c r="J44" s="525"/>
      <c r="K44" s="921"/>
    </row>
    <row r="45" spans="2:11" ht="15.5">
      <c r="B45" s="472" t="str">
        <f>$B$20</f>
        <v>הנפקת מניות</v>
      </c>
      <c r="C45" s="497"/>
      <c r="D45" s="497"/>
      <c r="E45" s="497"/>
      <c r="F45" s="497"/>
      <c r="G45" s="497"/>
      <c r="H45" s="497"/>
      <c r="I45" s="922">
        <f t="shared" ref="I45:I50" si="12">SUM(C45:H45)</f>
        <v>0</v>
      </c>
      <c r="J45" s="497"/>
      <c r="K45" s="923">
        <f t="shared" ref="K45:K50" si="13">SUM(I45:J45)</f>
        <v>0</v>
      </c>
    </row>
    <row r="46" spans="2:11" ht="15.5">
      <c r="B46" s="472" t="str">
        <f>$B$21</f>
        <v>המרת אגרות חוב להמרה במניות</v>
      </c>
      <c r="C46" s="497"/>
      <c r="D46" s="497"/>
      <c r="E46" s="497"/>
      <c r="F46" s="497"/>
      <c r="G46" s="497"/>
      <c r="H46" s="497"/>
      <c r="I46" s="922">
        <f t="shared" si="12"/>
        <v>0</v>
      </c>
      <c r="J46" s="497"/>
      <c r="K46" s="923">
        <f t="shared" si="13"/>
        <v>0</v>
      </c>
    </row>
    <row r="47" spans="2:11" ht="15.5">
      <c r="B47" s="472" t="str">
        <f>$B$22</f>
        <v>תשלום מבוסס מניות (נטו ממס)</v>
      </c>
      <c r="C47" s="497"/>
      <c r="D47" s="497"/>
      <c r="E47" s="497"/>
      <c r="F47" s="497"/>
      <c r="G47" s="497"/>
      <c r="H47" s="497"/>
      <c r="I47" s="922">
        <f t="shared" si="12"/>
        <v>0</v>
      </c>
      <c r="J47" s="497"/>
      <c r="K47" s="923">
        <f t="shared" si="13"/>
        <v>0</v>
      </c>
    </row>
    <row r="48" spans="2:11" ht="15.5">
      <c r="B48" s="472" t="str">
        <f>$B$23</f>
        <v>דיבידנד לבעלי המניות של החברה</v>
      </c>
      <c r="C48" s="497"/>
      <c r="D48" s="497"/>
      <c r="E48" s="497"/>
      <c r="F48" s="497"/>
      <c r="G48" s="497"/>
      <c r="H48" s="497"/>
      <c r="I48" s="922">
        <f t="shared" si="12"/>
        <v>0</v>
      </c>
      <c r="J48" s="497"/>
      <c r="K48" s="923">
        <f t="shared" si="13"/>
        <v>0</v>
      </c>
    </row>
    <row r="49" spans="1:11" ht="15.5">
      <c r="B49" s="472" t="str">
        <f>$B$24</f>
        <v>מיזוג/איחוד לראשונה של חברה מאוחדת</v>
      </c>
      <c r="C49" s="497"/>
      <c r="D49" s="497"/>
      <c r="E49" s="497"/>
      <c r="F49" s="497"/>
      <c r="G49" s="497"/>
      <c r="H49" s="497"/>
      <c r="I49" s="922">
        <f t="shared" si="12"/>
        <v>0</v>
      </c>
      <c r="J49" s="497"/>
      <c r="K49" s="923">
        <f t="shared" si="13"/>
        <v>0</v>
      </c>
    </row>
    <row r="50" spans="1:11" ht="15.5">
      <c r="A50" s="1021"/>
      <c r="B50" s="472" t="str">
        <f>$B$25</f>
        <v>אחר</v>
      </c>
      <c r="C50" s="497"/>
      <c r="D50" s="497"/>
      <c r="E50" s="497"/>
      <c r="F50" s="497"/>
      <c r="G50" s="497"/>
      <c r="H50" s="497"/>
      <c r="I50" s="922">
        <f t="shared" si="12"/>
        <v>0</v>
      </c>
      <c r="J50" s="497"/>
      <c r="K50" s="923">
        <f t="shared" si="13"/>
        <v>0</v>
      </c>
    </row>
    <row r="51" spans="1:11" ht="15.5">
      <c r="B51" s="469" t="str">
        <f>$B$26</f>
        <v>סה"כ עסקאות עם בעלים שנזקפו ישירות להון</v>
      </c>
      <c r="C51" s="478">
        <f t="shared" ref="C51:K51" si="14">SUM(C45:C50)</f>
        <v>0</v>
      </c>
      <c r="D51" s="478">
        <f t="shared" si="14"/>
        <v>0</v>
      </c>
      <c r="E51" s="478">
        <f t="shared" si="14"/>
        <v>0</v>
      </c>
      <c r="F51" s="478">
        <f t="shared" si="14"/>
        <v>0</v>
      </c>
      <c r="G51" s="478">
        <f t="shared" si="14"/>
        <v>0</v>
      </c>
      <c r="H51" s="478">
        <f t="shared" si="14"/>
        <v>0</v>
      </c>
      <c r="I51" s="478">
        <f t="shared" si="14"/>
        <v>0</v>
      </c>
      <c r="J51" s="478">
        <f t="shared" si="14"/>
        <v>0</v>
      </c>
      <c r="K51" s="483">
        <f t="shared" si="14"/>
        <v>0</v>
      </c>
    </row>
    <row r="52" spans="1:11" ht="15.5">
      <c r="B52" s="471" t="str">
        <f>B27</f>
        <v>יתרה לסוף התקופה</v>
      </c>
      <c r="C52" s="918">
        <f t="shared" ref="C52:K52" si="15">C31+C32+C43+C51</f>
        <v>0</v>
      </c>
      <c r="D52" s="918">
        <f t="shared" si="15"/>
        <v>0</v>
      </c>
      <c r="E52" s="918">
        <f t="shared" si="15"/>
        <v>0</v>
      </c>
      <c r="F52" s="918">
        <f t="shared" si="15"/>
        <v>0</v>
      </c>
      <c r="G52" s="918">
        <f t="shared" si="15"/>
        <v>0</v>
      </c>
      <c r="H52" s="918">
        <f t="shared" si="15"/>
        <v>0</v>
      </c>
      <c r="I52" s="918">
        <f t="shared" si="15"/>
        <v>0</v>
      </c>
      <c r="J52" s="918">
        <f t="shared" si="15"/>
        <v>0</v>
      </c>
      <c r="K52" s="919">
        <f t="shared" si="15"/>
        <v>0</v>
      </c>
    </row>
    <row r="54" spans="1:11" ht="38.5">
      <c r="B54" s="1252"/>
      <c r="C54" s="523" t="s">
        <v>821</v>
      </c>
      <c r="D54" s="487" t="s">
        <v>894</v>
      </c>
      <c r="E54" s="487" t="s">
        <v>895</v>
      </c>
      <c r="F54" s="487" t="s">
        <v>896</v>
      </c>
      <c r="G54" s="523" t="s">
        <v>1516</v>
      </c>
      <c r="H54" s="487" t="s">
        <v>897</v>
      </c>
      <c r="I54" s="487" t="s">
        <v>898</v>
      </c>
      <c r="J54" s="523" t="s">
        <v>827</v>
      </c>
      <c r="K54" s="490" t="s">
        <v>1460</v>
      </c>
    </row>
    <row r="55" spans="1:11" ht="15.5">
      <c r="B55" s="1253" t="str">
        <f>Period3</f>
        <v>לא לדווח</v>
      </c>
      <c r="C55" s="481" t="s">
        <v>29</v>
      </c>
      <c r="D55" s="481" t="s">
        <v>41</v>
      </c>
      <c r="E55" s="481" t="s">
        <v>63</v>
      </c>
      <c r="F55" s="481" t="s">
        <v>65</v>
      </c>
      <c r="G55" s="481" t="s">
        <v>86</v>
      </c>
      <c r="H55" s="481" t="s">
        <v>88</v>
      </c>
      <c r="I55" s="481" t="s">
        <v>195</v>
      </c>
      <c r="J55" s="481" t="s">
        <v>197</v>
      </c>
      <c r="K55" s="482" t="s">
        <v>199</v>
      </c>
    </row>
    <row r="56" spans="1:11" ht="15.5">
      <c r="B56" s="469" t="str">
        <f>$B$31</f>
        <v>יתרה לתחלת התקופה</v>
      </c>
      <c r="C56" s="493"/>
      <c r="D56" s="493"/>
      <c r="E56" s="493"/>
      <c r="F56" s="493"/>
      <c r="G56" s="493"/>
      <c r="H56" s="493"/>
      <c r="I56" s="922">
        <f>SUM(C56:H56)</f>
        <v>0</v>
      </c>
      <c r="J56" s="493"/>
      <c r="K56" s="923">
        <f>SUM(I56:J56)</f>
        <v>0</v>
      </c>
    </row>
    <row r="57" spans="1:11" ht="15.5">
      <c r="B57" s="469" t="str">
        <f>$B$7</f>
        <v>רווח (הפסד) לתקופה</v>
      </c>
      <c r="C57" s="493"/>
      <c r="D57" s="493"/>
      <c r="E57" s="493"/>
      <c r="F57" s="493"/>
      <c r="G57" s="493"/>
      <c r="H57" s="493"/>
      <c r="I57" s="922">
        <f>SUM(C57:H57)</f>
        <v>0</v>
      </c>
      <c r="J57" s="493"/>
      <c r="K57" s="923">
        <f>SUM(I57:J57)</f>
        <v>0</v>
      </c>
    </row>
    <row r="58" spans="1:11" ht="15.5">
      <c r="B58" s="469" t="str">
        <f>$B$8</f>
        <v>רכיבים של רווח (הפסד) כולל אחר לתקופה:</v>
      </c>
      <c r="C58" s="524"/>
      <c r="D58" s="524"/>
      <c r="E58" s="524"/>
      <c r="F58" s="524"/>
      <c r="G58" s="524"/>
      <c r="H58" s="524"/>
      <c r="I58" s="524"/>
      <c r="J58" s="524"/>
      <c r="K58" s="920"/>
    </row>
    <row r="59" spans="1:11" ht="15.5">
      <c r="B59" s="472" t="str">
        <f>$B$9</f>
        <v>הערכה מחדש בגין שערוך רכוש קבוע, נטו</v>
      </c>
      <c r="C59" s="493"/>
      <c r="D59" s="493"/>
      <c r="E59" s="493"/>
      <c r="F59" s="493"/>
      <c r="G59" s="493"/>
      <c r="H59" s="493"/>
      <c r="I59" s="922">
        <f t="shared" ref="I59:I65" si="16">SUM(C59:H59)</f>
        <v>0</v>
      </c>
      <c r="J59" s="493"/>
      <c r="K59" s="923">
        <f t="shared" ref="K59:K65" si="17">SUM(I59:J59)</f>
        <v>0</v>
      </c>
    </row>
    <row r="60" spans="1:11" ht="31">
      <c r="B60" s="472" t="str">
        <f>$B$10</f>
        <v>שינוי נטו בשווי ההוגן של נכסים פיננסיים המסווגים כזמינים למכירה</v>
      </c>
      <c r="C60" s="493"/>
      <c r="D60" s="493"/>
      <c r="E60" s="493"/>
      <c r="F60" s="493"/>
      <c r="G60" s="493"/>
      <c r="H60" s="493"/>
      <c r="I60" s="922">
        <f t="shared" si="16"/>
        <v>0</v>
      </c>
      <c r="J60" s="493"/>
      <c r="K60" s="923">
        <f t="shared" si="17"/>
        <v>0</v>
      </c>
    </row>
    <row r="61" spans="1:11" ht="34.5" customHeight="1">
      <c r="B61" s="472" t="str">
        <f>$B$11</f>
        <v>שינוי נטו בשווי ההוגן של נכסים פיננסיים המסווגים כזמינים למכירה שהועבר לדוח רווח והפסד</v>
      </c>
      <c r="C61" s="493"/>
      <c r="D61" s="493"/>
      <c r="E61" s="493"/>
      <c r="F61" s="493"/>
      <c r="G61" s="493"/>
      <c r="H61" s="493"/>
      <c r="I61" s="922">
        <f t="shared" si="16"/>
        <v>0</v>
      </c>
      <c r="J61" s="493"/>
      <c r="K61" s="923">
        <f t="shared" si="17"/>
        <v>0</v>
      </c>
    </row>
    <row r="62" spans="1:11" ht="31">
      <c r="B62" s="472" t="str">
        <f>$B$12</f>
        <v>הפסד מירידת ערך של נכסים פיננסיים המסווגים כזמינים למכירה שהועבר לדוח רווח והפסד</v>
      </c>
      <c r="C62" s="493"/>
      <c r="D62" s="493"/>
      <c r="E62" s="493"/>
      <c r="F62" s="493"/>
      <c r="G62" s="493"/>
      <c r="H62" s="493"/>
      <c r="I62" s="922">
        <f t="shared" si="16"/>
        <v>0</v>
      </c>
      <c r="J62" s="493"/>
      <c r="K62" s="923">
        <f t="shared" si="17"/>
        <v>0</v>
      </c>
    </row>
    <row r="63" spans="1:11" ht="31">
      <c r="B63" s="472" t="str">
        <f>$B$13</f>
        <v>רווחים (הפסדים) אקטואריים מתוכנית הטבה מוגדרת לעובדים</v>
      </c>
      <c r="C63" s="493"/>
      <c r="D63" s="493"/>
      <c r="E63" s="493"/>
      <c r="F63" s="493"/>
      <c r="G63" s="493"/>
      <c r="H63" s="493"/>
      <c r="I63" s="922">
        <f t="shared" si="16"/>
        <v>0</v>
      </c>
      <c r="J63" s="493"/>
      <c r="K63" s="923">
        <f t="shared" si="17"/>
        <v>0</v>
      </c>
    </row>
    <row r="64" spans="1:11" ht="31">
      <c r="B64" s="472" t="str">
        <f>$B$14</f>
        <v>חלק הקבוצה ברווח כולל אחר של חברות מוחזקות המטופלות לפי שיטת השווי המאזני</v>
      </c>
      <c r="C64" s="493"/>
      <c r="D64" s="493"/>
      <c r="E64" s="493"/>
      <c r="F64" s="493"/>
      <c r="G64" s="493"/>
      <c r="H64" s="493"/>
      <c r="I64" s="922">
        <f t="shared" si="16"/>
        <v>0</v>
      </c>
      <c r="J64" s="493"/>
      <c r="K64" s="923">
        <f t="shared" si="17"/>
        <v>0</v>
      </c>
    </row>
    <row r="65" spans="1:11" ht="15.5">
      <c r="B65" s="472" t="str">
        <f>$B$15</f>
        <v>אחר</v>
      </c>
      <c r="C65" s="493"/>
      <c r="D65" s="493"/>
      <c r="E65" s="493"/>
      <c r="F65" s="493"/>
      <c r="G65" s="493"/>
      <c r="H65" s="493"/>
      <c r="I65" s="922">
        <f t="shared" si="16"/>
        <v>0</v>
      </c>
      <c r="J65" s="493"/>
      <c r="K65" s="923">
        <f t="shared" si="17"/>
        <v>0</v>
      </c>
    </row>
    <row r="66" spans="1:11" ht="15.5">
      <c r="B66" s="496" t="str">
        <f>$B$16</f>
        <v>סה"כ רווח כולל אחר לפני מסים</v>
      </c>
      <c r="C66" s="478">
        <f>SUM(C59:C65)</f>
        <v>0</v>
      </c>
      <c r="D66" s="478">
        <f t="shared" ref="D66:I66" si="18">SUM(D59:D65)</f>
        <v>0</v>
      </c>
      <c r="E66" s="478">
        <f t="shared" si="18"/>
        <v>0</v>
      </c>
      <c r="F66" s="478">
        <f t="shared" si="18"/>
        <v>0</v>
      </c>
      <c r="G66" s="478">
        <f t="shared" si="18"/>
        <v>0</v>
      </c>
      <c r="H66" s="478">
        <f t="shared" si="18"/>
        <v>0</v>
      </c>
      <c r="I66" s="478">
        <f t="shared" si="18"/>
        <v>0</v>
      </c>
      <c r="J66" s="478">
        <f>SUM(J59:J65)</f>
        <v>0</v>
      </c>
      <c r="K66" s="483">
        <f>SUM(K59:K65)</f>
        <v>0</v>
      </c>
    </row>
    <row r="67" spans="1:11" ht="15.5">
      <c r="B67" s="916" t="str">
        <f>$B$17</f>
        <v>מסים על הכנסה המתייחסים לרכיבים של רווח כולל אחר</v>
      </c>
      <c r="C67" s="493"/>
      <c r="D67" s="493"/>
      <c r="E67" s="493"/>
      <c r="F67" s="493"/>
      <c r="G67" s="493"/>
      <c r="H67" s="493"/>
      <c r="I67" s="922">
        <f>SUM(C67:H67)</f>
        <v>0</v>
      </c>
      <c r="J67" s="493"/>
      <c r="K67" s="923">
        <f>SUM(I67:J67)</f>
        <v>0</v>
      </c>
    </row>
    <row r="68" spans="1:11" ht="15.5">
      <c r="B68" s="469" t="str">
        <f>$B$18</f>
        <v>סה"כ רווח (הפסד) כולל אחר לתקופה, נטו ממס</v>
      </c>
      <c r="C68" s="478">
        <f>C66-C67</f>
        <v>0</v>
      </c>
      <c r="D68" s="478">
        <f t="shared" ref="D68:I68" si="19">D66-D67</f>
        <v>0</v>
      </c>
      <c r="E68" s="478">
        <f t="shared" si="19"/>
        <v>0</v>
      </c>
      <c r="F68" s="478">
        <f t="shared" si="19"/>
        <v>0</v>
      </c>
      <c r="G68" s="478">
        <f t="shared" si="19"/>
        <v>0</v>
      </c>
      <c r="H68" s="478">
        <f t="shared" si="19"/>
        <v>0</v>
      </c>
      <c r="I68" s="478">
        <f t="shared" si="19"/>
        <v>0</v>
      </c>
      <c r="J68" s="478">
        <f>J66-J67</f>
        <v>0</v>
      </c>
      <c r="K68" s="483">
        <f>K66-K67</f>
        <v>0</v>
      </c>
    </row>
    <row r="69" spans="1:11" ht="15.5">
      <c r="B69" s="469" t="str">
        <f>$B$19</f>
        <v>עסקאות עם בעלים שנזקפו ישירות להון:</v>
      </c>
      <c r="C69" s="525"/>
      <c r="D69" s="525"/>
      <c r="E69" s="525"/>
      <c r="F69" s="525"/>
      <c r="G69" s="525"/>
      <c r="H69" s="525"/>
      <c r="I69" s="525"/>
      <c r="J69" s="525"/>
      <c r="K69" s="921"/>
    </row>
    <row r="70" spans="1:11" ht="15.5">
      <c r="B70" s="472" t="str">
        <f>$B$20</f>
        <v>הנפקת מניות</v>
      </c>
      <c r="C70" s="497"/>
      <c r="D70" s="497"/>
      <c r="E70" s="497"/>
      <c r="F70" s="497"/>
      <c r="G70" s="497"/>
      <c r="H70" s="497"/>
      <c r="I70" s="922">
        <f t="shared" ref="I70:I75" si="20">SUM(C70:H70)</f>
        <v>0</v>
      </c>
      <c r="J70" s="497"/>
      <c r="K70" s="923">
        <f t="shared" ref="K70:K75" si="21">SUM(I70:J70)</f>
        <v>0</v>
      </c>
    </row>
    <row r="71" spans="1:11" ht="15.5">
      <c r="B71" s="472" t="str">
        <f>$B$21</f>
        <v>המרת אגרות חוב להמרה במניות</v>
      </c>
      <c r="C71" s="497"/>
      <c r="D71" s="497"/>
      <c r="E71" s="497"/>
      <c r="F71" s="497"/>
      <c r="G71" s="497"/>
      <c r="H71" s="497"/>
      <c r="I71" s="922">
        <f t="shared" si="20"/>
        <v>0</v>
      </c>
      <c r="J71" s="497"/>
      <c r="K71" s="923">
        <f t="shared" si="21"/>
        <v>0</v>
      </c>
    </row>
    <row r="72" spans="1:11" ht="15.5">
      <c r="B72" s="472" t="str">
        <f>$B$22</f>
        <v>תשלום מבוסס מניות (נטו ממס)</v>
      </c>
      <c r="C72" s="497"/>
      <c r="D72" s="497"/>
      <c r="E72" s="497"/>
      <c r="F72" s="497"/>
      <c r="G72" s="497"/>
      <c r="H72" s="497"/>
      <c r="I72" s="922">
        <f t="shared" si="20"/>
        <v>0</v>
      </c>
      <c r="J72" s="497"/>
      <c r="K72" s="923">
        <f t="shared" si="21"/>
        <v>0</v>
      </c>
    </row>
    <row r="73" spans="1:11" ht="15.5">
      <c r="B73" s="472" t="str">
        <f>$B$23</f>
        <v>דיבידנד לבעלי המניות של החברה</v>
      </c>
      <c r="C73" s="497"/>
      <c r="D73" s="497"/>
      <c r="E73" s="497"/>
      <c r="F73" s="497"/>
      <c r="G73" s="497"/>
      <c r="H73" s="497"/>
      <c r="I73" s="922">
        <f t="shared" si="20"/>
        <v>0</v>
      </c>
      <c r="J73" s="497"/>
      <c r="K73" s="923">
        <f t="shared" si="21"/>
        <v>0</v>
      </c>
    </row>
    <row r="74" spans="1:11" ht="15.5">
      <c r="B74" s="472" t="str">
        <f>$B$24</f>
        <v>מיזוג/איחוד לראשונה של חברה מאוחדת</v>
      </c>
      <c r="C74" s="497"/>
      <c r="D74" s="497"/>
      <c r="E74" s="497"/>
      <c r="F74" s="497"/>
      <c r="G74" s="497"/>
      <c r="H74" s="497"/>
      <c r="I74" s="922">
        <f t="shared" si="20"/>
        <v>0</v>
      </c>
      <c r="J74" s="497"/>
      <c r="K74" s="923">
        <f t="shared" si="21"/>
        <v>0</v>
      </c>
    </row>
    <row r="75" spans="1:11" ht="15.5">
      <c r="A75" s="1021"/>
      <c r="B75" s="472" t="str">
        <f>$B$25</f>
        <v>אחר</v>
      </c>
      <c r="C75" s="497"/>
      <c r="D75" s="497"/>
      <c r="E75" s="497"/>
      <c r="F75" s="497"/>
      <c r="G75" s="497"/>
      <c r="H75" s="497"/>
      <c r="I75" s="922">
        <f t="shared" si="20"/>
        <v>0</v>
      </c>
      <c r="J75" s="497"/>
      <c r="K75" s="923">
        <f t="shared" si="21"/>
        <v>0</v>
      </c>
    </row>
    <row r="76" spans="1:11" ht="15.5">
      <c r="B76" s="469" t="str">
        <f>$B$26</f>
        <v>סה"כ עסקאות עם בעלים שנזקפו ישירות להון</v>
      </c>
      <c r="C76" s="478">
        <f t="shared" ref="C76:K76" si="22">SUM(C70:C75)</f>
        <v>0</v>
      </c>
      <c r="D76" s="478">
        <f t="shared" si="22"/>
        <v>0</v>
      </c>
      <c r="E76" s="478">
        <f t="shared" si="22"/>
        <v>0</v>
      </c>
      <c r="F76" s="478">
        <f t="shared" si="22"/>
        <v>0</v>
      </c>
      <c r="G76" s="478">
        <f t="shared" si="22"/>
        <v>0</v>
      </c>
      <c r="H76" s="478">
        <f t="shared" si="22"/>
        <v>0</v>
      </c>
      <c r="I76" s="478">
        <f t="shared" si="22"/>
        <v>0</v>
      </c>
      <c r="J76" s="478">
        <f t="shared" si="22"/>
        <v>0</v>
      </c>
      <c r="K76" s="483">
        <f t="shared" si="22"/>
        <v>0</v>
      </c>
    </row>
    <row r="77" spans="1:11" ht="15.5">
      <c r="B77" s="471" t="str">
        <f>$B$52</f>
        <v>יתרה לסוף התקופה</v>
      </c>
      <c r="C77" s="918">
        <f t="shared" ref="C77:K77" si="23">C56+C57+C68+C76</f>
        <v>0</v>
      </c>
      <c r="D77" s="918">
        <f t="shared" si="23"/>
        <v>0</v>
      </c>
      <c r="E77" s="918">
        <f t="shared" si="23"/>
        <v>0</v>
      </c>
      <c r="F77" s="918">
        <f t="shared" si="23"/>
        <v>0</v>
      </c>
      <c r="G77" s="918">
        <f t="shared" si="23"/>
        <v>0</v>
      </c>
      <c r="H77" s="918">
        <f t="shared" si="23"/>
        <v>0</v>
      </c>
      <c r="I77" s="918">
        <f t="shared" si="23"/>
        <v>0</v>
      </c>
      <c r="J77" s="918">
        <f t="shared" si="23"/>
        <v>0</v>
      </c>
      <c r="K77" s="919">
        <f t="shared" si="23"/>
        <v>0</v>
      </c>
    </row>
    <row r="79" spans="1:11" ht="38.5">
      <c r="B79" s="1252"/>
      <c r="C79" s="523" t="s">
        <v>821</v>
      </c>
      <c r="D79" s="487" t="s">
        <v>894</v>
      </c>
      <c r="E79" s="487" t="s">
        <v>895</v>
      </c>
      <c r="F79" s="487" t="s">
        <v>896</v>
      </c>
      <c r="G79" s="523" t="s">
        <v>1516</v>
      </c>
      <c r="H79" s="487" t="s">
        <v>897</v>
      </c>
      <c r="I79" s="487" t="s">
        <v>898</v>
      </c>
      <c r="J79" s="523" t="s">
        <v>827</v>
      </c>
      <c r="K79" s="490" t="s">
        <v>1460</v>
      </c>
    </row>
    <row r="80" spans="1:11" ht="15.5">
      <c r="B80" s="1253" t="str">
        <f>Period4</f>
        <v>לא לדווח</v>
      </c>
      <c r="C80" s="481" t="s">
        <v>29</v>
      </c>
      <c r="D80" s="481" t="s">
        <v>41</v>
      </c>
      <c r="E80" s="481" t="s">
        <v>63</v>
      </c>
      <c r="F80" s="481" t="s">
        <v>65</v>
      </c>
      <c r="G80" s="481" t="s">
        <v>86</v>
      </c>
      <c r="H80" s="481" t="s">
        <v>88</v>
      </c>
      <c r="I80" s="481" t="s">
        <v>195</v>
      </c>
      <c r="J80" s="481" t="s">
        <v>197</v>
      </c>
      <c r="K80" s="482" t="s">
        <v>199</v>
      </c>
    </row>
    <row r="81" spans="2:11" ht="15.5">
      <c r="B81" s="1242" t="str">
        <f>B56</f>
        <v>יתרה לתחלת התקופה</v>
      </c>
      <c r="C81" s="493"/>
      <c r="D81" s="493"/>
      <c r="E81" s="493"/>
      <c r="F81" s="493"/>
      <c r="G81" s="493"/>
      <c r="H81" s="493"/>
      <c r="I81" s="922">
        <f>SUM(C81:H81)</f>
        <v>0</v>
      </c>
      <c r="J81" s="493"/>
      <c r="K81" s="923">
        <f>SUM(I81:J81)</f>
        <v>0</v>
      </c>
    </row>
    <row r="82" spans="2:11" ht="15.5">
      <c r="B82" s="469" t="str">
        <f>$B$7</f>
        <v>רווח (הפסד) לתקופה</v>
      </c>
      <c r="C82" s="493"/>
      <c r="D82" s="493"/>
      <c r="E82" s="493"/>
      <c r="F82" s="493"/>
      <c r="G82" s="493"/>
      <c r="H82" s="493"/>
      <c r="I82" s="922">
        <f>SUM(C82:H82)</f>
        <v>0</v>
      </c>
      <c r="J82" s="493"/>
      <c r="K82" s="923">
        <f>SUM(I82:J82)</f>
        <v>0</v>
      </c>
    </row>
    <row r="83" spans="2:11" ht="15.5">
      <c r="B83" s="469" t="str">
        <f>$B$8</f>
        <v>רכיבים של רווח (הפסד) כולל אחר לתקופה:</v>
      </c>
      <c r="C83" s="524"/>
      <c r="D83" s="524"/>
      <c r="E83" s="524"/>
      <c r="F83" s="524"/>
      <c r="G83" s="524"/>
      <c r="H83" s="524"/>
      <c r="I83" s="524"/>
      <c r="J83" s="524"/>
      <c r="K83" s="920"/>
    </row>
    <row r="84" spans="2:11" ht="15.5">
      <c r="B84" s="472" t="str">
        <f>$B$9</f>
        <v>הערכה מחדש בגין שערוך רכוש קבוע, נטו</v>
      </c>
      <c r="C84" s="493"/>
      <c r="D84" s="493"/>
      <c r="E84" s="493"/>
      <c r="F84" s="493"/>
      <c r="G84" s="493"/>
      <c r="H84" s="493"/>
      <c r="I84" s="922">
        <f t="shared" ref="I84:I90" si="24">SUM(C84:H84)</f>
        <v>0</v>
      </c>
      <c r="J84" s="493"/>
      <c r="K84" s="923">
        <f t="shared" ref="K84:K90" si="25">SUM(I84:J84)</f>
        <v>0</v>
      </c>
    </row>
    <row r="85" spans="2:11" ht="31">
      <c r="B85" s="472" t="str">
        <f>$B$10</f>
        <v>שינוי נטו בשווי ההוגן של נכסים פיננסיים המסווגים כזמינים למכירה</v>
      </c>
      <c r="C85" s="493"/>
      <c r="D85" s="493"/>
      <c r="E85" s="493"/>
      <c r="F85" s="493"/>
      <c r="G85" s="493"/>
      <c r="H85" s="493"/>
      <c r="I85" s="922">
        <f t="shared" si="24"/>
        <v>0</v>
      </c>
      <c r="J85" s="493"/>
      <c r="K85" s="923">
        <f t="shared" si="25"/>
        <v>0</v>
      </c>
    </row>
    <row r="86" spans="2:11" ht="34.5" customHeight="1">
      <c r="B86" s="472" t="str">
        <f>$B$11</f>
        <v>שינוי נטו בשווי ההוגן של נכסים פיננסיים המסווגים כזמינים למכירה שהועבר לדוח רווח והפסד</v>
      </c>
      <c r="C86" s="493"/>
      <c r="D86" s="493"/>
      <c r="E86" s="493"/>
      <c r="F86" s="493"/>
      <c r="G86" s="493"/>
      <c r="H86" s="493"/>
      <c r="I86" s="922">
        <f t="shared" si="24"/>
        <v>0</v>
      </c>
      <c r="J86" s="493"/>
      <c r="K86" s="923">
        <f t="shared" si="25"/>
        <v>0</v>
      </c>
    </row>
    <row r="87" spans="2:11" ht="31">
      <c r="B87" s="472" t="str">
        <f>$B$12</f>
        <v>הפסד מירידת ערך של נכסים פיננסיים המסווגים כזמינים למכירה שהועבר לדוח רווח והפסד</v>
      </c>
      <c r="C87" s="493"/>
      <c r="D87" s="493"/>
      <c r="E87" s="493"/>
      <c r="F87" s="493"/>
      <c r="G87" s="493"/>
      <c r="H87" s="493"/>
      <c r="I87" s="922">
        <f t="shared" si="24"/>
        <v>0</v>
      </c>
      <c r="J87" s="493"/>
      <c r="K87" s="923">
        <f t="shared" si="25"/>
        <v>0</v>
      </c>
    </row>
    <row r="88" spans="2:11" ht="31">
      <c r="B88" s="472" t="str">
        <f>$B$13</f>
        <v>רווחים (הפסדים) אקטואריים מתוכנית הטבה מוגדרת לעובדים</v>
      </c>
      <c r="C88" s="493"/>
      <c r="D88" s="493"/>
      <c r="E88" s="493"/>
      <c r="F88" s="493"/>
      <c r="G88" s="493"/>
      <c r="H88" s="493"/>
      <c r="I88" s="922">
        <f t="shared" si="24"/>
        <v>0</v>
      </c>
      <c r="J88" s="493"/>
      <c r="K88" s="923">
        <f t="shared" si="25"/>
        <v>0</v>
      </c>
    </row>
    <row r="89" spans="2:11" ht="31">
      <c r="B89" s="472" t="str">
        <f>$B$14</f>
        <v>חלק הקבוצה ברווח כולל אחר של חברות מוחזקות המטופלות לפי שיטת השווי המאזני</v>
      </c>
      <c r="C89" s="493"/>
      <c r="D89" s="493"/>
      <c r="E89" s="493"/>
      <c r="F89" s="493"/>
      <c r="G89" s="493"/>
      <c r="H89" s="493"/>
      <c r="I89" s="922">
        <f t="shared" si="24"/>
        <v>0</v>
      </c>
      <c r="J89" s="493"/>
      <c r="K89" s="923">
        <f t="shared" si="25"/>
        <v>0</v>
      </c>
    </row>
    <row r="90" spans="2:11" ht="15.5">
      <c r="B90" s="472" t="str">
        <f>$B$15</f>
        <v>אחר</v>
      </c>
      <c r="C90" s="493"/>
      <c r="D90" s="493"/>
      <c r="E90" s="493"/>
      <c r="F90" s="493"/>
      <c r="G90" s="493"/>
      <c r="H90" s="493"/>
      <c r="I90" s="922">
        <f t="shared" si="24"/>
        <v>0</v>
      </c>
      <c r="J90" s="493"/>
      <c r="K90" s="923">
        <f t="shared" si="25"/>
        <v>0</v>
      </c>
    </row>
    <row r="91" spans="2:11" ht="15.5">
      <c r="B91" s="496" t="str">
        <f>$B$16</f>
        <v>סה"כ רווח כולל אחר לפני מסים</v>
      </c>
      <c r="C91" s="478">
        <f>SUM(C84:C90)</f>
        <v>0</v>
      </c>
      <c r="D91" s="478">
        <f t="shared" ref="D91:I91" si="26">SUM(D84:D90)</f>
        <v>0</v>
      </c>
      <c r="E91" s="478">
        <f t="shared" si="26"/>
        <v>0</v>
      </c>
      <c r="F91" s="478">
        <f t="shared" si="26"/>
        <v>0</v>
      </c>
      <c r="G91" s="478">
        <f t="shared" si="26"/>
        <v>0</v>
      </c>
      <c r="H91" s="478">
        <f t="shared" si="26"/>
        <v>0</v>
      </c>
      <c r="I91" s="478">
        <f t="shared" si="26"/>
        <v>0</v>
      </c>
      <c r="J91" s="478">
        <f>SUM(J84:J90)</f>
        <v>0</v>
      </c>
      <c r="K91" s="483">
        <f>SUM(K84:K90)</f>
        <v>0</v>
      </c>
    </row>
    <row r="92" spans="2:11" ht="15.5">
      <c r="B92" s="916" t="str">
        <f>$B$17</f>
        <v>מסים על הכנסה המתייחסים לרכיבים של רווח כולל אחר</v>
      </c>
      <c r="C92" s="493"/>
      <c r="D92" s="493"/>
      <c r="E92" s="493"/>
      <c r="F92" s="493"/>
      <c r="G92" s="493"/>
      <c r="H92" s="493"/>
      <c r="I92" s="922">
        <f>SUM(C92:H92)</f>
        <v>0</v>
      </c>
      <c r="J92" s="493"/>
      <c r="K92" s="923">
        <f>SUM(I92:J92)</f>
        <v>0</v>
      </c>
    </row>
    <row r="93" spans="2:11" ht="15.5">
      <c r="B93" s="469" t="str">
        <f>$B$18</f>
        <v>סה"כ רווח (הפסד) כולל אחר לתקופה, נטו ממס</v>
      </c>
      <c r="C93" s="478">
        <f>C91-C92</f>
        <v>0</v>
      </c>
      <c r="D93" s="478">
        <f t="shared" ref="D93:I93" si="27">D91-D92</f>
        <v>0</v>
      </c>
      <c r="E93" s="478">
        <f t="shared" si="27"/>
        <v>0</v>
      </c>
      <c r="F93" s="478">
        <f t="shared" si="27"/>
        <v>0</v>
      </c>
      <c r="G93" s="478">
        <f t="shared" si="27"/>
        <v>0</v>
      </c>
      <c r="H93" s="478">
        <f t="shared" si="27"/>
        <v>0</v>
      </c>
      <c r="I93" s="478">
        <f t="shared" si="27"/>
        <v>0</v>
      </c>
      <c r="J93" s="478">
        <f>J91-J92</f>
        <v>0</v>
      </c>
      <c r="K93" s="483">
        <f>K91-K92</f>
        <v>0</v>
      </c>
    </row>
    <row r="94" spans="2:11" ht="15.5">
      <c r="B94" s="469" t="str">
        <f>$B$19</f>
        <v>עסקאות עם בעלים שנזקפו ישירות להון:</v>
      </c>
      <c r="C94" s="525"/>
      <c r="D94" s="525"/>
      <c r="E94" s="525"/>
      <c r="F94" s="525"/>
      <c r="G94" s="525"/>
      <c r="H94" s="525"/>
      <c r="I94" s="525"/>
      <c r="J94" s="525"/>
      <c r="K94" s="921"/>
    </row>
    <row r="95" spans="2:11" ht="15.5">
      <c r="B95" s="472" t="str">
        <f>$B$20</f>
        <v>הנפקת מניות</v>
      </c>
      <c r="C95" s="497"/>
      <c r="D95" s="497"/>
      <c r="E95" s="497"/>
      <c r="F95" s="497"/>
      <c r="G95" s="497"/>
      <c r="H95" s="497"/>
      <c r="I95" s="922">
        <f t="shared" ref="I95:I100" si="28">SUM(C95:H95)</f>
        <v>0</v>
      </c>
      <c r="J95" s="497"/>
      <c r="K95" s="923">
        <f t="shared" ref="K95:K100" si="29">SUM(I95:J95)</f>
        <v>0</v>
      </c>
    </row>
    <row r="96" spans="2:11" ht="15.5">
      <c r="B96" s="472" t="str">
        <f>$B$21</f>
        <v>המרת אגרות חוב להמרה במניות</v>
      </c>
      <c r="C96" s="497"/>
      <c r="D96" s="497"/>
      <c r="E96" s="497"/>
      <c r="F96" s="497"/>
      <c r="G96" s="497"/>
      <c r="H96" s="497"/>
      <c r="I96" s="922">
        <f t="shared" si="28"/>
        <v>0</v>
      </c>
      <c r="J96" s="497"/>
      <c r="K96" s="923">
        <f t="shared" si="29"/>
        <v>0</v>
      </c>
    </row>
    <row r="97" spans="1:11" ht="15.5">
      <c r="B97" s="472" t="str">
        <f>$B$22</f>
        <v>תשלום מבוסס מניות (נטו ממס)</v>
      </c>
      <c r="C97" s="497"/>
      <c r="D97" s="497"/>
      <c r="E97" s="497"/>
      <c r="F97" s="497"/>
      <c r="G97" s="497"/>
      <c r="H97" s="497"/>
      <c r="I97" s="922">
        <f t="shared" si="28"/>
        <v>0</v>
      </c>
      <c r="J97" s="497"/>
      <c r="K97" s="923">
        <f t="shared" si="29"/>
        <v>0</v>
      </c>
    </row>
    <row r="98" spans="1:11" ht="15.5">
      <c r="B98" s="472" t="str">
        <f>$B$23</f>
        <v>דיבידנד לבעלי המניות של החברה</v>
      </c>
      <c r="C98" s="497"/>
      <c r="D98" s="497"/>
      <c r="E98" s="497"/>
      <c r="F98" s="497"/>
      <c r="G98" s="497"/>
      <c r="H98" s="497"/>
      <c r="I98" s="922">
        <f t="shared" si="28"/>
        <v>0</v>
      </c>
      <c r="J98" s="497"/>
      <c r="K98" s="923">
        <f t="shared" si="29"/>
        <v>0</v>
      </c>
    </row>
    <row r="99" spans="1:11" ht="15.5">
      <c r="B99" s="472" t="str">
        <f>$B$24</f>
        <v>מיזוג/איחוד לראשונה של חברה מאוחדת</v>
      </c>
      <c r="C99" s="497"/>
      <c r="D99" s="497"/>
      <c r="E99" s="497"/>
      <c r="F99" s="497"/>
      <c r="G99" s="497"/>
      <c r="H99" s="497"/>
      <c r="I99" s="922">
        <f t="shared" si="28"/>
        <v>0</v>
      </c>
      <c r="J99" s="497"/>
      <c r="K99" s="923">
        <f t="shared" si="29"/>
        <v>0</v>
      </c>
    </row>
    <row r="100" spans="1:11" ht="15.5">
      <c r="A100" s="1021"/>
      <c r="B100" s="472" t="str">
        <f>$B$25</f>
        <v>אחר</v>
      </c>
      <c r="C100" s="497"/>
      <c r="D100" s="497"/>
      <c r="E100" s="497"/>
      <c r="F100" s="497"/>
      <c r="G100" s="497"/>
      <c r="H100" s="497"/>
      <c r="I100" s="922">
        <f t="shared" si="28"/>
        <v>0</v>
      </c>
      <c r="J100" s="497"/>
      <c r="K100" s="923">
        <f t="shared" si="29"/>
        <v>0</v>
      </c>
    </row>
    <row r="101" spans="1:11" ht="15.5">
      <c r="B101" s="469" t="str">
        <f>$B$26</f>
        <v>סה"כ עסקאות עם בעלים שנזקפו ישירות להון</v>
      </c>
      <c r="C101" s="478">
        <f t="shared" ref="C101:K101" si="30">SUM(C95:C100)</f>
        <v>0</v>
      </c>
      <c r="D101" s="478">
        <f t="shared" si="30"/>
        <v>0</v>
      </c>
      <c r="E101" s="478">
        <f t="shared" si="30"/>
        <v>0</v>
      </c>
      <c r="F101" s="478">
        <f t="shared" si="30"/>
        <v>0</v>
      </c>
      <c r="G101" s="478">
        <f t="shared" si="30"/>
        <v>0</v>
      </c>
      <c r="H101" s="478">
        <f t="shared" si="30"/>
        <v>0</v>
      </c>
      <c r="I101" s="478">
        <f t="shared" si="30"/>
        <v>0</v>
      </c>
      <c r="J101" s="478">
        <f t="shared" si="30"/>
        <v>0</v>
      </c>
      <c r="K101" s="483">
        <f t="shared" si="30"/>
        <v>0</v>
      </c>
    </row>
    <row r="102" spans="1:11" ht="15.5">
      <c r="B102" s="471" t="str">
        <f>B27</f>
        <v>יתרה לסוף התקופה</v>
      </c>
      <c r="C102" s="918">
        <f t="shared" ref="C102:K102" si="31">C81+C82+C93+C101</f>
        <v>0</v>
      </c>
      <c r="D102" s="918">
        <f t="shared" si="31"/>
        <v>0</v>
      </c>
      <c r="E102" s="918">
        <f t="shared" si="31"/>
        <v>0</v>
      </c>
      <c r="F102" s="918">
        <f t="shared" si="31"/>
        <v>0</v>
      </c>
      <c r="G102" s="918">
        <f t="shared" si="31"/>
        <v>0</v>
      </c>
      <c r="H102" s="918">
        <f t="shared" si="31"/>
        <v>0</v>
      </c>
      <c r="I102" s="918">
        <f t="shared" si="31"/>
        <v>0</v>
      </c>
      <c r="J102" s="918">
        <f t="shared" si="31"/>
        <v>0</v>
      </c>
      <c r="K102" s="919">
        <f t="shared" si="31"/>
        <v>0</v>
      </c>
    </row>
    <row r="104" spans="1:11" ht="38.5">
      <c r="B104" s="1252"/>
      <c r="C104" s="523" t="s">
        <v>821</v>
      </c>
      <c r="D104" s="487" t="s">
        <v>894</v>
      </c>
      <c r="E104" s="487" t="s">
        <v>895</v>
      </c>
      <c r="F104" s="487" t="s">
        <v>896</v>
      </c>
      <c r="G104" s="523" t="s">
        <v>1516</v>
      </c>
      <c r="H104" s="487" t="s">
        <v>897</v>
      </c>
      <c r="I104" s="487" t="s">
        <v>898</v>
      </c>
      <c r="J104" s="523" t="s">
        <v>827</v>
      </c>
      <c r="K104" s="490" t="s">
        <v>1460</v>
      </c>
    </row>
    <row r="105" spans="1:11" ht="15.5">
      <c r="B105" s="1253" t="str">
        <f>Period5</f>
        <v>שנת 2019</v>
      </c>
      <c r="C105" s="481" t="s">
        <v>29</v>
      </c>
      <c r="D105" s="481" t="s">
        <v>41</v>
      </c>
      <c r="E105" s="481" t="s">
        <v>63</v>
      </c>
      <c r="F105" s="481" t="s">
        <v>65</v>
      </c>
      <c r="G105" s="481" t="s">
        <v>86</v>
      </c>
      <c r="H105" s="481" t="s">
        <v>88</v>
      </c>
      <c r="I105" s="481" t="s">
        <v>195</v>
      </c>
      <c r="J105" s="481" t="s">
        <v>197</v>
      </c>
      <c r="K105" s="482" t="s">
        <v>199</v>
      </c>
    </row>
    <row r="106" spans="1:11" ht="15.5">
      <c r="B106" s="469" t="s">
        <v>2797</v>
      </c>
      <c r="C106" s="493"/>
      <c r="D106" s="493"/>
      <c r="E106" s="493"/>
      <c r="F106" s="493"/>
      <c r="G106" s="493"/>
      <c r="H106" s="493"/>
      <c r="I106" s="922">
        <f>SUM(C106:H106)</f>
        <v>0</v>
      </c>
      <c r="J106" s="493"/>
      <c r="K106" s="923">
        <f>SUM(I106:J106)</f>
        <v>0</v>
      </c>
    </row>
    <row r="107" spans="1:11" ht="15.5">
      <c r="B107" s="469" t="str">
        <f>$B$7</f>
        <v>רווח (הפסד) לתקופה</v>
      </c>
      <c r="C107" s="493"/>
      <c r="D107" s="493"/>
      <c r="E107" s="493"/>
      <c r="F107" s="493"/>
      <c r="G107" s="493"/>
      <c r="H107" s="493"/>
      <c r="I107" s="922">
        <f>SUM(C107:H107)</f>
        <v>0</v>
      </c>
      <c r="J107" s="493"/>
      <c r="K107" s="923">
        <f>SUM(I107:J107)</f>
        <v>0</v>
      </c>
    </row>
    <row r="108" spans="1:11" ht="15.5">
      <c r="B108" s="469" t="str">
        <f>$B$8</f>
        <v>רכיבים של רווח (הפסד) כולל אחר לתקופה:</v>
      </c>
      <c r="C108" s="524"/>
      <c r="D108" s="524"/>
      <c r="E108" s="524"/>
      <c r="F108" s="524"/>
      <c r="G108" s="524"/>
      <c r="H108" s="524"/>
      <c r="I108" s="524"/>
      <c r="J108" s="524"/>
      <c r="K108" s="920"/>
    </row>
    <row r="109" spans="1:11" ht="15.5">
      <c r="B109" s="472" t="str">
        <f>$B$9</f>
        <v>הערכה מחדש בגין שערוך רכוש קבוע, נטו</v>
      </c>
      <c r="C109" s="493"/>
      <c r="D109" s="493"/>
      <c r="E109" s="493"/>
      <c r="F109" s="493"/>
      <c r="G109" s="493"/>
      <c r="H109" s="493"/>
      <c r="I109" s="922">
        <f t="shared" ref="I109:I115" si="32">SUM(C109:H109)</f>
        <v>0</v>
      </c>
      <c r="J109" s="493"/>
      <c r="K109" s="923">
        <f t="shared" ref="K109:K115" si="33">SUM(I109:J109)</f>
        <v>0</v>
      </c>
    </row>
    <row r="110" spans="1:11" ht="31">
      <c r="B110" s="472" t="str">
        <f>$B$10</f>
        <v>שינוי נטו בשווי ההוגן של נכסים פיננסיים המסווגים כזמינים למכירה</v>
      </c>
      <c r="C110" s="493"/>
      <c r="D110" s="493"/>
      <c r="E110" s="493"/>
      <c r="F110" s="493"/>
      <c r="G110" s="493"/>
      <c r="H110" s="493"/>
      <c r="I110" s="922">
        <f t="shared" si="32"/>
        <v>0</v>
      </c>
      <c r="J110" s="493"/>
      <c r="K110" s="923">
        <f t="shared" si="33"/>
        <v>0</v>
      </c>
    </row>
    <row r="111" spans="1:11" ht="33" customHeight="1">
      <c r="B111" s="472" t="str">
        <f>$B$11</f>
        <v>שינוי נטו בשווי ההוגן של נכסים פיננסיים המסווגים כזמינים למכירה שהועבר לדוח רווח והפסד</v>
      </c>
      <c r="C111" s="493"/>
      <c r="D111" s="493"/>
      <c r="E111" s="493"/>
      <c r="F111" s="493"/>
      <c r="G111" s="493"/>
      <c r="H111" s="493"/>
      <c r="I111" s="922">
        <f t="shared" si="32"/>
        <v>0</v>
      </c>
      <c r="J111" s="493"/>
      <c r="K111" s="923">
        <f t="shared" si="33"/>
        <v>0</v>
      </c>
    </row>
    <row r="112" spans="1:11" ht="31">
      <c r="B112" s="472" t="str">
        <f>$B$12</f>
        <v>הפסד מירידת ערך של נכסים פיננסיים המסווגים כזמינים למכירה שהועבר לדוח רווח והפסד</v>
      </c>
      <c r="C112" s="493"/>
      <c r="D112" s="493"/>
      <c r="E112" s="493"/>
      <c r="F112" s="493"/>
      <c r="G112" s="493"/>
      <c r="H112" s="493"/>
      <c r="I112" s="922">
        <f t="shared" si="32"/>
        <v>0</v>
      </c>
      <c r="J112" s="493"/>
      <c r="K112" s="923">
        <f t="shared" si="33"/>
        <v>0</v>
      </c>
    </row>
    <row r="113" spans="1:11" ht="31">
      <c r="B113" s="472" t="str">
        <f>$B$13</f>
        <v>רווחים (הפסדים) אקטואריים מתוכנית הטבה מוגדרת לעובדים</v>
      </c>
      <c r="C113" s="493"/>
      <c r="D113" s="493"/>
      <c r="E113" s="493"/>
      <c r="F113" s="493"/>
      <c r="G113" s="493"/>
      <c r="H113" s="493"/>
      <c r="I113" s="922">
        <f t="shared" si="32"/>
        <v>0</v>
      </c>
      <c r="J113" s="493"/>
      <c r="K113" s="923">
        <f t="shared" si="33"/>
        <v>0</v>
      </c>
    </row>
    <row r="114" spans="1:11" ht="31">
      <c r="B114" s="472" t="str">
        <f>$B$14</f>
        <v>חלק הקבוצה ברווח כולל אחר של חברות מוחזקות המטופלות לפי שיטת השווי המאזני</v>
      </c>
      <c r="C114" s="493"/>
      <c r="D114" s="493"/>
      <c r="E114" s="493"/>
      <c r="F114" s="493"/>
      <c r="G114" s="493"/>
      <c r="H114" s="493"/>
      <c r="I114" s="922">
        <f t="shared" si="32"/>
        <v>0</v>
      </c>
      <c r="J114" s="493"/>
      <c r="K114" s="923">
        <f t="shared" si="33"/>
        <v>0</v>
      </c>
    </row>
    <row r="115" spans="1:11" ht="15.5">
      <c r="B115" s="472" t="str">
        <f>$B$15</f>
        <v>אחר</v>
      </c>
      <c r="C115" s="493"/>
      <c r="D115" s="493"/>
      <c r="E115" s="493"/>
      <c r="F115" s="493"/>
      <c r="G115" s="493"/>
      <c r="H115" s="493"/>
      <c r="I115" s="922">
        <f t="shared" si="32"/>
        <v>0</v>
      </c>
      <c r="J115" s="493"/>
      <c r="K115" s="923">
        <f t="shared" si="33"/>
        <v>0</v>
      </c>
    </row>
    <row r="116" spans="1:11" ht="15.5">
      <c r="B116" s="496" t="str">
        <f>$B$16</f>
        <v>סה"כ רווח כולל אחר לפני מסים</v>
      </c>
      <c r="C116" s="478">
        <f>SUM(C109:C115)</f>
        <v>0</v>
      </c>
      <c r="D116" s="478">
        <f t="shared" ref="D116:I116" si="34">SUM(D109:D115)</f>
        <v>0</v>
      </c>
      <c r="E116" s="478">
        <f t="shared" si="34"/>
        <v>0</v>
      </c>
      <c r="F116" s="478">
        <f t="shared" si="34"/>
        <v>0</v>
      </c>
      <c r="G116" s="478">
        <f t="shared" si="34"/>
        <v>0</v>
      </c>
      <c r="H116" s="478">
        <f t="shared" si="34"/>
        <v>0</v>
      </c>
      <c r="I116" s="478">
        <f t="shared" si="34"/>
        <v>0</v>
      </c>
      <c r="J116" s="478">
        <f>SUM(J109:J115)</f>
        <v>0</v>
      </c>
      <c r="K116" s="483">
        <f>SUM(K109:K115)</f>
        <v>0</v>
      </c>
    </row>
    <row r="117" spans="1:11" ht="15.5">
      <c r="B117" s="916" t="str">
        <f>$B$17</f>
        <v>מסים על הכנסה המתייחסים לרכיבים של רווח כולל אחר</v>
      </c>
      <c r="C117" s="493"/>
      <c r="D117" s="493"/>
      <c r="E117" s="493"/>
      <c r="F117" s="493"/>
      <c r="G117" s="493"/>
      <c r="H117" s="493"/>
      <c r="I117" s="922">
        <f>SUM(C117:H117)</f>
        <v>0</v>
      </c>
      <c r="J117" s="493"/>
      <c r="K117" s="923">
        <f>SUM(I117:J117)</f>
        <v>0</v>
      </c>
    </row>
    <row r="118" spans="1:11" ht="15.5">
      <c r="B118" s="469" t="str">
        <f>$B$18</f>
        <v>סה"כ רווח (הפסד) כולל אחר לתקופה, נטו ממס</v>
      </c>
      <c r="C118" s="478">
        <f>C116-C117</f>
        <v>0</v>
      </c>
      <c r="D118" s="478">
        <f t="shared" ref="D118:I118" si="35">D116-D117</f>
        <v>0</v>
      </c>
      <c r="E118" s="478">
        <f t="shared" si="35"/>
        <v>0</v>
      </c>
      <c r="F118" s="478">
        <f t="shared" si="35"/>
        <v>0</v>
      </c>
      <c r="G118" s="478">
        <f t="shared" si="35"/>
        <v>0</v>
      </c>
      <c r="H118" s="478">
        <f t="shared" si="35"/>
        <v>0</v>
      </c>
      <c r="I118" s="478">
        <f t="shared" si="35"/>
        <v>0</v>
      </c>
      <c r="J118" s="478">
        <f>J116-J117</f>
        <v>0</v>
      </c>
      <c r="K118" s="483">
        <f>K116-K117</f>
        <v>0</v>
      </c>
    </row>
    <row r="119" spans="1:11" ht="15.5">
      <c r="B119" s="469" t="str">
        <f>$B$19</f>
        <v>עסקאות עם בעלים שנזקפו ישירות להון:</v>
      </c>
      <c r="C119" s="525"/>
      <c r="D119" s="525"/>
      <c r="E119" s="525"/>
      <c r="F119" s="525"/>
      <c r="G119" s="525"/>
      <c r="H119" s="525"/>
      <c r="I119" s="525"/>
      <c r="J119" s="525"/>
      <c r="K119" s="921"/>
    </row>
    <row r="120" spans="1:11" ht="15.5">
      <c r="B120" s="472" t="str">
        <f>$B$20</f>
        <v>הנפקת מניות</v>
      </c>
      <c r="C120" s="497"/>
      <c r="D120" s="497"/>
      <c r="E120" s="497"/>
      <c r="F120" s="497"/>
      <c r="G120" s="497"/>
      <c r="H120" s="497"/>
      <c r="I120" s="922">
        <f t="shared" ref="I120:I125" si="36">SUM(C120:H120)</f>
        <v>0</v>
      </c>
      <c r="J120" s="497"/>
      <c r="K120" s="923">
        <f t="shared" ref="K120:K125" si="37">SUM(I120:J120)</f>
        <v>0</v>
      </c>
    </row>
    <row r="121" spans="1:11" ht="15.5">
      <c r="B121" s="472" t="str">
        <f>$B$21</f>
        <v>המרת אגרות חוב להמרה במניות</v>
      </c>
      <c r="C121" s="497"/>
      <c r="D121" s="497"/>
      <c r="E121" s="497"/>
      <c r="F121" s="497"/>
      <c r="G121" s="497"/>
      <c r="H121" s="497"/>
      <c r="I121" s="922">
        <f t="shared" si="36"/>
        <v>0</v>
      </c>
      <c r="J121" s="497"/>
      <c r="K121" s="923">
        <f t="shared" si="37"/>
        <v>0</v>
      </c>
    </row>
    <row r="122" spans="1:11" ht="15.5">
      <c r="B122" s="472" t="str">
        <f>$B$22</f>
        <v>תשלום מבוסס מניות (נטו ממס)</v>
      </c>
      <c r="C122" s="497"/>
      <c r="D122" s="497"/>
      <c r="E122" s="497"/>
      <c r="F122" s="497"/>
      <c r="G122" s="497"/>
      <c r="H122" s="497"/>
      <c r="I122" s="922">
        <f t="shared" si="36"/>
        <v>0</v>
      </c>
      <c r="J122" s="497"/>
      <c r="K122" s="923">
        <f t="shared" si="37"/>
        <v>0</v>
      </c>
    </row>
    <row r="123" spans="1:11" ht="15.5">
      <c r="B123" s="472" t="str">
        <f>$B$23</f>
        <v>דיבידנד לבעלי המניות של החברה</v>
      </c>
      <c r="C123" s="497"/>
      <c r="D123" s="497"/>
      <c r="E123" s="497"/>
      <c r="F123" s="497"/>
      <c r="G123" s="497"/>
      <c r="H123" s="497"/>
      <c r="I123" s="922">
        <f t="shared" si="36"/>
        <v>0</v>
      </c>
      <c r="J123" s="497"/>
      <c r="K123" s="923">
        <f t="shared" si="37"/>
        <v>0</v>
      </c>
    </row>
    <row r="124" spans="1:11" ht="15.5">
      <c r="B124" s="472" t="str">
        <f>$B$24</f>
        <v>מיזוג/איחוד לראשונה של חברה מאוחדת</v>
      </c>
      <c r="C124" s="497"/>
      <c r="D124" s="497"/>
      <c r="E124" s="497"/>
      <c r="F124" s="497"/>
      <c r="G124" s="497"/>
      <c r="H124" s="497"/>
      <c r="I124" s="922">
        <f t="shared" si="36"/>
        <v>0</v>
      </c>
      <c r="J124" s="497"/>
      <c r="K124" s="923">
        <f t="shared" si="37"/>
        <v>0</v>
      </c>
    </row>
    <row r="125" spans="1:11" ht="15.5">
      <c r="A125" s="1021"/>
      <c r="B125" s="472" t="str">
        <f>$B$25</f>
        <v>אחר</v>
      </c>
      <c r="C125" s="497"/>
      <c r="D125" s="497"/>
      <c r="E125" s="497"/>
      <c r="F125" s="497"/>
      <c r="G125" s="497"/>
      <c r="H125" s="497"/>
      <c r="I125" s="922">
        <f t="shared" si="36"/>
        <v>0</v>
      </c>
      <c r="J125" s="497"/>
      <c r="K125" s="923">
        <f t="shared" si="37"/>
        <v>0</v>
      </c>
    </row>
    <row r="126" spans="1:11" ht="15.5">
      <c r="B126" s="469" t="str">
        <f>$B$26</f>
        <v>סה"כ עסקאות עם בעלים שנזקפו ישירות להון</v>
      </c>
      <c r="C126" s="478">
        <f t="shared" ref="C126:K126" si="38">SUM(C120:C125)</f>
        <v>0</v>
      </c>
      <c r="D126" s="478">
        <f t="shared" si="38"/>
        <v>0</v>
      </c>
      <c r="E126" s="478">
        <f t="shared" si="38"/>
        <v>0</v>
      </c>
      <c r="F126" s="478">
        <f t="shared" si="38"/>
        <v>0</v>
      </c>
      <c r="G126" s="478">
        <f t="shared" si="38"/>
        <v>0</v>
      </c>
      <c r="H126" s="478">
        <f t="shared" si="38"/>
        <v>0</v>
      </c>
      <c r="I126" s="478">
        <f t="shared" si="38"/>
        <v>0</v>
      </c>
      <c r="J126" s="478">
        <f t="shared" si="38"/>
        <v>0</v>
      </c>
      <c r="K126" s="483">
        <f t="shared" si="38"/>
        <v>0</v>
      </c>
    </row>
    <row r="127" spans="1:11" ht="15.5">
      <c r="B127" s="471" t="s">
        <v>2796</v>
      </c>
      <c r="C127" s="918">
        <f t="shared" ref="C127:K127" si="39">C106+C107+C118+C126</f>
        <v>0</v>
      </c>
      <c r="D127" s="918">
        <f t="shared" si="39"/>
        <v>0</v>
      </c>
      <c r="E127" s="918">
        <f t="shared" si="39"/>
        <v>0</v>
      </c>
      <c r="F127" s="918">
        <f t="shared" si="39"/>
        <v>0</v>
      </c>
      <c r="G127" s="918">
        <f t="shared" si="39"/>
        <v>0</v>
      </c>
      <c r="H127" s="918">
        <f t="shared" si="39"/>
        <v>0</v>
      </c>
      <c r="I127" s="918">
        <f t="shared" si="39"/>
        <v>0</v>
      </c>
      <c r="J127" s="918">
        <f t="shared" si="39"/>
        <v>0</v>
      </c>
      <c r="K127" s="919">
        <f t="shared" si="39"/>
        <v>0</v>
      </c>
    </row>
  </sheetData>
  <sheetProtection password="EBB6" sheet="1" objects="1" scenarios="1" formatCells="0" formatColumns="0" formatRows="0"/>
  <hyperlinks>
    <hyperlink ref="D2" location="Information!A1" display="חזרה"/>
    <hyperlink ref="B4" location="Information!A60" display="Information!A60"/>
  </hyperlinks>
  <pageMargins left="0" right="0" top="0.74803149606299213" bottom="0.74803149606299213" header="0.31496062992125984" footer="0.31496062992125984"/>
  <pageSetup paperSize="9" scale="59" fitToHeight="2"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9FEC772B-9A44-406E-9242-C08224CAF229}">
            <xm:f>Information!$G$54&gt;0</xm:f>
            <x14:dxf>
              <font>
                <b/>
                <i val="0"/>
                <color theme="1"/>
              </font>
              <fill>
                <patternFill>
                  <bgColor rgb="FFFFFF00"/>
                </patternFill>
              </fill>
            </x14:dxf>
          </x14:cfRule>
          <xm:sqref>B4</xm:sqref>
        </x14:conditionalFormatting>
      </x14:conditionalFormatting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B0F0"/>
    <pageSetUpPr fitToPage="1"/>
  </sheetPr>
  <dimension ref="A1:K46"/>
  <sheetViews>
    <sheetView rightToLeft="1" workbookViewId="0"/>
  </sheetViews>
  <sheetFormatPr defaultRowHeight="12.5"/>
  <cols>
    <col min="1" max="1" width="6.453125" customWidth="1"/>
    <col min="2" max="2" width="49" customWidth="1"/>
    <col min="3" max="4" width="11.54296875" customWidth="1"/>
    <col min="5" max="5" width="12.81640625" customWidth="1"/>
    <col min="6" max="6" width="13" customWidth="1"/>
    <col min="7" max="7" width="13.453125" customWidth="1"/>
  </cols>
  <sheetData>
    <row r="1" spans="1:10" ht="18">
      <c r="B1" s="15" t="str">
        <f>company</f>
        <v>_____חברה מנהלת</v>
      </c>
    </row>
    <row r="2" spans="1:10" ht="18">
      <c r="B2" s="23" t="str">
        <f>Information!C7</f>
        <v>דוח רווח והפסד</v>
      </c>
      <c r="D2" s="642" t="s">
        <v>263</v>
      </c>
    </row>
    <row r="3" spans="1:10" ht="16.5" customHeight="1">
      <c r="B3" s="28" t="str">
        <f>Information!$M$21</f>
        <v>הנתונים באלפי ש"ח</v>
      </c>
      <c r="J3" s="460"/>
    </row>
    <row r="4" spans="1:10" ht="44.15" customHeight="1">
      <c r="A4" s="465" t="s">
        <v>4864</v>
      </c>
      <c r="B4" s="466"/>
      <c r="C4" s="487" t="str">
        <f>Period1</f>
        <v>שנת 2021</v>
      </c>
      <c r="D4" s="487" t="str">
        <f>Period2</f>
        <v>שנת 2020</v>
      </c>
      <c r="E4" s="488" t="str">
        <f>Period3</f>
        <v>לא לדווח</v>
      </c>
      <c r="F4" s="489" t="str">
        <f>Period4</f>
        <v>לא לדווח</v>
      </c>
      <c r="G4" s="490" t="str">
        <f>Period5</f>
        <v>שנת 2019</v>
      </c>
      <c r="J4" s="462"/>
    </row>
    <row r="5" spans="1:10" ht="15.5">
      <c r="B5" s="1468" t="s">
        <v>3876</v>
      </c>
      <c r="C5" s="481" t="s">
        <v>29</v>
      </c>
      <c r="D5" s="481" t="s">
        <v>41</v>
      </c>
      <c r="E5" s="481" t="s">
        <v>63</v>
      </c>
      <c r="F5" s="481" t="s">
        <v>65</v>
      </c>
      <c r="G5" s="482" t="s">
        <v>86</v>
      </c>
      <c r="J5" s="462"/>
    </row>
    <row r="6" spans="1:10" ht="15.5">
      <c r="A6">
        <v>18</v>
      </c>
      <c r="B6" s="1571" t="s">
        <v>855</v>
      </c>
      <c r="C6" s="493"/>
      <c r="D6" s="493"/>
      <c r="E6" s="494"/>
      <c r="F6" s="494"/>
      <c r="G6" s="495"/>
      <c r="J6" s="462"/>
    </row>
    <row r="7" spans="1:10" ht="15.5">
      <c r="A7">
        <v>20</v>
      </c>
      <c r="B7" s="1571" t="s">
        <v>856</v>
      </c>
      <c r="C7" s="493"/>
      <c r="D7" s="493"/>
      <c r="E7" s="494"/>
      <c r="F7" s="494"/>
      <c r="G7" s="495"/>
      <c r="J7" s="462"/>
    </row>
    <row r="8" spans="1:10" ht="15.5">
      <c r="B8" s="470" t="s">
        <v>857</v>
      </c>
      <c r="C8" s="493"/>
      <c r="D8" s="493"/>
      <c r="E8" s="494"/>
      <c r="F8" s="494"/>
      <c r="G8" s="495"/>
      <c r="J8" s="462"/>
    </row>
    <row r="9" spans="1:10" ht="15.5">
      <c r="B9" s="469" t="s">
        <v>858</v>
      </c>
      <c r="C9" s="478">
        <f>SUM(C6:C8)</f>
        <v>0</v>
      </c>
      <c r="D9" s="478">
        <f>SUM(D6:D8)</f>
        <v>0</v>
      </c>
      <c r="E9" s="478">
        <f>SUM(E6:E8)</f>
        <v>0</v>
      </c>
      <c r="F9" s="478">
        <f>SUM(F6:F8)</f>
        <v>0</v>
      </c>
      <c r="G9" s="483">
        <f>SUM(G6:G8)</f>
        <v>0</v>
      </c>
      <c r="J9" s="462"/>
    </row>
    <row r="10" spans="1:10" ht="15.5">
      <c r="A10">
        <v>22</v>
      </c>
      <c r="B10" s="1571" t="s">
        <v>859</v>
      </c>
      <c r="C10" s="493"/>
      <c r="D10" s="493"/>
      <c r="E10" s="494"/>
      <c r="F10" s="494"/>
      <c r="G10" s="495"/>
      <c r="J10" s="464"/>
    </row>
    <row r="11" spans="1:10" ht="15.5">
      <c r="A11">
        <v>22</v>
      </c>
      <c r="B11" s="1571" t="s">
        <v>860</v>
      </c>
      <c r="C11" s="493"/>
      <c r="D11" s="493"/>
      <c r="E11" s="494"/>
      <c r="F11" s="494"/>
      <c r="G11" s="495"/>
      <c r="J11" s="464"/>
    </row>
    <row r="12" spans="1:10" ht="15.5">
      <c r="A12">
        <v>22</v>
      </c>
      <c r="B12" s="1571" t="s">
        <v>861</v>
      </c>
      <c r="C12" s="493"/>
      <c r="D12" s="493"/>
      <c r="E12" s="494"/>
      <c r="F12" s="494"/>
      <c r="G12" s="495"/>
      <c r="J12" s="464"/>
    </row>
    <row r="13" spans="1:10" ht="15.5">
      <c r="A13">
        <v>22</v>
      </c>
      <c r="B13" s="1571" t="s">
        <v>862</v>
      </c>
      <c r="C13" s="493"/>
      <c r="D13" s="493"/>
      <c r="E13" s="494"/>
      <c r="F13" s="494"/>
      <c r="G13" s="495"/>
      <c r="J13" s="462"/>
    </row>
    <row r="14" spans="1:10" ht="15.5">
      <c r="B14" s="469" t="s">
        <v>863</v>
      </c>
      <c r="C14" s="478">
        <f>SUM(C10:C13)</f>
        <v>0</v>
      </c>
      <c r="D14" s="478">
        <f>SUM(D10:D13)</f>
        <v>0</v>
      </c>
      <c r="E14" s="478">
        <f>SUM(E10:E13)</f>
        <v>0</v>
      </c>
      <c r="F14" s="478">
        <f>SUM(F10:F13)</f>
        <v>0</v>
      </c>
      <c r="G14" s="483">
        <f>SUM(G10:G13)</f>
        <v>0</v>
      </c>
      <c r="J14" s="462"/>
    </row>
    <row r="15" spans="1:10" ht="15.5">
      <c r="B15" s="469" t="s">
        <v>887</v>
      </c>
      <c r="C15" s="478">
        <f>C9-C14</f>
        <v>0</v>
      </c>
      <c r="D15" s="478">
        <f>D9-D14</f>
        <v>0</v>
      </c>
      <c r="E15" s="478">
        <f>E9-E14</f>
        <v>0</v>
      </c>
      <c r="F15" s="478">
        <f>F9-F14</f>
        <v>0</v>
      </c>
      <c r="G15" s="483">
        <f>G9-G14</f>
        <v>0</v>
      </c>
      <c r="J15" s="462"/>
    </row>
    <row r="16" spans="1:10" ht="31">
      <c r="B16" s="470" t="s">
        <v>864</v>
      </c>
      <c r="C16" s="493"/>
      <c r="D16" s="493"/>
      <c r="E16" s="494"/>
      <c r="F16" s="494"/>
      <c r="G16" s="495"/>
      <c r="J16" s="491"/>
    </row>
    <row r="17" spans="1:11" ht="15.5">
      <c r="B17" s="469" t="s">
        <v>865</v>
      </c>
      <c r="C17" s="478">
        <f>SUM(C15:C16)</f>
        <v>0</v>
      </c>
      <c r="D17" s="478">
        <f>SUM(D15:D16)</f>
        <v>0</v>
      </c>
      <c r="E17" s="478">
        <f>SUM(E15:E16)</f>
        <v>0</v>
      </c>
      <c r="F17" s="478">
        <f>SUM(F15:F16)</f>
        <v>0</v>
      </c>
      <c r="G17" s="483">
        <f>SUM(G15:G16)</f>
        <v>0</v>
      </c>
      <c r="J17" s="462"/>
    </row>
    <row r="18" spans="1:11" ht="15.5">
      <c r="A18">
        <v>14</v>
      </c>
      <c r="B18" s="1573" t="s">
        <v>866</v>
      </c>
      <c r="C18" s="493"/>
      <c r="D18" s="493"/>
      <c r="E18" s="494"/>
      <c r="F18" s="494"/>
      <c r="G18" s="495"/>
      <c r="J18" s="464"/>
    </row>
    <row r="19" spans="1:11" ht="15.5">
      <c r="B19" s="469" t="s">
        <v>867</v>
      </c>
      <c r="C19" s="478">
        <f>C17-C18</f>
        <v>0</v>
      </c>
      <c r="D19" s="478">
        <f>D17-D18</f>
        <v>0</v>
      </c>
      <c r="E19" s="478">
        <f>E17-E18</f>
        <v>0</v>
      </c>
      <c r="F19" s="478">
        <f>F17-F18</f>
        <v>0</v>
      </c>
      <c r="G19" s="483">
        <f>G17-G18</f>
        <v>0</v>
      </c>
      <c r="J19" s="462"/>
    </row>
    <row r="20" spans="1:11" ht="15.5">
      <c r="B20" s="469" t="s">
        <v>868</v>
      </c>
      <c r="C20" s="473"/>
      <c r="D20" s="473"/>
      <c r="E20" s="473"/>
      <c r="F20" s="473"/>
      <c r="G20" s="474"/>
      <c r="J20" s="464"/>
    </row>
    <row r="21" spans="1:11" ht="15.5">
      <c r="B21" s="500" t="s">
        <v>869</v>
      </c>
      <c r="C21" s="497"/>
      <c r="D21" s="497"/>
      <c r="E21" s="498"/>
      <c r="F21" s="498"/>
      <c r="G21" s="499"/>
      <c r="J21" s="464"/>
    </row>
    <row r="22" spans="1:11" ht="15.5">
      <c r="B22" s="500" t="s">
        <v>827</v>
      </c>
      <c r="C22" s="497"/>
      <c r="D22" s="497"/>
      <c r="E22" s="498"/>
      <c r="F22" s="498"/>
      <c r="G22" s="499"/>
      <c r="J22" s="464"/>
    </row>
    <row r="23" spans="1:11" ht="15.5">
      <c r="B23" s="500" t="s">
        <v>867</v>
      </c>
      <c r="C23" s="478">
        <f>SUM(C21:C22)</f>
        <v>0</v>
      </c>
      <c r="D23" s="478">
        <f>SUM(D21:D22)</f>
        <v>0</v>
      </c>
      <c r="E23" s="478">
        <f>SUM(E21:E22)</f>
        <v>0</v>
      </c>
      <c r="F23" s="478">
        <f>SUM(F21:F22)</f>
        <v>0</v>
      </c>
      <c r="G23" s="483">
        <f>SUM(G21:G22)</f>
        <v>0</v>
      </c>
      <c r="J23" s="464"/>
    </row>
    <row r="24" spans="1:11" ht="15.5">
      <c r="B24" s="469"/>
      <c r="C24" s="473"/>
      <c r="D24" s="473"/>
      <c r="E24" s="473"/>
      <c r="F24" s="473"/>
      <c r="G24" s="474"/>
      <c r="J24" s="462"/>
      <c r="K24" s="464"/>
    </row>
    <row r="25" spans="1:11" ht="15.5">
      <c r="B25" s="469" t="s">
        <v>870</v>
      </c>
      <c r="C25" s="473"/>
      <c r="D25" s="473"/>
      <c r="E25" s="473"/>
      <c r="F25" s="473"/>
      <c r="G25" s="474"/>
      <c r="J25" s="464"/>
      <c r="K25" s="464"/>
    </row>
    <row r="26" spans="1:11" ht="15.5">
      <c r="B26" s="472" t="s">
        <v>871</v>
      </c>
      <c r="C26" s="497"/>
      <c r="D26" s="497"/>
      <c r="E26" s="498"/>
      <c r="F26" s="498"/>
      <c r="G26" s="499"/>
      <c r="J26" s="464"/>
      <c r="K26" s="464"/>
    </row>
    <row r="27" spans="1:11" ht="31">
      <c r="B27" s="472" t="s">
        <v>872</v>
      </c>
      <c r="C27" s="497"/>
      <c r="D27" s="497"/>
      <c r="E27" s="498"/>
      <c r="F27" s="498"/>
      <c r="G27" s="499"/>
      <c r="J27" s="462"/>
      <c r="K27" s="464"/>
    </row>
    <row r="28" spans="1:11" ht="34.5" customHeight="1">
      <c r="B28" s="472" t="s">
        <v>873</v>
      </c>
      <c r="C28" s="497"/>
      <c r="D28" s="497"/>
      <c r="E28" s="498"/>
      <c r="F28" s="498"/>
      <c r="G28" s="499"/>
      <c r="J28" s="462"/>
      <c r="K28" s="464"/>
    </row>
    <row r="29" spans="1:11" ht="31">
      <c r="B29" s="472" t="s">
        <v>880</v>
      </c>
      <c r="C29" s="497"/>
      <c r="D29" s="497"/>
      <c r="E29" s="498"/>
      <c r="F29" s="498"/>
      <c r="G29" s="499"/>
      <c r="J29" s="464"/>
      <c r="K29" s="462"/>
    </row>
    <row r="30" spans="1:11" ht="31">
      <c r="B30" s="472" t="s">
        <v>874</v>
      </c>
      <c r="C30" s="497"/>
      <c r="D30" s="497"/>
      <c r="E30" s="498"/>
      <c r="F30" s="498"/>
      <c r="G30" s="499"/>
      <c r="J30" s="464"/>
      <c r="K30" s="462"/>
    </row>
    <row r="31" spans="1:11" ht="32.25" customHeight="1">
      <c r="B31" s="472" t="s">
        <v>875</v>
      </c>
      <c r="C31" s="497"/>
      <c r="D31" s="497"/>
      <c r="E31" s="498"/>
      <c r="F31" s="498"/>
      <c r="G31" s="499"/>
      <c r="J31" s="462"/>
      <c r="K31" s="492"/>
    </row>
    <row r="32" spans="1:11" ht="15.5">
      <c r="B32" s="472" t="s">
        <v>70</v>
      </c>
      <c r="C32" s="497"/>
      <c r="D32" s="497"/>
      <c r="E32" s="498"/>
      <c r="F32" s="498"/>
      <c r="G32" s="499"/>
      <c r="J32" s="462"/>
      <c r="K32" s="492"/>
    </row>
    <row r="33" spans="1:11" ht="31">
      <c r="A33" s="1021"/>
      <c r="B33" s="1596" t="s">
        <v>4894</v>
      </c>
      <c r="C33" s="1597"/>
      <c r="D33" s="1597"/>
      <c r="E33" s="1598"/>
      <c r="F33" s="1598"/>
      <c r="G33" s="1599"/>
      <c r="J33" s="462"/>
      <c r="K33" s="492"/>
    </row>
    <row r="34" spans="1:11" ht="31">
      <c r="A34" s="1021"/>
      <c r="B34" s="470" t="s">
        <v>4895</v>
      </c>
      <c r="C34" s="497"/>
      <c r="D34" s="497"/>
      <c r="E34" s="498"/>
      <c r="F34" s="498"/>
      <c r="G34" s="499"/>
      <c r="J34" s="462"/>
      <c r="K34" s="492"/>
    </row>
    <row r="35" spans="1:11" ht="15.5">
      <c r="B35" s="469" t="s">
        <v>877</v>
      </c>
      <c r="C35" s="478">
        <f>SUM(C26:C32)-C34-C33</f>
        <v>0</v>
      </c>
      <c r="D35" s="478">
        <f t="shared" ref="D35:G35" si="0">SUM(D26:D32)-D34-D33</f>
        <v>0</v>
      </c>
      <c r="E35" s="478">
        <f t="shared" si="0"/>
        <v>0</v>
      </c>
      <c r="F35" s="478">
        <f t="shared" si="0"/>
        <v>0</v>
      </c>
      <c r="G35" s="1635">
        <f t="shared" si="0"/>
        <v>0</v>
      </c>
      <c r="J35" s="464"/>
      <c r="K35" s="492"/>
    </row>
    <row r="36" spans="1:11" ht="15.5">
      <c r="B36" s="469" t="s">
        <v>878</v>
      </c>
      <c r="C36" s="478">
        <f>C19+C35</f>
        <v>0</v>
      </c>
      <c r="D36" s="478">
        <f>D19+D35</f>
        <v>0</v>
      </c>
      <c r="E36" s="478">
        <f>E19+E35</f>
        <v>0</v>
      </c>
      <c r="F36" s="478">
        <f>F19+F35</f>
        <v>0</v>
      </c>
      <c r="G36" s="483">
        <f>G19+G35</f>
        <v>0</v>
      </c>
      <c r="J36" s="464"/>
      <c r="K36" s="492"/>
    </row>
    <row r="37" spans="1:11" ht="15.5">
      <c r="B37" s="469" t="s">
        <v>868</v>
      </c>
      <c r="C37" s="473"/>
      <c r="D37" s="473"/>
      <c r="E37" s="473"/>
      <c r="F37" s="473"/>
      <c r="G37" s="474"/>
      <c r="J37" s="464"/>
      <c r="K37" s="492"/>
    </row>
    <row r="38" spans="1:11" ht="15.5">
      <c r="B38" s="500" t="s">
        <v>869</v>
      </c>
      <c r="C38" s="497"/>
      <c r="D38" s="497"/>
      <c r="E38" s="498"/>
      <c r="F38" s="498"/>
      <c r="G38" s="499"/>
      <c r="J38" s="464"/>
      <c r="K38" s="492"/>
    </row>
    <row r="39" spans="1:11" ht="15.5">
      <c r="B39" s="500" t="s">
        <v>827</v>
      </c>
      <c r="C39" s="497"/>
      <c r="D39" s="497"/>
      <c r="E39" s="498"/>
      <c r="F39" s="498"/>
      <c r="G39" s="499"/>
      <c r="J39" s="464"/>
      <c r="K39" s="492"/>
    </row>
    <row r="40" spans="1:11" ht="15.5">
      <c r="B40" s="917" t="s">
        <v>879</v>
      </c>
      <c r="C40" s="918">
        <f>SUM(C38:C39)</f>
        <v>0</v>
      </c>
      <c r="D40" s="918">
        <f>SUM(D38:D39)</f>
        <v>0</v>
      </c>
      <c r="E40" s="918">
        <f>SUM(E38:E39)</f>
        <v>0</v>
      </c>
      <c r="F40" s="918">
        <f>SUM(F38:F39)</f>
        <v>0</v>
      </c>
      <c r="G40" s="919">
        <f>SUM(G38:G39)</f>
        <v>0</v>
      </c>
      <c r="J40" s="464"/>
      <c r="K40" s="492"/>
    </row>
    <row r="41" spans="1:11" ht="14">
      <c r="K41" s="492"/>
    </row>
    <row r="42" spans="1:11" ht="14">
      <c r="K42" s="492"/>
    </row>
    <row r="43" spans="1:11" ht="14">
      <c r="K43" s="492"/>
    </row>
    <row r="44" spans="1:11" ht="14">
      <c r="K44" s="492"/>
    </row>
    <row r="45" spans="1:11" ht="14">
      <c r="K45" s="492"/>
    </row>
    <row r="46" spans="1:11" ht="14">
      <c r="K46" s="492"/>
    </row>
  </sheetData>
  <sheetProtection password="89A3" sheet="1" objects="1" scenarios="1" formatCells="0" formatColumns="0" formatRows="0"/>
  <hyperlinks>
    <hyperlink ref="D2" location="Information!A1" display="חזרה"/>
    <hyperlink ref="B5" location="Information!A60" display="Information!A60"/>
    <hyperlink ref="B18" location="'B14'!A1" display="מסים על הכנסה"/>
    <hyperlink ref="B6" location="'B18'!A1" display="הכנסות מדמי ניהול  מקופות גמל ומקרנות פנסיה, נטו "/>
    <hyperlink ref="B7" location="'B20'!A1" display="רווחים (הפסדים) מהשקעות, נטו והכנסות מימון"/>
    <hyperlink ref="B10" location="'B22'!A1" display="עמלות, הוצאות שיווק והוצאות רכישה אחרות"/>
    <hyperlink ref="B11" location="'B22'!A1" display="הוצאות הנהלה וכלליות "/>
    <hyperlink ref="B12" location="'B22'!A30" display="הוצאות אחרות"/>
    <hyperlink ref="B13" location="'B22'!A35" display="הוצאות מימון"/>
  </hyperlinks>
  <pageMargins left="0" right="0" top="0.74803149606299213" bottom="0.74803149606299213" header="0.31496062992125984" footer="0.31496062992125984"/>
  <pageSetup paperSize="9" scale="93"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FDE5B46E-70A5-4E79-A4CA-D14BFA11D3B5}">
            <xm:f>Information!$G$54&gt;0</xm:f>
            <x14:dxf>
              <font>
                <b/>
                <i val="0"/>
                <color theme="1"/>
              </font>
              <fill>
                <patternFill>
                  <bgColor rgb="FFFFFF00"/>
                </patternFill>
              </fill>
            </x14:dxf>
          </x14:cfRule>
          <xm:sqref>B5</xm:sqref>
        </x14:conditionalFormatting>
      </x14:conditionalFormatting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rgb="FF00B0F0"/>
  </sheetPr>
  <dimension ref="A1:Q48"/>
  <sheetViews>
    <sheetView rightToLeft="1" workbookViewId="0">
      <selection activeCell="B13" sqref="B13"/>
    </sheetView>
  </sheetViews>
  <sheetFormatPr defaultRowHeight="12.5"/>
  <cols>
    <col min="1" max="1" width="8.453125" customWidth="1"/>
    <col min="2" max="2" width="44.453125" customWidth="1"/>
    <col min="3" max="3" width="13.1796875" customWidth="1"/>
    <col min="4" max="5" width="11.54296875" customWidth="1"/>
    <col min="6" max="6" width="5.453125" customWidth="1"/>
    <col min="7" max="7" width="12.453125" customWidth="1"/>
  </cols>
  <sheetData>
    <row r="1" spans="1:17" ht="18">
      <c r="A1" s="465" t="s">
        <v>5286</v>
      </c>
      <c r="B1" s="15" t="str">
        <f>company</f>
        <v>_____חברה מנהלת</v>
      </c>
    </row>
    <row r="2" spans="1:17" ht="18">
      <c r="B2" s="23" t="str">
        <f>Information!C6</f>
        <v>מאזן</v>
      </c>
      <c r="D2" s="642" t="s">
        <v>263</v>
      </c>
    </row>
    <row r="3" spans="1:17" ht="16.5" customHeight="1">
      <c r="B3" s="28" t="str">
        <f>Information!$M$21</f>
        <v>הנתונים באלפי ש"ח</v>
      </c>
      <c r="C3" s="1160" t="s">
        <v>2678</v>
      </c>
      <c r="D3" s="1147" t="str">
        <f>IF(OR(D47=P5,D47=P6),mess2,mess1)</f>
        <v>חסר דיווח לגבי רו"ח מבקר</v>
      </c>
      <c r="I3" s="460"/>
      <c r="P3" t="s">
        <v>2679</v>
      </c>
      <c r="Q3" t="s">
        <v>2680</v>
      </c>
    </row>
    <row r="4" spans="1:17" ht="16.5" customHeight="1">
      <c r="B4" s="1468" t="s">
        <v>3876</v>
      </c>
      <c r="C4" s="467" t="str">
        <f>Date1</f>
        <v>31.12.2021</v>
      </c>
      <c r="D4" s="467" t="str">
        <f>Date2</f>
        <v>לא לדווח</v>
      </c>
      <c r="E4" s="468" t="str">
        <f>Date3</f>
        <v>31.12.2020</v>
      </c>
      <c r="I4" s="461"/>
      <c r="P4" s="465" t="s">
        <v>0</v>
      </c>
      <c r="Q4" t="s">
        <v>2681</v>
      </c>
    </row>
    <row r="5" spans="1:17" ht="15.5">
      <c r="B5" s="480"/>
      <c r="C5" s="481" t="s">
        <v>29</v>
      </c>
      <c r="D5" s="481" t="s">
        <v>41</v>
      </c>
      <c r="E5" s="482" t="s">
        <v>63</v>
      </c>
      <c r="I5" s="461"/>
      <c r="P5" t="s">
        <v>2682</v>
      </c>
    </row>
    <row r="6" spans="1:17" ht="15.5">
      <c r="A6" s="465" t="s">
        <v>4864</v>
      </c>
      <c r="B6" s="469" t="s">
        <v>805</v>
      </c>
      <c r="C6" s="473"/>
      <c r="D6" s="473"/>
      <c r="E6" s="474"/>
      <c r="I6" s="461"/>
      <c r="P6" t="s">
        <v>2683</v>
      </c>
    </row>
    <row r="7" spans="1:17" ht="15.5">
      <c r="A7">
        <v>5</v>
      </c>
      <c r="B7" s="1571" t="s">
        <v>806</v>
      </c>
      <c r="C7" s="493"/>
      <c r="D7" s="493"/>
      <c r="E7" s="495"/>
      <c r="I7" s="461"/>
      <c r="Q7" t="str">
        <f>mess1</f>
        <v>חסר דיווח לגבי רו"ח מבקר</v>
      </c>
    </row>
    <row r="8" spans="1:17" ht="15.5">
      <c r="B8" s="470" t="s">
        <v>807</v>
      </c>
      <c r="C8" s="493"/>
      <c r="D8" s="493"/>
      <c r="E8" s="495"/>
      <c r="I8" s="461"/>
      <c r="P8" t="s">
        <v>2699</v>
      </c>
      <c r="Q8" s="465" t="s">
        <v>2700</v>
      </c>
    </row>
    <row r="9" spans="1:17" ht="15.5">
      <c r="A9">
        <v>6</v>
      </c>
      <c r="B9" s="1571" t="s">
        <v>808</v>
      </c>
      <c r="C9" s="493"/>
      <c r="D9" s="493"/>
      <c r="E9" s="495"/>
      <c r="I9" s="461"/>
      <c r="P9" s="465" t="s">
        <v>2702</v>
      </c>
      <c r="Q9" s="465" t="s">
        <v>2697</v>
      </c>
    </row>
    <row r="10" spans="1:17" ht="15.5">
      <c r="B10" s="470" t="s">
        <v>809</v>
      </c>
      <c r="C10" s="493"/>
      <c r="D10" s="493"/>
      <c r="E10" s="495"/>
      <c r="I10" s="461"/>
      <c r="P10" s="465" t="s">
        <v>2701</v>
      </c>
      <c r="Q10" s="465" t="s">
        <v>2698</v>
      </c>
    </row>
    <row r="11" spans="1:17" ht="15.5">
      <c r="A11">
        <v>7</v>
      </c>
      <c r="B11" s="1571" t="s">
        <v>213</v>
      </c>
      <c r="C11" s="493"/>
      <c r="D11" s="493"/>
      <c r="E11" s="495"/>
      <c r="I11" s="461"/>
      <c r="P11" s="465" t="s">
        <v>2718</v>
      </c>
      <c r="Q11" s="465" t="s">
        <v>2717</v>
      </c>
    </row>
    <row r="12" spans="1:17" ht="15.5">
      <c r="A12">
        <v>8</v>
      </c>
      <c r="B12" s="1571" t="s">
        <v>810</v>
      </c>
      <c r="C12" s="493"/>
      <c r="D12" s="493"/>
      <c r="E12" s="495"/>
      <c r="I12" s="461"/>
      <c r="P12" s="465" t="s">
        <v>3879</v>
      </c>
      <c r="Q12" s="465" t="s">
        <v>3878</v>
      </c>
    </row>
    <row r="13" spans="1:17" ht="15.5">
      <c r="A13">
        <v>9</v>
      </c>
      <c r="B13" s="1571" t="s">
        <v>811</v>
      </c>
      <c r="C13" s="493"/>
      <c r="D13" s="493"/>
      <c r="E13" s="495"/>
      <c r="I13" s="461"/>
    </row>
    <row r="14" spans="1:17" ht="15.5">
      <c r="B14" s="470" t="s">
        <v>812</v>
      </c>
      <c r="C14" s="493"/>
      <c r="D14" s="493"/>
      <c r="E14" s="495"/>
      <c r="I14" s="461"/>
    </row>
    <row r="15" spans="1:17" ht="15.5">
      <c r="A15">
        <v>10</v>
      </c>
      <c r="B15" s="1571" t="s">
        <v>813</v>
      </c>
      <c r="C15" s="493"/>
      <c r="D15" s="493"/>
      <c r="E15" s="495"/>
      <c r="I15" s="461"/>
    </row>
    <row r="16" spans="1:17" ht="15.5">
      <c r="B16" s="469" t="s">
        <v>814</v>
      </c>
      <c r="C16" s="473"/>
      <c r="D16" s="473"/>
      <c r="E16" s="474"/>
      <c r="I16" s="461"/>
      <c r="J16" s="1637"/>
    </row>
    <row r="17" spans="1:9" ht="15.5">
      <c r="A17" s="465" t="s">
        <v>4866</v>
      </c>
      <c r="B17" s="1572" t="s">
        <v>815</v>
      </c>
      <c r="C17" s="493"/>
      <c r="D17" s="493"/>
      <c r="E17" s="495"/>
      <c r="I17" s="461"/>
    </row>
    <row r="18" spans="1:9" ht="15.5">
      <c r="A18" s="465" t="s">
        <v>4865</v>
      </c>
      <c r="B18" s="1572" t="s">
        <v>816</v>
      </c>
      <c r="C18" s="493"/>
      <c r="D18" s="493"/>
      <c r="E18" s="495"/>
      <c r="I18" s="461"/>
    </row>
    <row r="19" spans="1:9" ht="15.5">
      <c r="B19" s="472" t="s">
        <v>75</v>
      </c>
      <c r="C19" s="493"/>
      <c r="D19" s="493"/>
      <c r="E19" s="495"/>
      <c r="I19" s="461"/>
    </row>
    <row r="20" spans="1:9" ht="15.5">
      <c r="B20" s="472" t="s">
        <v>817</v>
      </c>
      <c r="C20" s="493"/>
      <c r="D20" s="493"/>
      <c r="E20" s="495"/>
      <c r="I20" s="461"/>
    </row>
    <row r="21" spans="1:9" ht="15.5">
      <c r="B21" s="469" t="s">
        <v>818</v>
      </c>
      <c r="C21" s="478">
        <f>SUM(C17:C20)</f>
        <v>0</v>
      </c>
      <c r="D21" s="478">
        <f>SUM(D17:D20)</f>
        <v>0</v>
      </c>
      <c r="E21" s="483">
        <f>SUM(E17:E20)</f>
        <v>0</v>
      </c>
      <c r="I21" s="461"/>
    </row>
    <row r="22" spans="1:9" ht="15.5">
      <c r="B22" s="470" t="s">
        <v>6</v>
      </c>
      <c r="C22" s="497"/>
      <c r="D22" s="497"/>
      <c r="E22" s="499"/>
      <c r="I22" s="463"/>
    </row>
    <row r="23" spans="1:9" ht="15.5">
      <c r="B23" s="470" t="s">
        <v>2676</v>
      </c>
      <c r="C23" s="497"/>
      <c r="D23" s="497"/>
      <c r="E23" s="499"/>
      <c r="I23" s="463"/>
    </row>
    <row r="24" spans="1:9" ht="15.5">
      <c r="B24" s="469" t="s">
        <v>819</v>
      </c>
      <c r="C24" s="478">
        <f>SUM(C7:C20,C22,C23)</f>
        <v>0</v>
      </c>
      <c r="D24" s="478">
        <f>SUM(D7:D20,D22,D23)</f>
        <v>0</v>
      </c>
      <c r="E24" s="483">
        <f>SUM(E7:E20,E22,E23)</f>
        <v>0</v>
      </c>
      <c r="I24" s="463"/>
    </row>
    <row r="25" spans="1:9" ht="15.5">
      <c r="B25" s="469"/>
      <c r="C25" s="473"/>
      <c r="D25" s="473"/>
      <c r="E25" s="474"/>
      <c r="I25" s="463"/>
    </row>
    <row r="26" spans="1:9" ht="15.5">
      <c r="A26">
        <v>13</v>
      </c>
      <c r="B26" s="1571" t="s">
        <v>4867</v>
      </c>
      <c r="C26" s="473"/>
      <c r="D26" s="473"/>
      <c r="E26" s="474"/>
      <c r="I26" s="463"/>
    </row>
    <row r="27" spans="1:9" ht="15.5">
      <c r="B27" s="916" t="s">
        <v>821</v>
      </c>
      <c r="C27" s="497"/>
      <c r="D27" s="497"/>
      <c r="E27" s="499"/>
      <c r="I27" s="464"/>
    </row>
    <row r="28" spans="1:9" ht="15.5">
      <c r="B28" s="916" t="s">
        <v>822</v>
      </c>
      <c r="C28" s="497"/>
      <c r="D28" s="497"/>
      <c r="E28" s="499"/>
      <c r="I28" s="464"/>
    </row>
    <row r="29" spans="1:9" ht="15.5">
      <c r="B29" s="916" t="s">
        <v>823</v>
      </c>
      <c r="C29" s="497"/>
      <c r="D29" s="497"/>
      <c r="E29" s="499"/>
      <c r="I29" s="464"/>
    </row>
    <row r="30" spans="1:9" ht="15.5">
      <c r="B30" s="916" t="s">
        <v>824</v>
      </c>
      <c r="C30" s="497"/>
      <c r="D30" s="497"/>
      <c r="E30" s="499"/>
      <c r="I30" s="464"/>
    </row>
    <row r="31" spans="1:9" ht="15.5">
      <c r="B31" s="916" t="s">
        <v>825</v>
      </c>
      <c r="C31" s="497"/>
      <c r="D31" s="497"/>
      <c r="E31" s="499"/>
      <c r="I31" s="464"/>
    </row>
    <row r="32" spans="1:9" ht="15.5">
      <c r="B32" s="469" t="s">
        <v>826</v>
      </c>
      <c r="C32" s="478">
        <f>SUM(C27:C31)</f>
        <v>0</v>
      </c>
      <c r="D32" s="478">
        <f>SUM(D27:D31)</f>
        <v>0</v>
      </c>
      <c r="E32" s="483">
        <f>SUM(E27:E31)</f>
        <v>0</v>
      </c>
      <c r="I32" s="464"/>
    </row>
    <row r="33" spans="1:9" ht="15.5">
      <c r="A33">
        <v>16</v>
      </c>
      <c r="B33" s="1573" t="s">
        <v>827</v>
      </c>
      <c r="C33" s="497"/>
      <c r="D33" s="497"/>
      <c r="E33" s="499"/>
      <c r="I33" s="464"/>
    </row>
    <row r="34" spans="1:9" ht="15.5">
      <c r="B34" s="469" t="s">
        <v>828</v>
      </c>
      <c r="C34" s="478">
        <f>SUM(C32:C33)</f>
        <v>0</v>
      </c>
      <c r="D34" s="478">
        <f>SUM(D32:D33)</f>
        <v>0</v>
      </c>
      <c r="E34" s="483">
        <f>SUM(E32:E33)</f>
        <v>0</v>
      </c>
      <c r="I34" s="462"/>
    </row>
    <row r="35" spans="1:9" ht="15.5">
      <c r="B35" s="469" t="s">
        <v>829</v>
      </c>
      <c r="C35" s="473"/>
      <c r="D35" s="473"/>
      <c r="E35" s="474"/>
      <c r="I35" s="463"/>
    </row>
    <row r="36" spans="1:9" ht="15.5">
      <c r="B36" s="916" t="s">
        <v>830</v>
      </c>
      <c r="C36" s="497"/>
      <c r="D36" s="497"/>
      <c r="E36" s="499"/>
      <c r="I36" s="463"/>
    </row>
    <row r="37" spans="1:9" ht="15.5">
      <c r="B37" s="916" t="s">
        <v>831</v>
      </c>
      <c r="C37" s="497"/>
      <c r="D37" s="497"/>
      <c r="E37" s="499"/>
      <c r="I37" s="463"/>
    </row>
    <row r="38" spans="1:9" ht="15.5">
      <c r="B38" s="916" t="s">
        <v>832</v>
      </c>
      <c r="C38" s="497"/>
      <c r="D38" s="497"/>
      <c r="E38" s="499"/>
      <c r="I38" s="463"/>
    </row>
    <row r="39" spans="1:9" ht="15.5">
      <c r="B39" s="916" t="s">
        <v>833</v>
      </c>
      <c r="C39" s="497"/>
      <c r="D39" s="497"/>
      <c r="E39" s="499"/>
      <c r="I39" s="463"/>
    </row>
    <row r="40" spans="1:9" ht="15.5">
      <c r="A40">
        <v>17</v>
      </c>
      <c r="B40" s="1574" t="s">
        <v>834</v>
      </c>
      <c r="C40" s="497"/>
      <c r="D40" s="497"/>
      <c r="E40" s="499"/>
      <c r="I40" s="463"/>
    </row>
    <row r="41" spans="1:9" ht="15.5">
      <c r="B41" s="916" t="s">
        <v>2677</v>
      </c>
      <c r="C41" s="497"/>
      <c r="D41" s="497"/>
      <c r="E41" s="499"/>
      <c r="I41" s="463"/>
    </row>
    <row r="42" spans="1:9" ht="15.5">
      <c r="B42" s="469" t="s">
        <v>835</v>
      </c>
      <c r="C42" s="477">
        <f>SUM(C36:C41)</f>
        <v>0</v>
      </c>
      <c r="D42" s="477">
        <f>SUM(D36:D41)</f>
        <v>0</v>
      </c>
      <c r="E42" s="484">
        <f>SUM(E36:E41)</f>
        <v>0</v>
      </c>
      <c r="I42" s="463"/>
    </row>
    <row r="43" spans="1:9" ht="15.5">
      <c r="B43" s="471" t="s">
        <v>836</v>
      </c>
      <c r="C43" s="479">
        <f>SUM(C42,C34)</f>
        <v>0</v>
      </c>
      <c r="D43" s="479">
        <f>SUM(D42,D34)</f>
        <v>0</v>
      </c>
      <c r="E43" s="485">
        <f>SUM(E42,E34)</f>
        <v>0</v>
      </c>
      <c r="I43" s="463"/>
    </row>
    <row r="44" spans="1:9" ht="15.5">
      <c r="I44" s="463"/>
    </row>
    <row r="45" spans="1:9" ht="15.5">
      <c r="B45" s="1148" t="s">
        <v>2684</v>
      </c>
      <c r="C45" s="1149" t="s">
        <v>2685</v>
      </c>
      <c r="D45" s="1150"/>
      <c r="E45" s="1151" t="s">
        <v>2686</v>
      </c>
      <c r="F45" s="1152"/>
    </row>
    <row r="46" spans="1:9" ht="15.5">
      <c r="B46" s="1153"/>
      <c r="C46" s="1938"/>
      <c r="D46" s="1939"/>
      <c r="E46" s="1154"/>
      <c r="F46" s="1370" t="s">
        <v>2857</v>
      </c>
      <c r="G46" s="1154"/>
    </row>
    <row r="47" spans="1:9" ht="18">
      <c r="B47" s="1158" t="s">
        <v>2687</v>
      </c>
      <c r="C47" s="1159"/>
      <c r="D47" s="1155"/>
      <c r="E47" s="1156"/>
    </row>
    <row r="48" spans="1:9" ht="13">
      <c r="B48" s="1157" t="s">
        <v>2688</v>
      </c>
    </row>
  </sheetData>
  <sheetProtection password="ECA2" sheet="1" objects="1" scenarios="1" formatCells="0" formatColumns="0" formatRows="0"/>
  <mergeCells count="1">
    <mergeCell ref="C46:D46"/>
  </mergeCells>
  <dataValidations disablePrompts="1" count="1">
    <dataValidation type="list" allowBlank="1" showInputMessage="1" showErrorMessage="1" sqref="D47">
      <formula1>answer</formula1>
    </dataValidation>
  </dataValidations>
  <hyperlinks>
    <hyperlink ref="D2" location="Information!A1" display="חזרה"/>
    <hyperlink ref="C3" location="'1'!D48" display="אישור רו&quot;ח"/>
    <hyperlink ref="B4" location="Information!A60" display="Information!A60"/>
    <hyperlink ref="B7" location="'B5'!A1" display="נכסים בלתי מוחשיים "/>
    <hyperlink ref="B9" location="'B6'!A1" display="הוצאות רכישה נדחות"/>
    <hyperlink ref="B11" location="'B7'!A1" display="רכוש קבוע"/>
    <hyperlink ref="B12" location="'B8'!A1" display="השקעות בחברות כלולות"/>
    <hyperlink ref="B13" location="'B9'!A1" display="נדל&quot;ן להשקעה"/>
    <hyperlink ref="B15" location="'B10'!A1" display="חייבים ויתרות חובה"/>
    <hyperlink ref="B17" location="B11A!A1" display="נכסי חוב סחירים "/>
    <hyperlink ref="B18" location="B11B!A1" display="נכסי חוב שאינם סחירים"/>
    <hyperlink ref="B26" location="'B13'!A1" display="הון:"/>
    <hyperlink ref="B33" location="'B16'!A1" display="זכויות שאינן מקנות שליטה"/>
    <hyperlink ref="B40" location="'B17'!A1" display="התחייבויות פיננסיות"/>
  </hyperlinks>
  <pageMargins left="0.31496062992125984" right="0.31496062992125984" top="0.74803149606299213" bottom="0.74803149606299213" header="0.31496062992125984" footer="0.31496062992125984"/>
  <pageSetup paperSize="9" orientation="portrait" r:id="rId1"/>
  <headerFooter>
    <oddFooter>&amp;L&amp;Z&amp;F&amp;A</oddFooter>
  </headerFooter>
  <extLst>
    <ext xmlns:x14="http://schemas.microsoft.com/office/spreadsheetml/2009/9/main" uri="{78C0D931-6437-407d-A8EE-F0AAD7539E65}">
      <x14:conditionalFormattings>
        <x14:conditionalFormatting xmlns:xm="http://schemas.microsoft.com/office/excel/2006/main">
          <x14:cfRule type="expression" priority="1" id="{60845CA8-AB10-4DDE-B807-E4C4865E4C43}">
            <xm:f>Information!$G$54&gt;0</xm:f>
            <x14:dxf>
              <font>
                <b/>
                <i val="0"/>
                <color theme="1"/>
              </font>
              <fill>
                <patternFill>
                  <bgColor rgb="FFFFFF00"/>
                </patternFill>
              </fill>
            </x14:dxf>
          </x14:cfRule>
          <xm:sqref>B4</xm:sqref>
        </x14:conditionalFormatting>
      </x14:conditionalFormatting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Z162"/>
  <sheetViews>
    <sheetView rightToLeft="1" workbookViewId="0">
      <selection activeCell="H5" sqref="H5"/>
    </sheetView>
  </sheetViews>
  <sheetFormatPr defaultRowHeight="12.5"/>
  <cols>
    <col min="1" max="1" width="5.1796875" customWidth="1"/>
    <col min="2" max="2" width="42.54296875" customWidth="1"/>
    <col min="4" max="4" width="11.453125" customWidth="1"/>
    <col min="5" max="5" width="12.54296875" customWidth="1"/>
    <col min="6" max="6" width="16.54296875" customWidth="1"/>
    <col min="7" max="7" width="19.453125" customWidth="1"/>
    <col min="9" max="9" width="41.54296875" customWidth="1"/>
    <col min="25" max="25" width="18.453125" bestFit="1" customWidth="1"/>
  </cols>
  <sheetData>
    <row r="1" spans="1:26" ht="23">
      <c r="A1" s="344">
        <v>1</v>
      </c>
      <c r="B1" s="15" t="str">
        <f>'1'!B1</f>
        <v>_____חברה מנהלת</v>
      </c>
      <c r="C1" s="978"/>
      <c r="D1" s="1940">
        <v>0</v>
      </c>
      <c r="E1" s="1940"/>
      <c r="F1" s="1639" t="s">
        <v>4959</v>
      </c>
      <c r="G1" s="1643" t="s">
        <v>4957</v>
      </c>
      <c r="H1" s="344"/>
      <c r="I1" s="97" t="s">
        <v>276</v>
      </c>
      <c r="J1" s="979"/>
      <c r="K1" s="980"/>
      <c r="L1" s="201"/>
      <c r="M1" s="201"/>
      <c r="N1" s="201"/>
      <c r="O1" s="201"/>
      <c r="P1" s="201"/>
      <c r="Q1" s="201"/>
      <c r="Y1" s="465" t="s">
        <v>4958</v>
      </c>
    </row>
    <row r="2" spans="1:26" ht="20.5">
      <c r="A2" s="344" t="s">
        <v>282</v>
      </c>
      <c r="B2" s="981" t="s">
        <v>1471</v>
      </c>
      <c r="C2" s="982"/>
      <c r="D2" s="983"/>
      <c r="E2" s="984"/>
      <c r="F2" s="985"/>
      <c r="G2" s="986"/>
      <c r="H2" s="986"/>
      <c r="I2" s="97"/>
      <c r="J2" s="979"/>
      <c r="K2" s="979"/>
      <c r="L2" s="201"/>
      <c r="M2" s="201"/>
      <c r="N2" s="201"/>
      <c r="O2" s="201"/>
      <c r="P2" s="201"/>
      <c r="Q2" s="201"/>
      <c r="U2">
        <v>3</v>
      </c>
      <c r="V2" s="465" t="s">
        <v>1474</v>
      </c>
      <c r="Y2" s="465" t="s">
        <v>4956</v>
      </c>
      <c r="Z2">
        <v>1</v>
      </c>
    </row>
    <row r="3" spans="1:26" ht="15.5">
      <c r="A3" s="987"/>
      <c r="B3" s="988" t="str">
        <f>Date1</f>
        <v>31.12.2021</v>
      </c>
      <c r="C3" s="989"/>
      <c r="D3" s="1000"/>
      <c r="E3" s="1001"/>
      <c r="I3" s="990"/>
      <c r="J3" s="97"/>
      <c r="K3" s="97"/>
      <c r="L3" s="97"/>
      <c r="M3" s="97"/>
      <c r="N3" s="97"/>
      <c r="O3" s="991"/>
      <c r="P3" s="991"/>
      <c r="Q3" s="991"/>
      <c r="V3" s="465" t="s">
        <v>2743</v>
      </c>
      <c r="W3">
        <v>4</v>
      </c>
      <c r="Y3" s="465" t="s">
        <v>4954</v>
      </c>
      <c r="Z3">
        <v>2</v>
      </c>
    </row>
    <row r="4" spans="1:26" ht="13">
      <c r="A4" s="998">
        <v>4</v>
      </c>
      <c r="B4" s="1002" t="s">
        <v>1472</v>
      </c>
      <c r="C4" s="1003" t="str">
        <f>'1'!$C$4</f>
        <v>31.12.2021</v>
      </c>
      <c r="D4" s="1003" t="str">
        <f>'1'!$D$4</f>
        <v>לא לדווח</v>
      </c>
      <c r="E4" s="1003" t="str">
        <f>'1'!$E$4</f>
        <v>31.12.2020</v>
      </c>
      <c r="F4" s="344"/>
      <c r="G4" s="344"/>
      <c r="H4" s="344"/>
      <c r="I4" s="990"/>
      <c r="J4" s="1003" t="str">
        <f>'1'!$C$4</f>
        <v>31.12.2021</v>
      </c>
      <c r="K4" s="1003" t="str">
        <f>'1'!$D$4</f>
        <v>לא לדווח</v>
      </c>
      <c r="L4" s="1003" t="str">
        <f>'1'!$E$4</f>
        <v>31.12.2020</v>
      </c>
      <c r="M4" s="1003"/>
      <c r="N4" s="1008"/>
      <c r="O4" s="1009" t="str">
        <f>'1'!$C$4</f>
        <v>31.12.2021</v>
      </c>
      <c r="P4" s="1010" t="str">
        <f>'1'!$D$4</f>
        <v>לא לדווח</v>
      </c>
      <c r="Q4" s="1010" t="str">
        <f>'1'!$E$4</f>
        <v>31.12.2020</v>
      </c>
      <c r="R4" s="1011"/>
      <c r="S4" s="1012"/>
      <c r="V4" s="465" t="s">
        <v>2742</v>
      </c>
      <c r="W4">
        <v>1</v>
      </c>
      <c r="Y4" s="465" t="s">
        <v>4955</v>
      </c>
      <c r="Z4">
        <v>3</v>
      </c>
    </row>
    <row r="5" spans="1:26" ht="15.5">
      <c r="A5" s="999">
        <f>ROW()</f>
        <v>5</v>
      </c>
      <c r="B5" s="1025" t="s">
        <v>1473</v>
      </c>
      <c r="C5" s="994">
        <f>IF(J5=O5,0,J5-O5)</f>
        <v>0</v>
      </c>
      <c r="D5" s="994">
        <f>IF(K5=P5,0,K5-P5)</f>
        <v>0</v>
      </c>
      <c r="E5" s="994">
        <f>IF(L5=Q5,0,L5-Q5)</f>
        <v>0</v>
      </c>
      <c r="F5" s="344"/>
      <c r="G5" s="344"/>
      <c r="H5" s="344"/>
      <c r="I5" s="1016" t="str">
        <f>B5</f>
        <v>סה"כ טופס (מאזן  פאסיב) = סה"כ (מאזן אקטיב)</v>
      </c>
      <c r="J5" s="1006">
        <f>'1'!C24</f>
        <v>0</v>
      </c>
      <c r="K5" s="995">
        <f>'1'!D24</f>
        <v>0</v>
      </c>
      <c r="L5" s="1007">
        <f>'1'!E24</f>
        <v>0</v>
      </c>
      <c r="M5" s="1007"/>
      <c r="N5" s="1004"/>
      <c r="O5" s="1013">
        <f>'1'!C43</f>
        <v>0</v>
      </c>
      <c r="P5" s="996">
        <f>'1'!D43</f>
        <v>0</v>
      </c>
      <c r="Q5" s="1014">
        <f>'1'!E43</f>
        <v>0</v>
      </c>
      <c r="R5" s="996"/>
      <c r="S5" s="1015"/>
      <c r="U5">
        <f>IF(OR(ABS(C5)&gt;$U$2,ABS(D5)&gt;$U$2,ABS(E5)&gt;$U$2,ABS(F5)&gt;$U$2,ABS(G5)&gt;$U$2),1,0)</f>
        <v>0</v>
      </c>
      <c r="V5">
        <v>1</v>
      </c>
      <c r="Y5" s="465" t="s">
        <v>4957</v>
      </c>
      <c r="Z5">
        <v>4</v>
      </c>
    </row>
    <row r="6" spans="1:26" ht="15.5">
      <c r="A6" s="999">
        <f>ROW()</f>
        <v>6</v>
      </c>
      <c r="B6" s="1025" t="s">
        <v>1475</v>
      </c>
      <c r="C6" s="1003" t="str">
        <f>'2'!$C$4</f>
        <v>שנת 2021</v>
      </c>
      <c r="D6" s="1003" t="str">
        <f>'2'!$D$4</f>
        <v>שנת 2020</v>
      </c>
      <c r="E6" s="1003" t="str">
        <f>'2'!$E$4</f>
        <v>לא לדווח</v>
      </c>
      <c r="F6" s="1003" t="str">
        <f>'2'!$F$4</f>
        <v>לא לדווח</v>
      </c>
      <c r="G6" s="1003" t="str">
        <f>'2'!$G$4</f>
        <v>שנת 2019</v>
      </c>
      <c r="H6" s="201"/>
      <c r="I6" s="1016" t="str">
        <f>B6</f>
        <v>דוח רווח והפסד - שינוי במצב ההון</v>
      </c>
      <c r="J6" s="1003" t="str">
        <f>'2'!$C$4</f>
        <v>שנת 2021</v>
      </c>
      <c r="K6" s="1003" t="str">
        <f>'2'!$D$4</f>
        <v>שנת 2020</v>
      </c>
      <c r="L6" s="1003" t="str">
        <f>'2'!$E$4</f>
        <v>לא לדווח</v>
      </c>
      <c r="M6" s="1003" t="str">
        <f>'2'!$F$4</f>
        <v>לא לדווח</v>
      </c>
      <c r="N6" s="1003" t="str">
        <f>'2'!$G$4</f>
        <v>שנת 2019</v>
      </c>
      <c r="O6" s="1003" t="str">
        <f>'2'!$C$4</f>
        <v>שנת 2021</v>
      </c>
      <c r="P6" s="1003" t="str">
        <f>'2'!$D$4</f>
        <v>שנת 2020</v>
      </c>
      <c r="Q6" s="1003" t="str">
        <f>'2'!$E$4</f>
        <v>לא לדווח</v>
      </c>
      <c r="R6" s="1003" t="str">
        <f>'2'!$F$4</f>
        <v>לא לדווח</v>
      </c>
      <c r="S6" s="1003" t="str">
        <f>'2'!$G$4</f>
        <v>שנת 2019</v>
      </c>
      <c r="U6" s="1021">
        <f>IF(SUM(U7:U8),1,0)</f>
        <v>0</v>
      </c>
      <c r="V6">
        <v>1</v>
      </c>
    </row>
    <row r="7" spans="1:26" ht="14">
      <c r="A7" s="999">
        <f>ROW()</f>
        <v>7</v>
      </c>
      <c r="B7" s="1019" t="str">
        <f>'2'!B23</f>
        <v>רווח (הפסד) לתקופה</v>
      </c>
      <c r="C7" s="994">
        <f t="shared" ref="C7:G8" si="0">IF(J7=O7,0,J7-O7)</f>
        <v>0</v>
      </c>
      <c r="D7" s="994">
        <f t="shared" si="0"/>
        <v>0</v>
      </c>
      <c r="E7" s="994">
        <f t="shared" si="0"/>
        <v>0</v>
      </c>
      <c r="F7" s="994">
        <f t="shared" si="0"/>
        <v>0</v>
      </c>
      <c r="G7" s="994">
        <f t="shared" si="0"/>
        <v>0</v>
      </c>
      <c r="H7" s="993"/>
      <c r="I7" s="1018" t="str">
        <f t="shared" ref="I7:I70" si="1">B7</f>
        <v>רווח (הפסד) לתקופה</v>
      </c>
      <c r="J7" s="1006">
        <f>'2'!C19</f>
        <v>0</v>
      </c>
      <c r="K7" s="995">
        <f>'2'!D19</f>
        <v>0</v>
      </c>
      <c r="L7" s="1007">
        <f>'2'!E19</f>
        <v>0</v>
      </c>
      <c r="M7" s="1007">
        <f>'2'!F19</f>
        <v>0</v>
      </c>
      <c r="N7" s="1004">
        <f>'2'!G19</f>
        <v>0</v>
      </c>
      <c r="O7" s="1013">
        <f>'3'!I7</f>
        <v>0</v>
      </c>
      <c r="P7" s="996">
        <f>'3'!I32</f>
        <v>0</v>
      </c>
      <c r="Q7" s="1014">
        <f>'3'!I57</f>
        <v>0</v>
      </c>
      <c r="R7" s="996">
        <f>'3'!I82</f>
        <v>0</v>
      </c>
      <c r="S7" s="1015">
        <f>'3'!I107</f>
        <v>0</v>
      </c>
      <c r="U7">
        <f t="shared" ref="U7:U69" si="2">IF(OR(ABS(C7)&gt;$U$2,ABS(D7)&gt;$U$2,ABS(E7)&gt;$U$2,ABS(F7)&gt;$U$2,ABS(G7)&gt;$U$2),1,0)</f>
        <v>0</v>
      </c>
      <c r="V7">
        <v>1</v>
      </c>
    </row>
    <row r="8" spans="1:26" ht="14">
      <c r="A8" s="999"/>
      <c r="B8" s="1019" t="str">
        <f>'2'!B35</f>
        <v>סך כל הרווח (הפסד) כולל אחר לתקופה, נטו ממס</v>
      </c>
      <c r="C8" s="994">
        <f t="shared" si="0"/>
        <v>0</v>
      </c>
      <c r="D8" s="994">
        <f t="shared" si="0"/>
        <v>0</v>
      </c>
      <c r="E8" s="994">
        <f t="shared" si="0"/>
        <v>0</v>
      </c>
      <c r="F8" s="994">
        <f t="shared" si="0"/>
        <v>0</v>
      </c>
      <c r="G8" s="994">
        <f t="shared" si="0"/>
        <v>0</v>
      </c>
      <c r="H8" s="993"/>
      <c r="I8" s="1018" t="str">
        <f t="shared" si="1"/>
        <v>סך כל הרווח (הפסד) כולל אחר לתקופה, נטו ממס</v>
      </c>
      <c r="J8" s="1006">
        <f>'2'!C35</f>
        <v>0</v>
      </c>
      <c r="K8" s="995">
        <f>'2'!D35</f>
        <v>0</v>
      </c>
      <c r="L8" s="1007">
        <f>'2'!E35</f>
        <v>0</v>
      </c>
      <c r="M8" s="1007">
        <f>'2'!F35</f>
        <v>0</v>
      </c>
      <c r="N8" s="1004">
        <f>'2'!G35</f>
        <v>0</v>
      </c>
      <c r="O8" s="1013">
        <f>'3'!I18</f>
        <v>0</v>
      </c>
      <c r="P8" s="996">
        <f>'3'!I43</f>
        <v>0</v>
      </c>
      <c r="Q8" s="1014">
        <f>'3'!I68</f>
        <v>0</v>
      </c>
      <c r="R8" s="996">
        <f>'3'!I93</f>
        <v>0</v>
      </c>
      <c r="S8" s="1015">
        <f>'3'!I118</f>
        <v>0</v>
      </c>
      <c r="U8">
        <f t="shared" si="2"/>
        <v>0</v>
      </c>
      <c r="V8">
        <v>1</v>
      </c>
    </row>
    <row r="9" spans="1:26" ht="15.5">
      <c r="A9" s="999">
        <f>ROW()</f>
        <v>9</v>
      </c>
      <c r="B9" s="997" t="s">
        <v>1476</v>
      </c>
      <c r="C9" s="1003" t="str">
        <f>'2'!$C$4</f>
        <v>שנת 2021</v>
      </c>
      <c r="D9" s="1003" t="str">
        <f>'2'!$D$4</f>
        <v>שנת 2020</v>
      </c>
      <c r="E9" s="1020"/>
      <c r="F9" s="1020"/>
      <c r="G9" s="1003" t="str">
        <f>'2'!$G$4</f>
        <v>שנת 2019</v>
      </c>
      <c r="H9" s="201" t="s">
        <v>5970</v>
      </c>
      <c r="I9" s="1016" t="str">
        <f t="shared" si="1"/>
        <v>דוח רווח והפסד - באור מגזרים (B3.1A)</v>
      </c>
      <c r="J9" s="1003" t="str">
        <f>'2'!$C$4</f>
        <v>שנת 2021</v>
      </c>
      <c r="K9" s="1003" t="str">
        <f>'2'!$D$4</f>
        <v>שנת 2020</v>
      </c>
      <c r="L9" s="1020"/>
      <c r="M9" s="1020"/>
      <c r="N9" s="1003" t="str">
        <f>'2'!$G$4</f>
        <v>שנת 2019</v>
      </c>
      <c r="O9" s="1003" t="str">
        <f>'2'!$C$4</f>
        <v>שנת 2021</v>
      </c>
      <c r="P9" s="1003" t="str">
        <f>'2'!$D$4</f>
        <v>שנת 2020</v>
      </c>
      <c r="Q9" s="1020"/>
      <c r="R9" s="1020"/>
      <c r="S9" s="1003" t="str">
        <f>'2'!$G$4</f>
        <v>שנת 2019</v>
      </c>
      <c r="U9" s="1021">
        <f>IF(SUM(U10:U23),1,0)</f>
        <v>0</v>
      </c>
      <c r="V9">
        <v>1</v>
      </c>
    </row>
    <row r="10" spans="1:26" ht="14">
      <c r="A10" s="999">
        <f>ROW()</f>
        <v>10</v>
      </c>
      <c r="B10" s="1019" t="s">
        <v>882</v>
      </c>
      <c r="C10" s="1794">
        <f>IF(OR($H$15=1,O10&lt;&gt;0),J10-O10,0)</f>
        <v>0</v>
      </c>
      <c r="D10" s="994">
        <f t="shared" ref="D10:D23" si="3">IF(K10=P10,0,K10-P10)</f>
        <v>0</v>
      </c>
      <c r="E10" s="994"/>
      <c r="F10" s="994"/>
      <c r="G10" s="994">
        <f>IF(N10=S10,0,N10-S10)</f>
        <v>0</v>
      </c>
      <c r="H10" s="993" t="s">
        <v>5971</v>
      </c>
      <c r="I10" s="1018" t="str">
        <f t="shared" si="1"/>
        <v xml:space="preserve">הכנסות מדמי ניהול </v>
      </c>
      <c r="J10" s="995">
        <f>'2'!C6</f>
        <v>0</v>
      </c>
      <c r="K10" s="995">
        <f>'2'!D6</f>
        <v>0</v>
      </c>
      <c r="L10" s="995"/>
      <c r="M10" s="995"/>
      <c r="N10" s="995">
        <f>'2'!G6</f>
        <v>0</v>
      </c>
      <c r="O10" s="1005">
        <f>'B3.1A'!$F$8</f>
        <v>0</v>
      </c>
      <c r="P10" s="996">
        <f>'B3.1A'!$F$26</f>
        <v>0</v>
      </c>
      <c r="Q10" s="1014"/>
      <c r="R10" s="996"/>
      <c r="S10" s="1015">
        <f>'B3.1A'!$F$44</f>
        <v>0</v>
      </c>
      <c r="U10">
        <f t="shared" si="2"/>
        <v>0</v>
      </c>
      <c r="V10">
        <v>1</v>
      </c>
    </row>
    <row r="11" spans="1:26" ht="14">
      <c r="A11" s="999">
        <f>ROW()</f>
        <v>11</v>
      </c>
      <c r="B11" s="1019" t="s">
        <v>856</v>
      </c>
      <c r="C11" s="994">
        <f t="shared" ref="C11:C23" si="4">IF(J11=O11,0,J11-O11)</f>
        <v>0</v>
      </c>
      <c r="D11" s="994">
        <f t="shared" si="3"/>
        <v>0</v>
      </c>
      <c r="E11" s="994"/>
      <c r="F11" s="994"/>
      <c r="G11" s="994">
        <f t="shared" ref="G11:G23" si="5">IF(N11=S11,0,N11-S11)</f>
        <v>0</v>
      </c>
      <c r="H11" s="993">
        <f>SUM(Dir1A!F42:J42)</f>
        <v>0</v>
      </c>
      <c r="I11" s="1018" t="str">
        <f t="shared" si="1"/>
        <v>רווחים (הפסדים) מהשקעות, נטו והכנסות מימון</v>
      </c>
      <c r="J11" s="995">
        <f>'2'!C7</f>
        <v>0</v>
      </c>
      <c r="K11" s="995">
        <f>'2'!D7</f>
        <v>0</v>
      </c>
      <c r="L11" s="995"/>
      <c r="M11" s="995"/>
      <c r="N11" s="995">
        <f>'2'!G7</f>
        <v>0</v>
      </c>
      <c r="O11" s="1005">
        <f>'B3.1A'!F9</f>
        <v>0</v>
      </c>
      <c r="P11" s="996">
        <f>'B3.1A'!F27</f>
        <v>0</v>
      </c>
      <c r="Q11" s="1014"/>
      <c r="R11" s="996"/>
      <c r="S11" s="1015">
        <f>'B3.1A'!F45</f>
        <v>0</v>
      </c>
      <c r="U11">
        <f t="shared" si="2"/>
        <v>0</v>
      </c>
      <c r="V11">
        <v>1</v>
      </c>
    </row>
    <row r="12" spans="1:26" ht="14">
      <c r="A12" s="999">
        <f>ROW()</f>
        <v>12</v>
      </c>
      <c r="B12" s="1019" t="s">
        <v>857</v>
      </c>
      <c r="C12" s="994">
        <f t="shared" si="4"/>
        <v>0</v>
      </c>
      <c r="D12" s="994">
        <f t="shared" si="3"/>
        <v>0</v>
      </c>
      <c r="E12" s="994"/>
      <c r="F12" s="994"/>
      <c r="G12" s="994">
        <f t="shared" si="5"/>
        <v>0</v>
      </c>
      <c r="H12" s="993" t="s">
        <v>5972</v>
      </c>
      <c r="I12" s="1018" t="str">
        <f t="shared" si="1"/>
        <v>הכנסות אחרות</v>
      </c>
      <c r="J12" s="995">
        <f>'2'!C8</f>
        <v>0</v>
      </c>
      <c r="K12" s="995">
        <f>'2'!D8</f>
        <v>0</v>
      </c>
      <c r="L12" s="995"/>
      <c r="M12" s="995"/>
      <c r="N12" s="995">
        <f>'2'!G8</f>
        <v>0</v>
      </c>
      <c r="O12" s="1005">
        <f>'B3.1A'!F10</f>
        <v>0</v>
      </c>
      <c r="P12" s="996">
        <f>'B3.1A'!F28</f>
        <v>0</v>
      </c>
      <c r="Q12" s="1014"/>
      <c r="R12" s="996"/>
      <c r="S12" s="1015">
        <f>'B3.1A'!F46</f>
        <v>0</v>
      </c>
      <c r="U12">
        <f t="shared" si="2"/>
        <v>0</v>
      </c>
      <c r="V12">
        <v>1</v>
      </c>
    </row>
    <row r="13" spans="1:26" ht="14">
      <c r="A13" s="992">
        <f>ROW()</f>
        <v>13</v>
      </c>
      <c r="B13" s="1019" t="s">
        <v>883</v>
      </c>
      <c r="C13" s="994">
        <f t="shared" si="4"/>
        <v>0</v>
      </c>
      <c r="D13" s="994">
        <f t="shared" si="3"/>
        <v>0</v>
      </c>
      <c r="E13" s="994"/>
      <c r="F13" s="994"/>
      <c r="G13" s="994">
        <f t="shared" si="5"/>
        <v>0</v>
      </c>
      <c r="H13" s="187">
        <f>SUM(Dir1A!D42:E42)</f>
        <v>0</v>
      </c>
      <c r="I13" s="1018" t="str">
        <f t="shared" si="1"/>
        <v xml:space="preserve">סך כל ההכנסות </v>
      </c>
      <c r="J13" s="995">
        <f>'2'!C9</f>
        <v>0</v>
      </c>
      <c r="K13" s="995">
        <f>'2'!D9</f>
        <v>0</v>
      </c>
      <c r="L13" s="995"/>
      <c r="M13" s="995"/>
      <c r="N13" s="995">
        <f>'2'!G9</f>
        <v>0</v>
      </c>
      <c r="O13" s="1005">
        <f>'B3.1A'!F11</f>
        <v>0</v>
      </c>
      <c r="P13" s="996">
        <f>'B3.1A'!F29</f>
        <v>0</v>
      </c>
      <c r="Q13" s="1014"/>
      <c r="R13" s="996"/>
      <c r="S13" s="1015">
        <f>'B3.1A'!F47</f>
        <v>0</v>
      </c>
      <c r="U13">
        <f t="shared" si="2"/>
        <v>0</v>
      </c>
      <c r="V13">
        <v>1</v>
      </c>
    </row>
    <row r="14" spans="1:26" ht="14">
      <c r="A14" s="992">
        <f>ROW()</f>
        <v>14</v>
      </c>
      <c r="B14" s="1019" t="s">
        <v>859</v>
      </c>
      <c r="C14" s="994">
        <f t="shared" si="4"/>
        <v>0</v>
      </c>
      <c r="D14" s="994">
        <f t="shared" si="3"/>
        <v>0</v>
      </c>
      <c r="E14" s="994"/>
      <c r="F14" s="994"/>
      <c r="G14" s="994">
        <f t="shared" si="5"/>
        <v>0</v>
      </c>
      <c r="H14" t="s">
        <v>5973</v>
      </c>
      <c r="I14" s="1018" t="str">
        <f t="shared" si="1"/>
        <v>עמלות, הוצאות שיווק והוצאות רכישה אחרות</v>
      </c>
      <c r="J14" s="995">
        <f>'2'!C10</f>
        <v>0</v>
      </c>
      <c r="K14" s="995">
        <f>'2'!D10</f>
        <v>0</v>
      </c>
      <c r="L14" s="995"/>
      <c r="M14" s="995"/>
      <c r="N14" s="995">
        <f>'2'!G10</f>
        <v>0</v>
      </c>
      <c r="O14" s="1005">
        <f>'B3.1A'!F12</f>
        <v>0</v>
      </c>
      <c r="P14" s="996">
        <f>'B3.1A'!F30</f>
        <v>0</v>
      </c>
      <c r="Q14" s="1014"/>
      <c r="R14" s="996"/>
      <c r="S14" s="1015">
        <f>'B3.1A'!F48</f>
        <v>0</v>
      </c>
      <c r="U14">
        <f t="shared" si="2"/>
        <v>0</v>
      </c>
      <c r="V14">
        <v>1</v>
      </c>
    </row>
    <row r="15" spans="1:26" ht="14">
      <c r="A15" s="992">
        <f>ROW()</f>
        <v>15</v>
      </c>
      <c r="B15" s="1019" t="s">
        <v>884</v>
      </c>
      <c r="C15" s="994">
        <f t="shared" si="4"/>
        <v>0</v>
      </c>
      <c r="D15" s="994">
        <f t="shared" si="3"/>
        <v>0</v>
      </c>
      <c r="E15" s="994"/>
      <c r="F15" s="994"/>
      <c r="G15" s="994">
        <f t="shared" si="5"/>
        <v>0</v>
      </c>
      <c r="H15">
        <f>IF(AND(H11&lt;&gt;0,H13&lt;&gt;0),1,0)</f>
        <v>0</v>
      </c>
      <c r="I15" s="1018" t="str">
        <f t="shared" si="1"/>
        <v>הוצאות הנהלה וכלליות</v>
      </c>
      <c r="J15" s="995">
        <f>'2'!C11</f>
        <v>0</v>
      </c>
      <c r="K15" s="995">
        <f>'2'!D11</f>
        <v>0</v>
      </c>
      <c r="L15" s="995"/>
      <c r="M15" s="995"/>
      <c r="N15" s="995">
        <f>'2'!G11</f>
        <v>0</v>
      </c>
      <c r="O15" s="1005">
        <f>'B3.1A'!F13</f>
        <v>0</v>
      </c>
      <c r="P15" s="996">
        <f>'B3.1A'!F31</f>
        <v>0</v>
      </c>
      <c r="Q15" s="1014"/>
      <c r="R15" s="996"/>
      <c r="S15" s="1015">
        <f>'B3.1A'!F49</f>
        <v>0</v>
      </c>
      <c r="U15">
        <f t="shared" si="2"/>
        <v>0</v>
      </c>
      <c r="V15">
        <v>1</v>
      </c>
    </row>
    <row r="16" spans="1:26" ht="14">
      <c r="A16" s="992">
        <f>ROW()</f>
        <v>16</v>
      </c>
      <c r="B16" s="1019" t="s">
        <v>861</v>
      </c>
      <c r="C16" s="994">
        <f t="shared" si="4"/>
        <v>0</v>
      </c>
      <c r="D16" s="994">
        <f t="shared" si="3"/>
        <v>0</v>
      </c>
      <c r="E16" s="994"/>
      <c r="F16" s="994"/>
      <c r="G16" s="994">
        <f t="shared" si="5"/>
        <v>0</v>
      </c>
      <c r="I16" s="1018" t="str">
        <f t="shared" si="1"/>
        <v>הוצאות אחרות</v>
      </c>
      <c r="J16" s="995">
        <f>'2'!C12</f>
        <v>0</v>
      </c>
      <c r="K16" s="995">
        <f>'2'!D12</f>
        <v>0</v>
      </c>
      <c r="L16" s="995"/>
      <c r="M16" s="995"/>
      <c r="N16" s="995">
        <f>'2'!G12</f>
        <v>0</v>
      </c>
      <c r="O16" s="1005">
        <f>'B3.1A'!F14</f>
        <v>0</v>
      </c>
      <c r="P16" s="996">
        <f>'B3.1A'!F32</f>
        <v>0</v>
      </c>
      <c r="Q16" s="1014"/>
      <c r="R16" s="996"/>
      <c r="S16" s="1015">
        <f>'B3.1A'!F50</f>
        <v>0</v>
      </c>
      <c r="U16">
        <f t="shared" si="2"/>
        <v>0</v>
      </c>
      <c r="V16">
        <v>1</v>
      </c>
    </row>
    <row r="17" spans="1:22" ht="14">
      <c r="A17" s="992">
        <f>ROW()</f>
        <v>17</v>
      </c>
      <c r="B17" s="1019" t="s">
        <v>862</v>
      </c>
      <c r="C17" s="994">
        <f t="shared" si="4"/>
        <v>0</v>
      </c>
      <c r="D17" s="994">
        <f t="shared" si="3"/>
        <v>0</v>
      </c>
      <c r="E17" s="994"/>
      <c r="F17" s="994"/>
      <c r="G17" s="994">
        <f t="shared" si="5"/>
        <v>0</v>
      </c>
      <c r="I17" s="1018" t="str">
        <f t="shared" si="1"/>
        <v>הוצאות מימון</v>
      </c>
      <c r="J17" s="995">
        <f>'2'!C13</f>
        <v>0</v>
      </c>
      <c r="K17" s="995">
        <f>'2'!D13</f>
        <v>0</v>
      </c>
      <c r="L17" s="995"/>
      <c r="M17" s="995"/>
      <c r="N17" s="995">
        <f>'2'!G13</f>
        <v>0</v>
      </c>
      <c r="O17" s="1005">
        <f>'B3.1A'!F15</f>
        <v>0</v>
      </c>
      <c r="P17" s="996">
        <f>'B3.1A'!F33</f>
        <v>0</v>
      </c>
      <c r="Q17" s="1014"/>
      <c r="R17" s="996"/>
      <c r="S17" s="1015">
        <f>'B3.1A'!F51</f>
        <v>0</v>
      </c>
      <c r="U17">
        <f t="shared" si="2"/>
        <v>0</v>
      </c>
      <c r="V17">
        <v>1</v>
      </c>
    </row>
    <row r="18" spans="1:22" ht="14">
      <c r="A18" s="992">
        <f>ROW()</f>
        <v>18</v>
      </c>
      <c r="B18" s="1019" t="s">
        <v>863</v>
      </c>
      <c r="C18" s="994">
        <f t="shared" si="4"/>
        <v>0</v>
      </c>
      <c r="D18" s="994">
        <f t="shared" si="3"/>
        <v>0</v>
      </c>
      <c r="E18" s="994"/>
      <c r="F18" s="994"/>
      <c r="G18" s="994">
        <f t="shared" si="5"/>
        <v>0</v>
      </c>
      <c r="I18" s="1018" t="str">
        <f t="shared" si="1"/>
        <v>סך כל ההוצאות</v>
      </c>
      <c r="J18" s="995">
        <f>'2'!C14</f>
        <v>0</v>
      </c>
      <c r="K18" s="995">
        <f>'2'!D14</f>
        <v>0</v>
      </c>
      <c r="L18" s="995"/>
      <c r="M18" s="995"/>
      <c r="N18" s="995">
        <f>'2'!G14</f>
        <v>0</v>
      </c>
      <c r="O18" s="1005">
        <f>'B3.1A'!F16</f>
        <v>0</v>
      </c>
      <c r="P18" s="996">
        <f>'B3.1A'!F34</f>
        <v>0</v>
      </c>
      <c r="Q18" s="1014"/>
      <c r="R18" s="996"/>
      <c r="S18" s="1015">
        <f>'B3.1A'!F52</f>
        <v>0</v>
      </c>
      <c r="U18">
        <f t="shared" si="2"/>
        <v>0</v>
      </c>
      <c r="V18">
        <v>1</v>
      </c>
    </row>
    <row r="19" spans="1:22" ht="14">
      <c r="A19" s="992">
        <f>ROW()</f>
        <v>19</v>
      </c>
      <c r="B19" s="1019" t="s">
        <v>965</v>
      </c>
      <c r="C19" s="994">
        <f t="shared" si="4"/>
        <v>0</v>
      </c>
      <c r="D19" s="994">
        <f t="shared" si="3"/>
        <v>0</v>
      </c>
      <c r="E19" s="994"/>
      <c r="F19" s="994"/>
      <c r="G19" s="994">
        <f t="shared" si="5"/>
        <v>0</v>
      </c>
      <c r="I19" s="1018" t="str">
        <f t="shared" si="1"/>
        <v xml:space="preserve">רווח (הפסד) </v>
      </c>
      <c r="J19" s="995">
        <f>'2'!C15</f>
        <v>0</v>
      </c>
      <c r="K19" s="995">
        <f>'2'!D15</f>
        <v>0</v>
      </c>
      <c r="L19" s="995"/>
      <c r="M19" s="995"/>
      <c r="N19" s="995">
        <f>'2'!G15</f>
        <v>0</v>
      </c>
      <c r="O19" s="1005">
        <f>'B3.1A'!F17</f>
        <v>0</v>
      </c>
      <c r="P19" s="996">
        <f>'B3.1A'!F35</f>
        <v>0</v>
      </c>
      <c r="Q19" s="1014"/>
      <c r="R19" s="996"/>
      <c r="S19" s="1015">
        <f>'B3.1A'!F53</f>
        <v>0</v>
      </c>
      <c r="U19">
        <f t="shared" si="2"/>
        <v>0</v>
      </c>
      <c r="V19">
        <v>1</v>
      </c>
    </row>
    <row r="20" spans="1:22" ht="14">
      <c r="A20" s="992">
        <f>ROW()</f>
        <v>20</v>
      </c>
      <c r="B20" s="1019" t="s">
        <v>885</v>
      </c>
      <c r="C20" s="994">
        <f t="shared" si="4"/>
        <v>0</v>
      </c>
      <c r="D20" s="994">
        <f t="shared" si="3"/>
        <v>0</v>
      </c>
      <c r="E20" s="994"/>
      <c r="F20" s="994"/>
      <c r="G20" s="994">
        <f t="shared" si="5"/>
        <v>0</v>
      </c>
      <c r="I20" s="1018" t="str">
        <f t="shared" si="1"/>
        <v>חלק הקבוצה ברווחי (הפסדי) חברות מוחזקות הכלולות לפי שיטת השווי המאזני</v>
      </c>
      <c r="J20" s="995">
        <f>'2'!C16</f>
        <v>0</v>
      </c>
      <c r="K20" s="995">
        <f>'2'!D16</f>
        <v>0</v>
      </c>
      <c r="L20" s="995"/>
      <c r="M20" s="995"/>
      <c r="N20" s="995">
        <f>'2'!G16</f>
        <v>0</v>
      </c>
      <c r="O20" s="1005">
        <f>'B3.1A'!F18</f>
        <v>0</v>
      </c>
      <c r="P20" s="996">
        <f>'B3.1A'!F36</f>
        <v>0</v>
      </c>
      <c r="Q20" s="1014"/>
      <c r="R20" s="996"/>
      <c r="S20" s="1015">
        <f>'B3.1A'!F54</f>
        <v>0</v>
      </c>
      <c r="U20">
        <f t="shared" si="2"/>
        <v>0</v>
      </c>
      <c r="V20">
        <v>1</v>
      </c>
    </row>
    <row r="21" spans="1:22" ht="14">
      <c r="A21" s="992">
        <f>ROW()</f>
        <v>21</v>
      </c>
      <c r="B21" s="1019" t="s">
        <v>865</v>
      </c>
      <c r="C21" s="994">
        <f t="shared" si="4"/>
        <v>0</v>
      </c>
      <c r="D21" s="994">
        <f t="shared" si="3"/>
        <v>0</v>
      </c>
      <c r="E21" s="994"/>
      <c r="F21" s="994"/>
      <c r="G21" s="994">
        <f t="shared" si="5"/>
        <v>0</v>
      </c>
      <c r="I21" s="1018" t="str">
        <f t="shared" si="1"/>
        <v>רווח (הפסד) לפני מסים על ההכנסה</v>
      </c>
      <c r="J21" s="995">
        <f>'2'!C17</f>
        <v>0</v>
      </c>
      <c r="K21" s="995">
        <f>'2'!D17</f>
        <v>0</v>
      </c>
      <c r="L21" s="995"/>
      <c r="M21" s="995"/>
      <c r="N21" s="995">
        <f>'2'!G17</f>
        <v>0</v>
      </c>
      <c r="O21" s="1005">
        <f>'B3.1A'!F19</f>
        <v>0</v>
      </c>
      <c r="P21" s="996">
        <f>'B3.1A'!F37</f>
        <v>0</v>
      </c>
      <c r="Q21" s="1014"/>
      <c r="R21" s="996"/>
      <c r="S21" s="1015">
        <f>'B3.1A'!F55</f>
        <v>0</v>
      </c>
      <c r="U21">
        <f t="shared" si="2"/>
        <v>0</v>
      </c>
      <c r="V21">
        <v>1</v>
      </c>
    </row>
    <row r="22" spans="1:22" ht="14">
      <c r="A22" s="992">
        <f>ROW()</f>
        <v>22</v>
      </c>
      <c r="B22" s="1019" t="s">
        <v>966</v>
      </c>
      <c r="C22" s="994">
        <f t="shared" si="4"/>
        <v>0</v>
      </c>
      <c r="D22" s="994">
        <f t="shared" si="3"/>
        <v>0</v>
      </c>
      <c r="E22" s="994"/>
      <c r="F22" s="994"/>
      <c r="G22" s="994">
        <f t="shared" si="5"/>
        <v>0</v>
      </c>
      <c r="I22" s="1018" t="str">
        <f t="shared" si="1"/>
        <v>רווח (הפסד) כולל אחר לפני מסים על הכנסה</v>
      </c>
      <c r="J22" s="995">
        <f>'2'!C35+'2'!C34+'2'!C33</f>
        <v>0</v>
      </c>
      <c r="K22" s="995">
        <f>'2'!D35+'2'!D34+'2'!D33</f>
        <v>0</v>
      </c>
      <c r="L22" s="995"/>
      <c r="M22" s="995"/>
      <c r="N22" s="995">
        <f>'2'!G35+'2'!G34+'2'!G33</f>
        <v>0</v>
      </c>
      <c r="O22" s="1005">
        <f>'B3.1A'!F20</f>
        <v>0</v>
      </c>
      <c r="P22" s="996">
        <f>'B3.1A'!F38</f>
        <v>0</v>
      </c>
      <c r="Q22" s="1014"/>
      <c r="R22" s="996"/>
      <c r="S22" s="1015">
        <f>'B3.1A'!F56</f>
        <v>0</v>
      </c>
      <c r="U22">
        <f t="shared" si="2"/>
        <v>0</v>
      </c>
      <c r="V22">
        <v>1</v>
      </c>
    </row>
    <row r="23" spans="1:22" ht="14">
      <c r="A23" s="992">
        <f>ROW()</f>
        <v>23</v>
      </c>
      <c r="B23" s="1019" t="s">
        <v>967</v>
      </c>
      <c r="C23" s="994">
        <f t="shared" si="4"/>
        <v>0</v>
      </c>
      <c r="D23" s="994">
        <f t="shared" si="3"/>
        <v>0</v>
      </c>
      <c r="E23" s="994"/>
      <c r="F23" s="994"/>
      <c r="G23" s="994">
        <f t="shared" si="5"/>
        <v>0</v>
      </c>
      <c r="I23" s="1018" t="str">
        <f t="shared" si="1"/>
        <v>סך כל הרווח (הפסד) הכולל לתקופה לפני מסים על הכנסה</v>
      </c>
      <c r="J23" s="995">
        <f>J21+J22</f>
        <v>0</v>
      </c>
      <c r="K23" s="995">
        <f>K21+K22</f>
        <v>0</v>
      </c>
      <c r="L23" s="995"/>
      <c r="M23" s="995"/>
      <c r="N23" s="995">
        <f>N21+N22</f>
        <v>0</v>
      </c>
      <c r="O23" s="1005">
        <f>'B3.1A'!F21</f>
        <v>0</v>
      </c>
      <c r="P23" s="996">
        <f>'B3.1A'!F39</f>
        <v>0</v>
      </c>
      <c r="Q23" s="1014"/>
      <c r="R23" s="996"/>
      <c r="S23" s="1015">
        <f>'B3.1A'!F57</f>
        <v>0</v>
      </c>
      <c r="U23">
        <f t="shared" si="2"/>
        <v>0</v>
      </c>
      <c r="V23">
        <v>1</v>
      </c>
    </row>
    <row r="24" spans="1:22" ht="15.5">
      <c r="A24" s="992">
        <f>ROW()</f>
        <v>24</v>
      </c>
      <c r="B24" s="1025" t="s">
        <v>1477</v>
      </c>
      <c r="C24" s="1003" t="str">
        <f>'2'!$C$4</f>
        <v>שנת 2021</v>
      </c>
      <c r="D24" s="1003" t="str">
        <f>'2'!$D$4</f>
        <v>שנת 2020</v>
      </c>
      <c r="E24" s="1020"/>
      <c r="F24" s="1020"/>
      <c r="G24" s="1003" t="str">
        <f>'2'!$G$4</f>
        <v>שנת 2019</v>
      </c>
      <c r="I24" s="1016" t="str">
        <f t="shared" si="1"/>
        <v>מגזר פנסיה (B3.1B) - באור מגזרים (B3.1A)</v>
      </c>
      <c r="J24" s="1003" t="str">
        <f>'2'!$C$4</f>
        <v>שנת 2021</v>
      </c>
      <c r="K24" s="1003" t="str">
        <f>'2'!$D$4</f>
        <v>שנת 2020</v>
      </c>
      <c r="L24" s="1020"/>
      <c r="M24" s="1020"/>
      <c r="N24" s="1003" t="str">
        <f>'2'!$G$4</f>
        <v>שנת 2019</v>
      </c>
      <c r="O24" s="1003" t="str">
        <f>'2'!$C$4</f>
        <v>שנת 2021</v>
      </c>
      <c r="P24" s="1003" t="str">
        <f>'2'!$D$4</f>
        <v>שנת 2020</v>
      </c>
      <c r="Q24" s="1020"/>
      <c r="R24" s="1020"/>
      <c r="S24" s="1003" t="str">
        <f>'2'!$G$4</f>
        <v>שנת 2019</v>
      </c>
      <c r="U24" s="1021">
        <f>IF(SUM(U25:U38),1,0)</f>
        <v>0</v>
      </c>
      <c r="V24">
        <v>1</v>
      </c>
    </row>
    <row r="25" spans="1:22" ht="14">
      <c r="A25" s="992">
        <f>ROW()</f>
        <v>25</v>
      </c>
      <c r="B25" s="1019" t="s">
        <v>882</v>
      </c>
      <c r="C25" s="1794">
        <f>IF(J25=0,(IF(Dir1A!$C$26=0,0,IF(J25=O25,0,J25-O25))),IF(J25=O25,0,J25-O25))</f>
        <v>0</v>
      </c>
      <c r="D25" s="1794">
        <f>IF(K25=0,(IF(Dir1A!$C$26=0,0,IF(K25=P25,0,K25-P25))),IF(K25=P25,0,K25-P25))</f>
        <v>0</v>
      </c>
      <c r="E25" s="994"/>
      <c r="F25" s="994"/>
      <c r="G25" s="1794">
        <f>IF(N25=0,(IF(Dir1A!$C$26=0,0,IF(N25=S25,0,N25-S25))),IF(N25=S25,0,N25-S25))</f>
        <v>0</v>
      </c>
      <c r="I25" s="1017" t="str">
        <f t="shared" si="1"/>
        <v xml:space="preserve">הכנסות מדמי ניהול </v>
      </c>
      <c r="J25" s="995">
        <f>'B3.1B'!E7</f>
        <v>0</v>
      </c>
      <c r="K25" s="995">
        <f>'B3.1B'!E24</f>
        <v>0</v>
      </c>
      <c r="L25" s="995"/>
      <c r="M25" s="995"/>
      <c r="N25" s="995">
        <f>'B3.1B'!E41</f>
        <v>0</v>
      </c>
      <c r="O25" s="1013">
        <f>'B3.1A'!D8</f>
        <v>0</v>
      </c>
      <c r="P25" s="996">
        <f>'B3.1A'!D26</f>
        <v>0</v>
      </c>
      <c r="Q25" s="1014"/>
      <c r="R25" s="996"/>
      <c r="S25" s="1015">
        <f>'B3.1A'!D44</f>
        <v>0</v>
      </c>
      <c r="U25">
        <f t="shared" si="2"/>
        <v>0</v>
      </c>
      <c r="V25">
        <v>1</v>
      </c>
    </row>
    <row r="26" spans="1:22" ht="14">
      <c r="A26" s="992">
        <f>ROW()</f>
        <v>26</v>
      </c>
      <c r="B26" s="1019" t="s">
        <v>856</v>
      </c>
      <c r="C26" s="1794">
        <f>IF(J26=0,(IF(Dir1A!$C$26=0,0,IF(J26=O26,0,J26-O26))),IF(J26=O26,0,J26-O26))</f>
        <v>0</v>
      </c>
      <c r="D26" s="1794">
        <f>IF(K26=0,(IF(Dir1A!$C$26=0,0,IF(K26=P26,0,K26-P26))),IF(K26=P26,0,K26-P26))</f>
        <v>0</v>
      </c>
      <c r="E26" s="994"/>
      <c r="F26" s="994"/>
      <c r="G26" s="1794">
        <f>IF(N26=0,(IF(Dir1A!$C$26=0,0,IF(N26=S26,0,N26-S26))),IF(N26=S26,0,N26-S26))</f>
        <v>0</v>
      </c>
      <c r="I26" s="1017" t="str">
        <f t="shared" si="1"/>
        <v>רווחים (הפסדים) מהשקעות, נטו והכנסות מימון</v>
      </c>
      <c r="J26" s="995">
        <f>'B3.1B'!E8</f>
        <v>0</v>
      </c>
      <c r="K26" s="995">
        <f>'B3.1B'!E25</f>
        <v>0</v>
      </c>
      <c r="L26" s="995"/>
      <c r="M26" s="995"/>
      <c r="N26" s="995">
        <f>'B3.1B'!E42</f>
        <v>0</v>
      </c>
      <c r="O26" s="1013">
        <f>'B3.1A'!D9</f>
        <v>0</v>
      </c>
      <c r="P26" s="996">
        <f>'B3.1A'!D27</f>
        <v>0</v>
      </c>
      <c r="Q26" s="1014"/>
      <c r="R26" s="996"/>
      <c r="S26" s="1015">
        <f>'B3.1A'!D45</f>
        <v>0</v>
      </c>
      <c r="U26">
        <f t="shared" si="2"/>
        <v>0</v>
      </c>
      <c r="V26">
        <v>1</v>
      </c>
    </row>
    <row r="27" spans="1:22" ht="14">
      <c r="A27" s="992">
        <f>ROW()</f>
        <v>27</v>
      </c>
      <c r="B27" s="1019" t="s">
        <v>857</v>
      </c>
      <c r="C27" s="1794">
        <f>IF(J27=0,(IF(Dir1A!$C$26=0,0,IF(J27=O27,0,J27-O27))),IF(J27=O27,0,J27-O27))</f>
        <v>0</v>
      </c>
      <c r="D27" s="1794">
        <f>IF(K27=0,(IF(Dir1A!$C$26=0,0,IF(K27=P27,0,K27-P27))),IF(K27=P27,0,K27-P27))</f>
        <v>0</v>
      </c>
      <c r="E27" s="994"/>
      <c r="F27" s="994"/>
      <c r="G27" s="1794">
        <f>IF(N27=0,(IF(Dir1A!$C$26=0,0,IF(N27=S27,0,N27-S27))),IF(N27=S27,0,N27-S27))</f>
        <v>0</v>
      </c>
      <c r="I27" s="1017" t="str">
        <f t="shared" si="1"/>
        <v>הכנסות אחרות</v>
      </c>
      <c r="J27" s="995">
        <f>'B3.1B'!E9</f>
        <v>0</v>
      </c>
      <c r="K27" s="995">
        <f>'B3.1B'!E26</f>
        <v>0</v>
      </c>
      <c r="L27" s="995"/>
      <c r="M27" s="995"/>
      <c r="N27" s="995">
        <f>'B3.1B'!E43</f>
        <v>0</v>
      </c>
      <c r="O27" s="1013">
        <f>'B3.1A'!D10</f>
        <v>0</v>
      </c>
      <c r="P27" s="996">
        <f>'B3.1A'!D28</f>
        <v>0</v>
      </c>
      <c r="Q27" s="1014"/>
      <c r="R27" s="996"/>
      <c r="S27" s="1015">
        <f>'B3.1A'!D46</f>
        <v>0</v>
      </c>
      <c r="U27">
        <f t="shared" si="2"/>
        <v>0</v>
      </c>
      <c r="V27">
        <v>1</v>
      </c>
    </row>
    <row r="28" spans="1:22" ht="14">
      <c r="A28" s="992">
        <f>ROW()</f>
        <v>28</v>
      </c>
      <c r="B28" s="1019" t="s">
        <v>883</v>
      </c>
      <c r="C28" s="1794">
        <f>IF(J28=0,(IF(Dir1A!$C$26=0,0,IF(J28=O28,0,J28-O28))),IF(J28=O28,0,J28-O28))</f>
        <v>0</v>
      </c>
      <c r="D28" s="1794">
        <f>IF(K28=0,(IF(Dir1A!$C$26=0,0,IF(K28=P28,0,K28-P28))),IF(K28=P28,0,K28-P28))</f>
        <v>0</v>
      </c>
      <c r="E28" s="994"/>
      <c r="F28" s="994"/>
      <c r="G28" s="1794">
        <f>IF(N28=0,(IF(Dir1A!$C$26=0,0,IF(N28=S28,0,N28-S28))),IF(N28=S28,0,N28-S28))</f>
        <v>0</v>
      </c>
      <c r="I28" s="1017" t="str">
        <f t="shared" si="1"/>
        <v xml:space="preserve">סך כל ההכנסות </v>
      </c>
      <c r="J28" s="995">
        <f>'B3.1B'!E10</f>
        <v>0</v>
      </c>
      <c r="K28" s="995">
        <f>'B3.1B'!E27</f>
        <v>0</v>
      </c>
      <c r="L28" s="995"/>
      <c r="M28" s="995"/>
      <c r="N28" s="995">
        <f>'B3.1B'!E44</f>
        <v>0</v>
      </c>
      <c r="O28" s="1013">
        <f>'B3.1A'!D11</f>
        <v>0</v>
      </c>
      <c r="P28" s="996">
        <f>'B3.1A'!D29</f>
        <v>0</v>
      </c>
      <c r="Q28" s="1014"/>
      <c r="R28" s="996"/>
      <c r="S28" s="1015">
        <f>'B3.1A'!D47</f>
        <v>0</v>
      </c>
      <c r="U28">
        <f t="shared" si="2"/>
        <v>0</v>
      </c>
      <c r="V28">
        <v>1</v>
      </c>
    </row>
    <row r="29" spans="1:22" ht="14">
      <c r="A29" s="992">
        <f>ROW()</f>
        <v>29</v>
      </c>
      <c r="B29" s="1019" t="s">
        <v>859</v>
      </c>
      <c r="C29" s="1794">
        <f>IF(J29=0,(IF(Dir1A!$C$26=0,0,IF(J29=O29,0,J29-O29))),IF(J29=O29,0,J29-O29))</f>
        <v>0</v>
      </c>
      <c r="D29" s="1794">
        <f>IF(K29=0,(IF(Dir1A!$C$26=0,0,IF(K29=P29,0,K29-P29))),IF(K29=P29,0,K29-P29))</f>
        <v>0</v>
      </c>
      <c r="E29" s="994"/>
      <c r="F29" s="994"/>
      <c r="G29" s="1794">
        <f>IF(N29=0,(IF(Dir1A!$C$26=0,0,IF(N29=S29,0,N29-S29))),IF(N29=S29,0,N29-S29))</f>
        <v>0</v>
      </c>
      <c r="I29" s="1017" t="str">
        <f t="shared" si="1"/>
        <v>עמלות, הוצאות שיווק והוצאות רכישה אחרות</v>
      </c>
      <c r="J29" s="995">
        <f>'B3.1B'!E11</f>
        <v>0</v>
      </c>
      <c r="K29" s="995">
        <f>'B3.1B'!E28</f>
        <v>0</v>
      </c>
      <c r="L29" s="995"/>
      <c r="M29" s="995"/>
      <c r="N29" s="995">
        <f>'B3.1B'!E45</f>
        <v>0</v>
      </c>
      <c r="O29" s="1013">
        <f>'B3.1A'!D12</f>
        <v>0</v>
      </c>
      <c r="P29" s="996">
        <f>'B3.1A'!D30</f>
        <v>0</v>
      </c>
      <c r="Q29" s="1014"/>
      <c r="R29" s="996"/>
      <c r="S29" s="1015">
        <f>'B3.1A'!D48</f>
        <v>0</v>
      </c>
      <c r="U29">
        <f t="shared" si="2"/>
        <v>0</v>
      </c>
      <c r="V29">
        <v>1</v>
      </c>
    </row>
    <row r="30" spans="1:22" ht="14">
      <c r="A30" s="992">
        <f>ROW()</f>
        <v>30</v>
      </c>
      <c r="B30" s="1019" t="s">
        <v>884</v>
      </c>
      <c r="C30" s="1794">
        <f>IF(J30=0,(IF(Dir1A!$C$26=0,0,IF(J30=O30,0,J30-O30))),IF(J30=O30,0,J30-O30))</f>
        <v>0</v>
      </c>
      <c r="D30" s="1794">
        <f>IF(K30=0,(IF(Dir1A!$C$26=0,0,IF(K30=P30,0,K30-P30))),IF(K30=P30,0,K30-P30))</f>
        <v>0</v>
      </c>
      <c r="E30" s="994"/>
      <c r="F30" s="994"/>
      <c r="G30" s="1794">
        <f>IF(N30=0,(IF(Dir1A!$C$26=0,0,IF(N30=S30,0,N30-S30))),IF(N30=S30,0,N30-S30))</f>
        <v>0</v>
      </c>
      <c r="I30" s="1017" t="str">
        <f t="shared" si="1"/>
        <v>הוצאות הנהלה וכלליות</v>
      </c>
      <c r="J30" s="995">
        <f>'B3.1B'!E12</f>
        <v>0</v>
      </c>
      <c r="K30" s="995">
        <f>'B3.1B'!E29</f>
        <v>0</v>
      </c>
      <c r="L30" s="995"/>
      <c r="M30" s="995"/>
      <c r="N30" s="995">
        <f>'B3.1B'!E46</f>
        <v>0</v>
      </c>
      <c r="O30" s="1013">
        <f>'B3.1A'!D13</f>
        <v>0</v>
      </c>
      <c r="P30" s="996">
        <f>'B3.1A'!D31</f>
        <v>0</v>
      </c>
      <c r="Q30" s="1014"/>
      <c r="R30" s="996"/>
      <c r="S30" s="1015">
        <f>'B3.1A'!D49</f>
        <v>0</v>
      </c>
      <c r="U30">
        <f t="shared" si="2"/>
        <v>0</v>
      </c>
      <c r="V30">
        <v>1</v>
      </c>
    </row>
    <row r="31" spans="1:22" ht="14">
      <c r="A31" s="992">
        <f>ROW()</f>
        <v>31</v>
      </c>
      <c r="B31" s="1019" t="s">
        <v>861</v>
      </c>
      <c r="C31" s="1794">
        <f>IF(J31=0,(IF(Dir1A!$C$26=0,0,IF(J31=O31,0,J31-O31))),IF(J31=O31,0,J31-O31))</f>
        <v>0</v>
      </c>
      <c r="D31" s="1794">
        <f>IF(K31=0,(IF(Dir1A!$C$26=0,0,IF(K31=P31,0,K31-P31))),IF(K31=P31,0,K31-P31))</f>
        <v>0</v>
      </c>
      <c r="E31" s="994"/>
      <c r="F31" s="994"/>
      <c r="G31" s="1794">
        <f>IF(N31=0,(IF(Dir1A!$C$26=0,0,IF(N31=S31,0,N31-S31))),IF(N31=S31,0,N31-S31))</f>
        <v>0</v>
      </c>
      <c r="I31" s="1017" t="str">
        <f t="shared" si="1"/>
        <v>הוצאות אחרות</v>
      </c>
      <c r="J31" s="995">
        <f>'B3.1B'!E13</f>
        <v>0</v>
      </c>
      <c r="K31" s="995">
        <f>'B3.1B'!E30</f>
        <v>0</v>
      </c>
      <c r="L31" s="995"/>
      <c r="M31" s="995"/>
      <c r="N31" s="995">
        <f>'B3.1B'!E47</f>
        <v>0</v>
      </c>
      <c r="O31" s="1013">
        <f>'B3.1A'!D14</f>
        <v>0</v>
      </c>
      <c r="P31" s="996">
        <f>'B3.1A'!D32</f>
        <v>0</v>
      </c>
      <c r="Q31" s="1014"/>
      <c r="R31" s="996"/>
      <c r="S31" s="1015">
        <f>'B3.1A'!D50</f>
        <v>0</v>
      </c>
      <c r="U31">
        <f t="shared" si="2"/>
        <v>0</v>
      </c>
      <c r="V31">
        <v>1</v>
      </c>
    </row>
    <row r="32" spans="1:22" ht="14">
      <c r="A32" s="992">
        <f>ROW()</f>
        <v>32</v>
      </c>
      <c r="B32" s="1019" t="s">
        <v>862</v>
      </c>
      <c r="C32" s="1794">
        <f>IF(J32=0,(IF(Dir1A!$C$26=0,0,IF(J32=O32,0,J32-O32))),IF(J32=O32,0,J32-O32))</f>
        <v>0</v>
      </c>
      <c r="D32" s="1794">
        <f>IF(K32=0,(IF(Dir1A!$C$26=0,0,IF(K32=P32,0,K32-P32))),IF(K32=P32,0,K32-P32))</f>
        <v>0</v>
      </c>
      <c r="E32" s="994"/>
      <c r="F32" s="994"/>
      <c r="G32" s="1794">
        <f>IF(N32=0,(IF(Dir1A!$C$26=0,0,IF(N32=S32,0,N32-S32))),IF(N32=S32,0,N32-S32))</f>
        <v>0</v>
      </c>
      <c r="I32" s="1017" t="str">
        <f t="shared" si="1"/>
        <v>הוצאות מימון</v>
      </c>
      <c r="J32" s="995">
        <f>'B3.1B'!E14</f>
        <v>0</v>
      </c>
      <c r="K32" s="995">
        <f>'B3.1B'!E31</f>
        <v>0</v>
      </c>
      <c r="L32" s="995"/>
      <c r="M32" s="995"/>
      <c r="N32" s="995">
        <f>'B3.1B'!E48</f>
        <v>0</v>
      </c>
      <c r="O32" s="1013">
        <f>'B3.1A'!D15</f>
        <v>0</v>
      </c>
      <c r="P32" s="996">
        <f>'B3.1A'!D33</f>
        <v>0</v>
      </c>
      <c r="Q32" s="1014"/>
      <c r="R32" s="996"/>
      <c r="S32" s="1015">
        <f>'B3.1A'!D51</f>
        <v>0</v>
      </c>
      <c r="U32">
        <f t="shared" si="2"/>
        <v>0</v>
      </c>
      <c r="V32">
        <v>1</v>
      </c>
    </row>
    <row r="33" spans="1:22" ht="14">
      <c r="A33" s="992">
        <f>ROW()</f>
        <v>33</v>
      </c>
      <c r="B33" s="1019" t="s">
        <v>863</v>
      </c>
      <c r="C33" s="1794">
        <f>IF(J33=0,(IF(Dir1A!$C$26=0,0,IF(J33=O33,0,J33-O33))),IF(J33=O33,0,J33-O33))</f>
        <v>0</v>
      </c>
      <c r="D33" s="1794">
        <f>IF(K33=0,(IF(Dir1A!$C$26=0,0,IF(K33=P33,0,K33-P33))),IF(K33=P33,0,K33-P33))</f>
        <v>0</v>
      </c>
      <c r="E33" s="994"/>
      <c r="F33" s="994"/>
      <c r="G33" s="1794">
        <f>IF(N33=0,(IF(Dir1A!$C$26=0,0,IF(N33=S33,0,N33-S33))),IF(N33=S33,0,N33-S33))</f>
        <v>0</v>
      </c>
      <c r="I33" s="1017" t="str">
        <f t="shared" si="1"/>
        <v>סך כל ההוצאות</v>
      </c>
      <c r="J33" s="995">
        <f>'B3.1B'!E15</f>
        <v>0</v>
      </c>
      <c r="K33" s="995">
        <f>'B3.1B'!E32</f>
        <v>0</v>
      </c>
      <c r="L33" s="995"/>
      <c r="M33" s="995"/>
      <c r="N33" s="995">
        <f>'B3.1B'!E49</f>
        <v>0</v>
      </c>
      <c r="O33" s="1013">
        <f>'B3.1A'!D16</f>
        <v>0</v>
      </c>
      <c r="P33" s="996">
        <f>'B3.1A'!D34</f>
        <v>0</v>
      </c>
      <c r="Q33" s="1014"/>
      <c r="R33" s="996"/>
      <c r="S33" s="1015">
        <f>'B3.1A'!D52</f>
        <v>0</v>
      </c>
      <c r="U33">
        <f t="shared" si="2"/>
        <v>0</v>
      </c>
      <c r="V33">
        <v>1</v>
      </c>
    </row>
    <row r="34" spans="1:22" ht="14">
      <c r="A34" s="992">
        <f>ROW()</f>
        <v>34</v>
      </c>
      <c r="B34" s="1019" t="s">
        <v>965</v>
      </c>
      <c r="C34" s="1794">
        <f>IF(J34=0,(IF(Dir1A!$C$26=0,0,IF(J34=O34,0,J34-O34))),IF(J34=O34,0,J34-O34))</f>
        <v>0</v>
      </c>
      <c r="D34" s="1794">
        <f>IF(K34=0,(IF(Dir1A!$C$26=0,0,IF(K34=P34,0,K34-P34))),IF(K34=P34,0,K34-P34))</f>
        <v>0</v>
      </c>
      <c r="E34" s="994"/>
      <c r="F34" s="994"/>
      <c r="G34" s="1794">
        <f>IF(N34=0,(IF(Dir1A!$C$26=0,0,IF(N34=S34,0,N34-S34))),IF(N34=S34,0,N34-S34))</f>
        <v>0</v>
      </c>
      <c r="I34" s="1017" t="str">
        <f t="shared" si="1"/>
        <v xml:space="preserve">רווח (הפסד) </v>
      </c>
      <c r="J34" s="995">
        <f>'B3.1B'!E16</f>
        <v>0</v>
      </c>
      <c r="K34" s="995">
        <f>'B3.1B'!E33</f>
        <v>0</v>
      </c>
      <c r="L34" s="995"/>
      <c r="M34" s="995"/>
      <c r="N34" s="995">
        <f>'B3.1B'!E50</f>
        <v>0</v>
      </c>
      <c r="O34" s="1013">
        <f>'B3.1A'!D17</f>
        <v>0</v>
      </c>
      <c r="P34" s="996">
        <f>'B3.1A'!D35</f>
        <v>0</v>
      </c>
      <c r="Q34" s="1014"/>
      <c r="R34" s="996"/>
      <c r="S34" s="1015">
        <f>'B3.1A'!D53</f>
        <v>0</v>
      </c>
      <c r="U34">
        <f t="shared" si="2"/>
        <v>0</v>
      </c>
      <c r="V34">
        <v>1</v>
      </c>
    </row>
    <row r="35" spans="1:22" ht="14">
      <c r="A35" s="992">
        <f>ROW()</f>
        <v>35</v>
      </c>
      <c r="B35" s="1019" t="s">
        <v>885</v>
      </c>
      <c r="C35" s="1794">
        <f>IF(J35=0,(IF(Dir1A!$C$26=0,0,IF(J35=O35,0,J35-O35))),IF(J35=O35,0,J35-O35))</f>
        <v>0</v>
      </c>
      <c r="D35" s="1794">
        <f>IF(K35=0,(IF(Dir1A!$C$26=0,0,IF(K35=P35,0,K35-P35))),IF(K35=P35,0,K35-P35))</f>
        <v>0</v>
      </c>
      <c r="E35" s="994"/>
      <c r="F35" s="994"/>
      <c r="G35" s="1794">
        <f>IF(N35=0,(IF(Dir1A!$C$26=0,0,IF(N35=S35,0,N35-S35))),IF(N35=S35,0,N35-S35))</f>
        <v>0</v>
      </c>
      <c r="I35" s="1017" t="str">
        <f t="shared" si="1"/>
        <v>חלק הקבוצה ברווחי (הפסדי) חברות מוחזקות הכלולות לפי שיטת השווי המאזני</v>
      </c>
      <c r="J35" s="995">
        <f>'B3.1B'!E17</f>
        <v>0</v>
      </c>
      <c r="K35" s="995">
        <f>'B3.1B'!E34</f>
        <v>0</v>
      </c>
      <c r="L35" s="995"/>
      <c r="M35" s="995"/>
      <c r="N35" s="995">
        <f>'B3.1B'!E51</f>
        <v>0</v>
      </c>
      <c r="O35" s="1013">
        <f>'B3.1A'!D18</f>
        <v>0</v>
      </c>
      <c r="P35" s="996">
        <f>'B3.1A'!D36</f>
        <v>0</v>
      </c>
      <c r="Q35" s="1014"/>
      <c r="R35" s="996"/>
      <c r="S35" s="1015">
        <f>'B3.1A'!D54</f>
        <v>0</v>
      </c>
      <c r="U35">
        <f t="shared" si="2"/>
        <v>0</v>
      </c>
      <c r="V35">
        <v>1</v>
      </c>
    </row>
    <row r="36" spans="1:22" ht="14">
      <c r="A36" s="992">
        <f>ROW()</f>
        <v>36</v>
      </c>
      <c r="B36" s="1019" t="s">
        <v>865</v>
      </c>
      <c r="C36" s="1794">
        <f>IF(J36=0,(IF(Dir1A!$C$26=0,0,IF(J36=O36,0,J36-O36))),IF(J36=O36,0,J36-O36))</f>
        <v>0</v>
      </c>
      <c r="D36" s="1794">
        <f>IF(K36=0,(IF(Dir1A!$C$26=0,0,IF(K36=P36,0,K36-P36))),IF(K36=P36,0,K36-P36))</f>
        <v>0</v>
      </c>
      <c r="E36" s="994"/>
      <c r="F36" s="994"/>
      <c r="G36" s="1794">
        <f>IF(N36=0,(IF(Dir1A!$C$26=0,0,IF(N36=S36,0,N36-S36))),IF(N36=S36,0,N36-S36))</f>
        <v>0</v>
      </c>
      <c r="I36" s="1017" t="str">
        <f t="shared" si="1"/>
        <v>רווח (הפסד) לפני מסים על ההכנסה</v>
      </c>
      <c r="J36" s="995">
        <f>'B3.1B'!E18</f>
        <v>0</v>
      </c>
      <c r="K36" s="995">
        <f>'B3.1B'!E35</f>
        <v>0</v>
      </c>
      <c r="L36" s="995"/>
      <c r="M36" s="995"/>
      <c r="N36" s="995">
        <f>'B3.1B'!E52</f>
        <v>0</v>
      </c>
      <c r="O36" s="1013">
        <f>'B3.1A'!D19</f>
        <v>0</v>
      </c>
      <c r="P36" s="996">
        <f>'B3.1A'!D37</f>
        <v>0</v>
      </c>
      <c r="Q36" s="1014"/>
      <c r="R36" s="996"/>
      <c r="S36" s="1015">
        <f>'B3.1A'!D55</f>
        <v>0</v>
      </c>
      <c r="U36">
        <f t="shared" si="2"/>
        <v>0</v>
      </c>
      <c r="V36">
        <v>1</v>
      </c>
    </row>
    <row r="37" spans="1:22" ht="14">
      <c r="A37" s="992">
        <f>ROW()</f>
        <v>37</v>
      </c>
      <c r="B37" s="1019" t="s">
        <v>966</v>
      </c>
      <c r="C37" s="1794">
        <f>IF(J37=0,(IF(Dir1A!$C$26=0,0,IF(J37=O37,0,J37-O37))),IF(J37=O37,0,J37-O37))</f>
        <v>0</v>
      </c>
      <c r="D37" s="1794">
        <f>IF(K37=0,(IF(Dir1A!$C$26=0,0,IF(K37=P37,0,K37-P37))),IF(K37=P37,0,K37-P37))</f>
        <v>0</v>
      </c>
      <c r="E37" s="994"/>
      <c r="F37" s="994"/>
      <c r="G37" s="1794">
        <f>IF(N37=0,(IF(Dir1A!$C$26=0,0,IF(N37=S37,0,N37-S37))),IF(N37=S37,0,N37-S37))</f>
        <v>0</v>
      </c>
      <c r="I37" s="1017" t="str">
        <f t="shared" si="1"/>
        <v>רווח (הפסד) כולל אחר לפני מסים על הכנסה</v>
      </c>
      <c r="J37" s="995">
        <f>'B3.1B'!E19</f>
        <v>0</v>
      </c>
      <c r="K37" s="995">
        <f>'B3.1B'!E36</f>
        <v>0</v>
      </c>
      <c r="L37" s="995"/>
      <c r="M37" s="995"/>
      <c r="N37" s="995">
        <f>'B3.1B'!E53</f>
        <v>0</v>
      </c>
      <c r="O37" s="1013">
        <f>'B3.1A'!D20</f>
        <v>0</v>
      </c>
      <c r="P37" s="996">
        <f>'B3.1A'!D38</f>
        <v>0</v>
      </c>
      <c r="Q37" s="1014"/>
      <c r="R37" s="996"/>
      <c r="S37" s="1015">
        <f>'B3.1A'!D56</f>
        <v>0</v>
      </c>
      <c r="U37">
        <f t="shared" si="2"/>
        <v>0</v>
      </c>
      <c r="V37">
        <v>1</v>
      </c>
    </row>
    <row r="38" spans="1:22" ht="14">
      <c r="A38" s="992">
        <f>ROW()</f>
        <v>38</v>
      </c>
      <c r="B38" s="1019" t="s">
        <v>967</v>
      </c>
      <c r="C38" s="1794">
        <f>IF(J38=0,(IF(Dir1A!$C$26=0,0,IF(J38=O38,0,J38-O38))),IF(J38=O38,0,J38-O38))</f>
        <v>0</v>
      </c>
      <c r="D38" s="1794">
        <f>IF(K38=0,(IF(Dir1A!$C$26=0,0,IF(K38=P38,0,K38-P38))),IF(K38=P38,0,K38-P38))</f>
        <v>0</v>
      </c>
      <c r="E38" s="994"/>
      <c r="F38" s="994"/>
      <c r="G38" s="1794">
        <f>IF(N38=0,(IF(Dir1A!$C$26=0,0,IF(N38=S38,0,N38-S38))),IF(N38=S38,0,N38-S38))</f>
        <v>0</v>
      </c>
      <c r="I38" s="1017" t="str">
        <f t="shared" si="1"/>
        <v>סך כל הרווח (הפסד) הכולל לתקופה לפני מסים על הכנסה</v>
      </c>
      <c r="J38" s="995">
        <f>'B3.1B'!E20</f>
        <v>0</v>
      </c>
      <c r="K38" s="995">
        <f>'B3.1B'!E37</f>
        <v>0</v>
      </c>
      <c r="L38" s="995"/>
      <c r="M38" s="995"/>
      <c r="N38" s="995">
        <f>'B3.1B'!E54</f>
        <v>0</v>
      </c>
      <c r="O38" s="1013">
        <f>'B3.1A'!D21</f>
        <v>0</v>
      </c>
      <c r="P38" s="996">
        <f>'B3.1A'!D39</f>
        <v>0</v>
      </c>
      <c r="Q38" s="1014"/>
      <c r="R38" s="996"/>
      <c r="S38" s="1015">
        <f>'B3.1A'!D57</f>
        <v>0</v>
      </c>
      <c r="U38">
        <f t="shared" si="2"/>
        <v>0</v>
      </c>
      <c r="V38">
        <v>1</v>
      </c>
    </row>
    <row r="39" spans="1:22" ht="15.5">
      <c r="A39" s="992">
        <f>ROW()</f>
        <v>39</v>
      </c>
      <c r="B39" s="1025" t="s">
        <v>1478</v>
      </c>
      <c r="C39" s="1003" t="str">
        <f>'2'!$C$4</f>
        <v>שנת 2021</v>
      </c>
      <c r="D39" s="1003" t="str">
        <f>'2'!$D$4</f>
        <v>שנת 2020</v>
      </c>
      <c r="E39" s="1020"/>
      <c r="F39" s="1020"/>
      <c r="G39" s="1003" t="str">
        <f>'2'!$G$4</f>
        <v>שנת 2019</v>
      </c>
      <c r="I39" s="1016" t="str">
        <f t="shared" si="1"/>
        <v>מגזר גמל (B3.1C) - באור מגזרים (B3.1A)</v>
      </c>
      <c r="J39" s="1003" t="str">
        <f>'2'!$C$4</f>
        <v>שנת 2021</v>
      </c>
      <c r="K39" s="1003" t="str">
        <f>'2'!$D$4</f>
        <v>שנת 2020</v>
      </c>
      <c r="L39" s="1020"/>
      <c r="M39" s="1020"/>
      <c r="N39" s="1003" t="str">
        <f>'2'!$G$4</f>
        <v>שנת 2019</v>
      </c>
      <c r="O39" s="1003" t="str">
        <f>'2'!$C$4</f>
        <v>שנת 2021</v>
      </c>
      <c r="P39" s="1003" t="str">
        <f>'2'!$D$4</f>
        <v>שנת 2020</v>
      </c>
      <c r="Q39" s="1020"/>
      <c r="R39" s="1020"/>
      <c r="S39" s="1003" t="str">
        <f>'2'!$G$4</f>
        <v>שנת 2019</v>
      </c>
      <c r="U39" s="1021">
        <f>IF(SUM(U40:U53),1,0)</f>
        <v>0</v>
      </c>
      <c r="V39">
        <v>1</v>
      </c>
    </row>
    <row r="40" spans="1:22" ht="14">
      <c r="A40" s="992">
        <f>ROW()</f>
        <v>40</v>
      </c>
      <c r="B40" s="1019" t="s">
        <v>882</v>
      </c>
      <c r="C40" s="1794">
        <f>IF(J40=0,0,IF(J40=O40,0,J40-O40))</f>
        <v>0</v>
      </c>
      <c r="D40" s="1794">
        <f>IF(K40=0,0,IF(K40=P40,0,K40-P40))</f>
        <v>0</v>
      </c>
      <c r="E40" s="1794"/>
      <c r="F40" s="1794"/>
      <c r="G40" s="1794">
        <f>IF(N40=0,0,IF(N40=S40,0,N40-S40))</f>
        <v>0</v>
      </c>
      <c r="I40" s="1017" t="str">
        <f t="shared" si="1"/>
        <v xml:space="preserve">הכנסות מדמי ניהול </v>
      </c>
      <c r="J40" s="995">
        <f>'B3.1C'!F7</f>
        <v>0</v>
      </c>
      <c r="K40" s="995">
        <f>'B3.1C'!F24</f>
        <v>0</v>
      </c>
      <c r="L40" s="995"/>
      <c r="M40" s="995"/>
      <c r="N40" s="995">
        <f>'B3.1C'!F41</f>
        <v>0</v>
      </c>
      <c r="O40" s="1013">
        <f>'B3.1A'!C8</f>
        <v>0</v>
      </c>
      <c r="P40" s="996">
        <f>'B3.1A'!C26</f>
        <v>0</v>
      </c>
      <c r="Q40" s="1014"/>
      <c r="R40" s="996"/>
      <c r="S40" s="1015">
        <f>'B3.1A'!C44</f>
        <v>0</v>
      </c>
      <c r="U40">
        <f t="shared" si="2"/>
        <v>0</v>
      </c>
      <c r="V40">
        <v>1</v>
      </c>
    </row>
    <row r="41" spans="1:22" ht="14">
      <c r="A41" s="992">
        <f>ROW()</f>
        <v>41</v>
      </c>
      <c r="B41" s="1019" t="s">
        <v>856</v>
      </c>
      <c r="C41" s="1794">
        <f t="shared" ref="C41:C53" si="6">IF(J41=0,0,IF(J41=O41,0,J41-O41))</f>
        <v>0</v>
      </c>
      <c r="D41" s="1794">
        <f t="shared" ref="D41:D53" si="7">IF(K41=0,0,IF(K41=P41,0,K41-P41))</f>
        <v>0</v>
      </c>
      <c r="E41" s="1794"/>
      <c r="F41" s="1794"/>
      <c r="G41" s="1794">
        <f t="shared" ref="G41:G53" si="8">IF(N41=0,0,IF(N41=S41,0,N41-S41))</f>
        <v>0</v>
      </c>
      <c r="I41" s="1017" t="str">
        <f t="shared" si="1"/>
        <v>רווחים (הפסדים) מהשקעות, נטו והכנסות מימון</v>
      </c>
      <c r="J41" s="995">
        <f>'B3.1C'!F8</f>
        <v>0</v>
      </c>
      <c r="K41" s="995">
        <f>'B3.1C'!F25</f>
        <v>0</v>
      </c>
      <c r="L41" s="995"/>
      <c r="M41" s="995"/>
      <c r="N41" s="995">
        <f>'B3.1C'!F42</f>
        <v>0</v>
      </c>
      <c r="O41" s="1013">
        <f>'B3.1A'!C9</f>
        <v>0</v>
      </c>
      <c r="P41" s="996">
        <f>'B3.1A'!C27</f>
        <v>0</v>
      </c>
      <c r="Q41" s="1014"/>
      <c r="R41" s="996"/>
      <c r="S41" s="1015">
        <f>'B3.1A'!C45</f>
        <v>0</v>
      </c>
      <c r="U41">
        <f t="shared" si="2"/>
        <v>0</v>
      </c>
      <c r="V41">
        <v>1</v>
      </c>
    </row>
    <row r="42" spans="1:22" ht="14">
      <c r="A42" s="992">
        <f>ROW()</f>
        <v>42</v>
      </c>
      <c r="B42" s="1019" t="s">
        <v>857</v>
      </c>
      <c r="C42" s="1794">
        <f t="shared" si="6"/>
        <v>0</v>
      </c>
      <c r="D42" s="1794">
        <f t="shared" si="7"/>
        <v>0</v>
      </c>
      <c r="E42" s="1794"/>
      <c r="F42" s="1794"/>
      <c r="G42" s="1794">
        <f t="shared" si="8"/>
        <v>0</v>
      </c>
      <c r="I42" s="1017" t="str">
        <f t="shared" si="1"/>
        <v>הכנסות אחרות</v>
      </c>
      <c r="J42" s="995">
        <f>'B3.1C'!F9</f>
        <v>0</v>
      </c>
      <c r="K42" s="995">
        <f>'B3.1C'!F26</f>
        <v>0</v>
      </c>
      <c r="L42" s="995"/>
      <c r="M42" s="995"/>
      <c r="N42" s="995">
        <f>'B3.1C'!F43</f>
        <v>0</v>
      </c>
      <c r="O42" s="1013">
        <f>'B3.1A'!C10</f>
        <v>0</v>
      </c>
      <c r="P42" s="996">
        <f>'B3.1A'!C28</f>
        <v>0</v>
      </c>
      <c r="Q42" s="1014"/>
      <c r="R42" s="996"/>
      <c r="S42" s="1015">
        <f>'B3.1A'!C46</f>
        <v>0</v>
      </c>
      <c r="U42">
        <f t="shared" si="2"/>
        <v>0</v>
      </c>
      <c r="V42">
        <v>1</v>
      </c>
    </row>
    <row r="43" spans="1:22" ht="14">
      <c r="A43" s="992">
        <f>ROW()</f>
        <v>43</v>
      </c>
      <c r="B43" s="1019" t="s">
        <v>883</v>
      </c>
      <c r="C43" s="1794">
        <f t="shared" si="6"/>
        <v>0</v>
      </c>
      <c r="D43" s="1794">
        <f t="shared" si="7"/>
        <v>0</v>
      </c>
      <c r="E43" s="1794"/>
      <c r="F43" s="1794"/>
      <c r="G43" s="1794">
        <f t="shared" si="8"/>
        <v>0</v>
      </c>
      <c r="I43" s="1017" t="str">
        <f t="shared" si="1"/>
        <v xml:space="preserve">סך כל ההכנסות </v>
      </c>
      <c r="J43" s="995">
        <f>'B3.1C'!F10</f>
        <v>0</v>
      </c>
      <c r="K43" s="995">
        <f>'B3.1C'!F27</f>
        <v>0</v>
      </c>
      <c r="L43" s="995"/>
      <c r="M43" s="995"/>
      <c r="N43" s="995">
        <f>'B3.1C'!F44</f>
        <v>0</v>
      </c>
      <c r="O43" s="1013">
        <f>'B3.1A'!C11</f>
        <v>0</v>
      </c>
      <c r="P43" s="996">
        <f>'B3.1A'!C29</f>
        <v>0</v>
      </c>
      <c r="Q43" s="1014"/>
      <c r="R43" s="996"/>
      <c r="S43" s="1015">
        <f>'B3.1A'!C47</f>
        <v>0</v>
      </c>
      <c r="U43">
        <f t="shared" si="2"/>
        <v>0</v>
      </c>
      <c r="V43">
        <v>1</v>
      </c>
    </row>
    <row r="44" spans="1:22" ht="14">
      <c r="A44" s="992">
        <f>ROW()</f>
        <v>44</v>
      </c>
      <c r="B44" s="1019" t="s">
        <v>859</v>
      </c>
      <c r="C44" s="1794">
        <f t="shared" si="6"/>
        <v>0</v>
      </c>
      <c r="D44" s="1794">
        <f t="shared" si="7"/>
        <v>0</v>
      </c>
      <c r="E44" s="1794"/>
      <c r="F44" s="1794"/>
      <c r="G44" s="1794">
        <f t="shared" si="8"/>
        <v>0</v>
      </c>
      <c r="I44" s="1017" t="str">
        <f t="shared" si="1"/>
        <v>עמלות, הוצאות שיווק והוצאות רכישה אחרות</v>
      </c>
      <c r="J44" s="995">
        <f>'B3.1C'!F11</f>
        <v>0</v>
      </c>
      <c r="K44" s="995">
        <f>'B3.1C'!F28</f>
        <v>0</v>
      </c>
      <c r="L44" s="995"/>
      <c r="M44" s="995"/>
      <c r="N44" s="995">
        <f>'B3.1C'!F45</f>
        <v>0</v>
      </c>
      <c r="O44" s="1013">
        <f>'B3.1A'!C12</f>
        <v>0</v>
      </c>
      <c r="P44" s="996">
        <f>'B3.1A'!C30</f>
        <v>0</v>
      </c>
      <c r="Q44" s="1014"/>
      <c r="R44" s="996"/>
      <c r="S44" s="1015">
        <f>'B3.1A'!C48</f>
        <v>0</v>
      </c>
      <c r="U44">
        <f t="shared" si="2"/>
        <v>0</v>
      </c>
      <c r="V44">
        <v>1</v>
      </c>
    </row>
    <row r="45" spans="1:22" ht="14">
      <c r="A45" s="992">
        <f>ROW()</f>
        <v>45</v>
      </c>
      <c r="B45" s="1019" t="s">
        <v>884</v>
      </c>
      <c r="C45" s="1794">
        <f t="shared" si="6"/>
        <v>0</v>
      </c>
      <c r="D45" s="1794">
        <f t="shared" si="7"/>
        <v>0</v>
      </c>
      <c r="E45" s="1794"/>
      <c r="F45" s="1794"/>
      <c r="G45" s="1794">
        <f t="shared" si="8"/>
        <v>0</v>
      </c>
      <c r="I45" s="1017" t="str">
        <f t="shared" si="1"/>
        <v>הוצאות הנהלה וכלליות</v>
      </c>
      <c r="J45" s="995">
        <f>'B3.1C'!F12</f>
        <v>0</v>
      </c>
      <c r="K45" s="995">
        <f>'B3.1C'!F29</f>
        <v>0</v>
      </c>
      <c r="L45" s="995"/>
      <c r="M45" s="995"/>
      <c r="N45" s="995">
        <f>'B3.1C'!F46</f>
        <v>0</v>
      </c>
      <c r="O45" s="1013">
        <f>'B3.1A'!C13</f>
        <v>0</v>
      </c>
      <c r="P45" s="996">
        <f>'B3.1A'!C31</f>
        <v>0</v>
      </c>
      <c r="Q45" s="1014"/>
      <c r="R45" s="996"/>
      <c r="S45" s="1015">
        <f>'B3.1A'!C49</f>
        <v>0</v>
      </c>
      <c r="U45">
        <f t="shared" si="2"/>
        <v>0</v>
      </c>
      <c r="V45">
        <v>1</v>
      </c>
    </row>
    <row r="46" spans="1:22" ht="14">
      <c r="A46" s="992">
        <f>ROW()</f>
        <v>46</v>
      </c>
      <c r="B46" s="1019" t="s">
        <v>861</v>
      </c>
      <c r="C46" s="1794">
        <f t="shared" si="6"/>
        <v>0</v>
      </c>
      <c r="D46" s="1794">
        <f t="shared" si="7"/>
        <v>0</v>
      </c>
      <c r="E46" s="1794"/>
      <c r="F46" s="1794"/>
      <c r="G46" s="1794">
        <f t="shared" si="8"/>
        <v>0</v>
      </c>
      <c r="I46" s="1017" t="str">
        <f t="shared" si="1"/>
        <v>הוצאות אחרות</v>
      </c>
      <c r="J46" s="995">
        <f>'B3.1C'!F13</f>
        <v>0</v>
      </c>
      <c r="K46" s="995">
        <f>'B3.1C'!F30</f>
        <v>0</v>
      </c>
      <c r="L46" s="995"/>
      <c r="M46" s="995"/>
      <c r="N46" s="995">
        <f>'B3.1C'!F47</f>
        <v>0</v>
      </c>
      <c r="O46" s="1013">
        <f>'B3.1A'!C14</f>
        <v>0</v>
      </c>
      <c r="P46" s="996">
        <f>'B3.1A'!C32</f>
        <v>0</v>
      </c>
      <c r="Q46" s="1014"/>
      <c r="R46" s="996"/>
      <c r="S46" s="1015">
        <f>'B3.1A'!C50</f>
        <v>0</v>
      </c>
      <c r="U46">
        <f t="shared" si="2"/>
        <v>0</v>
      </c>
      <c r="V46">
        <v>1</v>
      </c>
    </row>
    <row r="47" spans="1:22" ht="14">
      <c r="A47" s="992">
        <f>ROW()</f>
        <v>47</v>
      </c>
      <c r="B47" s="1019" t="s">
        <v>862</v>
      </c>
      <c r="C47" s="1794">
        <f t="shared" si="6"/>
        <v>0</v>
      </c>
      <c r="D47" s="1794">
        <f t="shared" si="7"/>
        <v>0</v>
      </c>
      <c r="E47" s="1794"/>
      <c r="F47" s="1794"/>
      <c r="G47" s="1794">
        <f t="shared" si="8"/>
        <v>0</v>
      </c>
      <c r="I47" s="1017" t="str">
        <f t="shared" si="1"/>
        <v>הוצאות מימון</v>
      </c>
      <c r="J47" s="995">
        <f>'B3.1C'!F14</f>
        <v>0</v>
      </c>
      <c r="K47" s="995">
        <f>'B3.1C'!F31</f>
        <v>0</v>
      </c>
      <c r="L47" s="995"/>
      <c r="M47" s="995"/>
      <c r="N47" s="995">
        <f>'B3.1C'!F48</f>
        <v>0</v>
      </c>
      <c r="O47" s="1013">
        <f>'B3.1A'!C15</f>
        <v>0</v>
      </c>
      <c r="P47" s="996">
        <f>'B3.1A'!C33</f>
        <v>0</v>
      </c>
      <c r="Q47" s="1014"/>
      <c r="R47" s="996"/>
      <c r="S47" s="1015">
        <f>'B3.1A'!C51</f>
        <v>0</v>
      </c>
      <c r="U47">
        <f t="shared" si="2"/>
        <v>0</v>
      </c>
      <c r="V47">
        <v>1</v>
      </c>
    </row>
    <row r="48" spans="1:22" ht="14">
      <c r="A48" s="992">
        <f>ROW()</f>
        <v>48</v>
      </c>
      <c r="B48" s="1019" t="s">
        <v>863</v>
      </c>
      <c r="C48" s="1794">
        <f t="shared" si="6"/>
        <v>0</v>
      </c>
      <c r="D48" s="1794">
        <f t="shared" si="7"/>
        <v>0</v>
      </c>
      <c r="E48" s="1794"/>
      <c r="F48" s="1794"/>
      <c r="G48" s="1794">
        <f t="shared" si="8"/>
        <v>0</v>
      </c>
      <c r="I48" s="1017" t="str">
        <f t="shared" si="1"/>
        <v>סך כל ההוצאות</v>
      </c>
      <c r="J48" s="995">
        <f>'B3.1C'!F15</f>
        <v>0</v>
      </c>
      <c r="K48" s="995">
        <f>'B3.1C'!F32</f>
        <v>0</v>
      </c>
      <c r="L48" s="995"/>
      <c r="M48" s="995"/>
      <c r="N48" s="995">
        <f>'B3.1C'!F49</f>
        <v>0</v>
      </c>
      <c r="O48" s="1013">
        <f>'B3.1A'!C16</f>
        <v>0</v>
      </c>
      <c r="P48" s="996">
        <f>'B3.1A'!C34</f>
        <v>0</v>
      </c>
      <c r="Q48" s="1014"/>
      <c r="R48" s="996"/>
      <c r="S48" s="1015">
        <f>'B3.1A'!C52</f>
        <v>0</v>
      </c>
      <c r="U48">
        <f t="shared" si="2"/>
        <v>0</v>
      </c>
      <c r="V48">
        <v>1</v>
      </c>
    </row>
    <row r="49" spans="1:22" ht="14">
      <c r="A49" s="992">
        <f>ROW()</f>
        <v>49</v>
      </c>
      <c r="B49" s="1019" t="s">
        <v>965</v>
      </c>
      <c r="C49" s="1794">
        <f t="shared" si="6"/>
        <v>0</v>
      </c>
      <c r="D49" s="1794">
        <f t="shared" si="7"/>
        <v>0</v>
      </c>
      <c r="E49" s="1794"/>
      <c r="F49" s="1794"/>
      <c r="G49" s="1794">
        <f t="shared" si="8"/>
        <v>0</v>
      </c>
      <c r="I49" s="1017" t="str">
        <f t="shared" si="1"/>
        <v xml:space="preserve">רווח (הפסד) </v>
      </c>
      <c r="J49" s="995">
        <f>'B3.1C'!F16</f>
        <v>0</v>
      </c>
      <c r="K49" s="995">
        <f>'B3.1C'!F33</f>
        <v>0</v>
      </c>
      <c r="L49" s="995"/>
      <c r="M49" s="995"/>
      <c r="N49" s="995">
        <f>'B3.1C'!F50</f>
        <v>0</v>
      </c>
      <c r="O49" s="1013">
        <f>'B3.1A'!C17</f>
        <v>0</v>
      </c>
      <c r="P49" s="996">
        <f>'B3.1A'!C35</f>
        <v>0</v>
      </c>
      <c r="Q49" s="1014"/>
      <c r="R49" s="996"/>
      <c r="S49" s="1015">
        <f>'B3.1A'!C53</f>
        <v>0</v>
      </c>
      <c r="U49">
        <f t="shared" si="2"/>
        <v>0</v>
      </c>
      <c r="V49">
        <v>1</v>
      </c>
    </row>
    <row r="50" spans="1:22" ht="14">
      <c r="A50" s="992">
        <f>ROW()</f>
        <v>50</v>
      </c>
      <c r="B50" s="1019" t="s">
        <v>885</v>
      </c>
      <c r="C50" s="1794">
        <f t="shared" si="6"/>
        <v>0</v>
      </c>
      <c r="D50" s="1794">
        <f t="shared" si="7"/>
        <v>0</v>
      </c>
      <c r="E50" s="1794"/>
      <c r="F50" s="1794"/>
      <c r="G50" s="1794">
        <f t="shared" si="8"/>
        <v>0</v>
      </c>
      <c r="I50" s="1017" t="str">
        <f t="shared" si="1"/>
        <v>חלק הקבוצה ברווחי (הפסדי) חברות מוחזקות הכלולות לפי שיטת השווי המאזני</v>
      </c>
      <c r="J50" s="995">
        <f>'B3.1C'!F17</f>
        <v>0</v>
      </c>
      <c r="K50" s="995">
        <f>'B3.1C'!F34</f>
        <v>0</v>
      </c>
      <c r="L50" s="995"/>
      <c r="M50" s="995"/>
      <c r="N50" s="995">
        <f>'B3.1C'!F51</f>
        <v>0</v>
      </c>
      <c r="O50" s="1013">
        <f>'B3.1A'!C18</f>
        <v>0</v>
      </c>
      <c r="P50" s="996">
        <f>'B3.1A'!C36</f>
        <v>0</v>
      </c>
      <c r="Q50" s="1014"/>
      <c r="R50" s="996"/>
      <c r="S50" s="1015">
        <f>'B3.1A'!C54</f>
        <v>0</v>
      </c>
      <c r="U50">
        <f t="shared" si="2"/>
        <v>0</v>
      </c>
      <c r="V50">
        <v>1</v>
      </c>
    </row>
    <row r="51" spans="1:22" ht="14">
      <c r="A51" s="992">
        <f>ROW()</f>
        <v>51</v>
      </c>
      <c r="B51" s="1019" t="s">
        <v>865</v>
      </c>
      <c r="C51" s="1794">
        <f t="shared" si="6"/>
        <v>0</v>
      </c>
      <c r="D51" s="1794">
        <f t="shared" si="7"/>
        <v>0</v>
      </c>
      <c r="E51" s="1794"/>
      <c r="F51" s="1794"/>
      <c r="G51" s="1794">
        <f t="shared" si="8"/>
        <v>0</v>
      </c>
      <c r="I51" s="1017" t="str">
        <f t="shared" si="1"/>
        <v>רווח (הפסד) לפני מסים על ההכנסה</v>
      </c>
      <c r="J51" s="995">
        <f>'B3.1C'!F18</f>
        <v>0</v>
      </c>
      <c r="K51" s="995">
        <f>'B3.1C'!F35</f>
        <v>0</v>
      </c>
      <c r="L51" s="995"/>
      <c r="M51" s="995"/>
      <c r="N51" s="995">
        <f>'B3.1C'!F52</f>
        <v>0</v>
      </c>
      <c r="O51" s="1013">
        <f>'B3.1A'!C19</f>
        <v>0</v>
      </c>
      <c r="P51" s="996">
        <f>'B3.1A'!C37</f>
        <v>0</v>
      </c>
      <c r="Q51" s="1014"/>
      <c r="R51" s="996"/>
      <c r="S51" s="1015">
        <f>'B3.1A'!C55</f>
        <v>0</v>
      </c>
      <c r="U51">
        <f t="shared" si="2"/>
        <v>0</v>
      </c>
      <c r="V51">
        <v>1</v>
      </c>
    </row>
    <row r="52" spans="1:22" ht="14">
      <c r="A52" s="992">
        <f>ROW()</f>
        <v>52</v>
      </c>
      <c r="B52" s="1019" t="s">
        <v>966</v>
      </c>
      <c r="C52" s="1794">
        <f t="shared" si="6"/>
        <v>0</v>
      </c>
      <c r="D52" s="1794">
        <f t="shared" si="7"/>
        <v>0</v>
      </c>
      <c r="E52" s="1794"/>
      <c r="F52" s="1794"/>
      <c r="G52" s="1794">
        <f t="shared" si="8"/>
        <v>0</v>
      </c>
      <c r="I52" s="1017" t="str">
        <f t="shared" si="1"/>
        <v>רווח (הפסד) כולל אחר לפני מסים על הכנסה</v>
      </c>
      <c r="J52" s="995">
        <f>'B3.1C'!F19</f>
        <v>0</v>
      </c>
      <c r="K52" s="995">
        <f>'B3.1C'!F36</f>
        <v>0</v>
      </c>
      <c r="L52" s="995"/>
      <c r="M52" s="995"/>
      <c r="N52" s="995">
        <f>'B3.1C'!F53</f>
        <v>0</v>
      </c>
      <c r="O52" s="1013">
        <f>'B3.1A'!C20</f>
        <v>0</v>
      </c>
      <c r="P52" s="996">
        <f>'B3.1A'!C38</f>
        <v>0</v>
      </c>
      <c r="Q52" s="1014"/>
      <c r="R52" s="996"/>
      <c r="S52" s="1015">
        <f>'B3.1A'!C56</f>
        <v>0</v>
      </c>
      <c r="U52">
        <f t="shared" si="2"/>
        <v>0</v>
      </c>
      <c r="V52">
        <v>1</v>
      </c>
    </row>
    <row r="53" spans="1:22" ht="14">
      <c r="A53" s="992">
        <f>ROW()</f>
        <v>53</v>
      </c>
      <c r="B53" s="1019" t="s">
        <v>967</v>
      </c>
      <c r="C53" s="1794">
        <f t="shared" si="6"/>
        <v>0</v>
      </c>
      <c r="D53" s="1794">
        <f t="shared" si="7"/>
        <v>0</v>
      </c>
      <c r="E53" s="1794"/>
      <c r="F53" s="1794"/>
      <c r="G53" s="1794">
        <f t="shared" si="8"/>
        <v>0</v>
      </c>
      <c r="I53" s="1017" t="str">
        <f t="shared" si="1"/>
        <v>סך כל הרווח (הפסד) הכולל לתקופה לפני מסים על הכנסה</v>
      </c>
      <c r="J53" s="995">
        <f>'B3.1C'!F20</f>
        <v>0</v>
      </c>
      <c r="K53" s="995">
        <f>'B3.1C'!F37</f>
        <v>0</v>
      </c>
      <c r="L53" s="995"/>
      <c r="M53" s="995"/>
      <c r="N53" s="995">
        <f>'B3.1C'!F54</f>
        <v>0</v>
      </c>
      <c r="O53" s="1013">
        <f>'B3.1A'!C21</f>
        <v>0</v>
      </c>
      <c r="P53" s="996">
        <f>'B3.1A'!C39</f>
        <v>0</v>
      </c>
      <c r="Q53" s="1014"/>
      <c r="R53" s="996"/>
      <c r="S53" s="1015">
        <f>'B3.1A'!C57</f>
        <v>0</v>
      </c>
      <c r="U53">
        <f t="shared" si="2"/>
        <v>0</v>
      </c>
      <c r="V53">
        <v>1</v>
      </c>
    </row>
    <row r="54" spans="1:22" ht="15.5">
      <c r="A54" s="992">
        <f>ROW()</f>
        <v>54</v>
      </c>
      <c r="B54" s="1025" t="s">
        <v>1479</v>
      </c>
      <c r="C54" s="1003" t="str">
        <f>'1'!$C$4</f>
        <v>31.12.2021</v>
      </c>
      <c r="D54" s="994"/>
      <c r="E54" s="994"/>
      <c r="F54" s="994"/>
      <c r="G54" s="994"/>
      <c r="I54" s="1022" t="str">
        <f t="shared" si="1"/>
        <v>מאזן - טופס 106</v>
      </c>
      <c r="J54" s="1003" t="str">
        <f>'1'!$C$4</f>
        <v>31.12.2021</v>
      </c>
      <c r="K54" s="994"/>
      <c r="L54" s="994"/>
      <c r="M54" s="994"/>
      <c r="N54" s="994"/>
      <c r="O54" s="1003" t="str">
        <f>'1'!$C$4</f>
        <v>31.12.2021</v>
      </c>
      <c r="P54" s="1003"/>
      <c r="Q54" s="1003"/>
      <c r="R54" s="994"/>
      <c r="S54" s="994"/>
      <c r="U54" s="1021">
        <f>IF(SUM(U55:U60),1,0)</f>
        <v>0</v>
      </c>
      <c r="V54">
        <v>1</v>
      </c>
    </row>
    <row r="55" spans="1:22" ht="14">
      <c r="A55" s="992">
        <f>ROW()</f>
        <v>55</v>
      </c>
      <c r="B55" s="1019" t="s">
        <v>6</v>
      </c>
      <c r="C55" s="994">
        <f t="shared" ref="C55:C60" si="9">IF(J55=O55,0,J55-O55)</f>
        <v>0</v>
      </c>
      <c r="D55" s="994"/>
      <c r="E55" s="994"/>
      <c r="F55" s="994"/>
      <c r="G55" s="994"/>
      <c r="I55" s="1017" t="str">
        <f t="shared" si="1"/>
        <v>מזומנים ושווי מזומנים</v>
      </c>
      <c r="J55" s="995">
        <f>'1'!C22</f>
        <v>0</v>
      </c>
      <c r="K55" s="995"/>
      <c r="L55" s="995"/>
      <c r="M55" s="995"/>
      <c r="N55" s="995"/>
      <c r="O55" s="1013">
        <f>'106'!J9</f>
        <v>0</v>
      </c>
      <c r="P55" s="996"/>
      <c r="Q55" s="1014"/>
      <c r="R55" s="996"/>
      <c r="S55" s="1015"/>
      <c r="U55">
        <f t="shared" si="2"/>
        <v>0</v>
      </c>
      <c r="V55">
        <v>1</v>
      </c>
    </row>
    <row r="56" spans="1:22" ht="14">
      <c r="A56" s="992">
        <f>ROW()</f>
        <v>56</v>
      </c>
      <c r="B56" s="1019" t="s">
        <v>818</v>
      </c>
      <c r="C56" s="994">
        <f t="shared" si="9"/>
        <v>0</v>
      </c>
      <c r="D56" s="994"/>
      <c r="E56" s="994"/>
      <c r="F56" s="994"/>
      <c r="G56" s="994"/>
      <c r="I56" s="1017" t="str">
        <f t="shared" si="1"/>
        <v>סך כל השקעות פיננסיות</v>
      </c>
      <c r="J56" s="995">
        <f>'1'!C21</f>
        <v>0</v>
      </c>
      <c r="K56" s="995"/>
      <c r="L56" s="995"/>
      <c r="M56" s="995"/>
      <c r="N56" s="995"/>
      <c r="O56" s="1013">
        <f>'106'!J8-SUM(O55,O57:O58)</f>
        <v>0</v>
      </c>
      <c r="P56" s="996"/>
      <c r="Q56" s="1014"/>
      <c r="R56" s="996"/>
      <c r="S56" s="1015"/>
      <c r="U56">
        <f t="shared" si="2"/>
        <v>0</v>
      </c>
      <c r="V56">
        <v>1</v>
      </c>
    </row>
    <row r="57" spans="1:22" ht="14">
      <c r="A57" s="992">
        <f>ROW()</f>
        <v>57</v>
      </c>
      <c r="B57" s="1019" t="s">
        <v>1458</v>
      </c>
      <c r="C57" s="994">
        <f t="shared" si="9"/>
        <v>0</v>
      </c>
      <c r="D57" s="994"/>
      <c r="E57" s="994"/>
      <c r="F57" s="994"/>
      <c r="G57" s="994"/>
      <c r="I57" s="1017" t="str">
        <f t="shared" si="1"/>
        <v>השקעות בחברות מוחזקות</v>
      </c>
      <c r="J57" s="995">
        <f>'1'!C12</f>
        <v>0</v>
      </c>
      <c r="K57" s="995"/>
      <c r="L57" s="995"/>
      <c r="M57" s="995"/>
      <c r="N57" s="995"/>
      <c r="O57" s="1013">
        <f>'106'!J452</f>
        <v>0</v>
      </c>
      <c r="P57" s="996"/>
      <c r="Q57" s="1014"/>
      <c r="R57" s="996"/>
      <c r="S57" s="1015"/>
      <c r="U57">
        <f t="shared" si="2"/>
        <v>0</v>
      </c>
      <c r="V57">
        <v>1</v>
      </c>
    </row>
    <row r="58" spans="1:22" ht="14">
      <c r="A58" s="992">
        <f>ROW()</f>
        <v>58</v>
      </c>
      <c r="B58" s="1019" t="s">
        <v>811</v>
      </c>
      <c r="C58" s="994">
        <f t="shared" si="9"/>
        <v>0</v>
      </c>
      <c r="D58" s="994"/>
      <c r="E58" s="994"/>
      <c r="F58" s="994"/>
      <c r="G58" s="994"/>
      <c r="I58" s="1017" t="str">
        <f t="shared" si="1"/>
        <v>נדל"ן להשקעה</v>
      </c>
      <c r="J58" s="995">
        <f>'1'!C13</f>
        <v>0</v>
      </c>
      <c r="K58" s="995"/>
      <c r="L58" s="995"/>
      <c r="M58" s="995"/>
      <c r="N58" s="995"/>
      <c r="O58" s="1013">
        <f>'106'!J484</f>
        <v>0</v>
      </c>
      <c r="P58" s="996"/>
      <c r="Q58" s="1014"/>
      <c r="R58" s="996"/>
      <c r="S58" s="1015"/>
      <c r="U58">
        <f t="shared" si="2"/>
        <v>0</v>
      </c>
      <c r="V58">
        <v>1</v>
      </c>
    </row>
    <row r="59" spans="1:22" ht="14">
      <c r="A59" s="992">
        <f>ROW()</f>
        <v>59</v>
      </c>
      <c r="B59" s="1019" t="s">
        <v>213</v>
      </c>
      <c r="C59" s="994">
        <f t="shared" si="9"/>
        <v>0</v>
      </c>
      <c r="D59" s="994"/>
      <c r="E59" s="994"/>
      <c r="F59" s="994"/>
      <c r="G59" s="994"/>
      <c r="I59" s="1017" t="str">
        <f t="shared" si="1"/>
        <v>רכוש קבוע</v>
      </c>
      <c r="J59" s="995">
        <f>'1'!C11</f>
        <v>0</v>
      </c>
      <c r="K59" s="995"/>
      <c r="L59" s="995"/>
      <c r="M59" s="995"/>
      <c r="N59" s="995"/>
      <c r="O59" s="1013">
        <f>'106'!J494</f>
        <v>0</v>
      </c>
      <c r="P59" s="996"/>
      <c r="Q59" s="1014"/>
      <c r="R59" s="996"/>
      <c r="S59" s="1015"/>
      <c r="U59">
        <f t="shared" si="2"/>
        <v>0</v>
      </c>
      <c r="V59">
        <v>1</v>
      </c>
    </row>
    <row r="60" spans="1:22" ht="14">
      <c r="A60" s="992">
        <f>ROW()</f>
        <v>60</v>
      </c>
      <c r="B60" s="1019" t="s">
        <v>819</v>
      </c>
      <c r="C60" s="994">
        <f t="shared" si="9"/>
        <v>0</v>
      </c>
      <c r="D60" s="994"/>
      <c r="E60" s="994"/>
      <c r="F60" s="994"/>
      <c r="G60" s="994"/>
      <c r="I60" s="1017" t="str">
        <f t="shared" si="1"/>
        <v>סך כל הנכסים</v>
      </c>
      <c r="J60" s="995">
        <f>'1'!C24</f>
        <v>0</v>
      </c>
      <c r="K60" s="995"/>
      <c r="L60" s="995"/>
      <c r="M60" s="995"/>
      <c r="N60" s="995"/>
      <c r="O60" s="1013">
        <f>'106'!J535</f>
        <v>0</v>
      </c>
      <c r="P60" s="996"/>
      <c r="Q60" s="1014"/>
      <c r="R60" s="996"/>
      <c r="S60" s="1015"/>
      <c r="U60">
        <f t="shared" si="2"/>
        <v>0</v>
      </c>
      <c r="V60">
        <v>1</v>
      </c>
    </row>
    <row r="61" spans="1:22" ht="15.5">
      <c r="A61" s="992">
        <f>ROW()</f>
        <v>61</v>
      </c>
      <c r="B61" s="1025" t="s">
        <v>1480</v>
      </c>
      <c r="C61" s="1003" t="str">
        <f>'1'!$C$4</f>
        <v>31.12.2021</v>
      </c>
      <c r="D61" s="994"/>
      <c r="E61" s="994"/>
      <c r="F61" s="994"/>
      <c r="G61" s="994"/>
      <c r="I61" s="1022" t="str">
        <f>B61</f>
        <v>באור 13ב' - טופס 101</v>
      </c>
      <c r="J61" s="1003" t="str">
        <f>'1'!$C$4</f>
        <v>31.12.2021</v>
      </c>
      <c r="K61" s="1026" t="s">
        <v>1481</v>
      </c>
      <c r="L61" s="994"/>
      <c r="M61" s="994"/>
      <c r="N61" s="994"/>
      <c r="O61" s="1003" t="str">
        <f>'1'!$C$4</f>
        <v>31.12.2021</v>
      </c>
      <c r="P61" s="1003" t="s">
        <v>1482</v>
      </c>
      <c r="Q61" s="1003"/>
      <c r="R61" s="994"/>
      <c r="S61" s="994"/>
      <c r="U61" s="1021">
        <f>IF(SUM(U62:U67),1,0)</f>
        <v>0</v>
      </c>
      <c r="V61">
        <v>1</v>
      </c>
    </row>
    <row r="62" spans="1:22" ht="14">
      <c r="A62" s="992">
        <f>ROW()</f>
        <v>62</v>
      </c>
      <c r="B62" s="1019" t="str">
        <f>'B13'!B27</f>
        <v>הסכום הנדרש על פי תקנות ההון</v>
      </c>
      <c r="C62" s="994">
        <f t="shared" ref="C62:C74" si="10">IF(J62=O62,0,J62-O62)</f>
        <v>0</v>
      </c>
      <c r="D62" s="994"/>
      <c r="E62" s="994"/>
      <c r="F62" s="994"/>
      <c r="G62" s="994"/>
      <c r="I62" s="1017" t="str">
        <f t="shared" si="1"/>
        <v>הסכום הנדרש על פי תקנות ההון</v>
      </c>
      <c r="J62" s="995">
        <f>'B13'!C27</f>
        <v>0</v>
      </c>
      <c r="K62" s="995"/>
      <c r="L62" s="995"/>
      <c r="M62" s="995"/>
      <c r="N62" s="995"/>
      <c r="O62" s="1013">
        <f>'T101'!J39</f>
        <v>0</v>
      </c>
      <c r="P62" s="996"/>
      <c r="Q62" s="1014"/>
      <c r="R62" s="996"/>
      <c r="S62" s="1015"/>
      <c r="U62">
        <f t="shared" si="2"/>
        <v>0</v>
      </c>
      <c r="V62">
        <v>1</v>
      </c>
    </row>
    <row r="63" spans="1:22" ht="14">
      <c r="A63" s="992">
        <f>ROW()</f>
        <v>63</v>
      </c>
      <c r="B63" s="1019" t="str">
        <f>'B13'!B31</f>
        <v>הסכום הנדרש ליום הדוח על פי תקנות ההון</v>
      </c>
      <c r="C63" s="994">
        <f t="shared" si="10"/>
        <v>0</v>
      </c>
      <c r="D63" s="994"/>
      <c r="E63" s="994"/>
      <c r="F63" s="994"/>
      <c r="G63" s="994"/>
      <c r="I63" s="1017" t="str">
        <f t="shared" si="1"/>
        <v>הסכום הנדרש ליום הדוח על פי תקנות ההון</v>
      </c>
      <c r="J63" s="995">
        <f>'B13'!C31</f>
        <v>0</v>
      </c>
      <c r="K63" s="995"/>
      <c r="L63" s="995"/>
      <c r="M63" s="995"/>
      <c r="N63" s="995"/>
      <c r="O63" s="1013">
        <f>'T101'!J39</f>
        <v>0</v>
      </c>
      <c r="P63" s="996"/>
      <c r="Q63" s="1014"/>
      <c r="R63" s="996"/>
      <c r="S63" s="1015"/>
      <c r="U63">
        <f t="shared" si="2"/>
        <v>0</v>
      </c>
      <c r="V63">
        <v>1</v>
      </c>
    </row>
    <row r="64" spans="1:22" ht="14">
      <c r="A64" s="992">
        <f>ROW()</f>
        <v>64</v>
      </c>
      <c r="B64" s="1019" t="str">
        <f>'B13'!B32</f>
        <v>הון עצמי קיים</v>
      </c>
      <c r="C64" s="994">
        <f t="shared" si="10"/>
        <v>0</v>
      </c>
      <c r="D64" s="994"/>
      <c r="E64" s="994"/>
      <c r="F64" s="994"/>
      <c r="G64" s="994"/>
      <c r="I64" s="1017" t="str">
        <f t="shared" si="1"/>
        <v>הון עצמי קיים</v>
      </c>
      <c r="J64" s="995">
        <f>'B13'!C32</f>
        <v>0</v>
      </c>
      <c r="K64" s="995"/>
      <c r="L64" s="995"/>
      <c r="M64" s="995"/>
      <c r="N64" s="995"/>
      <c r="O64" s="1013">
        <f>'T101'!J38</f>
        <v>0</v>
      </c>
      <c r="P64" s="996"/>
      <c r="Q64" s="1014"/>
      <c r="R64" s="996"/>
      <c r="S64" s="1015"/>
      <c r="U64">
        <f t="shared" si="2"/>
        <v>0</v>
      </c>
      <c r="V64">
        <v>1</v>
      </c>
    </row>
    <row r="65" spans="1:22" ht="14">
      <c r="A65" s="992">
        <f>ROW()</f>
        <v>65</v>
      </c>
      <c r="B65" s="1019" t="str">
        <f>'B13'!B33</f>
        <v>עודף (גרעון)</v>
      </c>
      <c r="C65" s="994">
        <f t="shared" si="10"/>
        <v>0</v>
      </c>
      <c r="D65" s="994"/>
      <c r="E65" s="994"/>
      <c r="F65" s="994"/>
      <c r="G65" s="994"/>
      <c r="I65" s="1017" t="str">
        <f t="shared" si="1"/>
        <v>עודף (גרעון)</v>
      </c>
      <c r="J65" s="995">
        <f>'B13'!C33</f>
        <v>0</v>
      </c>
      <c r="K65" s="995"/>
      <c r="L65" s="995"/>
      <c r="M65" s="995"/>
      <c r="N65" s="995"/>
      <c r="O65" s="1013">
        <f>'T101'!J40</f>
        <v>0</v>
      </c>
      <c r="P65" s="996"/>
      <c r="Q65" s="1014"/>
      <c r="R65" s="996"/>
      <c r="S65" s="1015"/>
      <c r="U65">
        <f t="shared" si="2"/>
        <v>0</v>
      </c>
      <c r="V65">
        <v>1</v>
      </c>
    </row>
    <row r="66" spans="1:22" ht="14">
      <c r="A66" s="992">
        <f>ROW()</f>
        <v>66</v>
      </c>
      <c r="B66" s="1019" t="str">
        <f>'B13'!B38</f>
        <v>סה"כ פעולות לאחר תאריך המאזן</v>
      </c>
      <c r="C66" s="994">
        <f t="shared" si="10"/>
        <v>0</v>
      </c>
      <c r="D66" s="994"/>
      <c r="E66" s="994"/>
      <c r="F66" s="994"/>
      <c r="G66" s="994"/>
      <c r="I66" s="1017" t="str">
        <f t="shared" si="1"/>
        <v>סה"כ פעולות לאחר תאריך המאזן</v>
      </c>
      <c r="J66" s="995">
        <f>'B13'!C38</f>
        <v>0</v>
      </c>
      <c r="K66" s="995"/>
      <c r="L66" s="995"/>
      <c r="M66" s="995"/>
      <c r="N66" s="995"/>
      <c r="O66" s="1013">
        <f>'T101'!J41</f>
        <v>0</v>
      </c>
      <c r="P66" s="996"/>
      <c r="Q66" s="1014"/>
      <c r="R66" s="996"/>
      <c r="S66" s="1015"/>
      <c r="U66">
        <f t="shared" si="2"/>
        <v>0</v>
      </c>
      <c r="V66">
        <v>1</v>
      </c>
    </row>
    <row r="67" spans="1:22" ht="14">
      <c r="A67" s="992">
        <f>ROW()</f>
        <v>67</v>
      </c>
      <c r="B67" s="1019" t="str">
        <f>'B13'!B41</f>
        <v>הסכום הנדרש כולל, דרישות הון בגין:</v>
      </c>
      <c r="C67" s="994">
        <f t="shared" si="10"/>
        <v>0</v>
      </c>
      <c r="D67" s="994"/>
      <c r="E67" s="994"/>
      <c r="F67" s="994"/>
      <c r="G67" s="994"/>
      <c r="I67" s="1017" t="str">
        <f t="shared" si="1"/>
        <v>הסכום הנדרש כולל, דרישות הון בגין:</v>
      </c>
      <c r="J67" s="995"/>
      <c r="K67" s="995"/>
      <c r="L67" s="995"/>
      <c r="M67" s="995"/>
      <c r="N67" s="995"/>
      <c r="O67" s="1013"/>
      <c r="P67" s="996"/>
      <c r="Q67" s="1014"/>
      <c r="R67" s="996"/>
      <c r="S67" s="1015"/>
      <c r="U67">
        <f t="shared" si="2"/>
        <v>0</v>
      </c>
      <c r="V67">
        <v>1</v>
      </c>
    </row>
    <row r="68" spans="1:22" ht="14">
      <c r="A68" s="992">
        <f>ROW()</f>
        <v>68</v>
      </c>
      <c r="B68" s="1019" t="str">
        <f>'B13'!B43</f>
        <v>היקף נכסים מנוהלים</v>
      </c>
      <c r="C68" s="994">
        <f t="shared" si="10"/>
        <v>0</v>
      </c>
      <c r="D68" s="994"/>
      <c r="E68" s="994"/>
      <c r="F68" s="994"/>
      <c r="G68" s="994"/>
      <c r="I68" s="1017" t="str">
        <f t="shared" si="1"/>
        <v>היקף נכסים מנוהלים</v>
      </c>
      <c r="J68" s="995">
        <f>'B13'!C43</f>
        <v>0</v>
      </c>
      <c r="K68" s="995"/>
      <c r="L68" s="995"/>
      <c r="M68" s="995"/>
      <c r="N68" s="995"/>
      <c r="O68" s="1013">
        <f>'T101'!J11</f>
        <v>0</v>
      </c>
      <c r="P68" s="996"/>
      <c r="Q68" s="1014"/>
      <c r="R68" s="996"/>
      <c r="S68" s="1015"/>
      <c r="U68">
        <f t="shared" si="2"/>
        <v>0</v>
      </c>
      <c r="V68">
        <v>1</v>
      </c>
    </row>
    <row r="69" spans="1:22" ht="14">
      <c r="A69" s="992">
        <f>ROW()</f>
        <v>69</v>
      </c>
      <c r="B69" s="1019" t="str">
        <f>'B13'!B44</f>
        <v>הוצאות שנתיות</v>
      </c>
      <c r="C69" s="994">
        <f t="shared" si="10"/>
        <v>0</v>
      </c>
      <c r="D69" s="994"/>
      <c r="E69" s="994"/>
      <c r="F69" s="994"/>
      <c r="G69" s="994"/>
      <c r="I69" s="1017" t="str">
        <f t="shared" si="1"/>
        <v>הוצאות שנתיות</v>
      </c>
      <c r="J69" s="995">
        <f>'B13'!C44</f>
        <v>0</v>
      </c>
      <c r="K69" s="995"/>
      <c r="L69" s="995"/>
      <c r="M69" s="995"/>
      <c r="N69" s="995"/>
      <c r="O69" s="1013">
        <f>'T101'!J13</f>
        <v>0</v>
      </c>
      <c r="P69" s="996"/>
      <c r="Q69" s="1014"/>
      <c r="R69" s="996"/>
      <c r="S69" s="1015"/>
      <c r="U69">
        <f t="shared" si="2"/>
        <v>0</v>
      </c>
      <c r="V69">
        <v>1</v>
      </c>
    </row>
    <row r="70" spans="1:22" ht="14">
      <c r="A70" s="992">
        <f>ROW()</f>
        <v>70</v>
      </c>
      <c r="B70" s="1019" t="str">
        <f>'B13'!B45</f>
        <v>חברות מנהלות נשלטות</v>
      </c>
      <c r="C70" s="994">
        <f t="shared" si="10"/>
        <v>0</v>
      </c>
      <c r="D70" s="994"/>
      <c r="E70" s="994"/>
      <c r="F70" s="994"/>
      <c r="G70" s="994"/>
      <c r="I70" s="1017" t="str">
        <f t="shared" si="1"/>
        <v>חברות מנהלות נשלטות</v>
      </c>
      <c r="J70" s="995">
        <f>'B13'!C45</f>
        <v>0</v>
      </c>
      <c r="K70" s="995"/>
      <c r="L70" s="995"/>
      <c r="M70" s="995"/>
      <c r="N70" s="995"/>
      <c r="O70" s="1013">
        <f>'T101'!L18</f>
        <v>0</v>
      </c>
      <c r="P70" s="996"/>
      <c r="Q70" s="1014"/>
      <c r="R70" s="996"/>
      <c r="S70" s="1015"/>
      <c r="U70">
        <f t="shared" ref="U70:U133" si="11">IF(OR(ABS(C70)&gt;$U$2,ABS(D70)&gt;$U$2,ABS(E70)&gt;$U$2,ABS(F70)&gt;$U$2,ABS(G70)&gt;$U$2),1,0)</f>
        <v>0</v>
      </c>
      <c r="V70">
        <v>1</v>
      </c>
    </row>
    <row r="71" spans="1:22" ht="14">
      <c r="A71" s="992">
        <f>ROW()</f>
        <v>71</v>
      </c>
      <c r="B71" s="1019" t="str">
        <f>'B13'!B46</f>
        <v>דרישות הון מיוחדות על פי הנחיות הממונה</v>
      </c>
      <c r="C71" s="994">
        <f t="shared" si="10"/>
        <v>0</v>
      </c>
      <c r="D71" s="994"/>
      <c r="E71" s="994"/>
      <c r="F71" s="994"/>
      <c r="G71" s="994"/>
      <c r="I71" s="1017" t="str">
        <f t="shared" ref="I71:I78" si="12">B71</f>
        <v>דרישות הון מיוחדות על פי הנחיות הממונה</v>
      </c>
      <c r="J71" s="995">
        <f>'B13'!C46</f>
        <v>0</v>
      </c>
      <c r="K71" s="995"/>
      <c r="L71" s="995"/>
      <c r="M71" s="995"/>
      <c r="N71" s="995"/>
      <c r="O71" s="1013">
        <f>'T101'!L20</f>
        <v>0</v>
      </c>
      <c r="P71" s="996"/>
      <c r="Q71" s="1014"/>
      <c r="R71" s="996"/>
      <c r="S71" s="1015"/>
      <c r="U71">
        <f t="shared" si="11"/>
        <v>0</v>
      </c>
      <c r="V71">
        <v>1</v>
      </c>
    </row>
    <row r="72" spans="1:22" ht="14">
      <c r="A72" s="992">
        <f>ROW()</f>
        <v>72</v>
      </c>
      <c r="B72" s="1019" t="str">
        <f>'B13'!B47</f>
        <v>הקלה בגין עריכת ביטוח</v>
      </c>
      <c r="C72" s="994">
        <f t="shared" si="10"/>
        <v>0</v>
      </c>
      <c r="D72" s="994"/>
      <c r="E72" s="994"/>
      <c r="F72" s="994"/>
      <c r="G72" s="994"/>
      <c r="I72" s="1017" t="str">
        <f t="shared" si="12"/>
        <v>הקלה בגין עריכת ביטוח</v>
      </c>
      <c r="J72" s="995">
        <f>'B13'!C47</f>
        <v>0</v>
      </c>
      <c r="K72" s="995"/>
      <c r="L72" s="995"/>
      <c r="M72" s="995"/>
      <c r="N72" s="995"/>
      <c r="O72" s="1013">
        <f>'T101'!L25</f>
        <v>0</v>
      </c>
      <c r="P72" s="996"/>
      <c r="Q72" s="1014"/>
      <c r="R72" s="996"/>
      <c r="S72" s="1015"/>
      <c r="U72">
        <f t="shared" si="11"/>
        <v>0</v>
      </c>
      <c r="V72">
        <v>1</v>
      </c>
    </row>
    <row r="73" spans="1:22" ht="14">
      <c r="A73" s="992">
        <f>ROW()</f>
        <v>73</v>
      </c>
      <c r="B73" s="1019" t="str">
        <f>'B13'!B48</f>
        <v>הקלות אחרות בהתאם לחוזר הממונה</v>
      </c>
      <c r="C73" s="994">
        <f t="shared" si="10"/>
        <v>0</v>
      </c>
      <c r="D73" s="994"/>
      <c r="E73" s="994"/>
      <c r="F73" s="994"/>
      <c r="G73" s="994"/>
      <c r="I73" s="1017" t="str">
        <f t="shared" si="12"/>
        <v>הקלות אחרות בהתאם לחוזר הממונה</v>
      </c>
      <c r="J73" s="995">
        <f>'B13'!C48</f>
        <v>0</v>
      </c>
      <c r="K73" s="995"/>
      <c r="L73" s="995"/>
      <c r="M73" s="995"/>
      <c r="N73" s="995"/>
      <c r="O73" s="1013">
        <f>'T101'!L32</f>
        <v>0</v>
      </c>
      <c r="P73" s="996"/>
      <c r="Q73" s="1014"/>
      <c r="R73" s="996"/>
      <c r="S73" s="1015"/>
      <c r="U73">
        <f t="shared" si="11"/>
        <v>0</v>
      </c>
      <c r="V73">
        <v>1</v>
      </c>
    </row>
    <row r="74" spans="1:22" ht="14">
      <c r="A74" s="992">
        <f>ROW()</f>
        <v>74</v>
      </c>
      <c r="B74" s="1019" t="str">
        <f>'B13'!B49</f>
        <v>סך כל הסכום הנדרש</v>
      </c>
      <c r="C74" s="994">
        <f t="shared" si="10"/>
        <v>0</v>
      </c>
      <c r="D74" s="994"/>
      <c r="E74" s="994"/>
      <c r="F74" s="994"/>
      <c r="G74" s="994"/>
      <c r="I74" s="1017" t="str">
        <f t="shared" si="12"/>
        <v>סך כל הסכום הנדרש</v>
      </c>
      <c r="J74" s="995">
        <f>'B13'!C49</f>
        <v>0</v>
      </c>
      <c r="K74" s="995"/>
      <c r="L74" s="995"/>
      <c r="M74" s="995"/>
      <c r="N74" s="995"/>
      <c r="O74" s="1013">
        <f>'T101'!M34</f>
        <v>0</v>
      </c>
      <c r="P74" s="996"/>
      <c r="Q74" s="1014"/>
      <c r="R74" s="996"/>
      <c r="S74" s="1015"/>
      <c r="U74">
        <f t="shared" si="11"/>
        <v>0</v>
      </c>
      <c r="V74">
        <v>1</v>
      </c>
    </row>
    <row r="75" spans="1:22" ht="15.5">
      <c r="A75" s="992">
        <f>ROW()</f>
        <v>75</v>
      </c>
      <c r="B75" s="1025" t="s">
        <v>1483</v>
      </c>
      <c r="C75" s="1003" t="str">
        <f>'1'!$C$4</f>
        <v>31.12.2021</v>
      </c>
      <c r="D75" s="1003" t="str">
        <f>'1'!$D$4</f>
        <v>לא לדווח</v>
      </c>
      <c r="E75" s="1003" t="str">
        <f>'1'!$E$4</f>
        <v>31.12.2020</v>
      </c>
      <c r="F75" s="994"/>
      <c r="G75" s="994"/>
      <c r="I75" s="1022" t="str">
        <f t="shared" si="12"/>
        <v>באור 5 - נכסים לא מוחשיים - מאזן</v>
      </c>
      <c r="J75" s="1003" t="str">
        <f>'1'!$C$4</f>
        <v>31.12.2021</v>
      </c>
      <c r="K75" s="1003" t="str">
        <f>'1'!$D$4</f>
        <v>לא לדווח</v>
      </c>
      <c r="L75" s="1003" t="str">
        <f>'1'!$E$4</f>
        <v>31.12.2020</v>
      </c>
      <c r="M75" s="995"/>
      <c r="N75" s="995"/>
      <c r="O75" s="1003" t="str">
        <f>'1'!$C$4</f>
        <v>31.12.2021</v>
      </c>
      <c r="P75" s="1003" t="str">
        <f>'1'!$D$4</f>
        <v>לא לדווח</v>
      </c>
      <c r="Q75" s="1003" t="str">
        <f>'1'!$E$4</f>
        <v>31.12.2020</v>
      </c>
      <c r="R75" s="996"/>
      <c r="S75" s="1015"/>
      <c r="U75" s="1021">
        <f>IF(SUM(U76:U82),1,0)</f>
        <v>0</v>
      </c>
      <c r="V75">
        <v>4</v>
      </c>
    </row>
    <row r="76" spans="1:22" ht="14">
      <c r="A76" s="992">
        <f>ROW()</f>
        <v>76</v>
      </c>
      <c r="B76" s="1019" t="str">
        <f>'1'!B7</f>
        <v xml:space="preserve">נכסים בלתי מוחשיים </v>
      </c>
      <c r="C76" s="994">
        <f>IF(J76=O76,0,J76-O76)</f>
        <v>0</v>
      </c>
      <c r="D76" s="994"/>
      <c r="E76" s="994">
        <f>IF(L76=Q76,0,L76-Q76)</f>
        <v>0</v>
      </c>
      <c r="F76" s="994"/>
      <c r="G76" s="994"/>
      <c r="I76" s="1017" t="str">
        <f t="shared" si="12"/>
        <v xml:space="preserve">נכסים בלתי מוחשיים </v>
      </c>
      <c r="J76" s="995">
        <f>'B5'!H52</f>
        <v>0</v>
      </c>
      <c r="K76" s="995"/>
      <c r="L76" s="995">
        <f>'B5'!H53</f>
        <v>0</v>
      </c>
      <c r="M76" s="995"/>
      <c r="N76" s="995"/>
      <c r="O76" s="1013">
        <f>'1'!C7</f>
        <v>0</v>
      </c>
      <c r="P76" s="996"/>
      <c r="Q76" s="1014">
        <f>'1'!E7</f>
        <v>0</v>
      </c>
      <c r="R76" s="996"/>
      <c r="S76" s="1015"/>
      <c r="U76">
        <f t="shared" si="11"/>
        <v>0</v>
      </c>
      <c r="V76">
        <v>4</v>
      </c>
    </row>
    <row r="77" spans="1:22" ht="15.5">
      <c r="A77" s="992">
        <f>ROW()</f>
        <v>77</v>
      </c>
      <c r="B77" s="1025" t="s">
        <v>1484</v>
      </c>
      <c r="C77" s="994">
        <f>IF(J77=O77,0,J77-O77)</f>
        <v>0</v>
      </c>
      <c r="D77" s="994"/>
      <c r="E77" s="994">
        <f>IF(L77=Q77,0,L77-Q77)</f>
        <v>0</v>
      </c>
      <c r="F77" s="994"/>
      <c r="G77" s="994"/>
      <c r="I77" s="1022" t="str">
        <f t="shared" si="12"/>
        <v>באור 6א' - הוצאות רכישה נדחות - מאזן</v>
      </c>
      <c r="J77" s="995">
        <f>'B6'!$C$11</f>
        <v>0</v>
      </c>
      <c r="K77" s="995"/>
      <c r="L77" s="995">
        <f>'B6'!$D$11</f>
        <v>0</v>
      </c>
      <c r="M77" s="995"/>
      <c r="N77" s="995"/>
      <c r="O77" s="1013">
        <f>'1'!C9</f>
        <v>0</v>
      </c>
      <c r="P77" s="996"/>
      <c r="Q77" s="996">
        <f>'1'!E9</f>
        <v>0</v>
      </c>
      <c r="R77" s="996"/>
      <c r="S77" s="1015"/>
      <c r="U77">
        <f t="shared" si="11"/>
        <v>0</v>
      </c>
      <c r="V77">
        <v>4</v>
      </c>
    </row>
    <row r="78" spans="1:22" ht="31">
      <c r="A78" s="992">
        <f>ROW()</f>
        <v>78</v>
      </c>
      <c r="B78" s="1025" t="s">
        <v>1485</v>
      </c>
      <c r="C78" s="994">
        <f>IF(J78=O78,0,J78-O78)</f>
        <v>0</v>
      </c>
      <c r="D78" s="994"/>
      <c r="E78" s="994">
        <f>IF(L78=Q78,0,L78-Q78)</f>
        <v>0</v>
      </c>
      <c r="F78" s="994"/>
      <c r="G78" s="994"/>
      <c r="I78" s="1022" t="str">
        <f t="shared" si="12"/>
        <v>באור 6א' - הוצאות רכישה נדחות - ב6ב'  DAC לסוף התקופה</v>
      </c>
      <c r="J78" s="995">
        <f>'B6'!$C$11</f>
        <v>0</v>
      </c>
      <c r="K78" s="995"/>
      <c r="L78" s="995">
        <f>'B6'!$D$11</f>
        <v>0</v>
      </c>
      <c r="M78" s="995"/>
      <c r="N78" s="995"/>
      <c r="O78" s="1013">
        <f>'B6'!E23</f>
        <v>0</v>
      </c>
      <c r="P78" s="996"/>
      <c r="Q78" s="996">
        <f>'B6'!H23</f>
        <v>0</v>
      </c>
      <c r="R78" s="996"/>
      <c r="S78" s="1015"/>
      <c r="U78">
        <f t="shared" si="11"/>
        <v>0</v>
      </c>
      <c r="V78">
        <v>4</v>
      </c>
    </row>
    <row r="79" spans="1:22" ht="15.5">
      <c r="A79" s="992">
        <f>ROW()</f>
        <v>79</v>
      </c>
      <c r="B79" s="1025" t="s">
        <v>1486</v>
      </c>
      <c r="C79" s="994">
        <f>IF(J79=O79,0,J79-O79)</f>
        <v>0</v>
      </c>
      <c r="D79" s="994"/>
      <c r="E79" s="994">
        <f>IF(L79=Q79,0,L79-Q79)</f>
        <v>0</v>
      </c>
      <c r="F79" s="994"/>
      <c r="G79" s="994"/>
      <c r="I79" s="1022" t="str">
        <f>B79</f>
        <v>באור 7  - רכוש קבוע למאזן - יתרות</v>
      </c>
      <c r="J79" s="995">
        <f>'B7'!I56</f>
        <v>0</v>
      </c>
      <c r="K79" s="995"/>
      <c r="L79" s="995">
        <f>'B7'!I57</f>
        <v>0</v>
      </c>
      <c r="M79" s="995"/>
      <c r="N79" s="995"/>
      <c r="O79" s="1013">
        <f>'1'!C11</f>
        <v>0</v>
      </c>
      <c r="P79" s="996"/>
      <c r="Q79" s="996">
        <f>'1'!E11</f>
        <v>0</v>
      </c>
      <c r="R79" s="996"/>
      <c r="S79" s="1015"/>
      <c r="U79">
        <f t="shared" si="11"/>
        <v>0</v>
      </c>
      <c r="V79">
        <v>4</v>
      </c>
    </row>
    <row r="80" spans="1:22" ht="14">
      <c r="A80" s="992">
        <f>ROW()</f>
        <v>80</v>
      </c>
      <c r="B80" s="465" t="s">
        <v>1487</v>
      </c>
      <c r="I80" s="1022" t="str">
        <f>B80</f>
        <v>באור 8 ???</v>
      </c>
      <c r="J80" s="995"/>
      <c r="K80" s="995"/>
      <c r="L80" s="995"/>
      <c r="M80" s="995"/>
      <c r="N80" s="995"/>
      <c r="O80" s="1013"/>
      <c r="P80" s="996"/>
      <c r="Q80" s="996"/>
      <c r="R80" s="996"/>
      <c r="S80" s="1015"/>
      <c r="U80">
        <f t="shared" si="11"/>
        <v>0</v>
      </c>
      <c r="V80">
        <v>4</v>
      </c>
    </row>
    <row r="81" spans="1:22" ht="15.5">
      <c r="A81" s="992">
        <f>ROW()</f>
        <v>81</v>
      </c>
      <c r="B81" s="1025" t="s">
        <v>1488</v>
      </c>
      <c r="C81" s="994">
        <f>IF(J81=O81,0,J81-O81)</f>
        <v>0</v>
      </c>
      <c r="D81" s="994"/>
      <c r="E81" s="994">
        <f>IF(L81=Q81,0,L81-Q81)</f>
        <v>0</v>
      </c>
      <c r="F81" s="994"/>
      <c r="G81" s="994"/>
      <c r="I81" s="1022" t="str">
        <f>B81</f>
        <v>באור 9א' - נדל"ן להשקעה - מאזן</v>
      </c>
      <c r="J81" s="995">
        <f>'B9'!C24</f>
        <v>0</v>
      </c>
      <c r="K81" s="995"/>
      <c r="L81" s="995">
        <f>'B9'!D24</f>
        <v>0</v>
      </c>
      <c r="M81" s="995"/>
      <c r="N81" s="995"/>
      <c r="O81" s="1013">
        <f>'1'!C13</f>
        <v>0</v>
      </c>
      <c r="P81" s="996"/>
      <c r="Q81" s="996">
        <f>'1'!E13</f>
        <v>0</v>
      </c>
      <c r="R81" s="996"/>
      <c r="S81" s="1015"/>
      <c r="U81">
        <f t="shared" si="11"/>
        <v>0</v>
      </c>
      <c r="V81">
        <v>4</v>
      </c>
    </row>
    <row r="82" spans="1:22" ht="15.5">
      <c r="A82" s="992">
        <f>ROW()</f>
        <v>82</v>
      </c>
      <c r="B82" s="1025" t="s">
        <v>1489</v>
      </c>
      <c r="C82" s="994">
        <f>IF(J82=O82,0,J82-O82)</f>
        <v>0</v>
      </c>
      <c r="D82" s="994"/>
      <c r="E82" s="994">
        <f>IF(L82=Q82,0,L82-Q82)</f>
        <v>0</v>
      </c>
      <c r="F82" s="994"/>
      <c r="G82" s="994"/>
      <c r="I82" s="1022" t="str">
        <f>B82</f>
        <v>באור 10 - חייבים ויתרות חובה - מאזן</v>
      </c>
      <c r="J82" s="995">
        <f>'B10'!C19</f>
        <v>0</v>
      </c>
      <c r="K82" s="995"/>
      <c r="L82" s="995">
        <f>'B10'!D19</f>
        <v>0</v>
      </c>
      <c r="M82" s="995"/>
      <c r="N82" s="995"/>
      <c r="O82" s="1013">
        <f>'1'!C15</f>
        <v>0</v>
      </c>
      <c r="P82" s="996"/>
      <c r="Q82" s="996">
        <f>'1'!E15</f>
        <v>0</v>
      </c>
      <c r="R82" s="996"/>
      <c r="S82" s="1015"/>
      <c r="U82">
        <f t="shared" si="11"/>
        <v>0</v>
      </c>
      <c r="V82">
        <v>4</v>
      </c>
    </row>
    <row r="83" spans="1:22" ht="15.5">
      <c r="A83" s="992">
        <f>ROW()</f>
        <v>83</v>
      </c>
      <c r="B83" s="1025" t="s">
        <v>1490</v>
      </c>
      <c r="C83" s="1003" t="str">
        <f>'1'!$C$4</f>
        <v>31.12.2021</v>
      </c>
      <c r="D83" s="1003" t="str">
        <f>'1'!$D$4</f>
        <v>לא לדווח</v>
      </c>
      <c r="E83" s="1003" t="str">
        <f>'1'!$E$4</f>
        <v>31.12.2020</v>
      </c>
      <c r="F83" s="994"/>
      <c r="G83" s="994"/>
      <c r="I83" s="1022" t="str">
        <f t="shared" ref="I83:I89" si="13">B83</f>
        <v>באור 11א' -פירוט השקעות פיננסיות - מאזן</v>
      </c>
      <c r="J83" s="1003" t="str">
        <f>'1'!$C$4</f>
        <v>31.12.2021</v>
      </c>
      <c r="K83" s="1003" t="str">
        <f>'1'!$D$4</f>
        <v>לא לדווח</v>
      </c>
      <c r="L83" s="1003" t="str">
        <f>'1'!$E$4</f>
        <v>31.12.2020</v>
      </c>
      <c r="M83" s="995"/>
      <c r="N83" s="995"/>
      <c r="O83" s="1003" t="str">
        <f>'1'!$C$4</f>
        <v>31.12.2021</v>
      </c>
      <c r="P83" s="1003" t="str">
        <f>'1'!$D$4</f>
        <v>לא לדווח</v>
      </c>
      <c r="Q83" s="1003" t="str">
        <f>'1'!$E$4</f>
        <v>31.12.2020</v>
      </c>
      <c r="R83" s="996"/>
      <c r="S83" s="1015"/>
      <c r="U83" s="1021">
        <f>IF(SUM(U84:U97),1,0)</f>
        <v>0</v>
      </c>
      <c r="V83">
        <v>4</v>
      </c>
    </row>
    <row r="84" spans="1:22" ht="14">
      <c r="A84" s="992">
        <f>ROW()</f>
        <v>84</v>
      </c>
      <c r="B84" s="1019" t="s">
        <v>1042</v>
      </c>
      <c r="C84" s="994">
        <f t="shared" ref="C84:C97" si="14">IF(J84=O84,0,J84-O84)</f>
        <v>0</v>
      </c>
      <c r="D84" s="994"/>
      <c r="E84" s="994">
        <f t="shared" ref="E84:E97" si="15">IF(L84=Q84,0,L84-Q84)</f>
        <v>0</v>
      </c>
      <c r="F84" s="994"/>
      <c r="G84" s="994"/>
      <c r="I84" s="1027" t="str">
        <f t="shared" si="13"/>
        <v>נכסי חוב סחירים</v>
      </c>
      <c r="J84" s="995">
        <f>B11A!$G$10</f>
        <v>0</v>
      </c>
      <c r="K84" s="995"/>
      <c r="L84" s="995">
        <f>B11A!$G$16</f>
        <v>0</v>
      </c>
      <c r="M84" s="995"/>
      <c r="N84" s="995"/>
      <c r="O84" s="1013">
        <f>'1'!C17</f>
        <v>0</v>
      </c>
      <c r="P84" s="996"/>
      <c r="Q84" s="1014">
        <f>'1'!E17</f>
        <v>0</v>
      </c>
      <c r="R84" s="996"/>
      <c r="S84" s="1015"/>
      <c r="U84">
        <f t="shared" si="11"/>
        <v>0</v>
      </c>
      <c r="V84">
        <v>4</v>
      </c>
    </row>
    <row r="85" spans="1:22" ht="14">
      <c r="A85" s="992">
        <f>ROW()</f>
        <v>85</v>
      </c>
      <c r="B85" s="1019" t="s">
        <v>816</v>
      </c>
      <c r="C85" s="994">
        <f t="shared" si="14"/>
        <v>0</v>
      </c>
      <c r="D85" s="994"/>
      <c r="E85" s="994">
        <f t="shared" si="15"/>
        <v>0</v>
      </c>
      <c r="F85" s="994"/>
      <c r="G85" s="994"/>
      <c r="I85" s="1027" t="str">
        <f t="shared" si="13"/>
        <v>נכסי חוב שאינם סחירים</v>
      </c>
      <c r="J85" s="995">
        <f>B11A!G11</f>
        <v>0</v>
      </c>
      <c r="K85" s="995"/>
      <c r="L85" s="995">
        <f>B11A!G17</f>
        <v>0</v>
      </c>
      <c r="M85" s="995"/>
      <c r="N85" s="995"/>
      <c r="O85" s="1013">
        <f>'1'!C18</f>
        <v>0</v>
      </c>
      <c r="P85" s="996"/>
      <c r="Q85" s="1014">
        <f>'1'!E18</f>
        <v>0</v>
      </c>
      <c r="R85" s="996"/>
      <c r="S85" s="1015"/>
      <c r="U85">
        <f t="shared" si="11"/>
        <v>0</v>
      </c>
      <c r="V85">
        <v>4</v>
      </c>
    </row>
    <row r="86" spans="1:22" ht="14">
      <c r="A86" s="992">
        <f>ROW()</f>
        <v>86</v>
      </c>
      <c r="B86" s="1019" t="s">
        <v>75</v>
      </c>
      <c r="C86" s="994">
        <f t="shared" si="14"/>
        <v>0</v>
      </c>
      <c r="D86" s="994"/>
      <c r="E86" s="994">
        <f t="shared" si="15"/>
        <v>0</v>
      </c>
      <c r="F86" s="994"/>
      <c r="G86" s="994"/>
      <c r="I86" s="1027" t="str">
        <f t="shared" si="13"/>
        <v>מניות</v>
      </c>
      <c r="J86" s="995">
        <f>B11A!G12</f>
        <v>0</v>
      </c>
      <c r="K86" s="995"/>
      <c r="L86" s="995">
        <f>B11A!G18</f>
        <v>0</v>
      </c>
      <c r="M86" s="995"/>
      <c r="N86" s="995"/>
      <c r="O86" s="1013">
        <f>'1'!C19</f>
        <v>0</v>
      </c>
      <c r="P86" s="996"/>
      <c r="Q86" s="1014">
        <f>'1'!E19</f>
        <v>0</v>
      </c>
      <c r="R86" s="996"/>
      <c r="S86" s="1015"/>
      <c r="U86">
        <f t="shared" si="11"/>
        <v>0</v>
      </c>
      <c r="V86">
        <v>4</v>
      </c>
    </row>
    <row r="87" spans="1:22" ht="14">
      <c r="A87" s="992">
        <f>ROW()</f>
        <v>87</v>
      </c>
      <c r="B87" s="1019" t="s">
        <v>817</v>
      </c>
      <c r="C87" s="994">
        <f t="shared" si="14"/>
        <v>0</v>
      </c>
      <c r="D87" s="994"/>
      <c r="E87" s="994">
        <f t="shared" si="15"/>
        <v>0</v>
      </c>
      <c r="F87" s="994"/>
      <c r="G87" s="994"/>
      <c r="I87" s="1027" t="str">
        <f t="shared" si="13"/>
        <v>אחרות</v>
      </c>
      <c r="J87" s="995">
        <f>B11A!G13</f>
        <v>0</v>
      </c>
      <c r="K87" s="995"/>
      <c r="L87" s="995">
        <f>B11A!G19</f>
        <v>0</v>
      </c>
      <c r="M87" s="995"/>
      <c r="N87" s="995"/>
      <c r="O87" s="1013">
        <f>'1'!C20</f>
        <v>0</v>
      </c>
      <c r="P87" s="996"/>
      <c r="Q87" s="1014">
        <f>'1'!E20</f>
        <v>0</v>
      </c>
      <c r="R87" s="996"/>
      <c r="S87" s="1015"/>
      <c r="U87">
        <f t="shared" si="11"/>
        <v>0</v>
      </c>
      <c r="V87">
        <v>4</v>
      </c>
    </row>
    <row r="88" spans="1:22" ht="14">
      <c r="A88" s="992">
        <f>ROW()</f>
        <v>88</v>
      </c>
      <c r="B88" s="1019" t="s">
        <v>1043</v>
      </c>
      <c r="C88" s="994">
        <f t="shared" si="14"/>
        <v>0</v>
      </c>
      <c r="D88" s="994"/>
      <c r="E88" s="994">
        <f t="shared" si="15"/>
        <v>0</v>
      </c>
      <c r="F88" s="994"/>
      <c r="G88" s="994"/>
      <c r="I88" s="1027" t="str">
        <f t="shared" si="13"/>
        <v>סך כל השקעות פיננסיות אחרות</v>
      </c>
      <c r="J88" s="995">
        <f>B11A!G14</f>
        <v>0</v>
      </c>
      <c r="K88" s="995"/>
      <c r="L88" s="995">
        <f>B11A!G20</f>
        <v>0</v>
      </c>
      <c r="M88" s="995"/>
      <c r="N88" s="995"/>
      <c r="O88" s="1013">
        <f>'1'!C21</f>
        <v>0</v>
      </c>
      <c r="P88" s="996"/>
      <c r="Q88" s="1014">
        <f>'1'!E21</f>
        <v>0</v>
      </c>
      <c r="R88" s="996"/>
      <c r="S88" s="1015"/>
      <c r="U88">
        <f t="shared" si="11"/>
        <v>0</v>
      </c>
      <c r="V88">
        <v>4</v>
      </c>
    </row>
    <row r="89" spans="1:22" ht="31">
      <c r="A89" s="992">
        <f>ROW()</f>
        <v>89</v>
      </c>
      <c r="B89" s="1025" t="s">
        <v>1491</v>
      </c>
      <c r="C89" s="994">
        <f t="shared" si="14"/>
        <v>0</v>
      </c>
      <c r="D89" s="994"/>
      <c r="E89" s="994">
        <f t="shared" si="15"/>
        <v>0</v>
      </c>
      <c r="F89" s="994"/>
      <c r="G89" s="994"/>
      <c r="I89" s="1028" t="str">
        <f t="shared" si="13"/>
        <v>ב11א' - השקעות פיננסיות - ב11ב' נכסי חוב סחירים - יתרה לסוף התקופה</v>
      </c>
      <c r="J89" s="995">
        <f>B11A!$G$10</f>
        <v>0</v>
      </c>
      <c r="K89" s="995"/>
      <c r="L89" s="995">
        <f>B11A!$G$16</f>
        <v>0</v>
      </c>
      <c r="M89" s="995"/>
      <c r="N89" s="995"/>
      <c r="O89" s="1013">
        <f>B11A!C48</f>
        <v>0</v>
      </c>
      <c r="P89" s="996"/>
      <c r="Q89" s="1014">
        <f>B11A!D48</f>
        <v>0</v>
      </c>
      <c r="R89" s="996"/>
      <c r="S89" s="1015"/>
      <c r="U89">
        <f t="shared" si="11"/>
        <v>0</v>
      </c>
      <c r="V89">
        <v>4</v>
      </c>
    </row>
    <row r="90" spans="1:22" ht="15.5">
      <c r="A90" s="992">
        <f>ROW()</f>
        <v>90</v>
      </c>
      <c r="B90" s="1025" t="s">
        <v>1492</v>
      </c>
      <c r="C90" s="994">
        <f t="shared" si="14"/>
        <v>0</v>
      </c>
      <c r="D90" s="994"/>
      <c r="E90" s="994">
        <f t="shared" si="15"/>
        <v>0</v>
      </c>
      <c r="F90" s="994"/>
      <c r="G90" s="994"/>
      <c r="I90" s="1028" t="str">
        <f>B90</f>
        <v>באור 11ג' -נכסי חוב שאינם סחירים - מאזן</v>
      </c>
      <c r="J90" s="995">
        <f>B11B!C20</f>
        <v>0</v>
      </c>
      <c r="K90" s="995"/>
      <c r="L90" s="995">
        <f>B11B!E20</f>
        <v>0</v>
      </c>
      <c r="M90" s="995"/>
      <c r="N90" s="995"/>
      <c r="O90" s="1013">
        <f>'1'!C18</f>
        <v>0</v>
      </c>
      <c r="P90" s="996"/>
      <c r="Q90" s="1014">
        <f>'1'!E18</f>
        <v>0</v>
      </c>
      <c r="R90" s="996"/>
      <c r="S90" s="1015"/>
      <c r="U90">
        <f t="shared" si="11"/>
        <v>0</v>
      </c>
      <c r="V90">
        <v>4</v>
      </c>
    </row>
    <row r="91" spans="1:22" ht="15.5">
      <c r="A91" s="992">
        <f>ROW()</f>
        <v>91</v>
      </c>
      <c r="B91" s="1025" t="s">
        <v>1493</v>
      </c>
      <c r="C91" s="994">
        <f t="shared" si="14"/>
        <v>0</v>
      </c>
      <c r="D91" s="994"/>
      <c r="E91" s="994">
        <f t="shared" si="15"/>
        <v>0</v>
      </c>
      <c r="F91" s="994"/>
      <c r="G91" s="994"/>
      <c r="I91" s="1028" t="str">
        <f>B91</f>
        <v>באור 11ה' - מניות - מאזן</v>
      </c>
      <c r="J91" s="995">
        <f>B11B!C53</f>
        <v>0</v>
      </c>
      <c r="K91" s="995"/>
      <c r="L91" s="995">
        <f>B11B!D53</f>
        <v>0</v>
      </c>
      <c r="M91" s="995"/>
      <c r="N91" s="995"/>
      <c r="O91" s="1013">
        <f>'1'!C19</f>
        <v>0</v>
      </c>
      <c r="P91" s="996"/>
      <c r="Q91" s="1014">
        <f>'1'!E19</f>
        <v>0</v>
      </c>
      <c r="R91" s="996"/>
      <c r="S91" s="1015"/>
      <c r="U91">
        <f t="shared" si="11"/>
        <v>0</v>
      </c>
      <c r="V91">
        <v>4</v>
      </c>
    </row>
    <row r="92" spans="1:22" ht="15.5">
      <c r="A92" s="992">
        <f>ROW()</f>
        <v>92</v>
      </c>
      <c r="B92" s="1025" t="s">
        <v>1494</v>
      </c>
      <c r="C92" s="994">
        <f t="shared" si="14"/>
        <v>0</v>
      </c>
      <c r="D92" s="994"/>
      <c r="E92" s="994">
        <f t="shared" si="15"/>
        <v>0</v>
      </c>
      <c r="F92" s="994"/>
      <c r="G92" s="994"/>
      <c r="I92" s="1028" t="str">
        <f>B92</f>
        <v>באור 11ו' - השקעות פיננסיות אחרות - מאזן</v>
      </c>
      <c r="J92" s="995">
        <f>B11B!C74</f>
        <v>0</v>
      </c>
      <c r="K92" s="995"/>
      <c r="L92" s="995">
        <f>B11B!D74</f>
        <v>0</v>
      </c>
      <c r="M92" s="995"/>
      <c r="N92" s="995"/>
      <c r="O92" s="1013">
        <f>'1'!C20</f>
        <v>0</v>
      </c>
      <c r="P92" s="996"/>
      <c r="Q92" s="1014">
        <f>'1'!E20</f>
        <v>0</v>
      </c>
      <c r="R92" s="996"/>
      <c r="S92" s="1015"/>
      <c r="U92">
        <f t="shared" si="11"/>
        <v>0</v>
      </c>
      <c r="V92">
        <v>4</v>
      </c>
    </row>
    <row r="93" spans="1:22" ht="31">
      <c r="A93" s="992">
        <f>ROW()</f>
        <v>93</v>
      </c>
      <c r="B93" s="1025" t="s">
        <v>1495</v>
      </c>
      <c r="C93" s="994">
        <f t="shared" si="14"/>
        <v>0</v>
      </c>
      <c r="D93" s="994"/>
      <c r="E93" s="994">
        <f t="shared" si="15"/>
        <v>0</v>
      </c>
      <c r="F93" s="994"/>
      <c r="G93" s="994"/>
      <c r="I93" s="1028" t="str">
        <f>B93</f>
        <v>ב11ז2' - שווי הוגן של הכסים פיננסיים לרמות - ב11ז3' - ברמה 3</v>
      </c>
      <c r="J93" s="995">
        <f>B11C!G44</f>
        <v>0</v>
      </c>
      <c r="K93" s="995"/>
      <c r="L93" s="995">
        <f>B11C!G68</f>
        <v>0</v>
      </c>
      <c r="M93" s="995"/>
      <c r="N93" s="995"/>
      <c r="O93" s="1013">
        <f>B11C!E15</f>
        <v>0</v>
      </c>
      <c r="P93" s="996"/>
      <c r="Q93" s="1014">
        <f>B11C!E27</f>
        <v>0</v>
      </c>
      <c r="R93" s="996"/>
      <c r="S93" s="1015"/>
      <c r="U93">
        <f t="shared" si="11"/>
        <v>0</v>
      </c>
      <c r="V93">
        <v>4</v>
      </c>
    </row>
    <row r="94" spans="1:22" ht="15.5">
      <c r="A94" s="992">
        <f>ROW()</f>
        <v>94</v>
      </c>
      <c r="B94" s="1025" t="s">
        <v>1496</v>
      </c>
      <c r="C94" s="994">
        <f t="shared" si="14"/>
        <v>0</v>
      </c>
      <c r="D94" s="994"/>
      <c r="E94" s="994">
        <f t="shared" si="15"/>
        <v>0</v>
      </c>
      <c r="F94" s="994"/>
      <c r="G94" s="994"/>
      <c r="I94" s="1028" t="str">
        <f t="shared" ref="I94:I139" si="16">B94</f>
        <v>באור 14ב' מסים נדחים הרכב - מאזן</v>
      </c>
      <c r="J94" s="995">
        <f>'B14'!J47</f>
        <v>0</v>
      </c>
      <c r="K94" s="995"/>
      <c r="L94" s="995">
        <f>'B14'!J35</f>
        <v>0</v>
      </c>
      <c r="M94" s="995"/>
      <c r="N94" s="995"/>
      <c r="O94" s="1013">
        <f>'1'!C8-'1'!C36</f>
        <v>0</v>
      </c>
      <c r="P94" s="996"/>
      <c r="Q94" s="996">
        <f>'1'!E8-'1'!E36</f>
        <v>0</v>
      </c>
      <c r="R94" s="996"/>
      <c r="S94" s="1015"/>
      <c r="U94">
        <f t="shared" si="11"/>
        <v>0</v>
      </c>
      <c r="V94">
        <v>4</v>
      </c>
    </row>
    <row r="95" spans="1:22" ht="15.5">
      <c r="A95" s="992">
        <f>ROW()</f>
        <v>95</v>
      </c>
      <c r="B95" s="1025" t="s">
        <v>1497</v>
      </c>
      <c r="C95" s="994">
        <f t="shared" si="14"/>
        <v>0</v>
      </c>
      <c r="D95" s="994"/>
      <c r="E95" s="994">
        <f t="shared" si="15"/>
        <v>0</v>
      </c>
      <c r="F95" s="994"/>
      <c r="G95" s="994"/>
      <c r="I95" s="1028" t="str">
        <f t="shared" si="16"/>
        <v>באור 14ג' - המסים הנדחים - מאזן</v>
      </c>
      <c r="J95" s="995"/>
      <c r="K95" s="995"/>
      <c r="L95" s="995"/>
      <c r="M95" s="995"/>
      <c r="N95" s="995"/>
      <c r="O95" s="1013"/>
      <c r="P95" s="996"/>
      <c r="Q95" s="1014"/>
      <c r="R95" s="996"/>
      <c r="S95" s="1015"/>
      <c r="U95">
        <f t="shared" si="11"/>
        <v>0</v>
      </c>
      <c r="V95">
        <v>4</v>
      </c>
    </row>
    <row r="96" spans="1:22" ht="14">
      <c r="A96" s="992">
        <f>ROW()</f>
        <v>96</v>
      </c>
      <c r="B96" s="1019" t="str">
        <f>'B14'!B53</f>
        <v>נכסי מסים נדחים</v>
      </c>
      <c r="C96" s="994">
        <f t="shared" si="14"/>
        <v>0</v>
      </c>
      <c r="D96" s="994"/>
      <c r="E96" s="994">
        <f t="shared" si="15"/>
        <v>0</v>
      </c>
      <c r="F96" s="994"/>
      <c r="G96" s="994"/>
      <c r="I96" s="1029" t="str">
        <f t="shared" si="16"/>
        <v>נכסי מסים נדחים</v>
      </c>
      <c r="J96" s="995">
        <f>'B14'!C53</f>
        <v>0</v>
      </c>
      <c r="K96" s="995"/>
      <c r="L96" s="995">
        <f>'B14'!D53</f>
        <v>0</v>
      </c>
      <c r="M96" s="995"/>
      <c r="N96" s="995"/>
      <c r="O96" s="1013">
        <f>'1'!C8</f>
        <v>0</v>
      </c>
      <c r="P96" s="996"/>
      <c r="Q96" s="996">
        <f>'1'!E8</f>
        <v>0</v>
      </c>
      <c r="R96" s="996"/>
      <c r="S96" s="1015"/>
      <c r="U96">
        <f t="shared" si="11"/>
        <v>0</v>
      </c>
      <c r="V96">
        <v>4</v>
      </c>
    </row>
    <row r="97" spans="1:22" ht="14">
      <c r="A97" s="992">
        <f>ROW()</f>
        <v>97</v>
      </c>
      <c r="B97" s="1019" t="str">
        <f>'B14'!B54</f>
        <v>התחייבויות בגין מסים נדחים</v>
      </c>
      <c r="C97" s="994">
        <f t="shared" si="14"/>
        <v>0</v>
      </c>
      <c r="D97" s="994"/>
      <c r="E97" s="994">
        <f t="shared" si="15"/>
        <v>0</v>
      </c>
      <c r="F97" s="994"/>
      <c r="G97" s="994"/>
      <c r="I97" s="1029" t="str">
        <f t="shared" si="16"/>
        <v>התחייבויות בגין מסים נדחים</v>
      </c>
      <c r="J97" s="995">
        <f>-'B14'!C54</f>
        <v>0</v>
      </c>
      <c r="K97" s="995"/>
      <c r="L97" s="995">
        <f>-'B14'!D54</f>
        <v>0</v>
      </c>
      <c r="M97" s="995"/>
      <c r="N97" s="995"/>
      <c r="O97" s="1013">
        <f>'1'!C36</f>
        <v>0</v>
      </c>
      <c r="P97" s="996"/>
      <c r="Q97" s="996">
        <f>'1'!E36</f>
        <v>0</v>
      </c>
      <c r="R97" s="996"/>
      <c r="S97" s="1015"/>
      <c r="U97">
        <f t="shared" si="11"/>
        <v>0</v>
      </c>
      <c r="V97">
        <v>4</v>
      </c>
    </row>
    <row r="98" spans="1:22" ht="15.5">
      <c r="A98" s="992">
        <f>ROW()</f>
        <v>98</v>
      </c>
      <c r="B98" s="1025" t="s">
        <v>1498</v>
      </c>
      <c r="C98" s="1003" t="str">
        <f>'2'!$C$4</f>
        <v>שנת 2021</v>
      </c>
      <c r="D98" s="1003" t="str">
        <f>'2'!$D$4</f>
        <v>שנת 2020</v>
      </c>
      <c r="E98" s="1003" t="str">
        <f>'2'!$G$4</f>
        <v>שנת 2019</v>
      </c>
      <c r="F98" s="1020"/>
      <c r="G98" s="1020"/>
      <c r="I98" s="1028" t="str">
        <f t="shared" si="16"/>
        <v>ב14ד' - מסים - מס תיאורטי - רווח הפסד (2)</v>
      </c>
      <c r="J98" s="1003" t="str">
        <f>'2'!$C$4</f>
        <v>שנת 2021</v>
      </c>
      <c r="K98" s="1003" t="str">
        <f>'2'!$D$4</f>
        <v>שנת 2020</v>
      </c>
      <c r="L98" s="1003" t="str">
        <f>'2'!$G$4</f>
        <v>שנת 2019</v>
      </c>
      <c r="M98" s="1020"/>
      <c r="N98" s="1020"/>
      <c r="O98" s="1003" t="str">
        <f>'2'!$C$4</f>
        <v>שנת 2021</v>
      </c>
      <c r="P98" s="1003" t="str">
        <f>'2'!$D$4</f>
        <v>שנת 2020</v>
      </c>
      <c r="Q98" s="1003" t="str">
        <f>'2'!$G$4</f>
        <v>שנת 2019</v>
      </c>
      <c r="R98" s="1020" t="s">
        <v>887</v>
      </c>
      <c r="S98" s="1020"/>
      <c r="U98" s="1021">
        <f>IF(SUM(U99:U100),1,0)</f>
        <v>0</v>
      </c>
      <c r="V98">
        <v>4</v>
      </c>
    </row>
    <row r="99" spans="1:22" ht="14">
      <c r="A99" s="992">
        <f>ROW()</f>
        <v>99</v>
      </c>
      <c r="B99" s="1019" t="str">
        <f>'B14'!B61</f>
        <v>רווח (הפסד) לפני מסים על ההכנסה</v>
      </c>
      <c r="C99" s="994">
        <f t="shared" ref="C99:E100" si="17">IF(J99=O99,0,J99-O99)</f>
        <v>0</v>
      </c>
      <c r="D99" s="994">
        <f t="shared" si="17"/>
        <v>0</v>
      </c>
      <c r="E99" s="994">
        <f t="shared" si="17"/>
        <v>0</v>
      </c>
      <c r="F99" s="994"/>
      <c r="G99" s="994"/>
      <c r="I99" s="1029" t="str">
        <f t="shared" si="16"/>
        <v>רווח (הפסד) לפני מסים על ההכנסה</v>
      </c>
      <c r="J99" s="995">
        <f>'B14'!C61</f>
        <v>0</v>
      </c>
      <c r="K99" s="995">
        <f>'B14'!D61</f>
        <v>0</v>
      </c>
      <c r="L99" s="995">
        <f>'B14'!E61</f>
        <v>0</v>
      </c>
      <c r="M99" s="995"/>
      <c r="N99" s="995"/>
      <c r="O99" s="1013">
        <f>'2'!$C$17</f>
        <v>0</v>
      </c>
      <c r="P99" s="996">
        <f>'2'!$D$17</f>
        <v>0</v>
      </c>
      <c r="Q99" s="1014">
        <f>'2'!$G$17</f>
        <v>0</v>
      </c>
      <c r="R99" s="996"/>
      <c r="S99" s="1015"/>
      <c r="U99">
        <f t="shared" si="11"/>
        <v>0</v>
      </c>
      <c r="V99">
        <v>4</v>
      </c>
    </row>
    <row r="100" spans="1:22" ht="14">
      <c r="A100" s="992">
        <f>ROW()</f>
        <v>100</v>
      </c>
      <c r="B100" s="1019" t="str">
        <f>'B14'!B76</f>
        <v>סה"כ מסים על ההכנסה</v>
      </c>
      <c r="C100" s="994">
        <f t="shared" si="17"/>
        <v>0</v>
      </c>
      <c r="D100" s="994">
        <f t="shared" si="17"/>
        <v>0</v>
      </c>
      <c r="E100" s="994">
        <f t="shared" si="17"/>
        <v>0</v>
      </c>
      <c r="F100" s="994"/>
      <c r="G100" s="994"/>
      <c r="I100" s="1029" t="str">
        <f t="shared" si="16"/>
        <v>סה"כ מסים על ההכנסה</v>
      </c>
      <c r="J100" s="995">
        <f>'B14'!C76</f>
        <v>0</v>
      </c>
      <c r="K100" s="995">
        <f>'B14'!D76</f>
        <v>0</v>
      </c>
      <c r="L100" s="995">
        <f>'B14'!E76</f>
        <v>0</v>
      </c>
      <c r="M100" s="995"/>
      <c r="N100" s="995"/>
      <c r="O100" s="1013">
        <f>'2'!$C$18</f>
        <v>0</v>
      </c>
      <c r="P100" s="996">
        <f>'2'!$D$18</f>
        <v>0</v>
      </c>
      <c r="Q100" s="1014">
        <f>'2'!$G$18</f>
        <v>0</v>
      </c>
      <c r="R100" s="996"/>
      <c r="S100" s="1015"/>
      <c r="U100">
        <f t="shared" si="11"/>
        <v>0</v>
      </c>
      <c r="V100">
        <v>4</v>
      </c>
    </row>
    <row r="101" spans="1:22" ht="14">
      <c r="A101" s="992">
        <f>ROW()</f>
        <v>101</v>
      </c>
      <c r="B101" s="1019"/>
      <c r="C101" s="1003" t="str">
        <f>'1'!$C$4</f>
        <v>31.12.2021</v>
      </c>
      <c r="D101" s="1003" t="str">
        <f>'1'!$D$4</f>
        <v>לא לדווח</v>
      </c>
      <c r="E101" s="1003" t="str">
        <f>'1'!$E$4</f>
        <v>31.12.2020</v>
      </c>
      <c r="F101" s="994"/>
      <c r="G101" s="994"/>
      <c r="I101" s="1029"/>
      <c r="J101" s="995"/>
      <c r="K101" s="995"/>
      <c r="L101" s="995"/>
      <c r="M101" s="995"/>
      <c r="N101" s="995"/>
      <c r="O101" s="1013"/>
      <c r="P101" s="996"/>
      <c r="Q101" s="1014"/>
      <c r="R101" s="996"/>
      <c r="S101" s="1015"/>
      <c r="U101" s="1021">
        <f>IF(SUM(U102:U104),1,0)</f>
        <v>0</v>
      </c>
      <c r="V101">
        <v>4</v>
      </c>
    </row>
    <row r="102" spans="1:22" ht="15.5">
      <c r="A102" s="992">
        <f>ROW()</f>
        <v>102</v>
      </c>
      <c r="B102" s="1025" t="s">
        <v>1499</v>
      </c>
      <c r="C102" s="994">
        <f>IF(J102=O102,0,J102-O102)</f>
        <v>0</v>
      </c>
      <c r="D102" s="994"/>
      <c r="E102" s="994">
        <f>IF(L102=Q102,0,L102-Q102)</f>
        <v>0</v>
      </c>
      <c r="F102" s="994"/>
      <c r="G102" s="994"/>
      <c r="I102" s="1031" t="str">
        <f t="shared" si="16"/>
        <v>באור 16 - זכאים ויתרות זכות - מאזן</v>
      </c>
      <c r="J102" s="995">
        <f>'B16'!C19</f>
        <v>0</v>
      </c>
      <c r="K102" s="995"/>
      <c r="L102" s="995">
        <f>'B16'!D19</f>
        <v>0</v>
      </c>
      <c r="M102" s="995"/>
      <c r="N102" s="995"/>
      <c r="O102" s="1013">
        <f>'1'!C39</f>
        <v>0</v>
      </c>
      <c r="P102" s="996"/>
      <c r="Q102" s="1014">
        <f>'1'!E39</f>
        <v>0</v>
      </c>
      <c r="R102" s="996"/>
      <c r="S102" s="1015"/>
      <c r="U102">
        <f t="shared" si="11"/>
        <v>0</v>
      </c>
      <c r="V102">
        <v>4</v>
      </c>
    </row>
    <row r="103" spans="1:22" ht="15.5">
      <c r="A103" s="992">
        <f>ROW()</f>
        <v>103</v>
      </c>
      <c r="B103" s="1025" t="s">
        <v>1500</v>
      </c>
      <c r="C103" s="994">
        <f>IF(J103=O103,0,J103-O103)</f>
        <v>0</v>
      </c>
      <c r="D103" s="994"/>
      <c r="E103" s="994">
        <f>IF(L103=Q103,0,L103-Q103)</f>
        <v>0</v>
      </c>
      <c r="F103" s="994"/>
      <c r="G103" s="994"/>
      <c r="I103" s="1031" t="str">
        <f t="shared" si="16"/>
        <v>ב17א' - התחייבויות פיננסיות - מאזן</v>
      </c>
      <c r="J103" s="995">
        <f>'B17'!C23</f>
        <v>0</v>
      </c>
      <c r="K103" s="995"/>
      <c r="L103" s="995">
        <f>'B17'!D23</f>
        <v>0</v>
      </c>
      <c r="M103" s="995"/>
      <c r="N103" s="995"/>
      <c r="O103" s="1013">
        <f>'1'!C40</f>
        <v>0</v>
      </c>
      <c r="P103" s="996"/>
      <c r="Q103" s="1014">
        <f>'1'!E40</f>
        <v>0</v>
      </c>
      <c r="R103" s="996"/>
      <c r="S103" s="1015"/>
      <c r="U103">
        <f t="shared" si="11"/>
        <v>0</v>
      </c>
      <c r="V103">
        <v>4</v>
      </c>
    </row>
    <row r="104" spans="1:22" ht="31">
      <c r="A104" s="992">
        <f>ROW()</f>
        <v>104</v>
      </c>
      <c r="B104" s="1025" t="s">
        <v>1501</v>
      </c>
      <c r="C104" s="994">
        <f>IF(J104=O104,0,J104-O104)</f>
        <v>0</v>
      </c>
      <c r="D104" s="994"/>
      <c r="E104" s="994">
        <f>IF(L104=Q104,0,L104-Q104)</f>
        <v>0</v>
      </c>
      <c r="F104" s="994"/>
      <c r="G104" s="994"/>
      <c r="I104" s="1029" t="str">
        <f t="shared" si="16"/>
        <v>ב17ג' - התחייבויות פיננסיות המוצגות בשווי הוגן חלוקה לרמות - ב17ד' -פרוט רמה 3</v>
      </c>
      <c r="J104" s="995">
        <f>'B17'!E45</f>
        <v>0</v>
      </c>
      <c r="K104" s="995"/>
      <c r="L104" s="995">
        <f>'B17'!E50</f>
        <v>0</v>
      </c>
      <c r="M104" s="995"/>
      <c r="N104" s="995"/>
      <c r="O104" s="1013">
        <f>'B17'!E67</f>
        <v>0</v>
      </c>
      <c r="P104" s="996"/>
      <c r="Q104" s="1014">
        <f>'B17'!E79</f>
        <v>0</v>
      </c>
      <c r="R104" s="996"/>
      <c r="S104" s="1015"/>
      <c r="U104">
        <f t="shared" si="11"/>
        <v>0</v>
      </c>
      <c r="V104">
        <v>4</v>
      </c>
    </row>
    <row r="105" spans="1:22" ht="15.5">
      <c r="A105" s="992">
        <f>ROW()</f>
        <v>105</v>
      </c>
      <c r="B105" s="1025" t="s">
        <v>1502</v>
      </c>
      <c r="C105" s="1003" t="str">
        <f>'2'!$C$4</f>
        <v>שנת 2021</v>
      </c>
      <c r="D105" s="1003" t="str">
        <f>'2'!$D$4</f>
        <v>שנת 2020</v>
      </c>
      <c r="E105" s="1003" t="str">
        <f>'2'!$G$4</f>
        <v>שנת 2019</v>
      </c>
      <c r="F105" s="1020"/>
      <c r="G105" s="1020"/>
      <c r="I105" s="1029" t="str">
        <f t="shared" si="16"/>
        <v>באור 18א' הכנסות מדמי ניהול - באור מגזרים</v>
      </c>
      <c r="J105" s="995"/>
      <c r="K105" s="995"/>
      <c r="L105" s="995"/>
      <c r="M105" s="995"/>
      <c r="N105" s="995"/>
      <c r="O105" s="1013"/>
      <c r="P105" s="996"/>
      <c r="Q105" s="1014"/>
      <c r="R105" s="996"/>
      <c r="S105" s="1015"/>
      <c r="U105" s="1021">
        <f>IF(SUM(U106:U107),1,0)</f>
        <v>0</v>
      </c>
      <c r="V105">
        <v>4</v>
      </c>
    </row>
    <row r="106" spans="1:22" ht="14">
      <c r="A106" s="992">
        <f>ROW()</f>
        <v>106</v>
      </c>
      <c r="B106" s="1019" t="s">
        <v>328</v>
      </c>
      <c r="C106" s="994">
        <f t="shared" ref="C106:E107" si="18">IF(J106=O106,0,J106-O106)</f>
        <v>0</v>
      </c>
      <c r="D106" s="994">
        <f t="shared" si="18"/>
        <v>0</v>
      </c>
      <c r="E106" s="994">
        <f t="shared" si="18"/>
        <v>0</v>
      </c>
      <c r="F106" s="994"/>
      <c r="G106" s="994"/>
      <c r="I106" s="1032" t="str">
        <f t="shared" si="16"/>
        <v>פנסיה</v>
      </c>
      <c r="J106" s="995">
        <f>'B18'!C23</f>
        <v>0</v>
      </c>
      <c r="K106" s="995">
        <f>'B18'!D23</f>
        <v>0</v>
      </c>
      <c r="L106" s="995">
        <f>'B18'!E23</f>
        <v>0</v>
      </c>
      <c r="M106" s="995"/>
      <c r="N106" s="995"/>
      <c r="O106" s="1013">
        <f>'B3.1A'!$D$8</f>
        <v>0</v>
      </c>
      <c r="P106" s="996">
        <f>'B3.1A'!$D$26</f>
        <v>0</v>
      </c>
      <c r="Q106" s="1014">
        <f>'B3.1A'!$D$44</f>
        <v>0</v>
      </c>
      <c r="R106" s="996"/>
      <c r="S106" s="1015"/>
      <c r="U106">
        <f t="shared" si="11"/>
        <v>0</v>
      </c>
      <c r="V106">
        <v>4</v>
      </c>
    </row>
    <row r="107" spans="1:22" ht="14">
      <c r="A107" s="992">
        <f>ROW()</f>
        <v>107</v>
      </c>
      <c r="B107" s="1019" t="s">
        <v>327</v>
      </c>
      <c r="C107" s="994">
        <f t="shared" si="18"/>
        <v>0</v>
      </c>
      <c r="D107" s="994">
        <f t="shared" si="18"/>
        <v>0</v>
      </c>
      <c r="E107" s="994">
        <f t="shared" si="18"/>
        <v>0</v>
      </c>
      <c r="F107" s="994"/>
      <c r="G107" s="994"/>
      <c r="I107" s="1032" t="str">
        <f t="shared" si="16"/>
        <v>גמל</v>
      </c>
      <c r="J107" s="995">
        <f>'B18'!C27</f>
        <v>0</v>
      </c>
      <c r="K107" s="995">
        <f>'B18'!D27</f>
        <v>0</v>
      </c>
      <c r="L107" s="995">
        <f>'B18'!E27</f>
        <v>0</v>
      </c>
      <c r="M107" s="995"/>
      <c r="N107" s="995"/>
      <c r="O107" s="1013">
        <f>'B3.1A'!$C$8</f>
        <v>0</v>
      </c>
      <c r="P107" s="996">
        <f>'B3.1A'!$C$26</f>
        <v>0</v>
      </c>
      <c r="Q107" s="1014">
        <f>'B3.1A'!$C$44</f>
        <v>0</v>
      </c>
      <c r="R107" s="996"/>
      <c r="S107" s="1015"/>
      <c r="U107">
        <f t="shared" si="11"/>
        <v>0</v>
      </c>
      <c r="V107">
        <v>4</v>
      </c>
    </row>
    <row r="108" spans="1:22" ht="14">
      <c r="A108" s="992">
        <f>ROW()</f>
        <v>108</v>
      </c>
      <c r="B108" s="1033"/>
      <c r="C108" s="1003" t="str">
        <f>'1'!$C$4</f>
        <v>31.12.2021</v>
      </c>
      <c r="D108" s="1030"/>
      <c r="E108" s="1030"/>
      <c r="F108" s="1030"/>
      <c r="G108" s="1030"/>
      <c r="I108" s="1032"/>
      <c r="J108" s="1003" t="str">
        <f>'1'!$C$4</f>
        <v>31.12.2021</v>
      </c>
      <c r="K108" s="995"/>
      <c r="L108" s="995"/>
      <c r="M108" s="995"/>
      <c r="N108" s="995"/>
      <c r="O108" s="1003" t="str">
        <f>'1'!$C$4</f>
        <v>31.12.2021</v>
      </c>
      <c r="P108" s="996"/>
      <c r="Q108" s="1014"/>
      <c r="R108" s="996"/>
      <c r="S108" s="1015"/>
      <c r="U108" s="1021">
        <f>IF(SUM(U109:U109),1,0)</f>
        <v>0</v>
      </c>
      <c r="V108">
        <v>4</v>
      </c>
    </row>
    <row r="109" spans="1:22" ht="15.5">
      <c r="A109" s="992">
        <f>ROW()</f>
        <v>109</v>
      </c>
      <c r="B109" s="1025" t="s">
        <v>1503</v>
      </c>
      <c r="C109" s="994">
        <f>IF(J109=O109,0,J109-O109)</f>
        <v>0</v>
      </c>
      <c r="D109" s="994"/>
      <c r="E109" s="994"/>
      <c r="F109" s="994"/>
      <c r="G109" s="994"/>
      <c r="I109" s="1029" t="str">
        <f t="shared" si="16"/>
        <v>ב19א'  סך נכסים מנוהלים - טופס 101</v>
      </c>
      <c r="J109" s="995">
        <f>'B18'!C40</f>
        <v>0</v>
      </c>
      <c r="K109" s="995"/>
      <c r="L109" s="995"/>
      <c r="M109" s="995"/>
      <c r="N109" s="995"/>
      <c r="O109" s="1013">
        <f>T101_N!D19</f>
        <v>0</v>
      </c>
      <c r="P109" s="996"/>
      <c r="Q109" s="1014"/>
      <c r="R109" s="996"/>
      <c r="S109" s="1015"/>
      <c r="U109">
        <f t="shared" si="11"/>
        <v>0</v>
      </c>
      <c r="V109">
        <v>4</v>
      </c>
    </row>
    <row r="110" spans="1:22" ht="13">
      <c r="A110" s="992">
        <f>ROW()</f>
        <v>110</v>
      </c>
      <c r="B110" s="1033"/>
      <c r="C110" s="1003" t="str">
        <f>'2'!$C$4</f>
        <v>שנת 2021</v>
      </c>
      <c r="D110" s="1003" t="str">
        <f>'2'!$D$4</f>
        <v>שנת 2020</v>
      </c>
      <c r="E110" s="1003" t="str">
        <f>'2'!$G$4</f>
        <v>שנת 2019</v>
      </c>
      <c r="F110" s="1020"/>
      <c r="G110" s="1020"/>
      <c r="I110" s="1029">
        <f t="shared" si="16"/>
        <v>0</v>
      </c>
      <c r="J110" s="1003" t="str">
        <f>'2'!$C$4</f>
        <v>שנת 2021</v>
      </c>
      <c r="K110" s="1003" t="str">
        <f>'2'!$D$4</f>
        <v>שנת 2020</v>
      </c>
      <c r="L110" s="1003" t="str">
        <f>'2'!$G$4</f>
        <v>שנת 2019</v>
      </c>
      <c r="M110" s="1020" t="s">
        <v>1505</v>
      </c>
      <c r="N110" s="1020"/>
      <c r="O110" s="1003" t="str">
        <f>'2'!$C$4</f>
        <v>שנת 2021</v>
      </c>
      <c r="P110" s="1003" t="str">
        <f>'2'!$D$4</f>
        <v>שנת 2020</v>
      </c>
      <c r="Q110" s="1003" t="str">
        <f>'2'!$G$4</f>
        <v>שנת 2019</v>
      </c>
      <c r="R110" s="1020" t="s">
        <v>887</v>
      </c>
      <c r="S110" s="1020"/>
      <c r="U110" s="1021">
        <f>IF(SUM(U111:U112),1,0)</f>
        <v>0</v>
      </c>
      <c r="V110">
        <v>4</v>
      </c>
    </row>
    <row r="111" spans="1:22" ht="31">
      <c r="A111" s="992">
        <f>ROW()</f>
        <v>111</v>
      </c>
      <c r="B111" s="1025" t="s">
        <v>1504</v>
      </c>
      <c r="C111" s="994">
        <f t="shared" ref="C111:E112" si="19">IF(J111=O111,0,J111-O111)</f>
        <v>0</v>
      </c>
      <c r="D111" s="994">
        <f t="shared" si="19"/>
        <v>0</v>
      </c>
      <c r="E111" s="994">
        <f t="shared" si="19"/>
        <v>0</v>
      </c>
      <c r="F111" s="994"/>
      <c r="G111" s="994"/>
      <c r="I111" s="1029" t="str">
        <f t="shared" si="16"/>
        <v>ב20א' רווחים (הפסדים) מהשקעות, נטוו  רווח והפסד</v>
      </c>
      <c r="J111" s="995">
        <f>'B20'!C35</f>
        <v>0</v>
      </c>
      <c r="K111" s="995">
        <f>'B20'!D35</f>
        <v>0</v>
      </c>
      <c r="L111" s="995">
        <f>'B20'!E35</f>
        <v>0</v>
      </c>
      <c r="M111" s="995"/>
      <c r="N111" s="995"/>
      <c r="O111" s="1013">
        <f>'2'!C7</f>
        <v>0</v>
      </c>
      <c r="P111" s="1013">
        <f>'2'!D7</f>
        <v>0</v>
      </c>
      <c r="Q111" s="1013">
        <f>'2'!G7</f>
        <v>0</v>
      </c>
      <c r="R111" s="996"/>
      <c r="S111" s="1015"/>
      <c r="U111">
        <f t="shared" si="11"/>
        <v>0</v>
      </c>
      <c r="V111">
        <v>4</v>
      </c>
    </row>
    <row r="112" spans="1:22" ht="26.5">
      <c r="A112" s="992">
        <f>ROW()</f>
        <v>112</v>
      </c>
      <c r="B112" s="1025" t="s">
        <v>1507</v>
      </c>
      <c r="C112" s="994">
        <f t="shared" si="19"/>
        <v>0</v>
      </c>
      <c r="D112" s="994">
        <f t="shared" si="19"/>
        <v>0</v>
      </c>
      <c r="E112" s="994">
        <f t="shared" si="19"/>
        <v>0</v>
      </c>
      <c r="F112" s="994"/>
      <c r="G112" s="994"/>
      <c r="I112" s="1029" t="s">
        <v>1506</v>
      </c>
      <c r="J112" s="995">
        <f>'B22'!C16</f>
        <v>0</v>
      </c>
      <c r="K112" s="995">
        <f>'B22'!D16</f>
        <v>0</v>
      </c>
      <c r="L112" s="995">
        <f>'B22'!E16</f>
        <v>0</v>
      </c>
      <c r="M112" s="995"/>
      <c r="N112" s="995"/>
      <c r="O112" s="1013">
        <f>'2'!C10</f>
        <v>0</v>
      </c>
      <c r="P112" s="996">
        <f>'2'!D10</f>
        <v>0</v>
      </c>
      <c r="Q112" s="1014">
        <f>'2'!G10</f>
        <v>0</v>
      </c>
      <c r="R112" s="996"/>
      <c r="S112" s="1015"/>
      <c r="U112">
        <f t="shared" si="11"/>
        <v>0</v>
      </c>
      <c r="V112">
        <v>4</v>
      </c>
    </row>
    <row r="113" spans="1:22" ht="26.5">
      <c r="A113" s="992">
        <f>ROW()</f>
        <v>113</v>
      </c>
      <c r="B113" s="1025" t="s">
        <v>1508</v>
      </c>
      <c r="C113" s="1003" t="str">
        <f>'1'!$C$4</f>
        <v>31.12.2021</v>
      </c>
      <c r="D113" s="1003" t="str">
        <f>'1'!$D$4</f>
        <v>לא לדווח</v>
      </c>
      <c r="E113" s="1003" t="str">
        <f>'1'!$E$4</f>
        <v>31.12.2020</v>
      </c>
      <c r="F113" s="994"/>
      <c r="G113" s="994" t="s">
        <v>2725</v>
      </c>
      <c r="I113" s="1028" t="str">
        <f t="shared" si="16"/>
        <v>ב27נ' - נכסים וההתחייבויות -בסיסי הצמדה מאזן</v>
      </c>
      <c r="J113" s="1003" t="str">
        <f>'1'!$C$4</f>
        <v>31.12.2021</v>
      </c>
      <c r="K113" s="1003" t="str">
        <f>'1'!$D$4</f>
        <v>לא לדווח</v>
      </c>
      <c r="L113" s="1003" t="str">
        <f>'1'!$E$4</f>
        <v>31.12.2020</v>
      </c>
      <c r="M113" s="1034" t="s">
        <v>1505</v>
      </c>
      <c r="N113" s="994"/>
      <c r="O113" s="1003" t="str">
        <f>'1'!$C$4</f>
        <v>31.12.2021</v>
      </c>
      <c r="P113" s="1003" t="str">
        <f>'1'!$D$4</f>
        <v>לא לדווח</v>
      </c>
      <c r="Q113" s="1003" t="str">
        <f>'1'!$E$4</f>
        <v>31.12.2020</v>
      </c>
      <c r="R113" s="996"/>
      <c r="S113" s="1015"/>
      <c r="U113" s="1021">
        <f>IF(SUM(U114:U115),1,0)</f>
        <v>0</v>
      </c>
      <c r="V113">
        <v>4</v>
      </c>
    </row>
    <row r="114" spans="1:22" ht="14">
      <c r="A114" s="992">
        <f>ROW()</f>
        <v>114</v>
      </c>
      <c r="B114" s="1019" t="str">
        <f>B27A!B21</f>
        <v>נכסים בלתי מוחשים</v>
      </c>
      <c r="C114" s="994">
        <f>IF(J114=O114,0,J114-O114)</f>
        <v>0</v>
      </c>
      <c r="D114" s="994"/>
      <c r="E114" s="994">
        <f>IF(L114=Q114,0,L114-Q114)</f>
        <v>0</v>
      </c>
      <c r="F114" s="994"/>
      <c r="G114" s="994"/>
      <c r="I114" s="1029" t="str">
        <f t="shared" si="16"/>
        <v>נכסים בלתי מוחשים</v>
      </c>
      <c r="J114" s="995">
        <f>B27A!G21</f>
        <v>0</v>
      </c>
      <c r="K114" s="995"/>
      <c r="L114" s="995">
        <f>B27A!G55</f>
        <v>0</v>
      </c>
      <c r="M114" s="995"/>
      <c r="N114" s="995"/>
      <c r="O114" s="1013">
        <f>'1'!C7</f>
        <v>0</v>
      </c>
      <c r="P114" s="996"/>
      <c r="Q114" s="1014">
        <f>'1'!E7</f>
        <v>0</v>
      </c>
      <c r="R114" s="996"/>
      <c r="S114" s="1015"/>
      <c r="U114">
        <f t="shared" si="11"/>
        <v>0</v>
      </c>
      <c r="V114">
        <v>4</v>
      </c>
    </row>
    <row r="115" spans="1:22" ht="14">
      <c r="A115" s="992">
        <f>ROW()</f>
        <v>115</v>
      </c>
      <c r="B115" s="1019" t="str">
        <f>B27A!B22</f>
        <v>נכסי מיסים נדחים</v>
      </c>
      <c r="C115" s="994">
        <f t="shared" ref="C115:C128" si="20">IF(J115=O115,0,J115-O115)</f>
        <v>0</v>
      </c>
      <c r="D115" s="994"/>
      <c r="E115" s="994">
        <f t="shared" ref="E115:E128" si="21">IF(L115=Q115,0,L115-Q115)</f>
        <v>0</v>
      </c>
      <c r="F115" s="994"/>
      <c r="G115" s="994"/>
      <c r="I115" s="1029" t="str">
        <f t="shared" si="16"/>
        <v>נכסי מיסים נדחים</v>
      </c>
      <c r="J115" s="995">
        <f>B27A!G22</f>
        <v>0</v>
      </c>
      <c r="K115" s="995"/>
      <c r="L115" s="995">
        <f>B27A!G56</f>
        <v>0</v>
      </c>
      <c r="M115" s="995"/>
      <c r="N115" s="995"/>
      <c r="O115" s="1013">
        <f>'1'!C8</f>
        <v>0</v>
      </c>
      <c r="P115" s="996"/>
      <c r="Q115" s="1014">
        <f>'1'!E8</f>
        <v>0</v>
      </c>
      <c r="R115" s="996"/>
      <c r="S115" s="1015"/>
      <c r="U115">
        <f t="shared" si="11"/>
        <v>0</v>
      </c>
      <c r="V115">
        <v>4</v>
      </c>
    </row>
    <row r="116" spans="1:22" ht="14">
      <c r="A116" s="992">
        <f>ROW()</f>
        <v>116</v>
      </c>
      <c r="B116" s="1019" t="str">
        <f>B27A!B23</f>
        <v>הוצאות רכישה נדחות</v>
      </c>
      <c r="C116" s="994">
        <f t="shared" si="20"/>
        <v>0</v>
      </c>
      <c r="D116" s="994"/>
      <c r="E116" s="994">
        <f t="shared" si="21"/>
        <v>0</v>
      </c>
      <c r="F116" s="994"/>
      <c r="G116" s="994"/>
      <c r="I116" s="1029" t="str">
        <f t="shared" si="16"/>
        <v>הוצאות רכישה נדחות</v>
      </c>
      <c r="J116" s="995">
        <f>B27A!G23</f>
        <v>0</v>
      </c>
      <c r="K116" s="995"/>
      <c r="L116" s="995">
        <f>B27A!G57</f>
        <v>0</v>
      </c>
      <c r="M116" s="995"/>
      <c r="N116" s="995"/>
      <c r="O116" s="1013">
        <f>'1'!C9</f>
        <v>0</v>
      </c>
      <c r="P116" s="996"/>
      <c r="Q116" s="1014">
        <f>'1'!E9</f>
        <v>0</v>
      </c>
      <c r="R116" s="996"/>
      <c r="S116" s="1015"/>
      <c r="U116">
        <f t="shared" si="11"/>
        <v>0</v>
      </c>
      <c r="V116">
        <v>4</v>
      </c>
    </row>
    <row r="117" spans="1:22" ht="14">
      <c r="A117" s="992">
        <f>ROW()</f>
        <v>117</v>
      </c>
      <c r="B117" s="1019" t="str">
        <f>B27A!B24</f>
        <v>רכוש קבוע</v>
      </c>
      <c r="C117" s="994">
        <f t="shared" si="20"/>
        <v>0</v>
      </c>
      <c r="D117" s="994"/>
      <c r="E117" s="994">
        <f t="shared" si="21"/>
        <v>0</v>
      </c>
      <c r="F117" s="994"/>
      <c r="G117" s="994"/>
      <c r="I117" s="1029" t="str">
        <f t="shared" si="16"/>
        <v>רכוש קבוע</v>
      </c>
      <c r="J117" s="995">
        <f>B27A!G24</f>
        <v>0</v>
      </c>
      <c r="K117" s="995"/>
      <c r="L117" s="995">
        <f>B27A!G58</f>
        <v>0</v>
      </c>
      <c r="M117" s="995"/>
      <c r="N117" s="995"/>
      <c r="O117" s="1171">
        <f>'1'!C11</f>
        <v>0</v>
      </c>
      <c r="P117" s="996"/>
      <c r="Q117" s="1171">
        <f>'1'!E11</f>
        <v>0</v>
      </c>
      <c r="R117" s="996"/>
      <c r="S117" s="1015"/>
      <c r="U117">
        <f t="shared" si="11"/>
        <v>0</v>
      </c>
      <c r="V117">
        <v>4</v>
      </c>
    </row>
    <row r="118" spans="1:22" ht="14">
      <c r="A118" s="992">
        <f>ROW()</f>
        <v>118</v>
      </c>
      <c r="B118" s="1019" t="str">
        <f>B27A!B25</f>
        <v>השקעות בחברות כלולות</v>
      </c>
      <c r="C118" s="994">
        <f t="shared" si="20"/>
        <v>0</v>
      </c>
      <c r="D118" s="994"/>
      <c r="E118" s="994">
        <f t="shared" si="21"/>
        <v>0</v>
      </c>
      <c r="F118" s="994"/>
      <c r="G118" s="994"/>
      <c r="I118" s="1029" t="str">
        <f t="shared" si="16"/>
        <v>השקעות בחברות כלולות</v>
      </c>
      <c r="J118" s="995">
        <f>B27A!G25</f>
        <v>0</v>
      </c>
      <c r="K118" s="995"/>
      <c r="L118" s="995">
        <f>B27A!G59</f>
        <v>0</v>
      </c>
      <c r="M118" s="995"/>
      <c r="N118" s="995"/>
      <c r="O118" s="1013">
        <f>'1'!C12</f>
        <v>0</v>
      </c>
      <c r="P118" s="996"/>
      <c r="Q118" s="1013">
        <f>'1'!E12</f>
        <v>0</v>
      </c>
      <c r="R118" s="996"/>
      <c r="S118" s="1015"/>
      <c r="U118">
        <f t="shared" si="11"/>
        <v>0</v>
      </c>
      <c r="V118">
        <v>4</v>
      </c>
    </row>
    <row r="119" spans="1:22" ht="14">
      <c r="A119" s="992">
        <f>ROW()</f>
        <v>119</v>
      </c>
      <c r="B119" s="1019" t="str">
        <f>B27A!B26</f>
        <v>נדל"ן להשקעה</v>
      </c>
      <c r="C119" s="994">
        <f t="shared" si="20"/>
        <v>0</v>
      </c>
      <c r="D119" s="994"/>
      <c r="E119" s="994">
        <f t="shared" si="21"/>
        <v>0</v>
      </c>
      <c r="F119" s="994"/>
      <c r="G119" s="994"/>
      <c r="I119" s="1029" t="str">
        <f t="shared" si="16"/>
        <v>נדל"ן להשקעה</v>
      </c>
      <c r="J119" s="995">
        <f>B27A!G26</f>
        <v>0</v>
      </c>
      <c r="K119" s="995"/>
      <c r="L119" s="995">
        <f>B27A!G60</f>
        <v>0</v>
      </c>
      <c r="M119" s="995"/>
      <c r="N119" s="995"/>
      <c r="O119" s="1013">
        <f>'1'!C13</f>
        <v>0</v>
      </c>
      <c r="P119" s="996"/>
      <c r="Q119" s="1013">
        <f>'1'!E13</f>
        <v>0</v>
      </c>
      <c r="R119" s="996"/>
      <c r="S119" s="1015"/>
      <c r="U119">
        <f t="shared" si="11"/>
        <v>0</v>
      </c>
      <c r="V119">
        <v>4</v>
      </c>
    </row>
    <row r="120" spans="1:22" ht="14">
      <c r="A120" s="992">
        <f>ROW()</f>
        <v>120</v>
      </c>
      <c r="B120" s="1019" t="str">
        <f>B27A!B27</f>
        <v>נכסי מיסים שוטפים</v>
      </c>
      <c r="C120" s="994">
        <f t="shared" si="20"/>
        <v>0</v>
      </c>
      <c r="D120" s="994"/>
      <c r="E120" s="994">
        <f t="shared" si="21"/>
        <v>0</v>
      </c>
      <c r="F120" s="994"/>
      <c r="G120" s="994"/>
      <c r="I120" s="1029" t="str">
        <f t="shared" si="16"/>
        <v>נכסי מיסים שוטפים</v>
      </c>
      <c r="J120" s="995">
        <f>B27A!G27</f>
        <v>0</v>
      </c>
      <c r="K120" s="995"/>
      <c r="L120" s="995">
        <f>B27A!G61</f>
        <v>0</v>
      </c>
      <c r="M120" s="995"/>
      <c r="N120" s="995"/>
      <c r="O120" s="1013">
        <f>'1'!C14</f>
        <v>0</v>
      </c>
      <c r="P120" s="996"/>
      <c r="Q120" s="1013">
        <f>'1'!E14</f>
        <v>0</v>
      </c>
      <c r="R120" s="996"/>
      <c r="S120" s="1015"/>
      <c r="U120">
        <f t="shared" si="11"/>
        <v>0</v>
      </c>
      <c r="V120">
        <v>4</v>
      </c>
    </row>
    <row r="121" spans="1:22" ht="14">
      <c r="A121" s="992">
        <f>ROW()</f>
        <v>121</v>
      </c>
      <c r="B121" s="1019" t="str">
        <f>B27A!B28</f>
        <v>חייבים ויתרות חובה</v>
      </c>
      <c r="C121" s="994">
        <f t="shared" si="20"/>
        <v>0</v>
      </c>
      <c r="D121" s="994"/>
      <c r="E121" s="994">
        <f t="shared" si="21"/>
        <v>0</v>
      </c>
      <c r="F121" s="994"/>
      <c r="G121" s="994"/>
      <c r="I121" s="1029" t="str">
        <f t="shared" si="16"/>
        <v>חייבים ויתרות חובה</v>
      </c>
      <c r="J121" s="995">
        <f>B27A!G28</f>
        <v>0</v>
      </c>
      <c r="K121" s="995"/>
      <c r="L121" s="995">
        <f>B27A!G62</f>
        <v>0</v>
      </c>
      <c r="M121" s="995"/>
      <c r="N121" s="995"/>
      <c r="O121" s="1013">
        <f>'1'!C15</f>
        <v>0</v>
      </c>
      <c r="P121" s="996"/>
      <c r="Q121" s="1013">
        <f>'1'!E15</f>
        <v>0</v>
      </c>
      <c r="R121" s="996"/>
      <c r="S121" s="1015"/>
      <c r="U121">
        <f t="shared" si="11"/>
        <v>0</v>
      </c>
      <c r="V121">
        <v>4</v>
      </c>
    </row>
    <row r="122" spans="1:22" ht="14">
      <c r="A122" s="992">
        <f>ROW()</f>
        <v>122</v>
      </c>
      <c r="B122" s="1019" t="str">
        <f>B27A!B29</f>
        <v>השקעות פיננסיות</v>
      </c>
      <c r="C122" s="994">
        <f t="shared" si="20"/>
        <v>0</v>
      </c>
      <c r="D122" s="994"/>
      <c r="E122" s="994">
        <f t="shared" si="21"/>
        <v>0</v>
      </c>
      <c r="F122" s="994"/>
      <c r="G122" s="994"/>
      <c r="I122" s="1029" t="str">
        <f t="shared" si="16"/>
        <v>השקעות פיננסיות</v>
      </c>
      <c r="J122" s="995">
        <f>B27A!G29</f>
        <v>0</v>
      </c>
      <c r="K122" s="995"/>
      <c r="L122" s="995">
        <f>B27A!G63</f>
        <v>0</v>
      </c>
      <c r="M122" s="995"/>
      <c r="N122" s="995"/>
      <c r="O122" s="1013">
        <f>'1'!C16</f>
        <v>0</v>
      </c>
      <c r="P122" s="996"/>
      <c r="Q122" s="1013">
        <f>'1'!E16</f>
        <v>0</v>
      </c>
      <c r="R122" s="996"/>
      <c r="S122" s="1015"/>
      <c r="U122">
        <f t="shared" si="11"/>
        <v>0</v>
      </c>
      <c r="V122">
        <v>4</v>
      </c>
    </row>
    <row r="123" spans="1:22" ht="14">
      <c r="A123" s="992">
        <f>ROW()</f>
        <v>123</v>
      </c>
      <c r="B123" s="1019" t="str">
        <f>B27A!B30</f>
        <v>נכסי חוב סחירים</v>
      </c>
      <c r="C123" s="994">
        <f t="shared" si="20"/>
        <v>0</v>
      </c>
      <c r="D123" s="994"/>
      <c r="E123" s="994">
        <f t="shared" si="21"/>
        <v>0</v>
      </c>
      <c r="F123" s="994"/>
      <c r="G123" s="994"/>
      <c r="I123" s="1032" t="str">
        <f t="shared" si="16"/>
        <v>נכסי חוב סחירים</v>
      </c>
      <c r="J123" s="995">
        <f>B27A!G30</f>
        <v>0</v>
      </c>
      <c r="K123" s="995"/>
      <c r="L123" s="995">
        <f>B27A!G64</f>
        <v>0</v>
      </c>
      <c r="M123" s="995"/>
      <c r="N123" s="995"/>
      <c r="O123" s="1013">
        <f>'1'!C17</f>
        <v>0</v>
      </c>
      <c r="P123" s="996"/>
      <c r="Q123" s="1013">
        <f>'1'!E17</f>
        <v>0</v>
      </c>
      <c r="R123" s="996"/>
      <c r="S123" s="1015"/>
      <c r="U123">
        <f t="shared" si="11"/>
        <v>0</v>
      </c>
      <c r="V123">
        <v>4</v>
      </c>
    </row>
    <row r="124" spans="1:22" ht="14">
      <c r="A124" s="992">
        <f>ROW()</f>
        <v>124</v>
      </c>
      <c r="B124" s="1019" t="str">
        <f>B27A!B31</f>
        <v>נכסי חוב שאינם סחירים</v>
      </c>
      <c r="C124" s="994">
        <f t="shared" si="20"/>
        <v>0</v>
      </c>
      <c r="D124" s="994"/>
      <c r="E124" s="994">
        <f t="shared" si="21"/>
        <v>0</v>
      </c>
      <c r="F124" s="994"/>
      <c r="G124" s="994"/>
      <c r="I124" s="1032" t="str">
        <f t="shared" si="16"/>
        <v>נכסי חוב שאינם סחירים</v>
      </c>
      <c r="J124" s="995">
        <f>B27A!G31</f>
        <v>0</v>
      </c>
      <c r="K124" s="995"/>
      <c r="L124" s="995">
        <f>B27A!G65</f>
        <v>0</v>
      </c>
      <c r="M124" s="995"/>
      <c r="N124" s="995"/>
      <c r="O124" s="1013">
        <f>'1'!C18</f>
        <v>0</v>
      </c>
      <c r="P124" s="996"/>
      <c r="Q124" s="1013">
        <f>'1'!E18</f>
        <v>0</v>
      </c>
      <c r="R124" s="996"/>
      <c r="S124" s="1015"/>
      <c r="U124">
        <f t="shared" si="11"/>
        <v>0</v>
      </c>
      <c r="V124">
        <v>4</v>
      </c>
    </row>
    <row r="125" spans="1:22" ht="14">
      <c r="A125" s="992">
        <f>ROW()</f>
        <v>125</v>
      </c>
      <c r="B125" s="1019" t="str">
        <f>B27A!B32</f>
        <v>מניות</v>
      </c>
      <c r="C125" s="994">
        <f t="shared" si="20"/>
        <v>0</v>
      </c>
      <c r="D125" s="994"/>
      <c r="E125" s="994">
        <f t="shared" si="21"/>
        <v>0</v>
      </c>
      <c r="F125" s="994"/>
      <c r="G125" s="994"/>
      <c r="I125" s="1032" t="str">
        <f t="shared" si="16"/>
        <v>מניות</v>
      </c>
      <c r="J125" s="995">
        <f>B27A!G32</f>
        <v>0</v>
      </c>
      <c r="K125" s="995"/>
      <c r="L125" s="995">
        <f>B27A!G66</f>
        <v>0</v>
      </c>
      <c r="M125" s="995"/>
      <c r="N125" s="995"/>
      <c r="O125" s="1013">
        <f>'1'!C19</f>
        <v>0</v>
      </c>
      <c r="P125" s="996"/>
      <c r="Q125" s="1013">
        <f>'1'!E19</f>
        <v>0</v>
      </c>
      <c r="R125" s="996"/>
      <c r="S125" s="1015"/>
      <c r="U125">
        <f t="shared" si="11"/>
        <v>0</v>
      </c>
      <c r="V125">
        <v>4</v>
      </c>
    </row>
    <row r="126" spans="1:22" ht="14">
      <c r="A126" s="992">
        <f>ROW()</f>
        <v>126</v>
      </c>
      <c r="B126" s="1019" t="str">
        <f>B27A!B33</f>
        <v>אחרות</v>
      </c>
      <c r="C126" s="994">
        <f t="shared" si="20"/>
        <v>0</v>
      </c>
      <c r="D126" s="994"/>
      <c r="E126" s="994">
        <f t="shared" si="21"/>
        <v>0</v>
      </c>
      <c r="F126" s="994"/>
      <c r="G126" s="994"/>
      <c r="I126" s="1032" t="str">
        <f t="shared" si="16"/>
        <v>אחרות</v>
      </c>
      <c r="J126" s="995">
        <f>B27A!G33</f>
        <v>0</v>
      </c>
      <c r="K126" s="995"/>
      <c r="L126" s="995">
        <f>B27A!G67</f>
        <v>0</v>
      </c>
      <c r="M126" s="995"/>
      <c r="N126" s="995"/>
      <c r="O126" s="1013">
        <f>'1'!C20</f>
        <v>0</v>
      </c>
      <c r="P126" s="996"/>
      <c r="Q126" s="1013">
        <f>'1'!E20</f>
        <v>0</v>
      </c>
      <c r="R126" s="996"/>
      <c r="S126" s="1015"/>
      <c r="U126">
        <f t="shared" si="11"/>
        <v>0</v>
      </c>
      <c r="V126">
        <v>4</v>
      </c>
    </row>
    <row r="127" spans="1:22" ht="14">
      <c r="A127" s="992">
        <f>ROW()</f>
        <v>127</v>
      </c>
      <c r="B127" s="1019" t="str">
        <f>B27A!B34</f>
        <v>סה"כ השקעות פיננסיות</v>
      </c>
      <c r="C127" s="994">
        <f t="shared" si="20"/>
        <v>0</v>
      </c>
      <c r="D127" s="994"/>
      <c r="E127" s="994">
        <f t="shared" si="21"/>
        <v>0</v>
      </c>
      <c r="F127" s="994"/>
      <c r="G127" s="994"/>
      <c r="I127" s="1029" t="str">
        <f t="shared" si="16"/>
        <v>סה"כ השקעות פיננסיות</v>
      </c>
      <c r="J127" s="995">
        <f>B27A!G34</f>
        <v>0</v>
      </c>
      <c r="K127" s="995"/>
      <c r="L127" s="995">
        <f>B27A!G68</f>
        <v>0</v>
      </c>
      <c r="M127" s="995"/>
      <c r="N127" s="995"/>
      <c r="O127" s="1013">
        <f>'1'!C21</f>
        <v>0</v>
      </c>
      <c r="P127" s="996"/>
      <c r="Q127" s="1013">
        <f>'1'!E21</f>
        <v>0</v>
      </c>
      <c r="R127" s="996"/>
      <c r="S127" s="1015"/>
      <c r="U127">
        <f t="shared" si="11"/>
        <v>0</v>
      </c>
      <c r="V127">
        <v>4</v>
      </c>
    </row>
    <row r="128" spans="1:22" ht="14">
      <c r="A128" s="992">
        <f>ROW()</f>
        <v>128</v>
      </c>
      <c r="B128" s="1019" t="str">
        <f>B27A!B35</f>
        <v>מזומנים ושווי מזומנים</v>
      </c>
      <c r="C128" s="994">
        <f t="shared" si="20"/>
        <v>0</v>
      </c>
      <c r="D128" s="994"/>
      <c r="E128" s="994">
        <f t="shared" si="21"/>
        <v>0</v>
      </c>
      <c r="F128" s="994"/>
      <c r="G128" s="994"/>
      <c r="I128" s="1029" t="str">
        <f t="shared" si="16"/>
        <v>מזומנים ושווי מזומנים</v>
      </c>
      <c r="J128" s="995">
        <f>B27A!G35</f>
        <v>0</v>
      </c>
      <c r="K128" s="995"/>
      <c r="L128" s="995">
        <f>B27A!G69</f>
        <v>0</v>
      </c>
      <c r="M128" s="995"/>
      <c r="N128" s="995"/>
      <c r="O128" s="1013">
        <f>'1'!C22</f>
        <v>0</v>
      </c>
      <c r="P128" s="996"/>
      <c r="Q128" s="1013">
        <f>'1'!E22</f>
        <v>0</v>
      </c>
      <c r="R128" s="996"/>
      <c r="S128" s="1015"/>
      <c r="U128">
        <f t="shared" si="11"/>
        <v>0</v>
      </c>
      <c r="V128">
        <v>4</v>
      </c>
    </row>
    <row r="129" spans="1:22" ht="14">
      <c r="A129" s="992">
        <f>ROW()</f>
        <v>129</v>
      </c>
      <c r="B129" s="1019" t="str">
        <f>B27A!B36</f>
        <v>נכסים אחרים</v>
      </c>
      <c r="C129" s="994">
        <f t="shared" ref="C129:C139" si="22">IF(J129=O129,0,J129-O129)</f>
        <v>0</v>
      </c>
      <c r="D129" s="994"/>
      <c r="E129" s="994">
        <f t="shared" ref="E129:E139" si="23">IF(L129=Q129,0,L129-Q129)</f>
        <v>0</v>
      </c>
      <c r="F129" s="994"/>
      <c r="G129" s="994"/>
      <c r="I129" s="1029" t="str">
        <f t="shared" si="16"/>
        <v>נכסים אחרים</v>
      </c>
      <c r="J129" s="995">
        <f>B27A!G36</f>
        <v>0</v>
      </c>
      <c r="K129" s="995"/>
      <c r="L129" s="995">
        <f>B27A!G70</f>
        <v>0</v>
      </c>
      <c r="M129" s="995"/>
      <c r="N129" s="995"/>
      <c r="O129" s="1013">
        <f>'1'!C23+'1'!C10</f>
        <v>0</v>
      </c>
      <c r="P129" s="996"/>
      <c r="Q129" s="1013">
        <f>'1'!E23+'1'!E10</f>
        <v>0</v>
      </c>
      <c r="R129" s="996"/>
      <c r="S129" s="1015"/>
      <c r="U129">
        <f t="shared" si="11"/>
        <v>0</v>
      </c>
      <c r="V129">
        <v>4</v>
      </c>
    </row>
    <row r="130" spans="1:22" ht="14">
      <c r="A130" s="992">
        <f>ROW()</f>
        <v>130</v>
      </c>
      <c r="B130" s="1019" t="str">
        <f>B27A!B37</f>
        <v>סך הכל נכסים</v>
      </c>
      <c r="C130" s="994">
        <f t="shared" si="22"/>
        <v>0</v>
      </c>
      <c r="D130" s="994"/>
      <c r="E130" s="994">
        <f t="shared" si="23"/>
        <v>0</v>
      </c>
      <c r="F130" s="994"/>
      <c r="G130" s="994"/>
      <c r="I130" s="1029" t="str">
        <f t="shared" si="16"/>
        <v>סך הכל נכסים</v>
      </c>
      <c r="J130" s="995">
        <f>B27A!G37</f>
        <v>0</v>
      </c>
      <c r="K130" s="995"/>
      <c r="L130" s="995">
        <f>B27A!G71</f>
        <v>0</v>
      </c>
      <c r="M130" s="995"/>
      <c r="N130" s="995"/>
      <c r="O130" s="1013">
        <f>'1'!C24</f>
        <v>0</v>
      </c>
      <c r="P130" s="996"/>
      <c r="Q130" s="1014">
        <f>'1'!E24</f>
        <v>0</v>
      </c>
      <c r="R130" s="996"/>
      <c r="S130" s="1015"/>
      <c r="U130">
        <f t="shared" si="11"/>
        <v>0</v>
      </c>
      <c r="V130">
        <v>4</v>
      </c>
    </row>
    <row r="131" spans="1:22" ht="14">
      <c r="A131" s="992">
        <f>ROW()</f>
        <v>131</v>
      </c>
      <c r="B131" s="1019" t="str">
        <f>B27A!B38</f>
        <v xml:space="preserve">סך הכל הון </v>
      </c>
      <c r="C131" s="994">
        <f t="shared" si="22"/>
        <v>0</v>
      </c>
      <c r="D131" s="994"/>
      <c r="E131" s="994">
        <f t="shared" si="23"/>
        <v>0</v>
      </c>
      <c r="F131" s="994"/>
      <c r="G131" s="994"/>
      <c r="I131" s="1029" t="str">
        <f t="shared" si="16"/>
        <v xml:space="preserve">סך הכל הון </v>
      </c>
      <c r="J131" s="995">
        <f>B27A!G38</f>
        <v>0</v>
      </c>
      <c r="K131" s="995"/>
      <c r="L131" s="995">
        <f>B27A!G72</f>
        <v>0</v>
      </c>
      <c r="M131" s="995"/>
      <c r="N131" s="995"/>
      <c r="O131" s="1013">
        <f>'1'!C32</f>
        <v>0</v>
      </c>
      <c r="P131" s="996"/>
      <c r="Q131" s="996">
        <f>'1'!E32</f>
        <v>0</v>
      </c>
      <c r="R131" s="996"/>
      <c r="S131" s="1015"/>
      <c r="U131">
        <f t="shared" si="11"/>
        <v>0</v>
      </c>
      <c r="V131">
        <v>4</v>
      </c>
    </row>
    <row r="132" spans="1:22" ht="14">
      <c r="A132" s="992">
        <f>ROW()</f>
        <v>132</v>
      </c>
      <c r="B132" s="1019" t="str">
        <f>B27A!B39</f>
        <v xml:space="preserve">התחייבויות </v>
      </c>
      <c r="C132" s="994">
        <f t="shared" si="22"/>
        <v>0</v>
      </c>
      <c r="D132" s="994"/>
      <c r="E132" s="994">
        <f t="shared" si="23"/>
        <v>0</v>
      </c>
      <c r="F132" s="994"/>
      <c r="G132" s="994"/>
      <c r="I132" s="1029" t="str">
        <f t="shared" si="16"/>
        <v xml:space="preserve">התחייבויות </v>
      </c>
      <c r="J132" s="995">
        <f>B27A!G39</f>
        <v>0</v>
      </c>
      <c r="K132" s="995"/>
      <c r="L132" s="995">
        <f>B27A!G73</f>
        <v>0</v>
      </c>
      <c r="M132" s="995"/>
      <c r="N132" s="995"/>
      <c r="O132" s="1013">
        <f>'1'!C35</f>
        <v>0</v>
      </c>
      <c r="P132" s="996"/>
      <c r="Q132" s="996">
        <f>'1'!E35</f>
        <v>0</v>
      </c>
      <c r="R132" s="996"/>
      <c r="S132" s="1015"/>
      <c r="U132">
        <f t="shared" si="11"/>
        <v>0</v>
      </c>
      <c r="V132">
        <v>4</v>
      </c>
    </row>
    <row r="133" spans="1:22" ht="14">
      <c r="A133" s="992">
        <f>ROW()</f>
        <v>133</v>
      </c>
      <c r="B133" s="1019" t="str">
        <f>B27A!B40</f>
        <v>התחייבויות מסים נדחים</v>
      </c>
      <c r="C133" s="994">
        <f t="shared" si="22"/>
        <v>0</v>
      </c>
      <c r="D133" s="994"/>
      <c r="E133" s="994">
        <f t="shared" si="23"/>
        <v>0</v>
      </c>
      <c r="F133" s="994"/>
      <c r="G133" s="994"/>
      <c r="I133" s="1029" t="str">
        <f t="shared" si="16"/>
        <v>התחייבויות מסים נדחים</v>
      </c>
      <c r="J133" s="995">
        <f>B27A!G40</f>
        <v>0</v>
      </c>
      <c r="K133" s="995"/>
      <c r="L133" s="995">
        <f>B27A!G74</f>
        <v>0</v>
      </c>
      <c r="M133" s="995"/>
      <c r="N133" s="995"/>
      <c r="O133" s="1013">
        <f>'1'!C36</f>
        <v>0</v>
      </c>
      <c r="P133" s="996"/>
      <c r="Q133" s="996">
        <f>'1'!E36</f>
        <v>0</v>
      </c>
      <c r="R133" s="996"/>
      <c r="S133" s="1015"/>
      <c r="U133">
        <f t="shared" si="11"/>
        <v>0</v>
      </c>
      <c r="V133">
        <v>4</v>
      </c>
    </row>
    <row r="134" spans="1:22" ht="14">
      <c r="A134" s="992">
        <f>ROW()</f>
        <v>134</v>
      </c>
      <c r="B134" s="1019" t="str">
        <f>B27A!B41</f>
        <v>התחייבות בשל הטבות לעובדים, נטו</v>
      </c>
      <c r="C134" s="994">
        <f t="shared" si="22"/>
        <v>0</v>
      </c>
      <c r="D134" s="994"/>
      <c r="E134" s="994">
        <f t="shared" si="23"/>
        <v>0</v>
      </c>
      <c r="F134" s="994"/>
      <c r="G134" s="994"/>
      <c r="I134" s="1029" t="str">
        <f t="shared" si="16"/>
        <v>התחייבות בשל הטבות לעובדים, נטו</v>
      </c>
      <c r="J134" s="995">
        <f>B27A!G41</f>
        <v>0</v>
      </c>
      <c r="K134" s="995"/>
      <c r="L134" s="995">
        <f>B27A!G75</f>
        <v>0</v>
      </c>
      <c r="M134" s="995"/>
      <c r="N134" s="995"/>
      <c r="O134" s="1013">
        <f>'1'!C37</f>
        <v>0</v>
      </c>
      <c r="P134" s="996"/>
      <c r="Q134" s="996">
        <f>'1'!E37</f>
        <v>0</v>
      </c>
      <c r="R134" s="996"/>
      <c r="S134" s="1015"/>
      <c r="U134">
        <f t="shared" ref="U134:U158" si="24">IF(OR(ABS(C134)&gt;$U$2,ABS(D134)&gt;$U$2,ABS(E134)&gt;$U$2,ABS(F134)&gt;$U$2,ABS(G134)&gt;$U$2),1,0)</f>
        <v>0</v>
      </c>
      <c r="V134">
        <v>4</v>
      </c>
    </row>
    <row r="135" spans="1:22" ht="14">
      <c r="A135" s="992">
        <f>ROW()</f>
        <v>135</v>
      </c>
      <c r="B135" s="1019" t="str">
        <f>B27A!B42</f>
        <v>התחייבויות בגין מסים שוטפים</v>
      </c>
      <c r="C135" s="994">
        <f t="shared" si="22"/>
        <v>0</v>
      </c>
      <c r="D135" s="994"/>
      <c r="E135" s="994">
        <f t="shared" si="23"/>
        <v>0</v>
      </c>
      <c r="F135" s="994"/>
      <c r="G135" s="994"/>
      <c r="I135" s="1029" t="str">
        <f t="shared" si="16"/>
        <v>התחייבויות בגין מסים שוטפים</v>
      </c>
      <c r="J135" s="995">
        <f>B27A!G42</f>
        <v>0</v>
      </c>
      <c r="K135" s="995"/>
      <c r="L135" s="995">
        <f>B27A!G76</f>
        <v>0</v>
      </c>
      <c r="M135" s="995"/>
      <c r="N135" s="995"/>
      <c r="O135" s="1013">
        <f>'1'!C38</f>
        <v>0</v>
      </c>
      <c r="P135" s="996"/>
      <c r="Q135" s="996">
        <f>'1'!E38</f>
        <v>0</v>
      </c>
      <c r="R135" s="996"/>
      <c r="S135" s="1015"/>
      <c r="U135">
        <f t="shared" si="24"/>
        <v>0</v>
      </c>
      <c r="V135">
        <v>4</v>
      </c>
    </row>
    <row r="136" spans="1:22" ht="14">
      <c r="A136" s="992">
        <f>ROW()</f>
        <v>136</v>
      </c>
      <c r="B136" s="1019" t="str">
        <f>B27A!B43</f>
        <v>זכאים ויתרות זכות</v>
      </c>
      <c r="C136" s="994">
        <f t="shared" si="22"/>
        <v>0</v>
      </c>
      <c r="D136" s="994"/>
      <c r="E136" s="994">
        <f t="shared" si="23"/>
        <v>0</v>
      </c>
      <c r="F136" s="994"/>
      <c r="G136" s="994"/>
      <c r="I136" s="1029" t="str">
        <f t="shared" si="16"/>
        <v>זכאים ויתרות זכות</v>
      </c>
      <c r="J136" s="995">
        <f>B27A!G43</f>
        <v>0</v>
      </c>
      <c r="K136" s="995"/>
      <c r="L136" s="995">
        <f>B27A!G77</f>
        <v>0</v>
      </c>
      <c r="M136" s="995"/>
      <c r="N136" s="995"/>
      <c r="O136" s="1013">
        <f>'1'!C39</f>
        <v>0</v>
      </c>
      <c r="P136" s="996"/>
      <c r="Q136" s="996">
        <f>'1'!E39</f>
        <v>0</v>
      </c>
      <c r="R136" s="996"/>
      <c r="S136" s="1015"/>
      <c r="U136">
        <f t="shared" si="24"/>
        <v>0</v>
      </c>
      <c r="V136">
        <v>4</v>
      </c>
    </row>
    <row r="137" spans="1:22" ht="14">
      <c r="A137" s="992">
        <f>ROW()</f>
        <v>137</v>
      </c>
      <c r="B137" s="1019" t="str">
        <f>B27A!B44</f>
        <v xml:space="preserve">התחייבויות פיננסיות </v>
      </c>
      <c r="C137" s="994">
        <f t="shared" si="22"/>
        <v>0</v>
      </c>
      <c r="D137" s="994"/>
      <c r="E137" s="994">
        <f t="shared" si="23"/>
        <v>0</v>
      </c>
      <c r="F137" s="994"/>
      <c r="G137" s="994"/>
      <c r="I137" s="1029" t="str">
        <f t="shared" si="16"/>
        <v xml:space="preserve">התחייבויות פיננסיות </v>
      </c>
      <c r="J137" s="995">
        <f>B27A!G44</f>
        <v>0</v>
      </c>
      <c r="K137" s="995"/>
      <c r="L137" s="995">
        <f>B27A!G78</f>
        <v>0</v>
      </c>
      <c r="M137" s="995"/>
      <c r="N137" s="995"/>
      <c r="O137" s="1013">
        <f>'1'!C40</f>
        <v>0</v>
      </c>
      <c r="P137" s="996"/>
      <c r="Q137" s="996">
        <f>'1'!E40</f>
        <v>0</v>
      </c>
      <c r="R137" s="996"/>
      <c r="S137" s="1015"/>
      <c r="U137">
        <f t="shared" si="24"/>
        <v>0</v>
      </c>
      <c r="V137">
        <v>4</v>
      </c>
    </row>
    <row r="138" spans="1:22" ht="14">
      <c r="A138" s="992">
        <f>ROW()</f>
        <v>138</v>
      </c>
      <c r="B138" s="1019" t="str">
        <f>B27A!B46</f>
        <v xml:space="preserve">סך הכל התחייבויות </v>
      </c>
      <c r="C138" s="994">
        <f t="shared" si="22"/>
        <v>0</v>
      </c>
      <c r="D138" s="994"/>
      <c r="E138" s="994">
        <f t="shared" si="23"/>
        <v>0</v>
      </c>
      <c r="F138" s="994"/>
      <c r="G138" s="994"/>
      <c r="I138" s="1029" t="str">
        <f t="shared" si="16"/>
        <v xml:space="preserve">סך הכל התחייבויות </v>
      </c>
      <c r="J138" s="995">
        <f>B27A!G46</f>
        <v>0</v>
      </c>
      <c r="K138" s="995"/>
      <c r="L138" s="995">
        <f>B27A!G80</f>
        <v>0</v>
      </c>
      <c r="M138" s="995"/>
      <c r="N138" s="995"/>
      <c r="O138" s="1013">
        <f>'1'!C42</f>
        <v>0</v>
      </c>
      <c r="P138" s="996"/>
      <c r="Q138" s="996">
        <f>'1'!E42</f>
        <v>0</v>
      </c>
      <c r="R138" s="996"/>
      <c r="S138" s="1015"/>
      <c r="U138">
        <f t="shared" si="24"/>
        <v>0</v>
      </c>
      <c r="V138">
        <v>4</v>
      </c>
    </row>
    <row r="139" spans="1:22" ht="14">
      <c r="A139" s="992">
        <f>ROW()</f>
        <v>139</v>
      </c>
      <c r="B139" s="1019" t="str">
        <f>B27A!B47</f>
        <v>סך הכל הון והתחייבויות</v>
      </c>
      <c r="C139" s="994">
        <f t="shared" si="22"/>
        <v>0</v>
      </c>
      <c r="D139" s="994"/>
      <c r="E139" s="994">
        <f t="shared" si="23"/>
        <v>0</v>
      </c>
      <c r="F139" s="994"/>
      <c r="G139" s="994"/>
      <c r="I139" s="1029" t="str">
        <f t="shared" si="16"/>
        <v>סך הכל הון והתחייבויות</v>
      </c>
      <c r="J139" s="995">
        <f>B27A!G47</f>
        <v>0</v>
      </c>
      <c r="K139" s="995"/>
      <c r="L139" s="995">
        <f>B27A!G81</f>
        <v>0</v>
      </c>
      <c r="M139" s="995"/>
      <c r="N139" s="995"/>
      <c r="O139" s="1013">
        <f>'1'!C43</f>
        <v>0</v>
      </c>
      <c r="P139" s="996"/>
      <c r="Q139" s="996">
        <f>'1'!E43</f>
        <v>0</v>
      </c>
      <c r="R139" s="996"/>
      <c r="S139" s="1015"/>
      <c r="U139">
        <f t="shared" si="24"/>
        <v>0</v>
      </c>
      <c r="V139">
        <v>4</v>
      </c>
    </row>
    <row r="140" spans="1:22" ht="15.5">
      <c r="A140" s="992">
        <f>ROW()</f>
        <v>140</v>
      </c>
      <c r="B140" s="1025" t="s">
        <v>1509</v>
      </c>
      <c r="C140" s="1003" t="str">
        <f>'1'!$C$4</f>
        <v>31.12.2021</v>
      </c>
      <c r="D140" s="1003" t="str">
        <f>'1'!$D$4</f>
        <v>לא לדווח</v>
      </c>
      <c r="E140" s="1003" t="str">
        <f>'1'!$E$4</f>
        <v>31.12.2020</v>
      </c>
      <c r="F140" s="994"/>
      <c r="G140" s="994"/>
      <c r="I140" s="1028" t="str">
        <f t="shared" ref="I140:I147" si="25">B140</f>
        <v>ב27ה' - נכסי חוב לפי מיקומם מאזן</v>
      </c>
      <c r="J140" s="1003" t="str">
        <f>'1'!$C$4</f>
        <v>31.12.2021</v>
      </c>
      <c r="K140" s="1003" t="str">
        <f>'1'!$D$4</f>
        <v>לא לדווח</v>
      </c>
      <c r="L140" s="1003" t="str">
        <f>'1'!$E$4</f>
        <v>31.12.2020</v>
      </c>
      <c r="M140" s="994"/>
      <c r="N140" s="994"/>
      <c r="O140" s="1003" t="str">
        <f>'1'!$C$4</f>
        <v>31.12.2021</v>
      </c>
      <c r="P140" s="1003" t="str">
        <f>'1'!$D$4</f>
        <v>לא לדווח</v>
      </c>
      <c r="Q140" s="1003" t="str">
        <f>'1'!$E$4</f>
        <v>31.12.2020</v>
      </c>
      <c r="R140" s="994"/>
      <c r="S140" s="994"/>
      <c r="U140" s="1021">
        <f>IF(SUM(U141:U142),1,0)</f>
        <v>0</v>
      </c>
      <c r="V140">
        <v>4</v>
      </c>
    </row>
    <row r="141" spans="1:22" ht="14">
      <c r="A141" s="992">
        <f>ROW()</f>
        <v>141</v>
      </c>
      <c r="B141" s="1019" t="s">
        <v>101</v>
      </c>
      <c r="C141" s="994">
        <f>IF(J141=O141,0,J141-O141)</f>
        <v>0</v>
      </c>
      <c r="D141" s="994"/>
      <c r="E141" s="994">
        <f>IF(L141=Q141,0,L141-Q141)</f>
        <v>0</v>
      </c>
      <c r="F141" s="994"/>
      <c r="G141" s="994"/>
      <c r="I141" s="1029" t="str">
        <f t="shared" si="25"/>
        <v>סחירים</v>
      </c>
      <c r="J141" s="995">
        <f>B27B!C58</f>
        <v>0</v>
      </c>
      <c r="K141" s="995"/>
      <c r="L141" s="995">
        <f>B27B!F58</f>
        <v>0</v>
      </c>
      <c r="M141" s="995"/>
      <c r="N141" s="995"/>
      <c r="O141" s="1013">
        <f>'1'!C17</f>
        <v>0</v>
      </c>
      <c r="P141" s="996"/>
      <c r="Q141" s="996">
        <f>'1'!E17</f>
        <v>0</v>
      </c>
      <c r="R141" s="996"/>
      <c r="S141" s="1015"/>
      <c r="U141">
        <f t="shared" si="24"/>
        <v>0</v>
      </c>
      <c r="V141">
        <v>4</v>
      </c>
    </row>
    <row r="142" spans="1:22" ht="14">
      <c r="A142" s="992">
        <f>ROW()</f>
        <v>142</v>
      </c>
      <c r="B142" s="1019" t="s">
        <v>1414</v>
      </c>
      <c r="C142" s="994">
        <f>IF(J142=O142,0,J142-O142)</f>
        <v>0</v>
      </c>
      <c r="D142" s="994"/>
      <c r="E142" s="994">
        <f>IF(L142=Q142,0,L142-Q142)</f>
        <v>0</v>
      </c>
      <c r="F142" s="994"/>
      <c r="G142" s="994"/>
      <c r="I142" s="1029" t="str">
        <f t="shared" si="25"/>
        <v>שאינם סחירים</v>
      </c>
      <c r="J142" s="995">
        <f>B27B!D58</f>
        <v>0</v>
      </c>
      <c r="K142" s="995"/>
      <c r="L142" s="995">
        <f>B27B!G58</f>
        <v>0</v>
      </c>
      <c r="M142" s="995"/>
      <c r="N142" s="995"/>
      <c r="O142" s="1013">
        <f>'1'!C18</f>
        <v>0</v>
      </c>
      <c r="P142" s="996"/>
      <c r="Q142" s="996">
        <f>'1'!E18</f>
        <v>0</v>
      </c>
      <c r="R142" s="996"/>
      <c r="S142" s="1015"/>
      <c r="U142">
        <f t="shared" si="24"/>
        <v>0</v>
      </c>
      <c r="V142">
        <v>4</v>
      </c>
    </row>
    <row r="143" spans="1:22" ht="15.5">
      <c r="A143" s="992">
        <f>ROW()</f>
        <v>143</v>
      </c>
      <c r="B143" s="1025" t="s">
        <v>1510</v>
      </c>
      <c r="C143" s="994">
        <f>IF(J143=O143,0,J143-O143)</f>
        <v>0</v>
      </c>
      <c r="D143" s="994"/>
      <c r="E143" s="994">
        <f>IF(L143=Q143,0,L143-Q143)</f>
        <v>0</v>
      </c>
      <c r="F143" s="994"/>
      <c r="G143" s="994"/>
      <c r="I143" s="1029" t="str">
        <f t="shared" si="25"/>
        <v>באור27ו1'+2' -  נכסי חוב בארץ + חו"ל - מאזן</v>
      </c>
      <c r="J143" s="995">
        <f>B27C1!G23+B27C2!G23</f>
        <v>0</v>
      </c>
      <c r="K143" s="995"/>
      <c r="L143" s="995">
        <f>B27C1!G43+B27C2!G43</f>
        <v>0</v>
      </c>
      <c r="M143" s="995"/>
      <c r="N143" s="995"/>
      <c r="O143" s="1013">
        <f>O141+O142</f>
        <v>0</v>
      </c>
      <c r="P143" s="996"/>
      <c r="Q143" s="996">
        <f>Q141+Q142</f>
        <v>0</v>
      </c>
      <c r="R143" s="996"/>
      <c r="S143" s="1015"/>
      <c r="U143">
        <f t="shared" si="24"/>
        <v>0</v>
      </c>
      <c r="V143">
        <v>4</v>
      </c>
    </row>
    <row r="144" spans="1:22" ht="15.5">
      <c r="A144" s="992">
        <f>ROW()</f>
        <v>144</v>
      </c>
      <c r="B144" s="1638" t="str">
        <f>Dir1A!B4</f>
        <v>ד1. נתונים כללים</v>
      </c>
      <c r="C144" s="994"/>
      <c r="D144" s="994"/>
      <c r="E144" s="994"/>
      <c r="F144" s="994"/>
      <c r="G144" s="994"/>
      <c r="I144" s="1029" t="str">
        <f t="shared" si="25"/>
        <v>ד1. נתונים כללים</v>
      </c>
      <c r="J144" s="995"/>
      <c r="K144" s="995"/>
      <c r="L144" s="995"/>
      <c r="M144" s="995"/>
      <c r="N144" s="995"/>
      <c r="O144" s="1013"/>
      <c r="P144" s="996"/>
      <c r="Q144" s="996"/>
      <c r="R144" s="996"/>
      <c r="S144" s="1015"/>
      <c r="U144">
        <f t="shared" si="24"/>
        <v>0</v>
      </c>
      <c r="V144">
        <v>1</v>
      </c>
    </row>
    <row r="145" spans="1:22" ht="14">
      <c r="A145" s="992">
        <f>ROW()</f>
        <v>145</v>
      </c>
      <c r="B145" s="187" t="s">
        <v>4952</v>
      </c>
      <c r="C145" s="994"/>
      <c r="D145" s="994" t="str">
        <f>IF(J145=0,"חסר נתונים",0)</f>
        <v>חסר נתונים</v>
      </c>
      <c r="E145" s="994"/>
      <c r="F145" s="994"/>
      <c r="G145" s="994"/>
      <c r="I145" s="1029" t="str">
        <f t="shared" si="25"/>
        <v>סה"כ נכסים מנוהלים, נטו</v>
      </c>
      <c r="J145" s="995">
        <f>Dir1A!K42</f>
        <v>0</v>
      </c>
      <c r="K145" s="995"/>
      <c r="L145" s="995"/>
      <c r="M145" s="995"/>
      <c r="N145" s="995"/>
      <c r="O145" s="1013">
        <f>T101_N!D19</f>
        <v>0</v>
      </c>
      <c r="P145" s="996"/>
      <c r="Q145" s="996"/>
      <c r="R145" s="996"/>
      <c r="S145" s="1015"/>
      <c r="U145" t="e">
        <f t="shared" si="24"/>
        <v>#VALUE!</v>
      </c>
      <c r="V145">
        <v>1</v>
      </c>
    </row>
    <row r="146" spans="1:22" ht="14">
      <c r="A146" s="992">
        <f>ROW()</f>
        <v>146</v>
      </c>
      <c r="B146" s="187" t="s">
        <v>4953</v>
      </c>
      <c r="C146" s="994">
        <f>IF(P146=0,0,)*IF(J146=O146,0,J146-O146)</f>
        <v>0</v>
      </c>
      <c r="D146" s="994"/>
      <c r="E146" s="994"/>
      <c r="F146" s="994"/>
      <c r="G146" s="994"/>
      <c r="I146" s="1029" t="str">
        <f t="shared" si="25"/>
        <v>סה"כ נכסים מנוהלים, נטו לעומת טופס 101 נספח 1</v>
      </c>
      <c r="J146" s="995">
        <f>Dir1A!K42</f>
        <v>0</v>
      </c>
      <c r="K146" s="995"/>
      <c r="L146" s="995"/>
      <c r="M146" s="995"/>
      <c r="N146" s="995"/>
      <c r="O146" s="1013">
        <f>T101_N!D19</f>
        <v>0</v>
      </c>
      <c r="P146" s="996">
        <f>T101_N!D5</f>
        <v>0</v>
      </c>
      <c r="Q146" s="996"/>
      <c r="R146" s="996"/>
      <c r="S146" s="1015"/>
      <c r="U146">
        <f t="shared" si="24"/>
        <v>0</v>
      </c>
      <c r="V146">
        <f>V145</f>
        <v>1</v>
      </c>
    </row>
    <row r="147" spans="1:22" ht="14">
      <c r="A147" s="992">
        <f>ROW()</f>
        <v>147</v>
      </c>
      <c r="C147" s="994"/>
      <c r="D147" s="994"/>
      <c r="E147" s="994"/>
      <c r="F147" s="994"/>
      <c r="G147" s="994"/>
      <c r="I147" s="1029">
        <f t="shared" si="25"/>
        <v>0</v>
      </c>
      <c r="J147" s="995"/>
      <c r="K147" s="995"/>
      <c r="L147" s="995"/>
      <c r="M147" s="995"/>
      <c r="N147" s="995"/>
      <c r="O147" s="1013"/>
      <c r="P147" s="996"/>
      <c r="Q147" s="996"/>
      <c r="R147" s="996"/>
      <c r="S147" s="1015"/>
      <c r="U147">
        <f t="shared" si="24"/>
        <v>0</v>
      </c>
    </row>
    <row r="148" spans="1:22" ht="13">
      <c r="A148" s="992">
        <f>ROW()</f>
        <v>148</v>
      </c>
      <c r="C148" s="994"/>
      <c r="D148" s="994"/>
      <c r="E148" s="994"/>
      <c r="F148" s="994"/>
      <c r="G148" s="994"/>
      <c r="O148" s="1035"/>
      <c r="P148" s="1036"/>
      <c r="Q148" s="1036"/>
      <c r="R148" s="1036"/>
      <c r="S148" s="1037"/>
      <c r="U148">
        <f t="shared" si="24"/>
        <v>0</v>
      </c>
    </row>
    <row r="149" spans="1:22" ht="13">
      <c r="A149" s="992">
        <f>ROW()</f>
        <v>149</v>
      </c>
      <c r="C149" s="994"/>
      <c r="D149" s="994"/>
      <c r="E149" s="994"/>
      <c r="F149" s="994"/>
      <c r="G149" s="994"/>
      <c r="O149" s="1035"/>
      <c r="P149" s="1036"/>
      <c r="Q149" s="1036"/>
      <c r="R149" s="1036"/>
      <c r="S149" s="1037"/>
      <c r="U149">
        <f t="shared" si="24"/>
        <v>0</v>
      </c>
    </row>
    <row r="150" spans="1:22" ht="13">
      <c r="A150" s="992">
        <f>ROW()</f>
        <v>150</v>
      </c>
      <c r="C150" s="994"/>
      <c r="D150" s="994"/>
      <c r="E150" s="994"/>
      <c r="F150" s="994"/>
      <c r="G150" s="994"/>
      <c r="O150" s="1035"/>
      <c r="P150" s="1036"/>
      <c r="Q150" s="1036"/>
      <c r="R150" s="1036"/>
      <c r="S150" s="1037"/>
      <c r="U150">
        <f t="shared" si="24"/>
        <v>0</v>
      </c>
    </row>
    <row r="151" spans="1:22" ht="13">
      <c r="A151" s="992">
        <f>ROW()</f>
        <v>151</v>
      </c>
      <c r="C151" s="994"/>
      <c r="D151" s="994"/>
      <c r="E151" s="994"/>
      <c r="F151" s="994"/>
      <c r="G151" s="994"/>
      <c r="O151" s="1035"/>
      <c r="P151" s="1036"/>
      <c r="Q151" s="1036"/>
      <c r="R151" s="1036"/>
      <c r="S151" s="1037"/>
      <c r="U151">
        <f t="shared" si="24"/>
        <v>0</v>
      </c>
    </row>
    <row r="152" spans="1:22" ht="13">
      <c r="A152" s="992">
        <f>ROW()</f>
        <v>152</v>
      </c>
      <c r="C152" s="994"/>
      <c r="D152" s="994"/>
      <c r="E152" s="994"/>
      <c r="F152" s="994"/>
      <c r="G152" s="994"/>
      <c r="O152" s="1035"/>
      <c r="P152" s="1036"/>
      <c r="Q152" s="1036"/>
      <c r="R152" s="1036"/>
      <c r="S152" s="1037"/>
      <c r="U152">
        <f t="shared" si="24"/>
        <v>0</v>
      </c>
    </row>
    <row r="153" spans="1:22" ht="13">
      <c r="A153" s="992">
        <f>ROW()</f>
        <v>153</v>
      </c>
      <c r="C153" s="994"/>
      <c r="D153" s="994"/>
      <c r="E153" s="994"/>
      <c r="F153" s="994"/>
      <c r="G153" s="994"/>
      <c r="O153" s="1035"/>
      <c r="P153" s="1036"/>
      <c r="Q153" s="1036"/>
      <c r="R153" s="1036"/>
      <c r="S153" s="1037"/>
      <c r="U153">
        <f t="shared" si="24"/>
        <v>0</v>
      </c>
    </row>
    <row r="154" spans="1:22" ht="13">
      <c r="A154" s="992">
        <f>ROW()</f>
        <v>154</v>
      </c>
      <c r="C154" s="994"/>
      <c r="D154" s="994"/>
      <c r="E154" s="994"/>
      <c r="F154" s="994"/>
      <c r="G154" s="994"/>
      <c r="O154" s="1035"/>
      <c r="P154" s="1036"/>
      <c r="Q154" s="1036"/>
      <c r="R154" s="1036"/>
      <c r="S154" s="1037"/>
      <c r="U154">
        <f t="shared" si="24"/>
        <v>0</v>
      </c>
    </row>
    <row r="155" spans="1:22">
      <c r="O155" s="1035"/>
      <c r="P155" s="1036"/>
      <c r="Q155" s="1036"/>
      <c r="R155" s="1036"/>
      <c r="S155" s="1037"/>
      <c r="U155">
        <f t="shared" si="24"/>
        <v>0</v>
      </c>
    </row>
    <row r="156" spans="1:22">
      <c r="O156" s="1035"/>
      <c r="P156" s="1036"/>
      <c r="Q156" s="1036"/>
      <c r="R156" s="1036"/>
      <c r="S156" s="1037"/>
      <c r="U156">
        <f t="shared" si="24"/>
        <v>0</v>
      </c>
    </row>
    <row r="157" spans="1:22">
      <c r="O157" s="1035"/>
      <c r="P157" s="1036"/>
      <c r="Q157" s="1036"/>
      <c r="R157" s="1036"/>
      <c r="S157" s="1037"/>
      <c r="U157">
        <f t="shared" si="24"/>
        <v>0</v>
      </c>
    </row>
    <row r="158" spans="1:22">
      <c r="O158" s="1035"/>
      <c r="P158" s="1036"/>
      <c r="Q158" s="1036"/>
      <c r="R158" s="1036"/>
      <c r="S158" s="1037"/>
      <c r="U158">
        <f t="shared" si="24"/>
        <v>0</v>
      </c>
    </row>
    <row r="159" spans="1:22">
      <c r="O159" s="1035"/>
      <c r="P159" s="1036"/>
      <c r="Q159" s="1036"/>
      <c r="R159" s="1036"/>
      <c r="S159" s="1037"/>
    </row>
    <row r="160" spans="1:22">
      <c r="B160" t="s">
        <v>3874</v>
      </c>
      <c r="O160" s="1035"/>
      <c r="P160" s="1036"/>
      <c r="Q160" s="1036"/>
      <c r="R160" s="1036"/>
      <c r="S160" s="1037"/>
    </row>
    <row r="161" spans="15:19">
      <c r="O161" s="1035"/>
      <c r="P161" s="1036"/>
      <c r="Q161" s="1036"/>
      <c r="R161" s="1036"/>
      <c r="S161" s="1037"/>
    </row>
    <row r="162" spans="15:19">
      <c r="O162" s="1038"/>
      <c r="P162" s="1039"/>
      <c r="Q162" s="1039"/>
      <c r="R162" s="1039"/>
      <c r="S162" s="1040"/>
    </row>
  </sheetData>
  <sheetProtection password="8FA7" sheet="1" objects="1" scenarios="1" formatCells="0" formatColumns="0" formatRows="0" autoFilter="0"/>
  <autoFilter ref="U5:V158"/>
  <mergeCells count="1">
    <mergeCell ref="D1:E1"/>
  </mergeCells>
  <conditionalFormatting sqref="H7:H8 H10:H12 E9:F23">
    <cfRule type="cellIs" dxfId="123" priority="142" stopIfTrue="1" operator="notBetween">
      <formula>$J$1</formula>
      <formula>-$J$1</formula>
    </cfRule>
  </conditionalFormatting>
  <conditionalFormatting sqref="C5:E5">
    <cfRule type="cellIs" dxfId="122" priority="141" stopIfTrue="1" operator="notBetween">
      <formula>$J$1</formula>
      <formula>-$J$1</formula>
    </cfRule>
  </conditionalFormatting>
  <conditionalFormatting sqref="C7:C8">
    <cfRule type="cellIs" dxfId="121" priority="140" stopIfTrue="1" operator="notBetween">
      <formula>$J$1</formula>
      <formula>-$J$1</formula>
    </cfRule>
  </conditionalFormatting>
  <conditionalFormatting sqref="D7:G8">
    <cfRule type="cellIs" dxfId="120" priority="139" stopIfTrue="1" operator="notBetween">
      <formula>$J$1</formula>
      <formula>-$J$1</formula>
    </cfRule>
  </conditionalFormatting>
  <conditionalFormatting sqref="C11:C23">
    <cfRule type="cellIs" dxfId="119" priority="138" stopIfTrue="1" operator="notBetween">
      <formula>$J$1</formula>
      <formula>-$J$1</formula>
    </cfRule>
  </conditionalFormatting>
  <conditionalFormatting sqref="D10:D23">
    <cfRule type="cellIs" dxfId="118" priority="137" stopIfTrue="1" operator="notBetween">
      <formula>$J$1</formula>
      <formula>-$J$1</formula>
    </cfRule>
  </conditionalFormatting>
  <conditionalFormatting sqref="G10:G23">
    <cfRule type="cellIs" dxfId="117" priority="136" stopIfTrue="1" operator="notBetween">
      <formula>$J$1</formula>
      <formula>-$J$1</formula>
    </cfRule>
  </conditionalFormatting>
  <conditionalFormatting sqref="F75:F76">
    <cfRule type="cellIs" dxfId="116" priority="89" stopIfTrue="1" operator="notBetween">
      <formula>$J$1</formula>
      <formula>-$J$1</formula>
    </cfRule>
  </conditionalFormatting>
  <conditionalFormatting sqref="G93:G97">
    <cfRule type="cellIs" dxfId="115" priority="64" stopIfTrue="1" operator="notBetween">
      <formula>$J$1</formula>
      <formula>-$J$1</formula>
    </cfRule>
  </conditionalFormatting>
  <conditionalFormatting sqref="L9:M9">
    <cfRule type="cellIs" dxfId="114" priority="133" stopIfTrue="1" operator="notBetween">
      <formula>$J$1</formula>
      <formula>-$J$1</formula>
    </cfRule>
  </conditionalFormatting>
  <conditionalFormatting sqref="Q9:R9">
    <cfRule type="cellIs" dxfId="113" priority="132" stopIfTrue="1" operator="notBetween">
      <formula>$J$1</formula>
      <formula>-$J$1</formula>
    </cfRule>
  </conditionalFormatting>
  <conditionalFormatting sqref="E24:F38">
    <cfRule type="cellIs" dxfId="112" priority="131" stopIfTrue="1" operator="notBetween">
      <formula>$J$1</formula>
      <formula>-$J$1</formula>
    </cfRule>
  </conditionalFormatting>
  <conditionalFormatting sqref="L24:M24">
    <cfRule type="cellIs" dxfId="111" priority="127" stopIfTrue="1" operator="notBetween">
      <formula>$J$1</formula>
      <formula>-$J$1</formula>
    </cfRule>
  </conditionalFormatting>
  <conditionalFormatting sqref="Q24:R24">
    <cfRule type="cellIs" dxfId="110" priority="126" stopIfTrue="1" operator="notBetween">
      <formula>$J$1</formula>
      <formula>-$J$1</formula>
    </cfRule>
  </conditionalFormatting>
  <conditionalFormatting sqref="Q39:R39">
    <cfRule type="cellIs" dxfId="109" priority="125" stopIfTrue="1" operator="notBetween">
      <formula>$J$1</formula>
      <formula>-$J$1</formula>
    </cfRule>
  </conditionalFormatting>
  <conditionalFormatting sqref="L39:M39">
    <cfRule type="cellIs" dxfId="108" priority="124" stopIfTrue="1" operator="notBetween">
      <formula>$J$1</formula>
      <formula>-$J$1</formula>
    </cfRule>
  </conditionalFormatting>
  <conditionalFormatting sqref="E39:F39">
    <cfRule type="cellIs" dxfId="107" priority="123" stopIfTrue="1" operator="notBetween">
      <formula>$J$1</formula>
      <formula>-$J$1</formula>
    </cfRule>
  </conditionalFormatting>
  <conditionalFormatting sqref="E56:F59">
    <cfRule type="cellIs" dxfId="106" priority="119" stopIfTrue="1" operator="notBetween">
      <formula>$J$1</formula>
      <formula>-$J$1</formula>
    </cfRule>
  </conditionalFormatting>
  <conditionalFormatting sqref="E62:F74">
    <cfRule type="cellIs" dxfId="105" priority="93" stopIfTrue="1" operator="notBetween">
      <formula>$J$1</formula>
      <formula>-$J$1</formula>
    </cfRule>
  </conditionalFormatting>
  <conditionalFormatting sqref="D56:D59">
    <cfRule type="cellIs" dxfId="104" priority="117" stopIfTrue="1" operator="notBetween">
      <formula>$J$1</formula>
      <formula>-$J$1</formula>
    </cfRule>
  </conditionalFormatting>
  <conditionalFormatting sqref="G56:G59">
    <cfRule type="cellIs" dxfId="103" priority="116" stopIfTrue="1" operator="notBetween">
      <formula>$J$1</formula>
      <formula>-$J$1</formula>
    </cfRule>
  </conditionalFormatting>
  <conditionalFormatting sqref="C55:E55">
    <cfRule type="cellIs" dxfId="102" priority="115" stopIfTrue="1" operator="notBetween">
      <formula>$J$1</formula>
      <formula>-$J$1</formula>
    </cfRule>
  </conditionalFormatting>
  <conditionalFormatting sqref="F55:G55">
    <cfRule type="cellIs" dxfId="101" priority="114" stopIfTrue="1" operator="notBetween">
      <formula>$J$1</formula>
      <formula>-$J$1</formula>
    </cfRule>
  </conditionalFormatting>
  <conditionalFormatting sqref="F54:G54">
    <cfRule type="cellIs" dxfId="100" priority="113" stopIfTrue="1" operator="notBetween">
      <formula>$J$1</formula>
      <formula>-$J$1</formula>
    </cfRule>
  </conditionalFormatting>
  <conditionalFormatting sqref="C56:C60">
    <cfRule type="cellIs" dxfId="99" priority="112" stopIfTrue="1" operator="notBetween">
      <formula>$J$1</formula>
      <formula>-$J$1</formula>
    </cfRule>
  </conditionalFormatting>
  <conditionalFormatting sqref="E60:F60">
    <cfRule type="cellIs" dxfId="98" priority="111" stopIfTrue="1" operator="notBetween">
      <formula>$J$1</formula>
      <formula>-$J$1</formula>
    </cfRule>
  </conditionalFormatting>
  <conditionalFormatting sqref="D60">
    <cfRule type="cellIs" dxfId="97" priority="110" stopIfTrue="1" operator="notBetween">
      <formula>$J$1</formula>
      <formula>-$J$1</formula>
    </cfRule>
  </conditionalFormatting>
  <conditionalFormatting sqref="G60">
    <cfRule type="cellIs" dxfId="96" priority="109" stopIfTrue="1" operator="notBetween">
      <formula>$J$1</formula>
      <formula>-$J$1</formula>
    </cfRule>
  </conditionalFormatting>
  <conditionalFormatting sqref="M54:N54">
    <cfRule type="cellIs" dxfId="95" priority="108" stopIfTrue="1" operator="notBetween">
      <formula>$J$1</formula>
      <formula>-$J$1</formula>
    </cfRule>
  </conditionalFormatting>
  <conditionalFormatting sqref="R54:S54">
    <cfRule type="cellIs" dxfId="94" priority="107" stopIfTrue="1" operator="notBetween">
      <formula>$J$1</formula>
      <formula>-$J$1</formula>
    </cfRule>
  </conditionalFormatting>
  <conditionalFormatting sqref="C76:E76">
    <cfRule type="cellIs" dxfId="93" priority="90" stopIfTrue="1" operator="notBetween">
      <formula>$J$1</formula>
      <formula>-$J$1</formula>
    </cfRule>
  </conditionalFormatting>
  <conditionalFormatting sqref="E54">
    <cfRule type="cellIs" dxfId="92" priority="105" stopIfTrue="1" operator="notBetween">
      <formula>$J$1</formula>
      <formula>-$J$1</formula>
    </cfRule>
  </conditionalFormatting>
  <conditionalFormatting sqref="D54">
    <cfRule type="cellIs" dxfId="91" priority="104" stopIfTrue="1" operator="notBetween">
      <formula>$J$1</formula>
      <formula>-$J$1</formula>
    </cfRule>
  </conditionalFormatting>
  <conditionalFormatting sqref="F61:G61">
    <cfRule type="cellIs" dxfId="90" priority="103" stopIfTrue="1" operator="notBetween">
      <formula>$J$1</formula>
      <formula>-$J$1</formula>
    </cfRule>
  </conditionalFormatting>
  <conditionalFormatting sqref="E61">
    <cfRule type="cellIs" dxfId="89" priority="102" stopIfTrue="1" operator="notBetween">
      <formula>$J$1</formula>
      <formula>-$J$1</formula>
    </cfRule>
  </conditionalFormatting>
  <conditionalFormatting sqref="D61">
    <cfRule type="cellIs" dxfId="88" priority="101" stopIfTrue="1" operator="notBetween">
      <formula>$J$1</formula>
      <formula>-$J$1</formula>
    </cfRule>
  </conditionalFormatting>
  <conditionalFormatting sqref="L54">
    <cfRule type="cellIs" dxfId="87" priority="100" stopIfTrue="1" operator="notBetween">
      <formula>$J$1</formula>
      <formula>-$J$1</formula>
    </cfRule>
  </conditionalFormatting>
  <conditionalFormatting sqref="K54">
    <cfRule type="cellIs" dxfId="86" priority="99" stopIfTrue="1" operator="notBetween">
      <formula>$J$1</formula>
      <formula>-$J$1</formula>
    </cfRule>
  </conditionalFormatting>
  <conditionalFormatting sqref="M61:N61">
    <cfRule type="cellIs" dxfId="85" priority="98" stopIfTrue="1" operator="notBetween">
      <formula>$J$1</formula>
      <formula>-$J$1</formula>
    </cfRule>
  </conditionalFormatting>
  <conditionalFormatting sqref="R61:S61">
    <cfRule type="cellIs" dxfId="84" priority="97" stopIfTrue="1" operator="notBetween">
      <formula>$J$1</formula>
      <formula>-$J$1</formula>
    </cfRule>
  </conditionalFormatting>
  <conditionalFormatting sqref="L61">
    <cfRule type="cellIs" dxfId="83" priority="96" stopIfTrue="1" operator="notBetween">
      <formula>$J$1</formula>
      <formula>-$J$1</formula>
    </cfRule>
  </conditionalFormatting>
  <conditionalFormatting sqref="K61">
    <cfRule type="cellIs" dxfId="82" priority="95" stopIfTrue="1" operator="notBetween">
      <formula>$J$1</formula>
      <formula>-$J$1</formula>
    </cfRule>
  </conditionalFormatting>
  <conditionalFormatting sqref="C62:C74">
    <cfRule type="cellIs" dxfId="81" priority="94" stopIfTrue="1" operator="notBetween">
      <formula>$J$1</formula>
      <formula>-$J$1</formula>
    </cfRule>
  </conditionalFormatting>
  <conditionalFormatting sqref="F91:F92">
    <cfRule type="cellIs" dxfId="80" priority="68" stopIfTrue="1" operator="notBetween">
      <formula>$J$1</formula>
      <formula>-$J$1</formula>
    </cfRule>
  </conditionalFormatting>
  <conditionalFormatting sqref="D62:D74">
    <cfRule type="cellIs" dxfId="79" priority="92" stopIfTrue="1" operator="notBetween">
      <formula>$J$1</formula>
      <formula>-$J$1</formula>
    </cfRule>
  </conditionalFormatting>
  <conditionalFormatting sqref="G62:G74">
    <cfRule type="cellIs" dxfId="78" priority="91" stopIfTrue="1" operator="notBetween">
      <formula>$J$1</formula>
      <formula>-$J$1</formula>
    </cfRule>
  </conditionalFormatting>
  <conditionalFormatting sqref="F93:F97">
    <cfRule type="cellIs" dxfId="77" priority="65" stopIfTrue="1" operator="notBetween">
      <formula>$J$1</formula>
      <formula>-$J$1</formula>
    </cfRule>
  </conditionalFormatting>
  <conditionalFormatting sqref="R98">
    <cfRule type="cellIs" dxfId="76" priority="54" stopIfTrue="1" operator="notBetween">
      <formula>$J$1</formula>
      <formula>-$J$1</formula>
    </cfRule>
  </conditionalFormatting>
  <conditionalFormatting sqref="G75:G76">
    <cfRule type="cellIs" dxfId="75" priority="88" stopIfTrue="1" operator="notBetween">
      <formula>$J$1</formula>
      <formula>-$J$1</formula>
    </cfRule>
  </conditionalFormatting>
  <conditionalFormatting sqref="F77:F79">
    <cfRule type="cellIs" dxfId="74" priority="86" stopIfTrue="1" operator="notBetween">
      <formula>$J$1</formula>
      <formula>-$J$1</formula>
    </cfRule>
  </conditionalFormatting>
  <conditionalFormatting sqref="C77:E79">
    <cfRule type="cellIs" dxfId="73" priority="87" stopIfTrue="1" operator="notBetween">
      <formula>$J$1</formula>
      <formula>-$J$1</formula>
    </cfRule>
  </conditionalFormatting>
  <conditionalFormatting sqref="G77:G79">
    <cfRule type="cellIs" dxfId="72" priority="85" stopIfTrue="1" operator="notBetween">
      <formula>$J$1</formula>
      <formula>-$J$1</formula>
    </cfRule>
  </conditionalFormatting>
  <conditionalFormatting sqref="F81">
    <cfRule type="cellIs" dxfId="71" priority="83" stopIfTrue="1" operator="notBetween">
      <formula>$J$1</formula>
      <formula>-$J$1</formula>
    </cfRule>
  </conditionalFormatting>
  <conditionalFormatting sqref="C81:E81">
    <cfRule type="cellIs" dxfId="70" priority="84" stopIfTrue="1" operator="notBetween">
      <formula>$J$1</formula>
      <formula>-$J$1</formula>
    </cfRule>
  </conditionalFormatting>
  <conditionalFormatting sqref="G81">
    <cfRule type="cellIs" dxfId="69" priority="82" stopIfTrue="1" operator="notBetween">
      <formula>$J$1</formula>
      <formula>-$J$1</formula>
    </cfRule>
  </conditionalFormatting>
  <conditionalFormatting sqref="F82:F83">
    <cfRule type="cellIs" dxfId="68" priority="80" stopIfTrue="1" operator="notBetween">
      <formula>$J$1</formula>
      <formula>-$J$1</formula>
    </cfRule>
  </conditionalFormatting>
  <conditionalFormatting sqref="C82:E82">
    <cfRule type="cellIs" dxfId="67" priority="81" stopIfTrue="1" operator="notBetween">
      <formula>$J$1</formula>
      <formula>-$J$1</formula>
    </cfRule>
  </conditionalFormatting>
  <conditionalFormatting sqref="G82:G83">
    <cfRule type="cellIs" dxfId="66" priority="79" stopIfTrue="1" operator="notBetween">
      <formula>$J$1</formula>
      <formula>-$J$1</formula>
    </cfRule>
  </conditionalFormatting>
  <conditionalFormatting sqref="F84:F88">
    <cfRule type="cellIs" dxfId="65" priority="77" stopIfTrue="1" operator="notBetween">
      <formula>$J$1</formula>
      <formula>-$J$1</formula>
    </cfRule>
  </conditionalFormatting>
  <conditionalFormatting sqref="C84:E88">
    <cfRule type="cellIs" dxfId="64" priority="78" stopIfTrue="1" operator="notBetween">
      <formula>$J$1</formula>
      <formula>-$J$1</formula>
    </cfRule>
  </conditionalFormatting>
  <conditionalFormatting sqref="G84:G88">
    <cfRule type="cellIs" dxfId="63" priority="76" stopIfTrue="1" operator="notBetween">
      <formula>$J$1</formula>
      <formula>-$J$1</formula>
    </cfRule>
  </conditionalFormatting>
  <conditionalFormatting sqref="F89">
    <cfRule type="cellIs" dxfId="62" priority="74" stopIfTrue="1" operator="notBetween">
      <formula>$J$1</formula>
      <formula>-$J$1</formula>
    </cfRule>
  </conditionalFormatting>
  <conditionalFormatting sqref="C89:E89">
    <cfRule type="cellIs" dxfId="61" priority="75" stopIfTrue="1" operator="notBetween">
      <formula>$J$1</formula>
      <formula>-$J$1</formula>
    </cfRule>
  </conditionalFormatting>
  <conditionalFormatting sqref="G89">
    <cfRule type="cellIs" dxfId="60" priority="73" stopIfTrue="1" operator="notBetween">
      <formula>$J$1</formula>
      <formula>-$J$1</formula>
    </cfRule>
  </conditionalFormatting>
  <conditionalFormatting sqref="F90">
    <cfRule type="cellIs" dxfId="59" priority="71" stopIfTrue="1" operator="notBetween">
      <formula>$J$1</formula>
      <formula>-$J$1</formula>
    </cfRule>
  </conditionalFormatting>
  <conditionalFormatting sqref="C90:E90">
    <cfRule type="cellIs" dxfId="58" priority="72" stopIfTrue="1" operator="notBetween">
      <formula>$J$1</formula>
      <formula>-$J$1</formula>
    </cfRule>
  </conditionalFormatting>
  <conditionalFormatting sqref="G90">
    <cfRule type="cellIs" dxfId="57" priority="70" stopIfTrue="1" operator="notBetween">
      <formula>$J$1</formula>
      <formula>-$J$1</formula>
    </cfRule>
  </conditionalFormatting>
  <conditionalFormatting sqref="F100">
    <cfRule type="cellIs" dxfId="56" priority="58" stopIfTrue="1" operator="notBetween">
      <formula>$J$1</formula>
      <formula>-$J$1</formula>
    </cfRule>
  </conditionalFormatting>
  <conditionalFormatting sqref="C91:E92">
    <cfRule type="cellIs" dxfId="55" priority="69" stopIfTrue="1" operator="notBetween">
      <formula>$J$1</formula>
      <formula>-$J$1</formula>
    </cfRule>
  </conditionalFormatting>
  <conditionalFormatting sqref="G91:G92">
    <cfRule type="cellIs" dxfId="54" priority="67" stopIfTrue="1" operator="notBetween">
      <formula>$J$1</formula>
      <formula>-$J$1</formula>
    </cfRule>
  </conditionalFormatting>
  <conditionalFormatting sqref="N98">
    <cfRule type="cellIs" dxfId="53" priority="55" stopIfTrue="1" operator="notBetween">
      <formula>$J$1</formula>
      <formula>-$J$1</formula>
    </cfRule>
  </conditionalFormatting>
  <conditionalFormatting sqref="C93:E97">
    <cfRule type="cellIs" dxfId="52" priority="66" stopIfTrue="1" operator="notBetween">
      <formula>$J$1</formula>
      <formula>-$J$1</formula>
    </cfRule>
  </conditionalFormatting>
  <conditionalFormatting sqref="F106:F108">
    <cfRule type="cellIs" dxfId="51" priority="43" stopIfTrue="1" operator="notBetween">
      <formula>$J$1</formula>
      <formula>-$J$1</formula>
    </cfRule>
  </conditionalFormatting>
  <conditionalFormatting sqref="F98">
    <cfRule type="cellIs" dxfId="50" priority="63" stopIfTrue="1" operator="notBetween">
      <formula>$J$1</formula>
      <formula>-$J$1</formula>
    </cfRule>
  </conditionalFormatting>
  <conditionalFormatting sqref="G98">
    <cfRule type="cellIs" dxfId="49" priority="62" stopIfTrue="1" operator="notBetween">
      <formula>$J$1</formula>
      <formula>-$J$1</formula>
    </cfRule>
  </conditionalFormatting>
  <conditionalFormatting sqref="C99:E100">
    <cfRule type="cellIs" dxfId="48" priority="61" stopIfTrue="1" operator="notBetween">
      <formula>$J$1</formula>
      <formula>-$J$1</formula>
    </cfRule>
  </conditionalFormatting>
  <conditionalFormatting sqref="G99">
    <cfRule type="cellIs" dxfId="47" priority="59" stopIfTrue="1" operator="notBetween">
      <formula>$J$1</formula>
      <formula>-$J$1</formula>
    </cfRule>
  </conditionalFormatting>
  <conditionalFormatting sqref="F99">
    <cfRule type="cellIs" dxfId="46" priority="60" stopIfTrue="1" operator="notBetween">
      <formula>$J$1</formula>
      <formula>-$J$1</formula>
    </cfRule>
  </conditionalFormatting>
  <conditionalFormatting sqref="G100">
    <cfRule type="cellIs" dxfId="45" priority="57" stopIfTrue="1" operator="notBetween">
      <formula>$J$1</formula>
      <formula>-$J$1</formula>
    </cfRule>
  </conditionalFormatting>
  <conditionalFormatting sqref="F105">
    <cfRule type="cellIs" dxfId="44" priority="47" stopIfTrue="1" operator="notBetween">
      <formula>$J$1</formula>
      <formula>-$J$1</formula>
    </cfRule>
  </conditionalFormatting>
  <conditionalFormatting sqref="M98">
    <cfRule type="cellIs" dxfId="43" priority="56" stopIfTrue="1" operator="notBetween">
      <formula>$J$1</formula>
      <formula>-$J$1</formula>
    </cfRule>
  </conditionalFormatting>
  <conditionalFormatting sqref="C107:E107 D108:E108">
    <cfRule type="cellIs" dxfId="42" priority="44" stopIfTrue="1" operator="notBetween">
      <formula>$J$1</formula>
      <formula>-$J$1</formula>
    </cfRule>
  </conditionalFormatting>
  <conditionalFormatting sqref="S98">
    <cfRule type="cellIs" dxfId="41" priority="53" stopIfTrue="1" operator="notBetween">
      <formula>$J$1</formula>
      <formula>-$J$1</formula>
    </cfRule>
  </conditionalFormatting>
  <conditionalFormatting sqref="C102:E102">
    <cfRule type="cellIs" dxfId="40" priority="52" stopIfTrue="1" operator="notBetween">
      <formula>$J$1</formula>
      <formula>-$J$1</formula>
    </cfRule>
  </conditionalFormatting>
  <conditionalFormatting sqref="C103:E103">
    <cfRule type="cellIs" dxfId="39" priority="51" stopIfTrue="1" operator="notBetween">
      <formula>$J$1</formula>
      <formula>-$J$1</formula>
    </cfRule>
  </conditionalFormatting>
  <conditionalFormatting sqref="F101:F104">
    <cfRule type="cellIs" dxfId="38" priority="50" stopIfTrue="1" operator="notBetween">
      <formula>$J$1</formula>
      <formula>-$J$1</formula>
    </cfRule>
  </conditionalFormatting>
  <conditionalFormatting sqref="G101:G104">
    <cfRule type="cellIs" dxfId="37" priority="49" stopIfTrue="1" operator="notBetween">
      <formula>$J$1</formula>
      <formula>-$J$1</formula>
    </cfRule>
  </conditionalFormatting>
  <conditionalFormatting sqref="C104:E104">
    <cfRule type="cellIs" dxfId="36" priority="48" stopIfTrue="1" operator="notBetween">
      <formula>$J$1</formula>
      <formula>-$J$1</formula>
    </cfRule>
  </conditionalFormatting>
  <conditionalFormatting sqref="G105">
    <cfRule type="cellIs" dxfId="35" priority="46" stopIfTrue="1" operator="notBetween">
      <formula>$J$1</formula>
      <formula>-$J$1</formula>
    </cfRule>
  </conditionalFormatting>
  <conditionalFormatting sqref="C106:E106">
    <cfRule type="cellIs" dxfId="34" priority="45" stopIfTrue="1" operator="notBetween">
      <formula>$J$1</formula>
      <formula>-$J$1</formula>
    </cfRule>
  </conditionalFormatting>
  <conditionalFormatting sqref="G106:G108">
    <cfRule type="cellIs" dxfId="33" priority="42" stopIfTrue="1" operator="notBetween">
      <formula>$J$1</formula>
      <formula>-$J$1</formula>
    </cfRule>
  </conditionalFormatting>
  <conditionalFormatting sqref="F109 F112:F139">
    <cfRule type="cellIs" dxfId="32" priority="40" stopIfTrue="1" operator="notBetween">
      <formula>$J$1</formula>
      <formula>-$J$1</formula>
    </cfRule>
  </conditionalFormatting>
  <conditionalFormatting sqref="C109:E109">
    <cfRule type="cellIs" dxfId="31" priority="41" stopIfTrue="1" operator="notBetween">
      <formula>$J$1</formula>
      <formula>-$J$1</formula>
    </cfRule>
  </conditionalFormatting>
  <conditionalFormatting sqref="G109 G112:G139">
    <cfRule type="cellIs" dxfId="30" priority="39" stopIfTrue="1" operator="notBetween">
      <formula>$J$1</formula>
      <formula>-$J$1</formula>
    </cfRule>
  </conditionalFormatting>
  <conditionalFormatting sqref="F110">
    <cfRule type="cellIs" dxfId="29" priority="38" stopIfTrue="1" operator="notBetween">
      <formula>$J$1</formula>
      <formula>-$J$1</formula>
    </cfRule>
  </conditionalFormatting>
  <conditionalFormatting sqref="G110">
    <cfRule type="cellIs" dxfId="28" priority="37" stopIfTrue="1" operator="notBetween">
      <formula>$J$1</formula>
      <formula>-$J$1</formula>
    </cfRule>
  </conditionalFormatting>
  <conditionalFormatting sqref="M110">
    <cfRule type="cellIs" dxfId="27" priority="36" stopIfTrue="1" operator="notBetween">
      <formula>$J$1</formula>
      <formula>-$J$1</formula>
    </cfRule>
  </conditionalFormatting>
  <conditionalFormatting sqref="N110">
    <cfRule type="cellIs" dxfId="26" priority="35" stopIfTrue="1" operator="notBetween">
      <formula>$J$1</formula>
      <formula>-$J$1</formula>
    </cfRule>
  </conditionalFormatting>
  <conditionalFormatting sqref="R110">
    <cfRule type="cellIs" dxfId="25" priority="34" stopIfTrue="1" operator="notBetween">
      <formula>$J$1</formula>
      <formula>-$J$1</formula>
    </cfRule>
  </conditionalFormatting>
  <conditionalFormatting sqref="S110">
    <cfRule type="cellIs" dxfId="24" priority="33" stopIfTrue="1" operator="notBetween">
      <formula>$J$1</formula>
      <formula>-$J$1</formula>
    </cfRule>
  </conditionalFormatting>
  <conditionalFormatting sqref="F111">
    <cfRule type="cellIs" dxfId="23" priority="31" stopIfTrue="1" operator="notBetween">
      <formula>$J$1</formula>
      <formula>-$J$1</formula>
    </cfRule>
  </conditionalFormatting>
  <conditionalFormatting sqref="C111:E111">
    <cfRule type="cellIs" dxfId="22" priority="32" stopIfTrue="1" operator="notBetween">
      <formula>$J$1</formula>
      <formula>-$J$1</formula>
    </cfRule>
  </conditionalFormatting>
  <conditionalFormatting sqref="G111">
    <cfRule type="cellIs" dxfId="21" priority="30" stopIfTrue="1" operator="notBetween">
      <formula>$J$1</formula>
      <formula>-$J$1</formula>
    </cfRule>
  </conditionalFormatting>
  <conditionalFormatting sqref="C112:E112">
    <cfRule type="cellIs" dxfId="20" priority="29" stopIfTrue="1" operator="notBetween">
      <formula>$J$1</formula>
      <formula>-$J$1</formula>
    </cfRule>
  </conditionalFormatting>
  <conditionalFormatting sqref="C114:E139">
    <cfRule type="cellIs" dxfId="19" priority="28" stopIfTrue="1" operator="notBetween">
      <formula>$J$1</formula>
      <formula>-$J$1</formula>
    </cfRule>
  </conditionalFormatting>
  <conditionalFormatting sqref="M113">
    <cfRule type="cellIs" dxfId="18" priority="27" stopIfTrue="1" operator="notBetween">
      <formula>$J$1</formula>
      <formula>-$J$1</formula>
    </cfRule>
  </conditionalFormatting>
  <conditionalFormatting sqref="N113">
    <cfRule type="cellIs" dxfId="17" priority="26" stopIfTrue="1" operator="notBetween">
      <formula>$J$1</formula>
      <formula>-$J$1</formula>
    </cfRule>
  </conditionalFormatting>
  <conditionalFormatting sqref="F141:F154">
    <cfRule type="cellIs" dxfId="16" priority="23" stopIfTrue="1" operator="notBetween">
      <formula>$J$1</formula>
      <formula>-$J$1</formula>
    </cfRule>
  </conditionalFormatting>
  <conditionalFormatting sqref="G141:G154">
    <cfRule type="cellIs" dxfId="15" priority="22" stopIfTrue="1" operator="notBetween">
      <formula>$J$1</formula>
      <formula>-$J$1</formula>
    </cfRule>
  </conditionalFormatting>
  <conditionalFormatting sqref="C141:E154">
    <cfRule type="cellIs" dxfId="14" priority="21" stopIfTrue="1" operator="notBetween">
      <formula>$J$1</formula>
      <formula>-$J$1</formula>
    </cfRule>
  </conditionalFormatting>
  <conditionalFormatting sqref="F140">
    <cfRule type="cellIs" dxfId="13" priority="20" stopIfTrue="1" operator="notBetween">
      <formula>$J$1</formula>
      <formula>-$J$1</formula>
    </cfRule>
  </conditionalFormatting>
  <conditionalFormatting sqref="G140">
    <cfRule type="cellIs" dxfId="12" priority="19" stopIfTrue="1" operator="notBetween">
      <formula>$J$1</formula>
      <formula>-$J$1</formula>
    </cfRule>
  </conditionalFormatting>
  <conditionalFormatting sqref="M140">
    <cfRule type="cellIs" dxfId="11" priority="18" stopIfTrue="1" operator="notBetween">
      <formula>$J$1</formula>
      <formula>-$J$1</formula>
    </cfRule>
  </conditionalFormatting>
  <conditionalFormatting sqref="N140">
    <cfRule type="cellIs" dxfId="10" priority="17" stopIfTrue="1" operator="notBetween">
      <formula>$J$1</formula>
      <formula>-$J$1</formula>
    </cfRule>
  </conditionalFormatting>
  <conditionalFormatting sqref="R140">
    <cfRule type="cellIs" dxfId="9" priority="16" stopIfTrue="1" operator="notBetween">
      <formula>$J$1</formula>
      <formula>-$J$1</formula>
    </cfRule>
  </conditionalFormatting>
  <conditionalFormatting sqref="S140">
    <cfRule type="cellIs" dxfId="8" priority="15" stopIfTrue="1" operator="notBetween">
      <formula>$J$1</formula>
      <formula>-$J$1</formula>
    </cfRule>
  </conditionalFormatting>
  <conditionalFormatting sqref="C25:D38">
    <cfRule type="cellIs" dxfId="7" priority="7" stopIfTrue="1" operator="notBetween">
      <formula>$J$1</formula>
      <formula>-$J$1</formula>
    </cfRule>
  </conditionalFormatting>
  <conditionalFormatting sqref="G25:G38">
    <cfRule type="cellIs" dxfId="6" priority="6" stopIfTrue="1" operator="notBetween">
      <formula>$J$1</formula>
      <formula>-$J$1</formula>
    </cfRule>
  </conditionalFormatting>
  <conditionalFormatting sqref="E40:F53">
    <cfRule type="cellIs" dxfId="5" priority="5" stopIfTrue="1" operator="notBetween">
      <formula>$J$1</formula>
      <formula>-$J$1</formula>
    </cfRule>
  </conditionalFormatting>
  <conditionalFormatting sqref="C40:C53">
    <cfRule type="cellIs" dxfId="4" priority="4" stopIfTrue="1" operator="notBetween">
      <formula>$J$1</formula>
      <formula>-$J$1</formula>
    </cfRule>
  </conditionalFormatting>
  <conditionalFormatting sqref="D40:D53">
    <cfRule type="cellIs" dxfId="3" priority="3" stopIfTrue="1" operator="notBetween">
      <formula>$J$1</formula>
      <formula>-$J$1</formula>
    </cfRule>
  </conditionalFormatting>
  <conditionalFormatting sqref="G40:G53">
    <cfRule type="cellIs" dxfId="2" priority="2" stopIfTrue="1" operator="notBetween">
      <formula>$J$1</formula>
      <formula>-$J$1</formula>
    </cfRule>
  </conditionalFormatting>
  <conditionalFormatting sqref="C10">
    <cfRule type="cellIs" dxfId="1" priority="1" stopIfTrue="1" operator="notBetween">
      <formula>$J$1</formula>
      <formula>-$J$1</formula>
    </cfRule>
  </conditionalFormatting>
  <dataValidations count="1">
    <dataValidation type="list" allowBlank="1" showInputMessage="1" showErrorMessage="1" sqref="G1">
      <formula1>fund_type</formula1>
    </dataValidation>
  </dataValidation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16"/>
  <sheetViews>
    <sheetView rightToLeft="1" workbookViewId="0">
      <selection activeCell="H25" sqref="H25"/>
    </sheetView>
  </sheetViews>
  <sheetFormatPr defaultRowHeight="12.5"/>
  <cols>
    <col min="2" max="2" width="10.1796875" bestFit="1" customWidth="1"/>
    <col min="3" max="3" width="12" customWidth="1"/>
    <col min="9" max="9" width="18" customWidth="1"/>
  </cols>
  <sheetData>
    <row r="1" spans="1:9">
      <c r="A1" s="1173"/>
    </row>
    <row r="3" spans="1:9" ht="13">
      <c r="B3" s="1636" t="s">
        <v>4947</v>
      </c>
      <c r="C3" s="1636" t="s">
        <v>4950</v>
      </c>
      <c r="D3" s="1636"/>
    </row>
    <row r="4" spans="1:9" ht="13">
      <c r="B4" s="1567" t="s">
        <v>268</v>
      </c>
      <c r="C4" s="1567" t="s">
        <v>3873</v>
      </c>
      <c r="D4" s="1567" t="s">
        <v>3876</v>
      </c>
    </row>
    <row r="5" spans="1:9">
      <c r="B5" s="1161">
        <v>2</v>
      </c>
      <c r="C5" s="1161" t="s">
        <v>4949</v>
      </c>
      <c r="D5" s="465" t="s">
        <v>4948</v>
      </c>
    </row>
    <row r="6" spans="1:9">
      <c r="B6" s="1535" t="s">
        <v>1454</v>
      </c>
      <c r="C6" t="s">
        <v>4951</v>
      </c>
      <c r="D6" s="465" t="s">
        <v>4948</v>
      </c>
    </row>
    <row r="8" spans="1:9">
      <c r="B8" s="465" t="s">
        <v>4987</v>
      </c>
    </row>
    <row r="9" spans="1:9">
      <c r="B9" s="465" t="s">
        <v>4914</v>
      </c>
      <c r="C9" s="1161" t="s">
        <v>5809</v>
      </c>
      <c r="D9" s="465" t="s">
        <v>5009</v>
      </c>
    </row>
    <row r="10" spans="1:9">
      <c r="B10" s="465" t="s">
        <v>2896</v>
      </c>
      <c r="C10" s="1535" t="s">
        <v>3867</v>
      </c>
      <c r="D10" s="465" t="s">
        <v>5011</v>
      </c>
      <c r="I10" t="s">
        <v>5010</v>
      </c>
    </row>
    <row r="11" spans="1:9">
      <c r="B11" s="465" t="s">
        <v>5013</v>
      </c>
      <c r="C11" s="465" t="s">
        <v>5012</v>
      </c>
      <c r="D11" s="465" t="s">
        <v>5014</v>
      </c>
    </row>
    <row r="14" spans="1:9" ht="13">
      <c r="B14" s="1636" t="s">
        <v>5802</v>
      </c>
    </row>
    <row r="15" spans="1:9">
      <c r="B15" s="465" t="s">
        <v>4914</v>
      </c>
      <c r="C15" s="1161" t="s">
        <v>5809</v>
      </c>
      <c r="D15" s="465" t="s">
        <v>5808</v>
      </c>
    </row>
    <row r="16" spans="1:9">
      <c r="B16" s="465" t="s">
        <v>2728</v>
      </c>
      <c r="C16" s="1161" t="s">
        <v>5810</v>
      </c>
      <c r="D16" s="465" t="s">
        <v>5811</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3:E119"/>
  <sheetViews>
    <sheetView rightToLeft="1" topLeftCell="A37" workbookViewId="0">
      <selection activeCell="D52" sqref="D52"/>
    </sheetView>
  </sheetViews>
  <sheetFormatPr defaultRowHeight="12.5"/>
  <cols>
    <col min="1" max="1" width="41.54296875" customWidth="1"/>
    <col min="2" max="2" width="16" customWidth="1"/>
    <col min="3" max="3" width="50.81640625" bestFit="1" customWidth="1"/>
    <col min="4" max="4" width="74.453125" customWidth="1"/>
    <col min="5" max="5" width="39.54296875" bestFit="1" customWidth="1"/>
  </cols>
  <sheetData>
    <row r="3" spans="1:5">
      <c r="B3" t="s">
        <v>2689</v>
      </c>
    </row>
    <row r="4" spans="1:5" ht="13">
      <c r="B4" s="1161" t="s">
        <v>2690</v>
      </c>
      <c r="C4" s="1161"/>
      <c r="D4" s="1941" t="s">
        <v>2691</v>
      </c>
      <c r="E4" s="1941"/>
    </row>
    <row r="6" spans="1:5">
      <c r="A6" t="str">
        <f>'B7'!B2</f>
        <v>באור 7  - רכוש קבוע - הרכב ותנועה</v>
      </c>
      <c r="B6" s="465" t="s">
        <v>971</v>
      </c>
      <c r="C6" s="465"/>
      <c r="D6" s="465" t="s">
        <v>2710</v>
      </c>
    </row>
    <row r="7" spans="1:5" ht="13">
      <c r="A7" s="1162" t="str">
        <f>'B26'!B5</f>
        <v>באור 26א' - יתרות עם בעלי עניין וצדדים קשורים</v>
      </c>
      <c r="B7" s="465" t="s">
        <v>1352</v>
      </c>
      <c r="C7" s="465"/>
      <c r="D7" s="261" t="s">
        <v>2703</v>
      </c>
    </row>
    <row r="8" spans="1:5">
      <c r="D8" s="465" t="s">
        <v>2705</v>
      </c>
    </row>
    <row r="9" spans="1:5">
      <c r="D9" s="465"/>
    </row>
    <row r="10" spans="1:5">
      <c r="A10" t="s">
        <v>1569</v>
      </c>
      <c r="B10" s="465" t="s">
        <v>1352</v>
      </c>
      <c r="C10" s="465"/>
      <c r="D10" s="465" t="s">
        <v>2708</v>
      </c>
    </row>
    <row r="12" spans="1:5">
      <c r="A12" s="1168" t="s">
        <v>2720</v>
      </c>
      <c r="B12" t="s">
        <v>789</v>
      </c>
      <c r="D12" s="465" t="s">
        <v>2721</v>
      </c>
    </row>
    <row r="13" spans="1:5">
      <c r="B13" s="1163" t="s">
        <v>2704</v>
      </c>
      <c r="C13" s="1163"/>
    </row>
    <row r="14" spans="1:5">
      <c r="A14" t="str">
        <f>'B7'!B2</f>
        <v>באור 7  - רכוש קבוע - הרכב ותנועה</v>
      </c>
      <c r="B14" t="s">
        <v>971</v>
      </c>
      <c r="C14" t="s">
        <v>2724</v>
      </c>
      <c r="D14" t="s">
        <v>2723</v>
      </c>
    </row>
    <row r="16" spans="1:5">
      <c r="A16" s="1172" t="s">
        <v>2726</v>
      </c>
      <c r="B16" s="1172" t="s">
        <v>2726</v>
      </c>
      <c r="C16" s="1172"/>
      <c r="D16" s="1172" t="s">
        <v>2727</v>
      </c>
    </row>
    <row r="18" spans="1:4" ht="25">
      <c r="A18" s="1162" t="str">
        <f>'B13'!B22</f>
        <v>באור 13ב' - הון עצמי ודרישות הון - הון עצמי מינימלי</v>
      </c>
      <c r="B18" t="s">
        <v>2728</v>
      </c>
      <c r="D18" s="1173" t="s">
        <v>2729</v>
      </c>
    </row>
    <row r="19" spans="1:4">
      <c r="A19" t="str">
        <f>ט101</f>
        <v>טופס 101 -  הון עצמי מזערי הנדרש מחברה מנהלת</v>
      </c>
      <c r="B19" s="465" t="s">
        <v>790</v>
      </c>
      <c r="C19" s="465" t="s">
        <v>2730</v>
      </c>
      <c r="D19" s="465" t="s">
        <v>2731</v>
      </c>
    </row>
    <row r="20" spans="1:4">
      <c r="B20" s="465" t="s">
        <v>2732</v>
      </c>
      <c r="D20" s="465" t="s">
        <v>2733</v>
      </c>
    </row>
    <row r="21" spans="1:4">
      <c r="D21" s="465" t="s">
        <v>2734</v>
      </c>
    </row>
    <row r="22" spans="1:4">
      <c r="D22" s="465" t="s">
        <v>2735</v>
      </c>
    </row>
    <row r="23" spans="1:4">
      <c r="D23" s="465" t="s">
        <v>2736</v>
      </c>
    </row>
    <row r="24" spans="1:4">
      <c r="D24" s="465" t="s">
        <v>2737</v>
      </c>
    </row>
    <row r="25" spans="1:4">
      <c r="A25" s="465" t="s">
        <v>2738</v>
      </c>
    </row>
    <row r="26" spans="1:4">
      <c r="A26" s="1174"/>
      <c r="B26" s="1175" t="s">
        <v>2728</v>
      </c>
      <c r="C26" s="1174"/>
      <c r="D26" s="1175" t="s">
        <v>2739</v>
      </c>
    </row>
    <row r="28" spans="1:4">
      <c r="A28" s="465" t="s">
        <v>2745</v>
      </c>
    </row>
    <row r="29" spans="1:4">
      <c r="A29" t="str">
        <f>ט101נ</f>
        <v>טופס 101 -  גיליון הקלדת נתונים</v>
      </c>
      <c r="B29" s="465" t="s">
        <v>789</v>
      </c>
      <c r="D29" s="465" t="s">
        <v>2747</v>
      </c>
    </row>
    <row r="30" spans="1:4">
      <c r="A30" s="1215">
        <v>41510</v>
      </c>
      <c r="B30" s="465"/>
    </row>
    <row r="31" spans="1:4">
      <c r="A31" t="str">
        <f>ט101נ</f>
        <v>טופס 101 -  גיליון הקלדת נתונים</v>
      </c>
      <c r="B31" s="465" t="s">
        <v>789</v>
      </c>
      <c r="D31" s="1216" t="s">
        <v>2769</v>
      </c>
    </row>
    <row r="33" spans="1:5" ht="18">
      <c r="A33" s="1369" t="s">
        <v>2855</v>
      </c>
    </row>
    <row r="35" spans="1:5" ht="14">
      <c r="A35" s="465" t="s">
        <v>2847</v>
      </c>
      <c r="B35" s="1310" t="s">
        <v>2833</v>
      </c>
      <c r="D35" s="1311" t="s">
        <v>2835</v>
      </c>
    </row>
    <row r="36" spans="1:5" ht="15.5">
      <c r="A36" s="465" t="s">
        <v>2848</v>
      </c>
      <c r="B36" s="1279" t="s">
        <v>1110</v>
      </c>
      <c r="D36" s="1280" t="s">
        <v>1111</v>
      </c>
    </row>
    <row r="37" spans="1:5" ht="15.5">
      <c r="A37" s="465" t="s">
        <v>2848</v>
      </c>
      <c r="B37" s="1279" t="s">
        <v>1110</v>
      </c>
      <c r="D37" s="1280" t="s">
        <v>1120</v>
      </c>
    </row>
    <row r="38" spans="1:5" ht="15.5">
      <c r="A38" s="465" t="s">
        <v>2849</v>
      </c>
      <c r="B38" s="1319" t="s">
        <v>1110</v>
      </c>
      <c r="D38" s="1320" t="s">
        <v>2837</v>
      </c>
    </row>
    <row r="39" spans="1:5" ht="15.5">
      <c r="A39" s="465" t="s">
        <v>2850</v>
      </c>
      <c r="B39" s="1350" t="s">
        <v>2821</v>
      </c>
      <c r="D39" s="1349" t="s">
        <v>2838</v>
      </c>
      <c r="E39" s="465" t="s">
        <v>2851</v>
      </c>
    </row>
    <row r="40" spans="1:5" ht="15.5">
      <c r="A40" s="465" t="s">
        <v>2848</v>
      </c>
      <c r="B40" s="970" t="s">
        <v>2728</v>
      </c>
      <c r="D40" s="972" t="s">
        <v>1133</v>
      </c>
    </row>
    <row r="41" spans="1:5" ht="31">
      <c r="A41" s="465" t="s">
        <v>2848</v>
      </c>
      <c r="B41" s="1281" t="s">
        <v>1221</v>
      </c>
      <c r="D41" s="1282" t="s">
        <v>1226</v>
      </c>
    </row>
    <row r="42" spans="1:5" ht="15.5">
      <c r="A42" s="465" t="s">
        <v>2848</v>
      </c>
      <c r="B42" s="1281" t="s">
        <v>1221</v>
      </c>
      <c r="D42" s="1283" t="s">
        <v>1227</v>
      </c>
    </row>
    <row r="43" spans="1:5" ht="15.5">
      <c r="A43" s="465" t="s">
        <v>2849</v>
      </c>
      <c r="B43" s="1359" t="s">
        <v>1221</v>
      </c>
      <c r="D43" s="952" t="s">
        <v>2845</v>
      </c>
    </row>
    <row r="44" spans="1:5" ht="15.5">
      <c r="A44" s="465" t="s">
        <v>2849</v>
      </c>
      <c r="B44" s="1359" t="s">
        <v>1221</v>
      </c>
      <c r="D44" s="952" t="s">
        <v>2846</v>
      </c>
    </row>
    <row r="45" spans="1:5" ht="14">
      <c r="A45" s="465" t="s">
        <v>2854</v>
      </c>
      <c r="B45" s="1308" t="s">
        <v>2831</v>
      </c>
      <c r="D45" s="1309" t="s">
        <v>2832</v>
      </c>
    </row>
    <row r="46" spans="1:5" ht="15.5">
      <c r="A46" s="465" t="s">
        <v>2849</v>
      </c>
      <c r="B46" s="955" t="s">
        <v>1004</v>
      </c>
      <c r="D46" s="960" t="s">
        <v>2866</v>
      </c>
    </row>
    <row r="47" spans="1:5" ht="15.5">
      <c r="A47" s="465" t="s">
        <v>2849</v>
      </c>
      <c r="B47" s="955" t="s">
        <v>1004</v>
      </c>
      <c r="D47" s="960" t="s">
        <v>2867</v>
      </c>
    </row>
    <row r="49" spans="1:4" ht="25.5">
      <c r="A49" s="261" t="s">
        <v>2903</v>
      </c>
      <c r="B49" s="465" t="s">
        <v>2900</v>
      </c>
      <c r="C49" s="465" t="s">
        <v>2901</v>
      </c>
      <c r="D49" s="1216" t="s">
        <v>2902</v>
      </c>
    </row>
    <row r="51" spans="1:4">
      <c r="A51" s="465" t="s">
        <v>3761</v>
      </c>
      <c r="B51" s="465" t="s">
        <v>2689</v>
      </c>
      <c r="C51" s="465" t="s">
        <v>3759</v>
      </c>
    </row>
    <row r="52" spans="1:4" ht="25">
      <c r="A52" s="465" t="s">
        <v>1482</v>
      </c>
      <c r="B52" s="465" t="s">
        <v>789</v>
      </c>
      <c r="C52" s="465" t="s">
        <v>3755</v>
      </c>
      <c r="D52" s="1216" t="s">
        <v>3762</v>
      </c>
    </row>
    <row r="53" spans="1:4">
      <c r="A53" s="465" t="s">
        <v>3758</v>
      </c>
      <c r="B53" s="465" t="s">
        <v>3757</v>
      </c>
      <c r="C53" s="465" t="s">
        <v>3756</v>
      </c>
      <c r="D53" s="465" t="s">
        <v>3760</v>
      </c>
    </row>
    <row r="56" spans="1:4" ht="13">
      <c r="A56" s="1465" t="s">
        <v>3802</v>
      </c>
      <c r="B56" s="1463"/>
      <c r="C56" s="1463"/>
      <c r="D56" s="1463"/>
    </row>
    <row r="57" spans="1:4">
      <c r="A57" s="1462" t="s">
        <v>3804</v>
      </c>
      <c r="B57" s="1463" t="s">
        <v>2751</v>
      </c>
      <c r="C57" s="1463"/>
      <c r="D57" s="1462" t="s">
        <v>2765</v>
      </c>
    </row>
    <row r="58" spans="1:4">
      <c r="A58" s="1462" t="s">
        <v>3803</v>
      </c>
      <c r="B58" s="1462" t="s">
        <v>3805</v>
      </c>
      <c r="C58" s="1463"/>
      <c r="D58" s="1462" t="s">
        <v>3863</v>
      </c>
    </row>
    <row r="59" spans="1:4" ht="25.4" customHeight="1">
      <c r="A59" s="1463"/>
      <c r="B59" s="1463"/>
      <c r="C59" s="1463"/>
      <c r="D59" s="1464" t="s">
        <v>3866</v>
      </c>
    </row>
    <row r="60" spans="1:4">
      <c r="A60" s="465" t="s">
        <v>3869</v>
      </c>
      <c r="B60" s="465" t="s">
        <v>2896</v>
      </c>
      <c r="C60" s="465" t="s">
        <v>3867</v>
      </c>
      <c r="D60" s="465" t="s">
        <v>3868</v>
      </c>
    </row>
    <row r="61" spans="1:4">
      <c r="A61" s="465" t="s">
        <v>3872</v>
      </c>
      <c r="B61" s="1466" t="s">
        <v>2689</v>
      </c>
      <c r="C61" s="1466" t="s">
        <v>3873</v>
      </c>
    </row>
    <row r="62" spans="1:4">
      <c r="B62" s="1463" t="s">
        <v>3805</v>
      </c>
      <c r="C62" t="s">
        <v>3871</v>
      </c>
      <c r="D62" t="s">
        <v>3870</v>
      </c>
    </row>
    <row r="64" spans="1:4">
      <c r="A64" s="1532" t="s">
        <v>1511</v>
      </c>
    </row>
    <row r="65" spans="1:4">
      <c r="A65" s="1520"/>
      <c r="D65" s="465" t="s">
        <v>4555</v>
      </c>
    </row>
    <row r="66" spans="1:4">
      <c r="A66" s="465" t="s">
        <v>2847</v>
      </c>
      <c r="B66" s="465" t="s">
        <v>4552</v>
      </c>
      <c r="D66" t="str">
        <f>CONCATENATE(Dir1A!$B$4," ל-",Dir1A!$D$4)</f>
        <v>ד1. נתונים כללים ל-31.12.2021</v>
      </c>
    </row>
    <row r="67" spans="1:4">
      <c r="A67" s="465" t="s">
        <v>4556</v>
      </c>
      <c r="B67" s="465" t="s">
        <v>4553</v>
      </c>
      <c r="D67" t="str">
        <f>CONCATENATE(Dir1A!$B$4," ל-",Dir1B!$D$4)</f>
        <v>ד1. נתונים כללים ל-31.12.2020</v>
      </c>
    </row>
    <row r="68" spans="1:4">
      <c r="A68" s="465" t="s">
        <v>4556</v>
      </c>
      <c r="B68" s="465" t="s">
        <v>4554</v>
      </c>
      <c r="D68" t="str">
        <f>CONCATENATE(Dir1A!$B$4," ל-",Dir1C!$D$4)</f>
        <v>ד1. נתונים כללים ל-31.12.2019</v>
      </c>
    </row>
    <row r="69" spans="1:4">
      <c r="A69" s="465" t="s">
        <v>2847</v>
      </c>
      <c r="B69" s="465" t="s">
        <v>3882</v>
      </c>
      <c r="D69" t="str">
        <f>'Dir2'!B4</f>
        <v xml:space="preserve">ד2. עמיתים לא פעילים </v>
      </c>
    </row>
    <row r="70" spans="1:4">
      <c r="A70" s="465" t="s">
        <v>2847</v>
      </c>
      <c r="B70" s="465" t="s">
        <v>3882</v>
      </c>
      <c r="D70" t="str">
        <f>'Dir2'!B49</f>
        <v>ד3. עמלות</v>
      </c>
    </row>
    <row r="72" spans="1:4" ht="13">
      <c r="A72" s="1537" t="s">
        <v>4570</v>
      </c>
      <c r="B72" s="1536" t="s">
        <v>268</v>
      </c>
      <c r="C72" s="1536" t="s">
        <v>3873</v>
      </c>
    </row>
    <row r="73" spans="1:4">
      <c r="B73" s="1535" t="s">
        <v>4553</v>
      </c>
      <c r="C73" s="1535" t="s">
        <v>4567</v>
      </c>
      <c r="D73" s="465" t="s">
        <v>4569</v>
      </c>
    </row>
    <row r="74" spans="1:4">
      <c r="B74" s="1535" t="s">
        <v>4554</v>
      </c>
      <c r="C74" s="1535" t="s">
        <v>4568</v>
      </c>
      <c r="D74" s="465" t="s">
        <v>4569</v>
      </c>
    </row>
    <row r="75" spans="1:4">
      <c r="B75" s="1161" t="s">
        <v>3882</v>
      </c>
      <c r="C75" s="1161" t="s">
        <v>4573</v>
      </c>
      <c r="D75" s="465" t="s">
        <v>4572</v>
      </c>
    </row>
    <row r="76" spans="1:4" ht="13">
      <c r="A76" s="1537" t="s">
        <v>1512</v>
      </c>
    </row>
    <row r="77" spans="1:4">
      <c r="A77" s="465" t="s">
        <v>2847</v>
      </c>
      <c r="B77" s="465" t="s">
        <v>2774</v>
      </c>
      <c r="D77" t="str">
        <f>SmBal!B2</f>
        <v>דיווח על חשבונות קטנים בקופות גמל</v>
      </c>
    </row>
    <row r="78" spans="1:4">
      <c r="A78" s="465" t="s">
        <v>4585</v>
      </c>
      <c r="B78" s="465" t="s">
        <v>4584</v>
      </c>
      <c r="D78" s="465" t="s">
        <v>4586</v>
      </c>
    </row>
    <row r="79" spans="1:4">
      <c r="D79" s="465" t="s">
        <v>4587</v>
      </c>
    </row>
    <row r="80" spans="1:4" ht="13">
      <c r="A80" s="1568" t="s">
        <v>4856</v>
      </c>
    </row>
    <row r="81" spans="1:4" ht="14.5">
      <c r="B81" s="465" t="s">
        <v>4552</v>
      </c>
      <c r="C81" s="1567" t="s">
        <v>4858</v>
      </c>
      <c r="D81" s="1566" t="s">
        <v>4857</v>
      </c>
    </row>
    <row r="82" spans="1:4">
      <c r="B82" s="465" t="s">
        <v>3882</v>
      </c>
      <c r="D82" t="s">
        <v>4860</v>
      </c>
    </row>
    <row r="83" spans="1:4" ht="15.5">
      <c r="B83" s="465" t="s">
        <v>4861</v>
      </c>
      <c r="D83" s="507" t="s">
        <v>4868</v>
      </c>
    </row>
    <row r="84" spans="1:4">
      <c r="B84" s="465" t="s">
        <v>4861</v>
      </c>
      <c r="C84" s="1161" t="s">
        <v>4573</v>
      </c>
      <c r="D84" s="465" t="s">
        <v>4863</v>
      </c>
    </row>
    <row r="85" spans="1:4" ht="13">
      <c r="D85" s="465" t="s">
        <v>4862</v>
      </c>
    </row>
    <row r="86" spans="1:4" ht="13">
      <c r="A86" s="1537" t="s">
        <v>1513</v>
      </c>
    </row>
    <row r="87" spans="1:4">
      <c r="B87" s="465" t="s">
        <v>4861</v>
      </c>
      <c r="C87" s="1161" t="s">
        <v>4573</v>
      </c>
      <c r="D87" s="465" t="s">
        <v>4893</v>
      </c>
    </row>
    <row r="88" spans="1:4" ht="13">
      <c r="D88" s="465" t="s">
        <v>4862</v>
      </c>
    </row>
    <row r="90" spans="1:4" ht="18">
      <c r="A90" s="1641" t="s">
        <v>4932</v>
      </c>
      <c r="B90" t="s">
        <v>4901</v>
      </c>
      <c r="D90" s="465" t="s">
        <v>4900</v>
      </c>
    </row>
    <row r="91" spans="1:4">
      <c r="B91" s="465" t="s">
        <v>1067</v>
      </c>
      <c r="C91" t="s">
        <v>1092</v>
      </c>
      <c r="D91" s="465" t="s">
        <v>4902</v>
      </c>
    </row>
    <row r="92" spans="1:4">
      <c r="B92" t="s">
        <v>1333</v>
      </c>
      <c r="C92" t="s">
        <v>1562</v>
      </c>
      <c r="D92" s="465" t="s">
        <v>4903</v>
      </c>
    </row>
    <row r="93" spans="1:4">
      <c r="B93" t="s">
        <v>1333</v>
      </c>
      <c r="C93" t="s">
        <v>1564</v>
      </c>
      <c r="D93" s="465" t="s">
        <v>4903</v>
      </c>
    </row>
    <row r="94" spans="1:4">
      <c r="B94" t="s">
        <v>4914</v>
      </c>
      <c r="C94" s="1021" t="s">
        <v>4915</v>
      </c>
      <c r="D94" t="e">
        <f>#REF!</f>
        <v>#REF!</v>
      </c>
    </row>
    <row r="95" spans="1:4">
      <c r="B95" s="1942" t="s">
        <v>4931</v>
      </c>
      <c r="C95" s="1943" t="str">
        <f>Information!$C$53</f>
        <v>ד1. נתונים כללים</v>
      </c>
      <c r="D95" s="465" t="s">
        <v>4933</v>
      </c>
    </row>
    <row r="96" spans="1:4">
      <c r="B96" s="1942"/>
      <c r="C96" s="1943"/>
      <c r="D96" s="465" t="s">
        <v>4934</v>
      </c>
    </row>
    <row r="97" spans="1:4" ht="25">
      <c r="B97" s="1942"/>
      <c r="C97" s="1943"/>
      <c r="D97" s="1216" t="s">
        <v>4935</v>
      </c>
    </row>
    <row r="98" spans="1:4">
      <c r="B98" s="465" t="s">
        <v>1110</v>
      </c>
      <c r="C98" s="1162" t="str">
        <f>B11C!B5</f>
        <v>באור 11ז2' - שווי הוגן של הכסים פיננסיים בחלוקה לרמות</v>
      </c>
      <c r="D98" s="465" t="s">
        <v>4945</v>
      </c>
    </row>
    <row r="99" spans="1:4">
      <c r="B99" s="465" t="s">
        <v>1110</v>
      </c>
      <c r="C99" s="1162" t="str">
        <f>B11C!B29</f>
        <v>באור 11ז3' - השקעות פיננסיות אחרות הנמדדים בשווי הוגן ברמה 3</v>
      </c>
      <c r="D99" s="465" t="s">
        <v>4945</v>
      </c>
    </row>
    <row r="100" spans="1:4" ht="18">
      <c r="A100" s="1641" t="s">
        <v>4987</v>
      </c>
    </row>
    <row r="101" spans="1:4">
      <c r="B101" t="s">
        <v>4914</v>
      </c>
      <c r="C101" s="1021" t="s">
        <v>4915</v>
      </c>
      <c r="D101" s="465" t="s">
        <v>5008</v>
      </c>
    </row>
    <row r="103" spans="1:4" ht="18">
      <c r="A103" s="1641" t="s">
        <v>5025</v>
      </c>
    </row>
    <row r="104" spans="1:4">
      <c r="B104" t="s">
        <v>5026</v>
      </c>
      <c r="C104" t="s">
        <v>5027</v>
      </c>
    </row>
    <row r="106" spans="1:4" ht="18">
      <c r="A106" s="1641" t="s">
        <v>5285</v>
      </c>
    </row>
    <row r="107" spans="1:4">
      <c r="B107" t="str">
        <f>Information!E15</f>
        <v>T16</v>
      </c>
      <c r="C107" t="str">
        <f>Information!F15</f>
        <v>טופס 16 דיווח אודות חובות בעייתיים - משתתף</v>
      </c>
      <c r="D107" s="465" t="s">
        <v>5287</v>
      </c>
    </row>
    <row r="108" spans="1:4">
      <c r="B108" t="s">
        <v>5805</v>
      </c>
      <c r="C108" t="s">
        <v>5804</v>
      </c>
      <c r="D108" s="465" t="s">
        <v>2847</v>
      </c>
    </row>
    <row r="109" spans="1:4">
      <c r="B109" t="str">
        <f>Information!E16</f>
        <v>T18</v>
      </c>
      <c r="C109" t="str">
        <f>Information!F16</f>
        <v>טופס 18 - חשיפה לקבוצות תאגידים - משתתף</v>
      </c>
      <c r="D109" s="465" t="s">
        <v>5287</v>
      </c>
    </row>
    <row r="110" spans="1:4">
      <c r="A110" s="465" t="s">
        <v>5289</v>
      </c>
      <c r="B110" t="s">
        <v>5806</v>
      </c>
      <c r="C110" t="s">
        <v>5803</v>
      </c>
      <c r="D110" s="465" t="s">
        <v>2847</v>
      </c>
    </row>
    <row r="112" spans="1:4" ht="18">
      <c r="A112" s="1641" t="s">
        <v>5802</v>
      </c>
    </row>
    <row r="113" spans="1:4">
      <c r="B113" t="s">
        <v>4914</v>
      </c>
      <c r="C113" t="s">
        <v>5051</v>
      </c>
      <c r="D113" s="1791" t="s">
        <v>5807</v>
      </c>
    </row>
    <row r="115" spans="1:4" ht="18">
      <c r="A115" s="1641" t="s">
        <v>5812</v>
      </c>
    </row>
    <row r="116" spans="1:4">
      <c r="B116" t="s">
        <v>4914</v>
      </c>
      <c r="C116" t="s">
        <v>5051</v>
      </c>
      <c r="D116" s="1791" t="s">
        <v>5813</v>
      </c>
    </row>
    <row r="118" spans="1:4" ht="18">
      <c r="A118" s="1641" t="s">
        <v>5914</v>
      </c>
    </row>
    <row r="119" spans="1:4">
      <c r="B119" t="s">
        <v>4914</v>
      </c>
      <c r="C119" t="s">
        <v>5051</v>
      </c>
      <c r="D119" s="1791" t="s">
        <v>5813</v>
      </c>
    </row>
  </sheetData>
  <mergeCells count="3">
    <mergeCell ref="D4:E4"/>
    <mergeCell ref="B95:B97"/>
    <mergeCell ref="C95:C97"/>
  </mergeCells>
  <hyperlinks>
    <hyperlink ref="B35:D35" location="SB3.1A!A1" display="SB3.1A"/>
    <hyperlink ref="D36" location="B11B!A36" display="B11B"/>
    <hyperlink ref="B36" location="B11B!A24" display="B11B"/>
    <hyperlink ref="B36:D36" location="B11C!A5" display="B11C"/>
    <hyperlink ref="D37" location="B11B!A36" display="B11B"/>
    <hyperlink ref="B37" location="B11B!A24" display="B11B"/>
    <hyperlink ref="B37:D37" location="B11C!A25" display="B11C"/>
    <hyperlink ref="B40" location="'B12'!A1" display="B12"/>
    <hyperlink ref="B40:D40" location="'B13'!A1" display="B12"/>
    <hyperlink ref="D39" location="'B9'!A25" display="B9"/>
    <hyperlink ref="B39:D39" location="B11R!A25" display="B11R"/>
    <hyperlink ref="B38" location="B11B!A24" display="B11B"/>
    <hyperlink ref="D38" location="B11B!A36" display="B11B"/>
    <hyperlink ref="B38:D38" location="B11C!A36" display="B11C"/>
    <hyperlink ref="B41" location="'B17'!A31" display="B17"/>
    <hyperlink ref="B42" location="'B17'!A31" display="B17"/>
    <hyperlink ref="B41:D41" location="'B17'!A39" display="B17"/>
    <hyperlink ref="B42:D42" location="'B17'!A59" display="B17"/>
    <hyperlink ref="B45" location="B27D!A1" display="B27D"/>
    <hyperlink ref="B45:D45" location="'B28'!A1" display="B28"/>
    <hyperlink ref="B43" location="'B17'!A112" display="B17"/>
    <hyperlink ref="B44" location="'B17'!A112" display="B17"/>
    <hyperlink ref="B43:D43" location="'B17'!A112" display="B17"/>
    <hyperlink ref="B44:D44" location="'B17'!A112" display="B17"/>
    <hyperlink ref="B46" location="'B9'!A31" display="B9"/>
    <hyperlink ref="B47" location="'B9'!A31" display="B9"/>
    <hyperlink ref="B47:D47" location="'B9'!A31" display="B9"/>
    <hyperlink ref="B46:D46" location="'B9'!A31" display="B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A1:Z140"/>
  <sheetViews>
    <sheetView rightToLeft="1" tabSelected="1" zoomScaleNormal="100" workbookViewId="0">
      <selection activeCell="C5" sqref="C5"/>
    </sheetView>
  </sheetViews>
  <sheetFormatPr defaultColWidth="8.81640625" defaultRowHeight="15.5"/>
  <cols>
    <col min="1" max="1" width="1.453125" style="927" customWidth="1"/>
    <col min="2" max="2" width="7.453125" style="927" customWidth="1"/>
    <col min="3" max="3" width="58.81640625" style="927" customWidth="1"/>
    <col min="4" max="4" width="4.1796875" style="927" customWidth="1"/>
    <col min="5" max="5" width="9.453125" style="927" customWidth="1"/>
    <col min="6" max="6" width="59" style="927" customWidth="1"/>
    <col min="7" max="7" width="14.453125" style="927" customWidth="1"/>
    <col min="8" max="8" width="16.81640625" style="927" customWidth="1"/>
    <col min="9" max="9" width="14.453125" style="927" customWidth="1"/>
    <col min="10" max="10" width="62.453125" style="927" customWidth="1"/>
    <col min="11" max="11" width="23.453125" style="927" customWidth="1"/>
    <col min="12" max="12" width="4.453125" style="927" customWidth="1"/>
    <col min="13" max="13" width="17.453125" style="927" customWidth="1"/>
    <col min="14" max="14" width="26.54296875" style="927" customWidth="1"/>
    <col min="15" max="15" width="12.453125" style="927" customWidth="1"/>
    <col min="16" max="16" width="15.453125" style="927" customWidth="1"/>
    <col min="17" max="17" width="20.54296875" style="927" customWidth="1"/>
    <col min="18" max="18" width="15.54296875" style="927" customWidth="1"/>
    <col min="19" max="19" width="15.453125" style="927" customWidth="1"/>
    <col min="20" max="20" width="12.54296875" style="927" customWidth="1"/>
    <col min="21" max="16384" width="8.81640625" style="927"/>
  </cols>
  <sheetData>
    <row r="1" spans="1:22" ht="18.75" customHeight="1">
      <c r="A1" s="398" t="s">
        <v>2856</v>
      </c>
      <c r="B1" s="1945" t="s">
        <v>262</v>
      </c>
      <c r="C1" s="1945"/>
      <c r="D1" s="1948" t="s">
        <v>3874</v>
      </c>
      <c r="E1" s="20" t="s">
        <v>263</v>
      </c>
      <c r="F1" s="1354" t="str">
        <f ca="1">IF(K11=orig_name,mess4,IF(K9&lt;&gt;K11,mess3," "))</f>
        <v>שם הקובץ לא נכון - לאחר שמירה להקיש F9</v>
      </c>
      <c r="G1" s="926"/>
      <c r="H1" s="428"/>
      <c r="I1" s="192"/>
      <c r="J1" s="189" t="s">
        <v>264</v>
      </c>
      <c r="K1" s="192"/>
      <c r="L1" s="192"/>
      <c r="M1" s="192"/>
      <c r="N1" s="192"/>
      <c r="P1" s="928" t="str">
        <f>K4</f>
        <v>31.12.2021</v>
      </c>
      <c r="T1" s="927" t="s">
        <v>2781</v>
      </c>
    </row>
    <row r="2" spans="1:22">
      <c r="A2" s="192"/>
      <c r="B2" s="929" t="str">
        <f>company</f>
        <v>_____חברה מנהלת</v>
      </c>
      <c r="D2" s="1948"/>
      <c r="E2" s="930"/>
      <c r="F2" s="1355" t="s">
        <v>2678</v>
      </c>
      <c r="G2" s="974" t="s">
        <v>1466</v>
      </c>
      <c r="H2" s="427"/>
      <c r="I2" s="192"/>
      <c r="J2" s="931" t="s">
        <v>265</v>
      </c>
      <c r="K2" s="932" t="s">
        <v>266</v>
      </c>
      <c r="L2" s="191"/>
      <c r="M2" s="192"/>
      <c r="N2" s="192"/>
      <c r="O2" s="933"/>
      <c r="P2" s="934" t="str">
        <f>RIGHT(K4,4)</f>
        <v>2021</v>
      </c>
      <c r="Q2" s="927" t="s">
        <v>837</v>
      </c>
    </row>
    <row r="3" spans="1:22">
      <c r="A3" s="192"/>
      <c r="B3" s="935" t="str">
        <f>K4</f>
        <v>31.12.2021</v>
      </c>
      <c r="D3" s="1948"/>
      <c r="E3" s="1947" t="s">
        <v>2694</v>
      </c>
      <c r="F3" s="1351" t="s">
        <v>2696</v>
      </c>
      <c r="G3" s="973" t="s">
        <v>1467</v>
      </c>
      <c r="H3" s="427"/>
      <c r="I3" s="192"/>
      <c r="J3" s="192"/>
      <c r="K3" s="192"/>
      <c r="L3" s="192"/>
      <c r="M3" s="192"/>
      <c r="N3" s="192"/>
      <c r="O3" s="933" t="str">
        <f>MID(K4,4,2)</f>
        <v>12</v>
      </c>
      <c r="P3" s="1232">
        <f>VLOOKUP($K$4,$M$28:$O$55,3,0)</f>
        <v>4</v>
      </c>
      <c r="Q3" s="927" t="s">
        <v>838</v>
      </c>
    </row>
    <row r="4" spans="1:22">
      <c r="A4" s="13"/>
      <c r="B4" s="936"/>
      <c r="C4" s="1484" t="s">
        <v>3877</v>
      </c>
      <c r="D4" s="1948"/>
      <c r="E4" s="1947"/>
      <c r="F4" s="1351" t="s">
        <v>2695</v>
      </c>
      <c r="G4" s="1440" t="s">
        <v>3797</v>
      </c>
      <c r="H4" s="427"/>
      <c r="I4" s="192"/>
      <c r="J4" s="193"/>
      <c r="K4" s="451" t="s">
        <v>5969</v>
      </c>
      <c r="L4" s="193"/>
      <c r="M4" s="193"/>
      <c r="N4" s="192"/>
      <c r="O4" s="927">
        <v>1</v>
      </c>
      <c r="P4" s="1241" t="str">
        <f t="shared" ref="P4:P11" si="0">VLOOKUP(O4,$P$18:$S$25,$M$27,0)</f>
        <v>31.12.2021</v>
      </c>
      <c r="Q4" s="927" t="s">
        <v>843</v>
      </c>
    </row>
    <row r="5" spans="1:22">
      <c r="A5" s="194"/>
      <c r="B5" s="963" t="s">
        <v>268</v>
      </c>
      <c r="C5" s="964" t="s">
        <v>269</v>
      </c>
      <c r="D5" s="429"/>
      <c r="E5" s="10"/>
      <c r="F5" s="9" t="s">
        <v>271</v>
      </c>
      <c r="G5" s="927" t="s">
        <v>3880</v>
      </c>
      <c r="H5" s="427"/>
      <c r="I5" s="194"/>
      <c r="J5" s="194"/>
      <c r="K5" s="194"/>
      <c r="L5" s="194"/>
      <c r="M5" s="194"/>
      <c r="N5" s="194"/>
      <c r="O5" s="927">
        <v>2</v>
      </c>
      <c r="P5" s="1241" t="str">
        <f t="shared" si="0"/>
        <v>לא לדווח</v>
      </c>
      <c r="Q5" s="927" t="s">
        <v>844</v>
      </c>
    </row>
    <row r="6" spans="1:22">
      <c r="A6" s="192"/>
      <c r="B6" s="967">
        <v>1</v>
      </c>
      <c r="C6" s="968" t="s">
        <v>804</v>
      </c>
      <c r="D6" s="1467" t="str">
        <f>IF(SUM('1'!C7:E43)&lt;&gt;0,mess2,mess1)</f>
        <v>ריק</v>
      </c>
      <c r="E6" s="443">
        <v>106</v>
      </c>
      <c r="F6" s="444" t="s">
        <v>786</v>
      </c>
      <c r="G6" s="1467" t="str">
        <f>IF(SUM('106'!J8:L535)&lt;&gt;0,mess2,mess1)</f>
        <v>ריק</v>
      </c>
      <c r="H6" s="936"/>
      <c r="I6" s="192"/>
      <c r="L6" s="192"/>
      <c r="M6" s="194"/>
      <c r="N6" s="194"/>
      <c r="O6" s="927">
        <v>3</v>
      </c>
      <c r="P6" s="1241" t="str">
        <f t="shared" si="0"/>
        <v>31.12.2020</v>
      </c>
      <c r="Q6" s="927" t="s">
        <v>845</v>
      </c>
    </row>
    <row r="7" spans="1:22">
      <c r="A7" s="192"/>
      <c r="B7" s="967">
        <v>2</v>
      </c>
      <c r="C7" s="968" t="s">
        <v>853</v>
      </c>
      <c r="D7" s="428" t="str">
        <f>IF(SUM('2'!C6:G40)&lt;&gt;0,mess2,mess1)</f>
        <v>ריק</v>
      </c>
      <c r="E7" s="445" t="s">
        <v>791</v>
      </c>
      <c r="F7" s="446" t="s">
        <v>785</v>
      </c>
      <c r="G7" s="1467" t="str">
        <f>IF(SUM('106N'!G25)&lt;&gt;0,mess2,mess1)</f>
        <v>ריק</v>
      </c>
      <c r="H7" s="936"/>
      <c r="I7" s="192"/>
      <c r="L7" s="192"/>
      <c r="M7" s="192"/>
      <c r="N7" s="192"/>
      <c r="O7" s="927">
        <v>4</v>
      </c>
      <c r="P7" s="1241" t="str">
        <f t="shared" si="0"/>
        <v>שנת 2021</v>
      </c>
      <c r="Q7" s="927" t="s">
        <v>842</v>
      </c>
      <c r="R7" s="927" t="str">
        <f>CONCATENATE(VLOOKUP($O$3,$S$11:$V$14,3,0)," ",$P$2)</f>
        <v>ינואר - דצמבר 2021</v>
      </c>
    </row>
    <row r="8" spans="1:22">
      <c r="A8" s="192"/>
      <c r="B8" s="967">
        <v>3</v>
      </c>
      <c r="C8" s="968" t="s">
        <v>1514</v>
      </c>
      <c r="D8" s="428" t="str">
        <f>IF(SUM('3'!C6:K27)&lt;&gt;0,mess2,mess1)</f>
        <v>ריק</v>
      </c>
      <c r="E8" s="10"/>
      <c r="F8" s="426" t="s">
        <v>273</v>
      </c>
      <c r="G8" s="427"/>
      <c r="H8" s="936"/>
      <c r="I8" s="192"/>
      <c r="L8" s="192"/>
      <c r="M8" s="192"/>
      <c r="N8" s="192"/>
      <c r="O8" s="927">
        <v>5</v>
      </c>
      <c r="P8" s="1241" t="str">
        <f t="shared" si="0"/>
        <v>שנת 2020</v>
      </c>
      <c r="Q8" s="927" t="s">
        <v>846</v>
      </c>
      <c r="R8" s="927" t="str">
        <f>CONCATENATE(VLOOKUP($O$3,$S$11:$V$14,3,0)," ",$P$2-1)</f>
        <v>ינואר - דצמבר 2020</v>
      </c>
    </row>
    <row r="9" spans="1:22">
      <c r="A9" s="192"/>
      <c r="B9" s="967" t="s">
        <v>1453</v>
      </c>
      <c r="C9" s="969" t="s">
        <v>1456</v>
      </c>
      <c r="D9" s="427"/>
      <c r="E9" s="12" t="s">
        <v>789</v>
      </c>
      <c r="F9" s="11" t="s">
        <v>787</v>
      </c>
      <c r="G9" s="1467" t="str">
        <f>IF(SUM(T101_N!D6:D12)&lt;&gt;0,mess2,mess1)</f>
        <v>ריק</v>
      </c>
      <c r="H9" s="936"/>
      <c r="I9" s="192"/>
      <c r="J9" s="937" t="s">
        <v>794</v>
      </c>
      <c r="K9" s="937" t="str">
        <f ca="1">P15</f>
        <v>Managment Fund_v6.xlsx</v>
      </c>
      <c r="L9" s="192"/>
      <c r="M9" s="192"/>
      <c r="N9" s="192"/>
      <c r="O9" s="927">
        <v>6</v>
      </c>
      <c r="P9" s="1241" t="str">
        <f t="shared" si="0"/>
        <v>לא לדווח</v>
      </c>
      <c r="Q9" s="927" t="s">
        <v>847</v>
      </c>
      <c r="R9" s="927" t="str">
        <f>CONCATENATE(VLOOKUP($O$3,$S$11:$V$14,4,0)," ",$P$2)</f>
        <v>אקטובר - דצמבר 2021</v>
      </c>
    </row>
    <row r="10" spans="1:22">
      <c r="A10" s="192"/>
      <c r="B10" s="967" t="s">
        <v>1454</v>
      </c>
      <c r="C10" s="969" t="s">
        <v>1457</v>
      </c>
      <c r="D10" s="427"/>
      <c r="E10" s="447" t="s">
        <v>790</v>
      </c>
      <c r="F10" s="448" t="s">
        <v>788</v>
      </c>
      <c r="G10" s="1467" t="str">
        <f>IF(SUM('T101'!J38:J42)&lt;&gt;0,mess2,mess1)</f>
        <v>ריק</v>
      </c>
      <c r="H10" s="936"/>
      <c r="I10" s="192"/>
      <c r="J10" s="1260" t="s">
        <v>270</v>
      </c>
      <c r="K10" s="1356" t="s">
        <v>2814</v>
      </c>
      <c r="L10" s="1357"/>
      <c r="M10" s="1357"/>
      <c r="N10" s="192"/>
      <c r="O10" s="927">
        <v>7</v>
      </c>
      <c r="P10" s="1241" t="str">
        <f t="shared" si="0"/>
        <v>לא לדווח</v>
      </c>
      <c r="Q10" s="927" t="s">
        <v>848</v>
      </c>
      <c r="R10" s="927" t="str">
        <f>CONCATENATE(VLOOKUP($O$3,$S$11:$V$14,4,0)," ",$P$2-1)</f>
        <v>אקטובר - דצמבר 2020</v>
      </c>
    </row>
    <row r="11" spans="1:22">
      <c r="A11" s="192"/>
      <c r="B11" s="967" t="s">
        <v>1455</v>
      </c>
      <c r="C11" s="969" t="s">
        <v>1580</v>
      </c>
      <c r="D11" s="427"/>
      <c r="F11" s="1358" t="str">
        <f>IF(T101_N!E92&lt;&gt;0,"",mess5)</f>
        <v>לא נרשם סכום ביטוח בטופס 101</v>
      </c>
      <c r="G11" s="427"/>
      <c r="H11" s="936"/>
      <c r="I11" s="192"/>
      <c r="J11" s="1260" t="s">
        <v>766</v>
      </c>
      <c r="K11" s="938" t="str">
        <f>K25</f>
        <v>123456789B_421.xlsx</v>
      </c>
      <c r="L11" s="101"/>
      <c r="M11" s="101"/>
      <c r="N11" s="192"/>
      <c r="O11" s="927">
        <v>8</v>
      </c>
      <c r="P11" s="1241" t="str">
        <f t="shared" si="0"/>
        <v>שנת 2019</v>
      </c>
      <c r="Q11" s="927" t="s">
        <v>854</v>
      </c>
      <c r="R11" s="927" t="str">
        <f>CONCATENATE("שנת ",P2-1)</f>
        <v>שנת 2020</v>
      </c>
      <c r="S11" s="939" t="s">
        <v>839</v>
      </c>
      <c r="T11" s="927">
        <v>1</v>
      </c>
      <c r="U11" s="927" t="s">
        <v>903</v>
      </c>
      <c r="V11" s="927" t="s">
        <v>903</v>
      </c>
    </row>
    <row r="12" spans="1:22">
      <c r="A12" s="192"/>
      <c r="B12" s="970" t="s">
        <v>1461</v>
      </c>
      <c r="C12" s="971" t="s">
        <v>2834</v>
      </c>
      <c r="D12" s="428" t="str">
        <f>IF(SUM('B3.1A'!C7:F21)&lt;&gt;0,mess2,mess1)</f>
        <v>ריק</v>
      </c>
      <c r="E12" s="1593" t="s">
        <v>2896</v>
      </c>
      <c r="F12" s="1594" t="s">
        <v>2898</v>
      </c>
      <c r="G12" s="1467" t="str">
        <f>IF(SUM('107'!C8:C47)&lt;&gt;0,mess2,mess1)</f>
        <v>ריק</v>
      </c>
      <c r="H12" s="927" t="s">
        <v>4882</v>
      </c>
      <c r="I12" s="192"/>
      <c r="J12" s="1260" t="s">
        <v>5016</v>
      </c>
      <c r="K12" s="940"/>
      <c r="L12" s="192"/>
      <c r="M12" s="192"/>
      <c r="N12" s="192"/>
      <c r="O12" s="937">
        <v>9</v>
      </c>
      <c r="P12" s="1515" t="str">
        <f>Q26</f>
        <v>31.12.2019</v>
      </c>
      <c r="Q12" s="927" t="s">
        <v>4551</v>
      </c>
      <c r="S12" s="939" t="s">
        <v>840</v>
      </c>
      <c r="T12" s="927">
        <v>2</v>
      </c>
      <c r="U12" s="927" t="s">
        <v>904</v>
      </c>
      <c r="V12" s="927" t="s">
        <v>849</v>
      </c>
    </row>
    <row r="13" spans="1:22">
      <c r="A13" s="192"/>
      <c r="B13" s="970" t="s">
        <v>1462</v>
      </c>
      <c r="C13" s="971" t="s">
        <v>1464</v>
      </c>
      <c r="D13" s="428" t="str">
        <f>IF(SUM('B3.1B'!C6:E20)&lt;&gt;0,mess2,mess1)</f>
        <v>ריק</v>
      </c>
      <c r="E13" s="1575" t="s">
        <v>2774</v>
      </c>
      <c r="F13" s="1575" t="s">
        <v>2773</v>
      </c>
      <c r="G13" s="1467" t="str">
        <f>IF(SUM(SmBal!C7:G10)&lt;&gt;0,mess2,mess1)</f>
        <v>ריק</v>
      </c>
      <c r="H13" s="1531" t="s">
        <v>4580</v>
      </c>
      <c r="I13" s="192"/>
      <c r="J13" s="1260" t="s">
        <v>765</v>
      </c>
      <c r="K13" s="101"/>
      <c r="M13" s="1254"/>
      <c r="N13" s="192"/>
      <c r="P13" s="927" t="s">
        <v>3875</v>
      </c>
      <c r="Q13" s="927" t="s">
        <v>2680</v>
      </c>
      <c r="S13" s="939" t="s">
        <v>841</v>
      </c>
      <c r="T13" s="927">
        <v>3</v>
      </c>
      <c r="U13" s="927" t="s">
        <v>850</v>
      </c>
      <c r="V13" s="927" t="s">
        <v>1517</v>
      </c>
    </row>
    <row r="14" spans="1:22" ht="34.4" customHeight="1">
      <c r="A14" s="192"/>
      <c r="B14" s="970" t="s">
        <v>1463</v>
      </c>
      <c r="C14" s="971" t="s">
        <v>1465</v>
      </c>
      <c r="D14" s="428" t="str">
        <f>IF(SUM('B3.1C'!C6:F20)&lt;&gt;0,mess2,mess1)</f>
        <v>ריק</v>
      </c>
      <c r="E14" s="1203" t="s">
        <v>2751</v>
      </c>
      <c r="F14" s="1203" t="s">
        <v>4574</v>
      </c>
      <c r="G14" s="1467"/>
      <c r="H14" s="1426" t="s">
        <v>2927</v>
      </c>
      <c r="I14" s="192"/>
      <c r="J14" s="1946" t="s">
        <v>764</v>
      </c>
      <c r="K14" s="1946"/>
      <c r="M14" s="1234">
        <v>520024985</v>
      </c>
      <c r="N14" s="1256" t="str">
        <f>J97</f>
        <v>קרן הביטוח והפנסיה של פועלי בנין ועבודות ציבוריות אגודה שיתופית בע"מ</v>
      </c>
      <c r="Q14" s="927" t="s">
        <v>2681</v>
      </c>
      <c r="S14" s="939" t="s">
        <v>371</v>
      </c>
      <c r="T14" s="927">
        <v>4</v>
      </c>
      <c r="U14" s="927" t="s">
        <v>851</v>
      </c>
      <c r="V14" s="927" t="s">
        <v>852</v>
      </c>
    </row>
    <row r="15" spans="1:22" ht="17.149999999999999" customHeight="1">
      <c r="B15" s="970" t="s">
        <v>2833</v>
      </c>
      <c r="C15" s="971" t="s">
        <v>2835</v>
      </c>
      <c r="D15" s="430"/>
      <c r="E15" s="1747" t="s">
        <v>3805</v>
      </c>
      <c r="F15" s="1748" t="str">
        <f>'T16'!C2</f>
        <v>טופס 16 דיווח אודות חובות בעייתיים - משתתף</v>
      </c>
      <c r="G15" s="1467" t="str">
        <f>IF(SUM('T16'!E5:E9,'T16'!I8:I9,'T16'!M13)&lt;&gt;0,mess2,mess1)</f>
        <v>ריק</v>
      </c>
      <c r="H15" s="936"/>
      <c r="I15" s="1352" t="s">
        <v>2671</v>
      </c>
      <c r="J15" s="1143" t="s">
        <v>2669</v>
      </c>
      <c r="K15" s="192"/>
      <c r="L15" s="192"/>
      <c r="M15" s="1234">
        <v>520027251</v>
      </c>
      <c r="N15" s="1256" t="str">
        <f>J127</f>
        <v>לעתיד חברה לניהול קרנות פנסיה בע"מ</v>
      </c>
      <c r="P15" s="927" t="str">
        <f ca="1">MID(P16,O17,O18-O17)</f>
        <v>Managment Fund_v6.xlsx</v>
      </c>
    </row>
    <row r="16" spans="1:22" ht="30.65" customHeight="1">
      <c r="A16" s="192"/>
      <c r="B16" s="965" t="s">
        <v>941</v>
      </c>
      <c r="C16" s="966" t="s">
        <v>1519</v>
      </c>
      <c r="D16" s="427"/>
      <c r="E16" s="1747" t="s">
        <v>4914</v>
      </c>
      <c r="F16" s="1748" t="str">
        <f>'T18'!B2</f>
        <v>טופס 18 - חשיפה לקבוצות תאגידים - משתתף</v>
      </c>
      <c r="G16" s="1467" t="str">
        <f>IF(SUM('T18'!C6:C7,'T18'!E12:E376)&lt;&gt;0,mess2,mess1)</f>
        <v>ריק</v>
      </c>
      <c r="H16" s="936"/>
      <c r="I16" s="1352" t="s">
        <v>2672</v>
      </c>
      <c r="K16" s="192"/>
      <c r="L16" s="192"/>
      <c r="M16" s="1234">
        <v>520028390</v>
      </c>
      <c r="N16" s="1256">
        <f>J129</f>
        <v>0</v>
      </c>
      <c r="P16" s="941" t="str">
        <f ca="1">CELL("filename",J15)</f>
        <v>\\netapp\workgrps\Sh_Insurance\AA_Pension &amp; Gemel Reports\Reports\[Managment Fund_v6.xlsx]Information</v>
      </c>
      <c r="V16" s="927" t="s">
        <v>2785</v>
      </c>
    </row>
    <row r="17" spans="1:26" ht="32.15" customHeight="1">
      <c r="A17" s="192"/>
      <c r="B17" s="965" t="s">
        <v>951</v>
      </c>
      <c r="C17" s="966" t="s">
        <v>950</v>
      </c>
      <c r="D17" s="427"/>
      <c r="H17" s="936"/>
      <c r="I17" s="1352" t="s">
        <v>2670</v>
      </c>
      <c r="J17" s="195"/>
      <c r="K17" s="195"/>
      <c r="L17" s="195"/>
      <c r="M17" s="195" t="str">
        <f>K29</f>
        <v>513789842</v>
      </c>
      <c r="N17" s="192"/>
      <c r="O17" s="927">
        <f ca="1">FIND("[",$P$16)+1</f>
        <v>68</v>
      </c>
      <c r="R17" s="927" t="str">
        <f>K11</f>
        <v>123456789B_421.xlsx</v>
      </c>
      <c r="S17" s="927" t="s">
        <v>2794</v>
      </c>
      <c r="T17" s="927" t="s">
        <v>2793</v>
      </c>
      <c r="V17" s="927" t="s">
        <v>2786</v>
      </c>
    </row>
    <row r="18" spans="1:26">
      <c r="A18" s="192"/>
      <c r="B18" s="965" t="s">
        <v>951</v>
      </c>
      <c r="C18" s="966" t="s">
        <v>1521</v>
      </c>
      <c r="H18" s="192"/>
      <c r="I18" s="192"/>
      <c r="J18" s="192"/>
      <c r="K18" s="192"/>
      <c r="L18" s="192"/>
      <c r="M18" s="192"/>
      <c r="N18" s="192"/>
      <c r="O18" s="927">
        <f ca="1">FIND("]",$P$16)</f>
        <v>90</v>
      </c>
      <c r="P18" s="927">
        <v>1</v>
      </c>
      <c r="Q18" s="1237" t="str">
        <f>$P$1</f>
        <v>31.12.2021</v>
      </c>
      <c r="R18" s="1237" t="str">
        <f>$P$1</f>
        <v>31.12.2021</v>
      </c>
      <c r="S18" s="1237" t="str">
        <f>$P$1</f>
        <v>31.12.2021</v>
      </c>
      <c r="T18" s="927" t="s">
        <v>843</v>
      </c>
      <c r="V18" s="927" t="s">
        <v>908</v>
      </c>
    </row>
    <row r="19" spans="1:26">
      <c r="A19" s="192"/>
      <c r="B19" s="965" t="s">
        <v>971</v>
      </c>
      <c r="C19" s="966" t="s">
        <v>972</v>
      </c>
      <c r="E19" s="949" t="s">
        <v>1199</v>
      </c>
      <c r="F19" s="950" t="s">
        <v>1198</v>
      </c>
      <c r="G19" s="936"/>
      <c r="H19" s="936"/>
      <c r="I19" s="936"/>
      <c r="J19" s="192"/>
      <c r="K19" s="192"/>
      <c r="L19" s="192"/>
      <c r="M19" s="192"/>
      <c r="N19" s="1233">
        <f>VALUE(J25)</f>
        <v>123456789</v>
      </c>
      <c r="O19" s="927" t="e">
        <f>VLOOKUP(N19,N20:O23,2,0)</f>
        <v>#N/A</v>
      </c>
      <c r="P19" s="927">
        <v>2</v>
      </c>
      <c r="Q19" s="933" t="str">
        <f>IF($P$3=4,"לא לדווח",CONCATENATE(LEFT(Q18,6),$P$2-1))</f>
        <v>לא לדווח</v>
      </c>
      <c r="R19" s="933" t="str">
        <f>IF($P$3=4,"לא לדווח",CONCATENATE(LEFT(R18,6),$P$2-1))</f>
        <v>לא לדווח</v>
      </c>
      <c r="S19" s="933" t="str">
        <f>IF($P$3=4,"לא לדווח",CONCATENATE(LEFT(S18,6),$P$2-1))</f>
        <v>לא לדווח</v>
      </c>
      <c r="T19" s="927" t="s">
        <v>844</v>
      </c>
      <c r="V19" s="927" t="s">
        <v>2787</v>
      </c>
    </row>
    <row r="20" spans="1:26">
      <c r="A20" s="192"/>
      <c r="B20" s="965" t="s">
        <v>1005</v>
      </c>
      <c r="C20" s="966" t="s">
        <v>1526</v>
      </c>
      <c r="E20" s="949" t="s">
        <v>1221</v>
      </c>
      <c r="F20" s="950" t="s">
        <v>1550</v>
      </c>
      <c r="G20" s="943"/>
      <c r="H20" s="936"/>
      <c r="I20" s="936"/>
      <c r="J20" s="196" t="str">
        <f ca="1">CELL("filename",L28)</f>
        <v>\\netapp\workgrps\Sh_Insurance\AA_Pension &amp; Gemel Reports\Reports\[Managment Fund_v6.xlsx]Information</v>
      </c>
      <c r="K20" s="195"/>
      <c r="L20" s="195"/>
      <c r="M20" s="195"/>
      <c r="N20" s="1234">
        <v>520024985</v>
      </c>
      <c r="O20" s="1231">
        <v>2</v>
      </c>
      <c r="P20" s="927">
        <v>3</v>
      </c>
      <c r="Q20" s="933" t="str">
        <f>CONCATENATE("31.12.",RIGHT($P$2,4)-1)</f>
        <v>31.12.2020</v>
      </c>
      <c r="R20" s="933" t="str">
        <f>IF(quarter=1,CONCATENATE("31.08.",RIGHT($P$2,4)),CONCATENATE("31.08.",RIGHT($P$2,4)-1))</f>
        <v>31.08.2020</v>
      </c>
      <c r="S20" s="933" t="str">
        <f>IF(quarter=1,CONCATENATE("31.08.",RIGHT($P$2,4)),CONCATENATE("31.08.",RIGHT($P$2,4)-1))</f>
        <v>31.08.2020</v>
      </c>
      <c r="T20" s="927" t="s">
        <v>845</v>
      </c>
      <c r="V20" s="927" t="s">
        <v>2788</v>
      </c>
    </row>
    <row r="21" spans="1:26" ht="31">
      <c r="A21" s="192"/>
      <c r="B21" s="965" t="s">
        <v>1005</v>
      </c>
      <c r="C21" s="966" t="s">
        <v>1527</v>
      </c>
      <c r="E21" s="949" t="s">
        <v>1221</v>
      </c>
      <c r="F21" s="950" t="s">
        <v>1220</v>
      </c>
      <c r="G21" s="427"/>
      <c r="H21" s="936"/>
      <c r="I21" s="936"/>
      <c r="J21" s="394">
        <f ca="1">LEN(J20)-25</f>
        <v>76</v>
      </c>
      <c r="K21" s="195"/>
      <c r="L21" s="195"/>
      <c r="M21" s="924" t="str">
        <f>CONCATENATE($N$25)</f>
        <v>הנתונים באלפי ש"ח</v>
      </c>
      <c r="N21" s="1234">
        <v>520027251</v>
      </c>
      <c r="O21" s="1231">
        <v>3</v>
      </c>
      <c r="P21" s="927">
        <v>4</v>
      </c>
      <c r="Q21" s="934" t="str">
        <f>IF(quarter=1,CONCATENATE($V$16,"-",$V$18," ",year),IF(quarter=2,CONCATENATE($V$16,"-",$V$21," ",year),IF(quarter=3,CONCATENATE($V$16,"-",$V$24," ",year),CONCATENATE($S$17,year))))</f>
        <v>שנת 2021</v>
      </c>
      <c r="R21" s="1238" t="str">
        <f>IF(quarter=1,CONCATENATE($V$24," ",year,"-",$V$26," ",year),IF(quarter=2,CONCATENATE($V$24," ",year-1,"-",$V$17," ",year),IF(quarter=3,CONCATENATE($V$24," ",year-1,"-",$V$20," ",year),CONCATENATE($V$24," ",year-1,"-",$V$23," ",year))))</f>
        <v>ספטמבר 2020-אוגוסט 2021</v>
      </c>
      <c r="S21" s="934" t="str">
        <f>IF(quarter=1,CONCATENATE($V$24," ",year,"-",$V$27," ",year),IF(quarter=2,CONCATENATE($V$24," ",year-1,"-",$V$18," ",year),IF(quarter=3,CONCATENATE($V$24," ",year-1,"-",$V$21," ",year),CONCATENATE($V$24," ",year-1,"-",$V$23," ",year))))</f>
        <v>ספטמבר 2020-אוגוסט 2021</v>
      </c>
      <c r="T21" s="927" t="s">
        <v>842</v>
      </c>
      <c r="V21" s="927" t="s">
        <v>909</v>
      </c>
    </row>
    <row r="22" spans="1:26" ht="31">
      <c r="A22" s="192"/>
      <c r="B22" s="965" t="s">
        <v>1005</v>
      </c>
      <c r="C22" s="952" t="s">
        <v>1528</v>
      </c>
      <c r="E22" s="1281" t="s">
        <v>1221</v>
      </c>
      <c r="F22" s="1282" t="s">
        <v>1226</v>
      </c>
      <c r="G22" s="427"/>
      <c r="H22" s="936"/>
      <c r="I22" s="936"/>
      <c r="J22" s="395" t="str">
        <f ca="1">LEFT(J20,J21)</f>
        <v>\\netapp\workgrps\Sh_Insurance\AA_Pension &amp; Gemel Reports\Reports\[Managment</v>
      </c>
      <c r="K22" s="195" t="s">
        <v>657</v>
      </c>
      <c r="L22" s="195"/>
      <c r="M22" s="195"/>
      <c r="N22" s="1234">
        <v>520028390</v>
      </c>
      <c r="O22" s="1231">
        <v>3</v>
      </c>
      <c r="P22" s="927">
        <v>5</v>
      </c>
      <c r="Q22" s="934" t="str">
        <f>IF(quarter=1,CONCATENATE($V$16,"-",$V$18," ",year-1),IF(quarter=2,CONCATENATE($V$16,"-",$V$21," ",year-1),IF(quarter=3,CONCATENATE($V$16,"-",$V$24," ",year-1),CONCATENATE($S$17,year-1))))</f>
        <v>שנת 2020</v>
      </c>
      <c r="R22" s="1238" t="str">
        <f>IF(quarter=1,CONCATENATE($V$24," ",year-1,"-",$V$26," ",year-1),IF(quarter=2,CONCATENATE($V$24," ",year-2,"-",$V$17," ",year-1),IF(quarter=3,CONCATENATE($V$24," ",year-2,"-",$V$20," ",year-1),CONCATENATE($V$24," ",year-2,"-",$V$23," ",year-1))))</f>
        <v>ספטמבר 2019-אוגוסט 2020</v>
      </c>
      <c r="S22" s="934" t="str">
        <f>IF(quarter=1,CONCATENATE($V$24," ",year-1,"-",$V$27," ",year-1),IF(quarter=2,CONCATENATE($V$24," ",year-2,"-",$V$18," ",year-1),IF(quarter=3,CONCATENATE($V$24," ",year-2,"-",$V$21," ",year-1),CONCATENATE($V$24," ",year-2,"-",$V$23," ",year-1))))</f>
        <v>ספטמבר 2019-אוגוסט 2020</v>
      </c>
      <c r="T22" s="927" t="s">
        <v>846</v>
      </c>
      <c r="V22" s="927" t="s">
        <v>2789</v>
      </c>
    </row>
    <row r="23" spans="1:26">
      <c r="A23" s="192"/>
      <c r="B23" s="965" t="s">
        <v>1005</v>
      </c>
      <c r="C23" s="960" t="s">
        <v>1532</v>
      </c>
      <c r="E23" s="1281" t="s">
        <v>1221</v>
      </c>
      <c r="F23" s="1283" t="s">
        <v>1227</v>
      </c>
      <c r="G23" s="427"/>
      <c r="H23" s="936"/>
      <c r="I23" s="936"/>
      <c r="J23" s="396" t="str">
        <f ca="1">CONCATENATE(J22,J25,J26)</f>
        <v>\\netapp\workgrps\Sh_Insurance\AA_Pension &amp; Gemel Reports\Reports\[Managment123456789_421</v>
      </c>
      <c r="K23" s="195" t="s">
        <v>274</v>
      </c>
      <c r="L23" s="195"/>
      <c r="M23" s="197">
        <f>INDEX(table_co,$J$27,3)</f>
        <v>1</v>
      </c>
      <c r="O23" s="1231"/>
      <c r="P23" s="1231">
        <v>6</v>
      </c>
      <c r="Q23" s="934" t="str">
        <f>IF(quarter=1,$T$17,IF(quarter=2,CONCATENATE($V$19,"-",$V$21," ",year),IF(quarter=3,CONCATENATE($V$22,"-",$V$24," ",year),$T$17)))</f>
        <v>לא לדווח</v>
      </c>
      <c r="R23" s="1238" t="str">
        <f>IF(quarter=1,$T$17,IF(quarter=2,CONCATENATE($V$27,"-",$V$17," ",year),IF(quarter=3,CONCATENATE($V$18,"-",$V$20," ",year),$T$17)))</f>
        <v>לא לדווח</v>
      </c>
      <c r="S23" s="1238" t="str">
        <f>IF(quarter=1,$T$17,IF(quarter=2,CONCATENATE($V$16," ",year-1,"-",$V$18," ",year),IF(quarter=3,CONCATENATE($V$18,"-",$V$21," ",year),$T$17)))</f>
        <v>לא לדווח</v>
      </c>
      <c r="T23" s="927" t="s">
        <v>847</v>
      </c>
      <c r="V23" s="927" t="s">
        <v>2790</v>
      </c>
    </row>
    <row r="24" spans="1:26" ht="31">
      <c r="A24" s="192"/>
      <c r="B24" s="955" t="s">
        <v>1005</v>
      </c>
      <c r="C24" s="952" t="s">
        <v>1000</v>
      </c>
      <c r="E24" s="949" t="s">
        <v>1221</v>
      </c>
      <c r="F24" s="950" t="s">
        <v>1239</v>
      </c>
      <c r="G24" s="427"/>
      <c r="H24" s="192"/>
      <c r="I24" s="192"/>
      <c r="J24" s="397" t="str">
        <f>INDEX(list_managers,$J$27,1)</f>
        <v>_____חברה מנהלת</v>
      </c>
      <c r="K24" s="20" t="s">
        <v>263</v>
      </c>
      <c r="L24" s="195"/>
      <c r="M24" s="198" t="str">
        <f>J24</f>
        <v>_____חברה מנהלת</v>
      </c>
      <c r="N24" s="1229" t="str">
        <f>CONCATENATE($N$25,date)</f>
        <v>הנתונים באלפי ש"ח21</v>
      </c>
      <c r="O24" s="1231"/>
      <c r="P24" s="1231">
        <v>7</v>
      </c>
      <c r="Q24" s="934" t="str">
        <f>IF(quarter=1,$T$17,IF(quarter=2,CONCATENATE($V$19,"-",$V$21," ",year-1),IF(quarter=3,CONCATENATE($V$22,"-",$V$24," ",year-1),$T$17)))</f>
        <v>לא לדווח</v>
      </c>
      <c r="R24" s="1238" t="str">
        <f>IF(quarter=1,$T$17,IF(quarter=2,CONCATENATE($V$27,"-",$V$17," ",year-1),IF(quarter=3,CONCATENATE($V$18,"-",$V$20," ",year-1),$T$17)))</f>
        <v>לא לדווח</v>
      </c>
      <c r="S24" s="1238" t="str">
        <f>IF(quarter=1,$T$17,IF(quarter=2,CONCATENATE($V$16," ",year-2,"-",$V$18," ",year-1),IF(quarter=3,CONCATENATE($V$18,"-",$V$21," ",year-1),$T$17)))</f>
        <v>לא לדווח</v>
      </c>
      <c r="T24" s="927" t="s">
        <v>848</v>
      </c>
      <c r="V24" s="927" t="s">
        <v>910</v>
      </c>
    </row>
    <row r="25" spans="1:26" ht="31">
      <c r="A25" s="192"/>
      <c r="B25" s="955" t="s">
        <v>1004</v>
      </c>
      <c r="C25" s="960" t="s">
        <v>1023</v>
      </c>
      <c r="D25" s="427"/>
      <c r="E25" s="949" t="s">
        <v>1221</v>
      </c>
      <c r="F25" s="950" t="s">
        <v>1240</v>
      </c>
      <c r="G25" s="427"/>
      <c r="H25" s="192"/>
      <c r="I25" s="192"/>
      <c r="J25" s="1176">
        <f>INDEX(J28:K150,$J$27,2)</f>
        <v>123456789</v>
      </c>
      <c r="K25" s="392" t="str">
        <f>CONCATENATE(J25,"B",$J$26,".xlsx")</f>
        <v>123456789B_421.xlsx</v>
      </c>
      <c r="L25" s="195" t="s">
        <v>275</v>
      </c>
      <c r="M25" s="199" t="str">
        <f>RIGHT(K4,2)</f>
        <v>21</v>
      </c>
      <c r="N25" s="1230" t="s">
        <v>763</v>
      </c>
      <c r="O25" s="1231"/>
      <c r="P25" s="1231">
        <v>8</v>
      </c>
      <c r="Q25" s="1227" t="str">
        <f>IF(quarter=1,CONCATENATE($S$17,year-1),IF(quarter=2,CONCATENATE($S$17,year-1),IF(quarter=3,CONCATENATE($S$17,year-1),CONCATENATE($S$17,year-2))))</f>
        <v>שנת 2019</v>
      </c>
      <c r="R25" s="1238" t="str">
        <f>IF(quarter=1,CONCATENATE($V$24," ",year-1,"-",$V$23," ",year),IF(quarter=2,CONCATENATE($V$24," ",year-2,"-",$V$23," ",year-1),IF(quarter=3,CONCATENATE($V$24," ",year-2,"-",$V$23," ",year-1),CONCATENATE($V$24," ",year-3,"-",$V$23," ",year-2))))</f>
        <v>ספטמבר 2018-אוגוסט 2019</v>
      </c>
      <c r="S25" s="1238" t="str">
        <f>IF(quarter=1,CONCATENATE($V$24," ",year-1,"-",$V$23," ",year),IF(quarter=2,CONCATENATE($V$24," ",year-2,"-",$V$23," ",year-1),IF(quarter=3,CONCATENATE($V$24," ",year-2,"-",$V$23," ",year-1),CONCATENATE($V$24," ",year-3,"-",$V$23," ",year-2))))</f>
        <v>ספטמבר 2018-אוגוסט 2019</v>
      </c>
      <c r="T25" s="927" t="s">
        <v>854</v>
      </c>
      <c r="V25" s="927" t="s">
        <v>2791</v>
      </c>
    </row>
    <row r="26" spans="1:26">
      <c r="A26" s="192"/>
      <c r="B26" s="955" t="s">
        <v>1004</v>
      </c>
      <c r="C26" s="960" t="s">
        <v>1024</v>
      </c>
      <c r="D26" s="427"/>
      <c r="E26" s="949" t="s">
        <v>1221</v>
      </c>
      <c r="F26" s="950" t="s">
        <v>1247</v>
      </c>
      <c r="G26" s="427"/>
      <c r="H26" s="192"/>
      <c r="I26" s="192"/>
      <c r="J26" s="392" t="str">
        <f>IF(AND(M26=1,OR(M27=4,M27=3)),CONCATENATE("_",M26,RIGHT(M25,2)+1),CONCATENATE("_",M26,RIGHT(M25,2)))</f>
        <v>_421</v>
      </c>
      <c r="K26" s="195" t="str">
        <f>CONCATENATE(K28,$J$26,".xls")</f>
        <v>123456789_421.xls</v>
      </c>
      <c r="L26" s="195"/>
      <c r="M26" s="392">
        <f>VLOOKUP($K$4,$M$28:$O$60,3,0)</f>
        <v>4</v>
      </c>
      <c r="N26" s="195" t="str">
        <f>MID(M25,4,2)</f>
        <v/>
      </c>
      <c r="O26" s="942"/>
      <c r="P26" s="927">
        <v>9</v>
      </c>
      <c r="Q26" s="933" t="str">
        <f>CONCATENATE("31.12.",RIGHT($P$2,4)-2)</f>
        <v>31.12.2019</v>
      </c>
      <c r="R26" s="1634">
        <v>2019</v>
      </c>
      <c r="V26" s="927" t="s">
        <v>2792</v>
      </c>
    </row>
    <row r="27" spans="1:26">
      <c r="A27" s="192"/>
      <c r="B27" s="955" t="s">
        <v>1004</v>
      </c>
      <c r="C27" s="960" t="s">
        <v>2866</v>
      </c>
      <c r="D27" s="428"/>
      <c r="E27" s="949" t="s">
        <v>1221</v>
      </c>
      <c r="F27" s="952" t="s">
        <v>1250</v>
      </c>
      <c r="G27" s="427"/>
      <c r="H27" s="192"/>
      <c r="I27" s="192"/>
      <c r="J27" s="321">
        <v>1</v>
      </c>
      <c r="K27" s="392"/>
      <c r="L27" s="195"/>
      <c r="M27" s="1235">
        <f>IF(N19=N20,2,IF(OR(N19=N21,N19=N22),3,1))+1</f>
        <v>2</v>
      </c>
      <c r="N27" s="195" t="str">
        <f>RIGHT($M$25,4)</f>
        <v>21</v>
      </c>
      <c r="P27" s="942"/>
      <c r="Q27" s="1228" t="s">
        <v>2782</v>
      </c>
      <c r="R27" s="1228" t="s">
        <v>2783</v>
      </c>
      <c r="S27" s="1228" t="s">
        <v>2784</v>
      </c>
      <c r="T27" s="939" t="s">
        <v>279</v>
      </c>
      <c r="V27" s="927" t="s">
        <v>911</v>
      </c>
    </row>
    <row r="28" spans="1:26" ht="31">
      <c r="A28" s="192"/>
      <c r="B28" s="955" t="s">
        <v>1004</v>
      </c>
      <c r="C28" s="960" t="s">
        <v>2867</v>
      </c>
      <c r="D28" s="428"/>
      <c r="E28" s="1359" t="s">
        <v>1221</v>
      </c>
      <c r="F28" s="952" t="s">
        <v>2845</v>
      </c>
      <c r="G28" s="427"/>
      <c r="H28" s="192"/>
      <c r="I28" s="192"/>
      <c r="J28" s="101" t="s">
        <v>761</v>
      </c>
      <c r="K28" s="932">
        <v>123456789</v>
      </c>
      <c r="L28" s="944">
        <v>1</v>
      </c>
      <c r="M28" s="1236" t="str">
        <f>VLOOKUP(L28,$P$28:S$55,$M$27,0)</f>
        <v>31.03.2019</v>
      </c>
      <c r="N28" s="925">
        <v>1</v>
      </c>
      <c r="O28" s="927">
        <v>1</v>
      </c>
      <c r="P28" s="1239">
        <f>L28</f>
        <v>1</v>
      </c>
      <c r="Q28" s="1632" t="str">
        <f>CONCATENATE($X$28,$R$26)</f>
        <v>31.03.2019</v>
      </c>
      <c r="R28" s="1632" t="str">
        <f>CONCATENATE($Y$28,$R$26)</f>
        <v>30.11.2019</v>
      </c>
      <c r="S28" s="1632" t="str">
        <f>CONCATENATE($Z$28,$R$26)</f>
        <v>31.12.2019</v>
      </c>
      <c r="T28" s="1225">
        <v>1</v>
      </c>
      <c r="V28" s="927" t="s">
        <v>276</v>
      </c>
      <c r="W28" s="927" t="s">
        <v>277</v>
      </c>
      <c r="X28" s="927" t="s">
        <v>4937</v>
      </c>
      <c r="Y28" s="927" t="s">
        <v>4941</v>
      </c>
      <c r="Z28" s="927" t="s">
        <v>4940</v>
      </c>
    </row>
    <row r="29" spans="1:26">
      <c r="A29" s="192"/>
      <c r="B29" s="955" t="s">
        <v>1027</v>
      </c>
      <c r="C29" s="960" t="s">
        <v>1026</v>
      </c>
      <c r="D29" s="428"/>
      <c r="E29" s="1359" t="s">
        <v>1221</v>
      </c>
      <c r="F29" s="952" t="s">
        <v>2846</v>
      </c>
      <c r="G29" s="427"/>
      <c r="H29" s="192"/>
      <c r="I29" s="946">
        <v>1</v>
      </c>
      <c r="J29" s="1606" t="s">
        <v>5915</v>
      </c>
      <c r="K29" s="933" t="s">
        <v>677</v>
      </c>
      <c r="L29" s="947">
        <v>2</v>
      </c>
      <c r="M29" s="1236" t="str">
        <f>VLOOKUP(L29,$P$28:S$55,$M$27,0)</f>
        <v>30.06.2019</v>
      </c>
      <c r="N29" s="925">
        <v>1</v>
      </c>
      <c r="O29" s="927">
        <v>2</v>
      </c>
      <c r="P29" s="1240">
        <f>P28+1</f>
        <v>2</v>
      </c>
      <c r="Q29" s="1632" t="str">
        <f>CONCATENATE($X$29,$R$26)</f>
        <v>30.06.2019</v>
      </c>
      <c r="R29" s="1632" t="str">
        <f>CONCATENATE($Y$29,$R$26)</f>
        <v>28.02.2019</v>
      </c>
      <c r="S29" s="1632" t="str">
        <f>CONCATENATE($Z$29,$R$26)</f>
        <v>31.03.2019</v>
      </c>
      <c r="T29" s="1225">
        <v>2</v>
      </c>
      <c r="V29" s="927" t="s">
        <v>278</v>
      </c>
      <c r="W29" s="927" t="s">
        <v>279</v>
      </c>
      <c r="X29" s="927" t="s">
        <v>4938</v>
      </c>
      <c r="Y29" s="927" t="s">
        <v>4942</v>
      </c>
      <c r="Z29" s="927" t="s">
        <v>4937</v>
      </c>
    </row>
    <row r="30" spans="1:26">
      <c r="A30" s="192"/>
      <c r="B30" s="955" t="s">
        <v>1066</v>
      </c>
      <c r="C30" s="960" t="s">
        <v>1038</v>
      </c>
      <c r="D30" s="427"/>
      <c r="E30" s="949" t="s">
        <v>1256</v>
      </c>
      <c r="F30" s="953" t="s">
        <v>1558</v>
      </c>
      <c r="G30" s="427"/>
      <c r="H30" s="192"/>
      <c r="I30" s="946">
        <v>2</v>
      </c>
      <c r="J30" s="1607" t="s">
        <v>2750</v>
      </c>
      <c r="K30" s="933" t="s">
        <v>2749</v>
      </c>
      <c r="L30" s="944">
        <v>3</v>
      </c>
      <c r="M30" s="1236" t="str">
        <f>VLOOKUP(L30,$P$28:S$55,$M$27,0)</f>
        <v>30.09.2019</v>
      </c>
      <c r="N30" s="925">
        <v>1</v>
      </c>
      <c r="O30" s="927">
        <v>3</v>
      </c>
      <c r="P30" s="1240">
        <f t="shared" ref="P30:P55" si="1">P29+1</f>
        <v>3</v>
      </c>
      <c r="Q30" s="1632" t="str">
        <f>CONCATENATE($X$30,$R$26)</f>
        <v>30.09.2019</v>
      </c>
      <c r="R30" s="1632" t="str">
        <f>CONCATENATE($Y$30,$R$26)</f>
        <v>31.05.2019</v>
      </c>
      <c r="S30" s="1632" t="str">
        <f>CONCATENATE($Z$30,$R$26)</f>
        <v>30.06.2019</v>
      </c>
      <c r="T30" s="1225">
        <v>3</v>
      </c>
      <c r="V30" s="927" t="s">
        <v>267</v>
      </c>
      <c r="W30" s="927" t="s">
        <v>280</v>
      </c>
      <c r="X30" s="927" t="s">
        <v>4939</v>
      </c>
      <c r="Y30" s="927" t="s">
        <v>4943</v>
      </c>
      <c r="Z30" s="927" t="s">
        <v>4938</v>
      </c>
    </row>
    <row r="31" spans="1:26">
      <c r="A31" s="192"/>
      <c r="B31" s="955" t="s">
        <v>1066</v>
      </c>
      <c r="C31" s="960" t="s">
        <v>1065</v>
      </c>
      <c r="D31" s="427"/>
      <c r="E31" s="949" t="s">
        <v>1256</v>
      </c>
      <c r="F31" s="954" t="s">
        <v>1559</v>
      </c>
      <c r="G31" s="427"/>
      <c r="H31" s="192"/>
      <c r="I31" s="946">
        <v>3</v>
      </c>
      <c r="J31" s="1608" t="s">
        <v>2780</v>
      </c>
      <c r="K31" s="933" t="s">
        <v>426</v>
      </c>
      <c r="L31" s="944">
        <v>4</v>
      </c>
      <c r="M31" s="1236" t="str">
        <f>VLOOKUP(L31,$P$28:S$55,$M$27,0)</f>
        <v>31.12.2019</v>
      </c>
      <c r="N31" s="925">
        <v>1</v>
      </c>
      <c r="O31" s="927">
        <v>4</v>
      </c>
      <c r="P31" s="1240">
        <f t="shared" si="1"/>
        <v>4</v>
      </c>
      <c r="Q31" s="1633" t="str">
        <f>CONCATENATE($X$31,$R$26)</f>
        <v>31.12.2019</v>
      </c>
      <c r="R31" s="1633" t="str">
        <f>CONCATENATE($Y$31,$R$26)</f>
        <v>31.08.2019</v>
      </c>
      <c r="S31" s="1633" t="str">
        <f>CONCATENATE($Z$31,$R$26)</f>
        <v>31.08.2019</v>
      </c>
      <c r="T31" s="1225">
        <v>4</v>
      </c>
      <c r="V31" s="927" t="s">
        <v>281</v>
      </c>
      <c r="W31" s="927" t="s">
        <v>282</v>
      </c>
      <c r="X31" s="927" t="s">
        <v>4940</v>
      </c>
      <c r="Y31" s="927" t="s">
        <v>4944</v>
      </c>
      <c r="Z31" s="927" t="s">
        <v>4944</v>
      </c>
    </row>
    <row r="32" spans="1:26">
      <c r="A32" s="192"/>
      <c r="B32" s="955" t="s">
        <v>1067</v>
      </c>
      <c r="C32" s="960" t="s">
        <v>1068</v>
      </c>
      <c r="D32" s="427"/>
      <c r="E32" s="949" t="s">
        <v>1256</v>
      </c>
      <c r="F32" s="954" t="s">
        <v>1560</v>
      </c>
      <c r="G32" s="427"/>
      <c r="H32" s="192"/>
      <c r="I32" s="946">
        <v>4</v>
      </c>
      <c r="J32" s="1609" t="s">
        <v>5288</v>
      </c>
      <c r="K32" s="932" t="s">
        <v>3736</v>
      </c>
      <c r="L32" s="947">
        <v>5</v>
      </c>
      <c r="M32" s="1236" t="str">
        <f>VLOOKUP(L32,$P$28:S$55,$M$27,0)</f>
        <v>31.03.2020</v>
      </c>
      <c r="N32" s="925">
        <v>1</v>
      </c>
      <c r="O32" s="927">
        <v>1</v>
      </c>
      <c r="P32" s="1240">
        <f t="shared" si="1"/>
        <v>5</v>
      </c>
      <c r="Q32" s="1632" t="str">
        <f>CONCATENATE($X$28,$R$26+1)</f>
        <v>31.03.2020</v>
      </c>
      <c r="R32" s="1632" t="str">
        <f>CONCATENATE($Y$28,$R$26+1)</f>
        <v>30.11.2020</v>
      </c>
      <c r="S32" s="1632" t="str">
        <f>CONCATENATE($Z$28,$R$26+1)</f>
        <v>31.12.2020</v>
      </c>
      <c r="T32" s="1225">
        <v>1</v>
      </c>
    </row>
    <row r="33" spans="1:20">
      <c r="A33" s="192"/>
      <c r="B33" s="961" t="s">
        <v>1067</v>
      </c>
      <c r="C33" s="952" t="s">
        <v>1073</v>
      </c>
      <c r="E33" s="949" t="s">
        <v>1332</v>
      </c>
      <c r="F33" s="954" t="s">
        <v>1561</v>
      </c>
      <c r="G33" s="427"/>
      <c r="H33" s="192"/>
      <c r="I33" s="946">
        <v>5</v>
      </c>
      <c r="J33" s="1606" t="s">
        <v>650</v>
      </c>
      <c r="K33" s="933" t="s">
        <v>651</v>
      </c>
      <c r="L33" s="944">
        <v>6</v>
      </c>
      <c r="M33" s="1236" t="str">
        <f>VLOOKUP(L33,$P$28:S$55,$M$27,0)</f>
        <v>30.06.2020</v>
      </c>
      <c r="N33" s="925">
        <v>1</v>
      </c>
      <c r="O33" s="927">
        <v>2</v>
      </c>
      <c r="P33" s="1240">
        <f t="shared" si="1"/>
        <v>6</v>
      </c>
      <c r="Q33" s="1632" t="str">
        <f>CONCATENATE($X$29,$R$26+1)</f>
        <v>30.06.2020</v>
      </c>
      <c r="R33" s="1632" t="str">
        <f>CONCATENATE($Y$29,$R$26+1)</f>
        <v>28.02.2020</v>
      </c>
      <c r="S33" s="1632" t="str">
        <f>CONCATENATE($Z$29,$R$26+1)</f>
        <v>31.03.2020</v>
      </c>
      <c r="T33" s="1225">
        <v>2</v>
      </c>
    </row>
    <row r="34" spans="1:20">
      <c r="A34" s="192"/>
      <c r="B34" s="961" t="s">
        <v>1067</v>
      </c>
      <c r="C34" s="954" t="s">
        <v>1078</v>
      </c>
      <c r="E34" s="955" t="s">
        <v>1333</v>
      </c>
      <c r="F34" s="951" t="s">
        <v>1562</v>
      </c>
      <c r="G34" s="427"/>
      <c r="H34" s="192"/>
      <c r="I34" s="946">
        <v>6</v>
      </c>
      <c r="J34" s="1606" t="s">
        <v>656</v>
      </c>
      <c r="K34" s="933" t="s">
        <v>657</v>
      </c>
      <c r="L34" s="944">
        <v>7</v>
      </c>
      <c r="M34" s="1236" t="str">
        <f>VLOOKUP(L34,$P$28:S$55,$M$27,0)</f>
        <v>30.09.2020</v>
      </c>
      <c r="N34" s="925">
        <v>1</v>
      </c>
      <c r="O34" s="927">
        <v>3</v>
      </c>
      <c r="P34" s="1240">
        <f t="shared" si="1"/>
        <v>7</v>
      </c>
      <c r="Q34" s="1632" t="str">
        <f>CONCATENATE($X$30,$R$26+1)</f>
        <v>30.09.2020</v>
      </c>
      <c r="R34" s="1632" t="str">
        <f>CONCATENATE($Y$30,$R$26+1)</f>
        <v>31.05.2020</v>
      </c>
      <c r="S34" s="1632" t="str">
        <f>CONCATENATE($Z$30,$R$26+1)</f>
        <v>30.06.2020</v>
      </c>
      <c r="T34" s="1225">
        <v>3</v>
      </c>
    </row>
    <row r="35" spans="1:20">
      <c r="A35" s="194"/>
      <c r="B35" s="961" t="s">
        <v>1067</v>
      </c>
      <c r="C35" s="954" t="s">
        <v>1092</v>
      </c>
      <c r="E35" s="949" t="s">
        <v>1333</v>
      </c>
      <c r="F35" s="954" t="s">
        <v>1563</v>
      </c>
      <c r="G35" s="427"/>
      <c r="H35" s="192"/>
      <c r="I35" s="946">
        <v>7</v>
      </c>
      <c r="J35" s="1606" t="s">
        <v>2963</v>
      </c>
      <c r="K35" s="933" t="s">
        <v>523</v>
      </c>
      <c r="L35" s="947">
        <v>8</v>
      </c>
      <c r="M35" s="1236" t="str">
        <f>VLOOKUP(L35,$P$28:S$55,$M$27,0)</f>
        <v>31.12.2020</v>
      </c>
      <c r="N35" s="925">
        <v>1</v>
      </c>
      <c r="O35" s="927">
        <v>4</v>
      </c>
      <c r="P35" s="1240">
        <f t="shared" si="1"/>
        <v>8</v>
      </c>
      <c r="Q35" s="1633" t="str">
        <f>CONCATENATE($X$31,$R$26+1)</f>
        <v>31.12.2020</v>
      </c>
      <c r="R35" s="1633" t="str">
        <f>CONCATENATE($Y$31,$R$26+1)</f>
        <v>31.08.2020</v>
      </c>
      <c r="S35" s="1633" t="str">
        <f>CONCATENATE($Z$31,$R$26+1)</f>
        <v>31.08.2020</v>
      </c>
      <c r="T35" s="1225">
        <v>4</v>
      </c>
    </row>
    <row r="36" spans="1:20">
      <c r="A36" s="194"/>
      <c r="B36" s="961" t="s">
        <v>1067</v>
      </c>
      <c r="C36" s="954" t="s">
        <v>1097</v>
      </c>
      <c r="E36" s="949" t="s">
        <v>1333</v>
      </c>
      <c r="F36" s="956" t="s">
        <v>1564</v>
      </c>
      <c r="G36" s="427"/>
      <c r="H36" s="192"/>
      <c r="I36" s="946">
        <v>8</v>
      </c>
      <c r="J36" s="1606" t="s">
        <v>360</v>
      </c>
      <c r="K36" s="933" t="s">
        <v>361</v>
      </c>
      <c r="L36" s="944">
        <v>9</v>
      </c>
      <c r="M36" s="1236" t="str">
        <f>VLOOKUP(L36,$P$28:S$55,$M$27,0)</f>
        <v>31.03.2021</v>
      </c>
      <c r="N36" s="925">
        <v>1</v>
      </c>
      <c r="O36" s="927">
        <v>1</v>
      </c>
      <c r="P36" s="1240">
        <f t="shared" si="1"/>
        <v>9</v>
      </c>
      <c r="Q36" s="1632" t="str">
        <f>CONCATENATE($X$28,$R$26+2)</f>
        <v>31.03.2021</v>
      </c>
      <c r="R36" s="1632" t="str">
        <f>CONCATENATE($Y$28,$R$26+2)</f>
        <v>30.11.2021</v>
      </c>
      <c r="S36" s="1632" t="str">
        <f>CONCATENATE($Z$28,$R$26+2)</f>
        <v>31.12.2021</v>
      </c>
      <c r="T36" s="1225">
        <v>1</v>
      </c>
    </row>
    <row r="37" spans="1:20">
      <c r="A37" s="194"/>
      <c r="B37" s="961" t="s">
        <v>1067</v>
      </c>
      <c r="C37" s="954" t="s">
        <v>1541</v>
      </c>
      <c r="E37" s="949" t="s">
        <v>1333</v>
      </c>
      <c r="F37" s="956" t="s">
        <v>1565</v>
      </c>
      <c r="G37" s="427"/>
      <c r="H37" s="192"/>
      <c r="I37" s="946">
        <v>9</v>
      </c>
      <c r="J37" s="1609" t="s">
        <v>2906</v>
      </c>
      <c r="K37" s="932" t="s">
        <v>347</v>
      </c>
      <c r="L37" s="944">
        <v>10</v>
      </c>
      <c r="M37" s="1236" t="str">
        <f>VLOOKUP(L37,$P$28:S$55,$M$27,0)</f>
        <v>30.06.2021</v>
      </c>
      <c r="N37" s="925">
        <v>1</v>
      </c>
      <c r="O37" s="927">
        <v>2</v>
      </c>
      <c r="P37" s="1240">
        <f t="shared" si="1"/>
        <v>10</v>
      </c>
      <c r="Q37" s="1632" t="str">
        <f>CONCATENATE($X$29,$R$26+2)</f>
        <v>30.06.2021</v>
      </c>
      <c r="R37" s="1632" t="str">
        <f>CONCATENATE($Y$29,$R$26+2)</f>
        <v>28.02.2021</v>
      </c>
      <c r="S37" s="1632" t="str">
        <f>CONCATENATE($Z$29,$R$26+2)</f>
        <v>31.03.2021</v>
      </c>
      <c r="T37" s="1225">
        <v>2</v>
      </c>
    </row>
    <row r="38" spans="1:20">
      <c r="A38" s="194"/>
      <c r="B38" s="1279" t="s">
        <v>1110</v>
      </c>
      <c r="C38" s="1280" t="s">
        <v>1111</v>
      </c>
      <c r="E38" s="955" t="s">
        <v>1352</v>
      </c>
      <c r="F38" s="951" t="s">
        <v>1566</v>
      </c>
      <c r="G38" s="427"/>
      <c r="H38" s="192"/>
      <c r="I38" s="946">
        <v>10</v>
      </c>
      <c r="J38" s="1606" t="s">
        <v>469</v>
      </c>
      <c r="K38" s="933" t="s">
        <v>470</v>
      </c>
      <c r="L38" s="947">
        <v>11</v>
      </c>
      <c r="M38" s="1236" t="str">
        <f>VLOOKUP(L38,$P$28:S$55,$M$27,0)</f>
        <v>30.09.2021</v>
      </c>
      <c r="N38" s="925">
        <v>1</v>
      </c>
      <c r="O38" s="927">
        <v>3</v>
      </c>
      <c r="P38" s="1240">
        <f t="shared" si="1"/>
        <v>11</v>
      </c>
      <c r="Q38" s="1632" t="str">
        <f>CONCATENATE($X$30,$R$26+2)</f>
        <v>30.09.2021</v>
      </c>
      <c r="R38" s="1632" t="str">
        <f>CONCATENATE($Y$30,$R$26+2)</f>
        <v>31.05.2021</v>
      </c>
      <c r="S38" s="1632" t="str">
        <f>CONCATENATE($Z$30,$R$26+2)</f>
        <v>30.06.2021</v>
      </c>
      <c r="T38" s="1225">
        <v>3</v>
      </c>
    </row>
    <row r="39" spans="1:20">
      <c r="A39" s="194"/>
      <c r="B39" s="1279" t="s">
        <v>1110</v>
      </c>
      <c r="C39" s="1280" t="s">
        <v>1120</v>
      </c>
      <c r="E39" s="955" t="s">
        <v>1352</v>
      </c>
      <c r="F39" s="951" t="s">
        <v>1567</v>
      </c>
      <c r="G39" s="427"/>
      <c r="H39" s="192"/>
      <c r="I39" s="946">
        <v>11</v>
      </c>
      <c r="J39" s="1606" t="s">
        <v>3225</v>
      </c>
      <c r="K39" s="933" t="s">
        <v>590</v>
      </c>
      <c r="L39" s="944">
        <v>12</v>
      </c>
      <c r="M39" s="1236" t="str">
        <f>VLOOKUP(L39,$P$28:S$55,$M$27,0)</f>
        <v>31.12.2021</v>
      </c>
      <c r="N39" s="925">
        <v>1</v>
      </c>
      <c r="O39" s="927">
        <v>4</v>
      </c>
      <c r="P39" s="1240">
        <f t="shared" si="1"/>
        <v>12</v>
      </c>
      <c r="Q39" s="1633" t="str">
        <f>CONCATENATE($X$31,$R$26+2)</f>
        <v>31.12.2021</v>
      </c>
      <c r="R39" s="1633" t="str">
        <f>CONCATENATE($Y$31,$R$26+2)</f>
        <v>31.08.2021</v>
      </c>
      <c r="S39" s="1633" t="str">
        <f>CONCATENATE($Z$31,$R$26+2)</f>
        <v>31.08.2021</v>
      </c>
      <c r="T39" s="1225">
        <v>4</v>
      </c>
    </row>
    <row r="40" spans="1:20" ht="17.25" customHeight="1">
      <c r="A40" s="194"/>
      <c r="B40" s="1279" t="s">
        <v>1110</v>
      </c>
      <c r="C40" s="1280" t="s">
        <v>2837</v>
      </c>
      <c r="D40" s="948"/>
      <c r="E40" s="955" t="s">
        <v>1352</v>
      </c>
      <c r="F40" s="956" t="s">
        <v>1568</v>
      </c>
      <c r="G40" s="427"/>
      <c r="H40" s="192"/>
      <c r="I40" s="946">
        <v>12</v>
      </c>
      <c r="J40" s="1606" t="s">
        <v>357</v>
      </c>
      <c r="K40" s="933" t="s">
        <v>358</v>
      </c>
      <c r="L40" s="944">
        <v>13</v>
      </c>
      <c r="M40" s="1236" t="str">
        <f>VLOOKUP(L40,$P$28:S$55,$M$27,0)</f>
        <v>31.03.2022</v>
      </c>
      <c r="N40" s="192"/>
      <c r="O40" s="927">
        <v>1</v>
      </c>
      <c r="P40" s="1240">
        <f t="shared" si="1"/>
        <v>13</v>
      </c>
      <c r="Q40" s="1632" t="str">
        <f>CONCATENATE($X$28,$R$26+3)</f>
        <v>31.03.2022</v>
      </c>
      <c r="R40" s="1632" t="str">
        <f>CONCATENATE($Y$28,$R$26+3)</f>
        <v>30.11.2022</v>
      </c>
      <c r="S40" s="1632" t="str">
        <f>CONCATENATE($Z$28,$R$26+3)</f>
        <v>31.12.2022</v>
      </c>
      <c r="T40" s="1225">
        <v>1</v>
      </c>
    </row>
    <row r="41" spans="1:20" ht="12" customHeight="1">
      <c r="A41" s="194"/>
      <c r="B41" s="1353" t="s">
        <v>2821</v>
      </c>
      <c r="C41" s="972" t="s">
        <v>2838</v>
      </c>
      <c r="D41" s="948"/>
      <c r="E41" s="955" t="s">
        <v>1352</v>
      </c>
      <c r="F41" s="956" t="s">
        <v>1569</v>
      </c>
      <c r="G41" s="936"/>
      <c r="H41" s="192"/>
      <c r="I41" s="946">
        <v>13</v>
      </c>
      <c r="J41" s="1606" t="s">
        <v>472</v>
      </c>
      <c r="K41" s="933" t="s">
        <v>473</v>
      </c>
      <c r="L41" s="947">
        <v>14</v>
      </c>
      <c r="M41" s="1236" t="str">
        <f>VLOOKUP(L41,$P$28:S$55,$M$27,0)</f>
        <v>30.06.2022</v>
      </c>
      <c r="O41" s="927">
        <v>2</v>
      </c>
      <c r="P41" s="1240">
        <f t="shared" si="1"/>
        <v>14</v>
      </c>
      <c r="Q41" s="1632" t="str">
        <f>CONCATENATE($X$29,$R$26+3)</f>
        <v>30.06.2022</v>
      </c>
      <c r="R41" s="1632" t="str">
        <f>CONCATENATE($Y$29,$R$26+3)</f>
        <v>28.02.2022</v>
      </c>
      <c r="S41" s="1632" t="str">
        <f>CONCATENATE($Z$29,$R$26+3)</f>
        <v>31.03.2022</v>
      </c>
      <c r="T41" s="1225">
        <v>2</v>
      </c>
    </row>
    <row r="42" spans="1:20" ht="11.25" customHeight="1">
      <c r="A42" s="194"/>
      <c r="B42" s="961" t="s">
        <v>1110</v>
      </c>
      <c r="C42" s="950" t="s">
        <v>1543</v>
      </c>
      <c r="D42" s="948"/>
      <c r="E42" s="955" t="s">
        <v>1388</v>
      </c>
      <c r="F42" s="956" t="s">
        <v>1570</v>
      </c>
      <c r="G42" s="936"/>
      <c r="H42" s="192"/>
      <c r="I42" s="946">
        <v>14</v>
      </c>
      <c r="J42" s="1609" t="s">
        <v>542</v>
      </c>
      <c r="K42" s="932" t="s">
        <v>543</v>
      </c>
      <c r="L42" s="944">
        <v>15</v>
      </c>
      <c r="M42" s="1236" t="str">
        <f>VLOOKUP(L42,$P$28:S$55,$M$27,0)</f>
        <v>30.09.2022</v>
      </c>
      <c r="O42" s="927">
        <v>3</v>
      </c>
      <c r="P42" s="1240">
        <f t="shared" si="1"/>
        <v>15</v>
      </c>
      <c r="Q42" s="1632" t="str">
        <f>CONCATENATE($X$30,$R$26+3)</f>
        <v>30.09.2022</v>
      </c>
      <c r="R42" s="1632" t="str">
        <f>CONCATENATE($Y$30,$R$26+3)</f>
        <v>31.05.2022</v>
      </c>
      <c r="S42" s="1632" t="str">
        <f>CONCATENATE($Z$30,$R$26+3)</f>
        <v>30.06.2022</v>
      </c>
      <c r="T42" s="1225">
        <v>3</v>
      </c>
    </row>
    <row r="43" spans="1:20">
      <c r="A43" s="194"/>
      <c r="B43" s="970" t="s">
        <v>2728</v>
      </c>
      <c r="C43" s="972" t="s">
        <v>1133</v>
      </c>
      <c r="D43" s="948"/>
      <c r="E43" s="955" t="s">
        <v>1388</v>
      </c>
      <c r="F43" s="951" t="s">
        <v>1571</v>
      </c>
      <c r="G43" s="936"/>
      <c r="H43" s="192"/>
      <c r="I43" s="946">
        <v>15</v>
      </c>
      <c r="J43" s="1609" t="s">
        <v>525</v>
      </c>
      <c r="K43" s="932" t="s">
        <v>526</v>
      </c>
      <c r="L43" s="944">
        <v>16</v>
      </c>
      <c r="M43" s="1236" t="str">
        <f>VLOOKUP(L43,$P$28:S$55,$M$27,0)</f>
        <v>31.12.2022</v>
      </c>
      <c r="N43" s="192"/>
      <c r="O43" s="927">
        <v>4</v>
      </c>
      <c r="P43" s="1240">
        <f t="shared" si="1"/>
        <v>16</v>
      </c>
      <c r="Q43" s="1633" t="str">
        <f>CONCATENATE($X$31,$R$26+3)</f>
        <v>31.12.2022</v>
      </c>
      <c r="R43" s="1633" t="str">
        <f>CONCATENATE($Y$31,$R$26+3)</f>
        <v>31.08.2022</v>
      </c>
      <c r="S43" s="1633" t="str">
        <f>CONCATENATE($Z$31,$R$26+3)</f>
        <v>31.08.2022</v>
      </c>
      <c r="T43" s="1225">
        <v>4</v>
      </c>
    </row>
    <row r="44" spans="1:20">
      <c r="A44" s="194"/>
      <c r="B44" s="970" t="s">
        <v>2728</v>
      </c>
      <c r="C44" s="972" t="s">
        <v>1137</v>
      </c>
      <c r="D44" s="948"/>
      <c r="E44" s="949" t="s">
        <v>1413</v>
      </c>
      <c r="F44" s="951" t="s">
        <v>1405</v>
      </c>
      <c r="G44" s="936"/>
      <c r="H44" s="192"/>
      <c r="I44" s="946">
        <v>16</v>
      </c>
      <c r="J44" s="1610" t="s">
        <v>413</v>
      </c>
      <c r="K44" s="932" t="s">
        <v>414</v>
      </c>
      <c r="L44" s="947">
        <v>17</v>
      </c>
      <c r="M44" s="1236" t="str">
        <f>VLOOKUP(L44,$P$28:S$55,$M$27,0)</f>
        <v>31.03.2023</v>
      </c>
      <c r="N44" s="192"/>
      <c r="O44" s="927">
        <v>1</v>
      </c>
      <c r="P44" s="1240">
        <f t="shared" si="1"/>
        <v>17</v>
      </c>
      <c r="Q44" s="1632" t="str">
        <f>CONCATENATE($X$28,$R$26+4)</f>
        <v>31.03.2023</v>
      </c>
      <c r="R44" s="1632" t="str">
        <f>CONCATENATE($Y$28,$R$26+4)</f>
        <v>30.11.2023</v>
      </c>
      <c r="S44" s="1632" t="str">
        <f>CONCATENATE($Z$28,$R$26+4)</f>
        <v>31.12.2023</v>
      </c>
      <c r="T44" s="1225">
        <v>1</v>
      </c>
    </row>
    <row r="45" spans="1:20">
      <c r="A45" s="936"/>
      <c r="B45" s="955" t="s">
        <v>1171</v>
      </c>
      <c r="C45" s="960" t="s">
        <v>1174</v>
      </c>
      <c r="D45" s="431"/>
      <c r="E45" s="949" t="s">
        <v>1413</v>
      </c>
      <c r="F45" s="951" t="s">
        <v>1410</v>
      </c>
      <c r="G45" s="936"/>
      <c r="H45" s="936"/>
      <c r="I45" s="946">
        <v>17</v>
      </c>
      <c r="J45" s="1609" t="s">
        <v>3020</v>
      </c>
      <c r="K45" s="932" t="s">
        <v>416</v>
      </c>
      <c r="L45" s="944">
        <v>18</v>
      </c>
      <c r="M45" s="1236" t="str">
        <f>VLOOKUP(L45,$P$28:S$55,$M$27,0)</f>
        <v>30.06.2023</v>
      </c>
      <c r="N45" s="192"/>
      <c r="O45" s="927">
        <v>2</v>
      </c>
      <c r="P45" s="1240">
        <f t="shared" si="1"/>
        <v>18</v>
      </c>
      <c r="Q45" s="1632" t="str">
        <f>CONCATENATE($X$29,$R$26+4)</f>
        <v>30.06.2023</v>
      </c>
      <c r="R45" s="1632" t="str">
        <f>CONCATENATE($Y$29,$R$26+4)</f>
        <v>28.02.2023</v>
      </c>
      <c r="S45" s="1632" t="str">
        <f>CONCATENATE($Z$29,$R$26+4)</f>
        <v>31.03.2023</v>
      </c>
      <c r="T45" s="1225">
        <v>2</v>
      </c>
    </row>
    <row r="46" spans="1:20">
      <c r="A46" s="936"/>
      <c r="B46" s="955" t="s">
        <v>1171</v>
      </c>
      <c r="C46" s="960" t="s">
        <v>1173</v>
      </c>
      <c r="E46" s="949" t="s">
        <v>1413</v>
      </c>
      <c r="F46" s="951" t="s">
        <v>1418</v>
      </c>
      <c r="G46" s="936"/>
      <c r="H46" s="936"/>
      <c r="I46" s="946">
        <v>18</v>
      </c>
      <c r="J46" s="1606" t="s">
        <v>2692</v>
      </c>
      <c r="K46" s="933" t="s">
        <v>3144</v>
      </c>
      <c r="L46" s="944">
        <v>19</v>
      </c>
      <c r="M46" s="1236" t="str">
        <f>VLOOKUP(L46,$P$28:S$55,$M$27,0)</f>
        <v>30.09.2023</v>
      </c>
      <c r="N46" s="192"/>
      <c r="O46" s="927">
        <v>3</v>
      </c>
      <c r="P46" s="1240">
        <f t="shared" si="1"/>
        <v>19</v>
      </c>
      <c r="Q46" s="1632" t="str">
        <f>CONCATENATE($X$30,$R$26+4)</f>
        <v>30.09.2023</v>
      </c>
      <c r="R46" s="1632" t="str">
        <f>CONCATENATE($Y$30,$R$26+4)</f>
        <v>31.05.2023</v>
      </c>
      <c r="S46" s="1632" t="str">
        <f>CONCATENATE($Z$30,$R$26+4)</f>
        <v>30.06.2023</v>
      </c>
      <c r="T46" s="1225">
        <v>3</v>
      </c>
    </row>
    <row r="47" spans="1:20">
      <c r="A47" s="936"/>
      <c r="B47" s="955" t="s">
        <v>1171</v>
      </c>
      <c r="C47" s="960" t="s">
        <v>1549</v>
      </c>
      <c r="E47" s="955" t="s">
        <v>1435</v>
      </c>
      <c r="F47" s="950" t="s">
        <v>1433</v>
      </c>
      <c r="G47" s="936"/>
      <c r="H47" s="936"/>
      <c r="I47" s="946">
        <v>19</v>
      </c>
      <c r="J47" s="1606" t="s">
        <v>453</v>
      </c>
      <c r="K47" s="933" t="s">
        <v>454</v>
      </c>
      <c r="L47" s="947">
        <v>20</v>
      </c>
      <c r="M47" s="1236" t="str">
        <f>VLOOKUP(L47,$P$28:S$55,$M$27,0)</f>
        <v>31.12.2023</v>
      </c>
      <c r="N47" s="192"/>
      <c r="O47" s="927">
        <v>4</v>
      </c>
      <c r="P47" s="1240">
        <f t="shared" si="1"/>
        <v>20</v>
      </c>
      <c r="Q47" s="1633" t="str">
        <f>CONCATENATE($X$31,$R$26+4)</f>
        <v>31.12.2023</v>
      </c>
      <c r="R47" s="1633" t="str">
        <f>CONCATENATE($Y$31,$R$26+4)</f>
        <v>31.08.2023</v>
      </c>
      <c r="S47" s="1633" t="str">
        <f>CONCATENATE($Z$31,$R$26+4)</f>
        <v>31.08.2023</v>
      </c>
      <c r="T47" s="1225">
        <v>4</v>
      </c>
    </row>
    <row r="48" spans="1:20">
      <c r="A48" s="936"/>
      <c r="B48" s="957" t="s">
        <v>1171</v>
      </c>
      <c r="C48" s="962" t="s">
        <v>1190</v>
      </c>
      <c r="E48" s="955" t="s">
        <v>1436</v>
      </c>
      <c r="F48" s="950" t="s">
        <v>1434</v>
      </c>
      <c r="G48" s="936"/>
      <c r="H48" s="936"/>
      <c r="I48" s="946">
        <v>20</v>
      </c>
      <c r="J48" s="1606" t="s">
        <v>3091</v>
      </c>
      <c r="K48" s="933" t="s">
        <v>510</v>
      </c>
      <c r="L48" s="944">
        <v>21</v>
      </c>
      <c r="M48" s="1236">
        <f>VLOOKUP(L48,$P$28:S$55,$M$27,0)</f>
        <v>0</v>
      </c>
      <c r="N48" s="192"/>
      <c r="O48" s="927">
        <v>1</v>
      </c>
      <c r="P48" s="1240">
        <f t="shared" si="1"/>
        <v>21</v>
      </c>
      <c r="Q48" s="1632"/>
      <c r="R48" s="1226"/>
      <c r="S48" s="1226"/>
      <c r="T48" s="1225"/>
    </row>
    <row r="49" spans="1:20">
      <c r="A49" s="943"/>
      <c r="E49" s="955" t="s">
        <v>1446</v>
      </c>
      <c r="F49" s="950" t="s">
        <v>1577</v>
      </c>
      <c r="G49" s="936"/>
      <c r="H49" s="943"/>
      <c r="I49" s="946">
        <v>21</v>
      </c>
      <c r="J49" s="1606" t="s">
        <v>449</v>
      </c>
      <c r="K49" s="933" t="s">
        <v>450</v>
      </c>
      <c r="L49" s="944">
        <v>22</v>
      </c>
      <c r="M49" s="1236">
        <f>VLOOKUP(L49,$P$28:S$55,$M$27,0)</f>
        <v>0</v>
      </c>
      <c r="O49" s="927">
        <v>2</v>
      </c>
      <c r="P49" s="1240">
        <f t="shared" si="1"/>
        <v>22</v>
      </c>
      <c r="Q49" s="1632"/>
      <c r="R49" s="1226"/>
      <c r="S49" s="1226"/>
      <c r="T49" s="1225"/>
    </row>
    <row r="50" spans="1:20" ht="31" hidden="1">
      <c r="A50" s="943"/>
      <c r="E50" s="955" t="s">
        <v>1447</v>
      </c>
      <c r="F50" s="951" t="s">
        <v>1578</v>
      </c>
      <c r="G50" s="943"/>
      <c r="H50" s="943"/>
      <c r="I50" s="946">
        <v>22</v>
      </c>
      <c r="J50" s="1606" t="s">
        <v>460</v>
      </c>
      <c r="K50" s="933" t="s">
        <v>461</v>
      </c>
      <c r="L50" s="947">
        <v>23</v>
      </c>
      <c r="M50" s="1236">
        <f>VLOOKUP(L50,$P$28:S$55,$M$27,0)</f>
        <v>0</v>
      </c>
      <c r="O50" s="927">
        <v>3</v>
      </c>
      <c r="P50" s="1240">
        <f t="shared" si="1"/>
        <v>23</v>
      </c>
      <c r="Q50" s="1632"/>
      <c r="R50" s="1226"/>
      <c r="S50" s="1226"/>
      <c r="T50" s="1225"/>
    </row>
    <row r="51" spans="1:20" hidden="1">
      <c r="A51" s="943"/>
      <c r="E51" s="957"/>
      <c r="F51" s="958"/>
      <c r="G51" s="943"/>
      <c r="H51" s="943"/>
      <c r="I51" s="946">
        <v>23</v>
      </c>
      <c r="J51" s="1606" t="s">
        <v>457</v>
      </c>
      <c r="K51" s="933" t="s">
        <v>458</v>
      </c>
      <c r="L51" s="944">
        <v>24</v>
      </c>
      <c r="M51" s="1236">
        <f>VLOOKUP(L51,$P$28:S$55,$M$27,0)</f>
        <v>0</v>
      </c>
      <c r="O51" s="927">
        <v>4</v>
      </c>
      <c r="P51" s="1240">
        <f t="shared" si="1"/>
        <v>24</v>
      </c>
      <c r="Q51" s="1632"/>
      <c r="R51" s="1226"/>
      <c r="S51" s="1226"/>
      <c r="T51" s="1225"/>
    </row>
    <row r="52" spans="1:20" hidden="1">
      <c r="A52" s="943"/>
      <c r="E52" s="957"/>
      <c r="F52" s="958"/>
      <c r="G52" s="943"/>
      <c r="H52" s="943"/>
      <c r="I52" s="946">
        <v>24</v>
      </c>
      <c r="J52" s="1606" t="s">
        <v>463</v>
      </c>
      <c r="K52" s="933" t="s">
        <v>464</v>
      </c>
      <c r="L52" s="944">
        <v>25</v>
      </c>
      <c r="M52" s="1236">
        <f>VLOOKUP(L52,$P$28:S$55,$M$27,0)</f>
        <v>0</v>
      </c>
      <c r="O52" s="927">
        <v>1</v>
      </c>
      <c r="P52" s="1240">
        <f t="shared" si="1"/>
        <v>25</v>
      </c>
      <c r="Q52" s="945"/>
      <c r="R52" s="200"/>
      <c r="S52" s="200"/>
      <c r="T52" s="1225"/>
    </row>
    <row r="53" spans="1:20">
      <c r="B53" s="1307" t="s">
        <v>3881</v>
      </c>
      <c r="C53" s="1533" t="s">
        <v>3928</v>
      </c>
      <c r="I53" s="946">
        <v>25</v>
      </c>
      <c r="J53" s="1611" t="s">
        <v>432</v>
      </c>
      <c r="K53" s="933" t="s">
        <v>433</v>
      </c>
      <c r="L53" s="947">
        <v>26</v>
      </c>
      <c r="M53" s="1236">
        <f>VLOOKUP(L53,$P$28:S$55,$M$27,0)</f>
        <v>0</v>
      </c>
      <c r="O53" s="927">
        <v>2</v>
      </c>
      <c r="P53" s="1240">
        <f t="shared" si="1"/>
        <v>26</v>
      </c>
      <c r="Q53" s="945"/>
      <c r="R53" s="200"/>
      <c r="S53" s="200"/>
      <c r="T53" s="1225"/>
    </row>
    <row r="54" spans="1:20">
      <c r="B54" s="1307" t="s">
        <v>3882</v>
      </c>
      <c r="C54" s="1533" t="s">
        <v>4859</v>
      </c>
      <c r="G54" s="927">
        <f ca="1">SUM(G55:G60)</f>
        <v>0</v>
      </c>
      <c r="I54" s="946">
        <v>26</v>
      </c>
      <c r="J54" s="1609" t="s">
        <v>354</v>
      </c>
      <c r="K54" s="932" t="s">
        <v>355</v>
      </c>
      <c r="L54" s="944">
        <v>27</v>
      </c>
      <c r="M54" s="1236">
        <f>VLOOKUP(L54,$P$28:S$55,$M$27,0)</f>
        <v>0</v>
      </c>
      <c r="O54" s="927">
        <v>3</v>
      </c>
      <c r="P54" s="1240">
        <f t="shared" si="1"/>
        <v>27</v>
      </c>
      <c r="Q54" s="945"/>
      <c r="R54" s="200"/>
      <c r="S54" s="200"/>
      <c r="T54" s="1225"/>
    </row>
    <row r="55" spans="1:20">
      <c r="B55" s="957" t="s">
        <v>3882</v>
      </c>
      <c r="C55" s="1521" t="s">
        <v>4560</v>
      </c>
      <c r="D55" s="1458"/>
      <c r="G55" s="927">
        <f t="shared" ref="G55:G60" ca="1" si="2">IF(CELL("type",B60)="b",0,1)</f>
        <v>0</v>
      </c>
      <c r="I55" s="946">
        <v>27</v>
      </c>
      <c r="J55" s="1609" t="s">
        <v>381</v>
      </c>
      <c r="K55" s="932" t="s">
        <v>382</v>
      </c>
      <c r="L55" s="944">
        <v>28</v>
      </c>
      <c r="M55" s="1236">
        <f>VLOOKUP(L55,$P$28:S$55,$M$27,0)</f>
        <v>0</v>
      </c>
      <c r="O55" s="927">
        <v>4</v>
      </c>
      <c r="P55" s="1240">
        <f t="shared" si="1"/>
        <v>28</v>
      </c>
    </row>
    <row r="56" spans="1:20">
      <c r="B56" s="957"/>
      <c r="C56" s="1521"/>
      <c r="G56" s="927">
        <f t="shared" ca="1" si="2"/>
        <v>0</v>
      </c>
      <c r="I56" s="946">
        <v>28</v>
      </c>
      <c r="J56" s="1609" t="s">
        <v>401</v>
      </c>
      <c r="K56" s="932" t="s">
        <v>402</v>
      </c>
      <c r="L56" s="944">
        <v>29</v>
      </c>
    </row>
    <row r="57" spans="1:20">
      <c r="G57" s="927">
        <f t="shared" ca="1" si="2"/>
        <v>0</v>
      </c>
      <c r="I57" s="946">
        <v>29</v>
      </c>
      <c r="J57" s="1609" t="s">
        <v>344</v>
      </c>
      <c r="K57" s="932" t="s">
        <v>345</v>
      </c>
      <c r="L57" s="947">
        <v>30</v>
      </c>
    </row>
    <row r="58" spans="1:20">
      <c r="G58" s="927">
        <f t="shared" ca="1" si="2"/>
        <v>0</v>
      </c>
      <c r="I58" s="946">
        <v>30</v>
      </c>
      <c r="J58" s="1609" t="s">
        <v>4936</v>
      </c>
      <c r="K58" s="932" t="s">
        <v>405</v>
      </c>
      <c r="L58" s="944">
        <v>31</v>
      </c>
    </row>
    <row r="59" spans="1:20">
      <c r="B59" s="1483" t="s">
        <v>795</v>
      </c>
      <c r="C59" s="943"/>
      <c r="D59" s="428"/>
      <c r="G59" s="927">
        <f t="shared" ca="1" si="2"/>
        <v>0</v>
      </c>
      <c r="I59" s="946">
        <v>31</v>
      </c>
      <c r="J59" s="1606" t="s">
        <v>530</v>
      </c>
      <c r="K59" s="933" t="s">
        <v>531</v>
      </c>
      <c r="L59" s="944">
        <v>32</v>
      </c>
    </row>
    <row r="60" spans="1:20">
      <c r="B60" s="1944"/>
      <c r="C60" s="1944"/>
      <c r="D60" s="1944"/>
      <c r="E60" s="1944"/>
      <c r="F60" s="1944"/>
      <c r="G60" s="927">
        <f t="shared" ca="1" si="2"/>
        <v>0</v>
      </c>
      <c r="I60" s="946">
        <v>32</v>
      </c>
      <c r="J60" s="1606" t="s">
        <v>636</v>
      </c>
      <c r="K60" s="933" t="s">
        <v>637</v>
      </c>
      <c r="L60" s="947">
        <v>33</v>
      </c>
    </row>
    <row r="61" spans="1:20">
      <c r="B61" s="1944"/>
      <c r="C61" s="1944"/>
      <c r="D61" s="1944"/>
      <c r="E61" s="1944"/>
      <c r="F61" s="1944"/>
      <c r="I61" s="946">
        <v>33</v>
      </c>
      <c r="J61" s="1609" t="s">
        <v>627</v>
      </c>
      <c r="K61" s="932" t="s">
        <v>628</v>
      </c>
      <c r="L61" s="944">
        <v>34</v>
      </c>
    </row>
    <row r="62" spans="1:20">
      <c r="B62" s="1944"/>
      <c r="C62" s="1944"/>
      <c r="D62" s="1944"/>
      <c r="E62" s="1944"/>
      <c r="F62" s="1944"/>
      <c r="I62" s="946">
        <v>34</v>
      </c>
      <c r="J62" s="1609" t="s">
        <v>409</v>
      </c>
      <c r="K62" s="932" t="s">
        <v>410</v>
      </c>
      <c r="L62" s="944">
        <v>35</v>
      </c>
    </row>
    <row r="63" spans="1:20">
      <c r="B63" s="1944"/>
      <c r="C63" s="1944"/>
      <c r="D63" s="1944"/>
      <c r="E63" s="1944"/>
      <c r="F63" s="1944"/>
      <c r="I63" s="946">
        <v>35</v>
      </c>
      <c r="J63" s="1606" t="s">
        <v>420</v>
      </c>
      <c r="K63" s="933" t="s">
        <v>421</v>
      </c>
      <c r="L63" s="947">
        <v>36</v>
      </c>
    </row>
    <row r="64" spans="1:20">
      <c r="B64" s="1485"/>
      <c r="C64" s="1485"/>
      <c r="D64" s="1485"/>
      <c r="E64" s="1485"/>
      <c r="F64" s="1485"/>
      <c r="I64" s="946">
        <v>36</v>
      </c>
      <c r="J64" s="1609" t="s">
        <v>539</v>
      </c>
      <c r="K64" s="932" t="s">
        <v>540</v>
      </c>
      <c r="L64" s="944">
        <v>37</v>
      </c>
    </row>
    <row r="65" spans="2:12">
      <c r="B65" s="1485"/>
      <c r="C65" s="1485"/>
      <c r="D65" s="1485"/>
      <c r="E65" s="1485"/>
      <c r="F65" s="1485"/>
      <c r="I65" s="946">
        <v>37</v>
      </c>
      <c r="J65" s="1609" t="s">
        <v>533</v>
      </c>
      <c r="K65" s="932" t="s">
        <v>534</v>
      </c>
      <c r="L65" s="944">
        <v>38</v>
      </c>
    </row>
    <row r="66" spans="2:12">
      <c r="I66" s="946">
        <v>38</v>
      </c>
      <c r="J66" s="1609" t="s">
        <v>536</v>
      </c>
      <c r="K66" s="932" t="s">
        <v>537</v>
      </c>
      <c r="L66" s="947">
        <v>39</v>
      </c>
    </row>
    <row r="67" spans="2:12">
      <c r="I67" s="946">
        <v>39</v>
      </c>
      <c r="J67" s="1609" t="s">
        <v>2923</v>
      </c>
      <c r="K67" s="932" t="s">
        <v>2748</v>
      </c>
      <c r="L67" s="944">
        <v>40</v>
      </c>
    </row>
    <row r="68" spans="2:12">
      <c r="I68" s="946">
        <v>40</v>
      </c>
      <c r="J68" s="1606" t="s">
        <v>642</v>
      </c>
      <c r="K68" s="933" t="s">
        <v>643</v>
      </c>
      <c r="L68" s="944">
        <v>41</v>
      </c>
    </row>
    <row r="69" spans="2:12">
      <c r="I69" s="946">
        <v>41</v>
      </c>
      <c r="J69" s="1606" t="s">
        <v>578</v>
      </c>
      <c r="K69" s="933" t="s">
        <v>579</v>
      </c>
      <c r="L69" s="947">
        <v>42</v>
      </c>
    </row>
    <row r="70" spans="2:12">
      <c r="I70" s="946">
        <v>42</v>
      </c>
      <c r="J70" s="1606" t="s">
        <v>378</v>
      </c>
      <c r="K70" s="933" t="s">
        <v>379</v>
      </c>
      <c r="L70" s="944">
        <v>43</v>
      </c>
    </row>
    <row r="71" spans="2:12">
      <c r="I71" s="946">
        <v>43</v>
      </c>
      <c r="J71" s="1606" t="s">
        <v>672</v>
      </c>
      <c r="K71" s="933" t="s">
        <v>673</v>
      </c>
      <c r="L71" s="944">
        <v>44</v>
      </c>
    </row>
    <row r="72" spans="2:12">
      <c r="I72" s="946">
        <v>44</v>
      </c>
      <c r="J72" s="1609" t="s">
        <v>2588</v>
      </c>
      <c r="K72" s="932" t="s">
        <v>2587</v>
      </c>
      <c r="L72" s="947">
        <v>45</v>
      </c>
    </row>
    <row r="73" spans="2:12">
      <c r="I73" s="946">
        <v>45</v>
      </c>
      <c r="J73" s="1606" t="s">
        <v>482</v>
      </c>
      <c r="K73" s="933" t="s">
        <v>483</v>
      </c>
      <c r="L73" s="944">
        <v>46</v>
      </c>
    </row>
    <row r="74" spans="2:12">
      <c r="I74" s="946">
        <v>46</v>
      </c>
      <c r="J74" s="1609" t="s">
        <v>394</v>
      </c>
      <c r="K74" s="932" t="s">
        <v>395</v>
      </c>
      <c r="L74" s="944">
        <v>47</v>
      </c>
    </row>
    <row r="75" spans="2:12">
      <c r="I75" s="946">
        <v>47</v>
      </c>
      <c r="J75" s="1609" t="s">
        <v>573</v>
      </c>
      <c r="K75" s="932" t="s">
        <v>574</v>
      </c>
      <c r="L75" s="947">
        <v>48</v>
      </c>
    </row>
    <row r="76" spans="2:12">
      <c r="I76" s="946">
        <v>48</v>
      </c>
      <c r="J76" s="1606" t="s">
        <v>2992</v>
      </c>
      <c r="K76" s="933" t="s">
        <v>384</v>
      </c>
      <c r="L76" s="944">
        <v>49</v>
      </c>
    </row>
    <row r="77" spans="2:12">
      <c r="I77" s="946">
        <v>49</v>
      </c>
      <c r="J77" s="1606" t="s">
        <v>2899</v>
      </c>
      <c r="K77" s="933" t="s">
        <v>349</v>
      </c>
      <c r="L77" s="944">
        <v>50</v>
      </c>
    </row>
    <row r="78" spans="2:12">
      <c r="I78" s="946">
        <v>50</v>
      </c>
      <c r="J78" s="1606" t="s">
        <v>2629</v>
      </c>
      <c r="K78" s="933" t="s">
        <v>2628</v>
      </c>
      <c r="L78" s="947">
        <v>51</v>
      </c>
    </row>
    <row r="79" spans="2:12">
      <c r="I79" s="946">
        <v>51</v>
      </c>
      <c r="J79" s="1612" t="s">
        <v>446</v>
      </c>
      <c r="K79" s="933" t="s">
        <v>447</v>
      </c>
      <c r="L79" s="944">
        <v>52</v>
      </c>
    </row>
    <row r="80" spans="2:12">
      <c r="I80" s="946">
        <v>52</v>
      </c>
      <c r="J80" s="1606" t="s">
        <v>2971</v>
      </c>
      <c r="K80" s="933" t="s">
        <v>396</v>
      </c>
      <c r="L80" s="944">
        <v>53</v>
      </c>
    </row>
    <row r="81" spans="9:12">
      <c r="I81" s="946">
        <v>53</v>
      </c>
      <c r="J81" s="1606" t="s">
        <v>438</v>
      </c>
      <c r="K81" s="933" t="s">
        <v>439</v>
      </c>
      <c r="L81" s="947">
        <v>54</v>
      </c>
    </row>
    <row r="82" spans="9:12">
      <c r="I82" s="946">
        <v>54</v>
      </c>
      <c r="J82" s="1606" t="s">
        <v>385</v>
      </c>
      <c r="K82" s="933" t="s">
        <v>386</v>
      </c>
      <c r="L82" s="944">
        <v>55</v>
      </c>
    </row>
    <row r="83" spans="9:12">
      <c r="I83" s="946">
        <v>55</v>
      </c>
      <c r="J83" s="1609" t="s">
        <v>1724</v>
      </c>
      <c r="K83" s="932" t="s">
        <v>456</v>
      </c>
      <c r="L83" s="944">
        <v>56</v>
      </c>
    </row>
    <row r="84" spans="9:12">
      <c r="I84" s="946">
        <v>56</v>
      </c>
      <c r="J84" s="1606" t="s">
        <v>3077</v>
      </c>
      <c r="K84" s="933" t="s">
        <v>493</v>
      </c>
      <c r="L84" s="944">
        <v>57</v>
      </c>
    </row>
    <row r="85" spans="9:12">
      <c r="I85" s="946">
        <v>57</v>
      </c>
      <c r="J85" s="1609" t="s">
        <v>518</v>
      </c>
      <c r="K85" s="932" t="s">
        <v>519</v>
      </c>
      <c r="L85" s="947">
        <v>58</v>
      </c>
    </row>
    <row r="86" spans="9:12">
      <c r="I86" s="946">
        <v>58</v>
      </c>
      <c r="J86" s="1609" t="s">
        <v>391</v>
      </c>
      <c r="K86" s="932" t="s">
        <v>392</v>
      </c>
      <c r="L86" s="944">
        <v>59</v>
      </c>
    </row>
    <row r="87" spans="9:12">
      <c r="I87" s="946">
        <v>59</v>
      </c>
      <c r="J87" s="1606" t="s">
        <v>351</v>
      </c>
      <c r="K87" s="933" t="s">
        <v>352</v>
      </c>
      <c r="L87" s="944">
        <v>60</v>
      </c>
    </row>
    <row r="88" spans="9:12">
      <c r="I88" s="946">
        <v>60</v>
      </c>
      <c r="J88" s="1606" t="s">
        <v>466</v>
      </c>
      <c r="K88" s="933" t="s">
        <v>467</v>
      </c>
      <c r="L88" s="947">
        <v>61</v>
      </c>
    </row>
    <row r="89" spans="9:12">
      <c r="I89" s="946">
        <v>61</v>
      </c>
      <c r="J89" s="1606" t="s">
        <v>507</v>
      </c>
      <c r="K89" s="933" t="s">
        <v>508</v>
      </c>
      <c r="L89" s="944">
        <v>62</v>
      </c>
    </row>
    <row r="90" spans="9:12">
      <c r="I90" s="946">
        <v>62</v>
      </c>
      <c r="J90" s="1606" t="s">
        <v>475</v>
      </c>
      <c r="K90" s="933" t="s">
        <v>476</v>
      </c>
      <c r="L90" s="944">
        <v>63</v>
      </c>
    </row>
    <row r="91" spans="9:12">
      <c r="I91" s="946">
        <v>63</v>
      </c>
      <c r="J91" s="1606" t="s">
        <v>545</v>
      </c>
      <c r="K91" s="933" t="s">
        <v>546</v>
      </c>
      <c r="L91" s="947">
        <v>64</v>
      </c>
    </row>
    <row r="92" spans="9:12">
      <c r="I92" s="946">
        <v>64</v>
      </c>
      <c r="J92" s="1606" t="s">
        <v>399</v>
      </c>
      <c r="K92" s="933" t="s">
        <v>400</v>
      </c>
      <c r="L92" s="944">
        <v>65</v>
      </c>
    </row>
    <row r="93" spans="9:12">
      <c r="I93" s="946">
        <v>65</v>
      </c>
      <c r="J93" s="1606" t="s">
        <v>504</v>
      </c>
      <c r="K93" s="933" t="s">
        <v>505</v>
      </c>
      <c r="L93" s="944">
        <v>66</v>
      </c>
    </row>
    <row r="94" spans="9:12">
      <c r="I94" s="946">
        <v>66</v>
      </c>
      <c r="J94" s="1606" t="s">
        <v>490</v>
      </c>
      <c r="K94" s="933" t="s">
        <v>491</v>
      </c>
      <c r="L94" s="947">
        <v>67</v>
      </c>
    </row>
    <row r="95" spans="9:12">
      <c r="I95" s="946">
        <v>67</v>
      </c>
      <c r="J95" s="1606" t="s">
        <v>511</v>
      </c>
      <c r="K95" s="933" t="s">
        <v>512</v>
      </c>
      <c r="L95" s="944">
        <v>68</v>
      </c>
    </row>
    <row r="96" spans="9:12">
      <c r="I96" s="946">
        <v>68</v>
      </c>
      <c r="J96" s="1606" t="s">
        <v>1738</v>
      </c>
      <c r="K96" s="933" t="s">
        <v>477</v>
      </c>
      <c r="L96" s="944">
        <v>69</v>
      </c>
    </row>
    <row r="97" spans="9:12">
      <c r="I97" s="946">
        <v>69</v>
      </c>
      <c r="J97" s="1613" t="s">
        <v>498</v>
      </c>
      <c r="K97" s="1255" t="s">
        <v>499</v>
      </c>
      <c r="L97" s="947">
        <v>70</v>
      </c>
    </row>
    <row r="98" spans="9:12">
      <c r="I98" s="946">
        <v>70</v>
      </c>
      <c r="J98" s="1606" t="s">
        <v>549</v>
      </c>
      <c r="K98" s="933" t="s">
        <v>550</v>
      </c>
      <c r="L98" s="944">
        <v>71</v>
      </c>
    </row>
    <row r="99" spans="9:12">
      <c r="I99" s="946">
        <v>71</v>
      </c>
      <c r="J99" s="1606" t="s">
        <v>480</v>
      </c>
      <c r="K99" s="933" t="s">
        <v>481</v>
      </c>
      <c r="L99" s="944">
        <v>72</v>
      </c>
    </row>
    <row r="100" spans="9:12">
      <c r="I100" s="946">
        <v>72</v>
      </c>
      <c r="J100" s="1606" t="s">
        <v>441</v>
      </c>
      <c r="K100" s="933" t="s">
        <v>442</v>
      </c>
      <c r="L100" s="947">
        <v>73</v>
      </c>
    </row>
    <row r="101" spans="9:12">
      <c r="I101" s="946">
        <v>73</v>
      </c>
      <c r="J101" s="1606" t="s">
        <v>444</v>
      </c>
      <c r="K101" s="933" t="s">
        <v>445</v>
      </c>
      <c r="L101" s="944">
        <v>74</v>
      </c>
    </row>
    <row r="102" spans="9:12">
      <c r="I102" s="946">
        <v>74</v>
      </c>
      <c r="J102" s="1606" t="s">
        <v>516</v>
      </c>
      <c r="K102" s="933" t="s">
        <v>517</v>
      </c>
      <c r="L102" s="944">
        <v>75</v>
      </c>
    </row>
    <row r="103" spans="9:12">
      <c r="I103" s="946">
        <v>75</v>
      </c>
      <c r="J103" s="1614" t="s">
        <v>1939</v>
      </c>
      <c r="K103" s="1183" t="s">
        <v>589</v>
      </c>
      <c r="L103" s="947">
        <v>76</v>
      </c>
    </row>
    <row r="104" spans="9:12">
      <c r="I104" s="946">
        <v>76</v>
      </c>
      <c r="J104" s="1615" t="s">
        <v>388</v>
      </c>
      <c r="K104" s="1184" t="s">
        <v>389</v>
      </c>
      <c r="L104" s="944">
        <v>77</v>
      </c>
    </row>
    <row r="105" spans="9:12">
      <c r="I105" s="946">
        <v>77</v>
      </c>
      <c r="J105" s="1609" t="s">
        <v>368</v>
      </c>
      <c r="K105" s="932" t="s">
        <v>369</v>
      </c>
      <c r="L105" s="944">
        <v>78</v>
      </c>
    </row>
    <row r="106" spans="9:12">
      <c r="I106" s="946">
        <v>78</v>
      </c>
      <c r="J106" s="1606" t="s">
        <v>501</v>
      </c>
      <c r="K106" s="933" t="s">
        <v>502</v>
      </c>
      <c r="L106" s="947">
        <v>79</v>
      </c>
    </row>
    <row r="107" spans="9:12">
      <c r="I107" s="946">
        <v>79</v>
      </c>
      <c r="J107" s="1606" t="s">
        <v>487</v>
      </c>
      <c r="K107" s="933" t="s">
        <v>488</v>
      </c>
      <c r="L107" s="944">
        <v>80</v>
      </c>
    </row>
    <row r="108" spans="9:12">
      <c r="I108" s="946">
        <v>80</v>
      </c>
      <c r="J108" s="1606" t="s">
        <v>3763</v>
      </c>
      <c r="K108" s="933" t="s">
        <v>3764</v>
      </c>
      <c r="L108" s="944">
        <v>81</v>
      </c>
    </row>
    <row r="109" spans="9:12">
      <c r="I109" s="946">
        <v>81</v>
      </c>
      <c r="J109" s="1616" t="s">
        <v>3765</v>
      </c>
      <c r="K109" s="933" t="s">
        <v>3766</v>
      </c>
      <c r="L109" s="947">
        <v>82</v>
      </c>
    </row>
    <row r="110" spans="9:12">
      <c r="I110" s="946">
        <v>82</v>
      </c>
      <c r="J110" s="1617" t="s">
        <v>3765</v>
      </c>
      <c r="K110" s="1437" t="s">
        <v>3766</v>
      </c>
      <c r="L110" s="944">
        <v>83</v>
      </c>
    </row>
    <row r="111" spans="9:12">
      <c r="I111" s="946">
        <v>83</v>
      </c>
      <c r="J111" s="1617" t="s">
        <v>3763</v>
      </c>
      <c r="K111" s="1437" t="s">
        <v>3764</v>
      </c>
      <c r="L111" s="947">
        <v>84</v>
      </c>
    </row>
    <row r="112" spans="9:12">
      <c r="I112" s="946">
        <v>84</v>
      </c>
      <c r="J112" s="1617" t="s">
        <v>3783</v>
      </c>
      <c r="K112" s="1437" t="s">
        <v>3782</v>
      </c>
      <c r="L112" s="944">
        <v>85</v>
      </c>
    </row>
    <row r="113" spans="9:12">
      <c r="I113" s="946">
        <v>85</v>
      </c>
      <c r="J113" s="1617" t="s">
        <v>3785</v>
      </c>
      <c r="K113" s="1437" t="s">
        <v>3784</v>
      </c>
      <c r="L113" s="947">
        <v>86</v>
      </c>
    </row>
    <row r="114" spans="9:12">
      <c r="I114" s="946">
        <v>86</v>
      </c>
      <c r="J114" s="1617" t="s">
        <v>437</v>
      </c>
      <c r="K114" s="1437" t="s">
        <v>3786</v>
      </c>
      <c r="L114" s="944">
        <v>87</v>
      </c>
    </row>
    <row r="115" spans="9:12">
      <c r="I115" s="946">
        <v>87</v>
      </c>
      <c r="J115" s="1617" t="s">
        <v>3773</v>
      </c>
      <c r="K115" s="1437" t="s">
        <v>3787</v>
      </c>
      <c r="L115" s="947">
        <v>88</v>
      </c>
    </row>
    <row r="116" spans="9:12">
      <c r="I116" s="946">
        <v>88</v>
      </c>
      <c r="J116" s="1618" t="s">
        <v>3789</v>
      </c>
      <c r="K116" s="1438" t="s">
        <v>3788</v>
      </c>
      <c r="L116" s="944">
        <v>89</v>
      </c>
    </row>
    <row r="117" spans="9:12">
      <c r="I117" s="946">
        <v>89</v>
      </c>
      <c r="J117" s="1617" t="s">
        <v>3791</v>
      </c>
      <c r="K117" s="1437" t="s">
        <v>3790</v>
      </c>
      <c r="L117" s="947">
        <v>90</v>
      </c>
    </row>
    <row r="118" spans="9:12">
      <c r="I118" s="946">
        <v>90</v>
      </c>
      <c r="J118" s="1617" t="s">
        <v>1738</v>
      </c>
      <c r="K118" s="1437" t="s">
        <v>477</v>
      </c>
      <c r="L118" s="944">
        <v>91</v>
      </c>
    </row>
    <row r="119" spans="9:12">
      <c r="I119" s="946">
        <v>91</v>
      </c>
      <c r="J119" s="1617" t="s">
        <v>480</v>
      </c>
      <c r="K119" s="1437" t="s">
        <v>481</v>
      </c>
      <c r="L119" s="947">
        <v>92</v>
      </c>
    </row>
    <row r="120" spans="9:12">
      <c r="I120" s="946">
        <v>92</v>
      </c>
      <c r="J120" s="1617" t="s">
        <v>482</v>
      </c>
      <c r="K120" s="1437" t="s">
        <v>483</v>
      </c>
      <c r="L120" s="944">
        <v>93</v>
      </c>
    </row>
    <row r="121" spans="9:12">
      <c r="I121" s="946">
        <v>93</v>
      </c>
      <c r="J121" s="1617" t="s">
        <v>3792</v>
      </c>
      <c r="K121" s="1437" t="s">
        <v>485</v>
      </c>
      <c r="L121" s="947">
        <v>94</v>
      </c>
    </row>
    <row r="122" spans="9:12">
      <c r="I122" s="946">
        <v>94</v>
      </c>
      <c r="J122" s="1617" t="s">
        <v>3794</v>
      </c>
      <c r="K122" s="1437" t="s">
        <v>3793</v>
      </c>
      <c r="L122" s="944">
        <v>95</v>
      </c>
    </row>
    <row r="123" spans="9:12">
      <c r="I123" s="946">
        <v>95</v>
      </c>
      <c r="J123" s="1617" t="s">
        <v>495</v>
      </c>
      <c r="K123" s="1437" t="s">
        <v>496</v>
      </c>
      <c r="L123" s="947">
        <v>96</v>
      </c>
    </row>
    <row r="124" spans="9:12">
      <c r="I124" s="946">
        <v>96</v>
      </c>
      <c r="J124" s="1617" t="s">
        <v>498</v>
      </c>
      <c r="K124" s="1437" t="s">
        <v>499</v>
      </c>
      <c r="L124" s="944">
        <v>97</v>
      </c>
    </row>
    <row r="125" spans="9:12">
      <c r="I125" s="946">
        <v>97</v>
      </c>
      <c r="J125" s="1617" t="s">
        <v>2584</v>
      </c>
      <c r="K125" s="1437" t="s">
        <v>2585</v>
      </c>
      <c r="L125" s="947">
        <v>98</v>
      </c>
    </row>
    <row r="126" spans="9:12">
      <c r="I126" s="946">
        <v>98</v>
      </c>
      <c r="J126" s="1617" t="s">
        <v>3796</v>
      </c>
      <c r="K126" s="1437" t="s">
        <v>3795</v>
      </c>
      <c r="L126" s="944">
        <v>99</v>
      </c>
    </row>
    <row r="127" spans="9:12">
      <c r="I127" s="946">
        <v>99</v>
      </c>
      <c r="J127" s="1619" t="s">
        <v>2588</v>
      </c>
      <c r="K127" s="1439" t="s">
        <v>2587</v>
      </c>
      <c r="L127" s="947">
        <v>100</v>
      </c>
    </row>
    <row r="128" spans="9:12">
      <c r="I128" s="946">
        <v>100</v>
      </c>
      <c r="J128" s="1609" t="s">
        <v>4869</v>
      </c>
      <c r="K128" s="1439">
        <v>515447035</v>
      </c>
      <c r="L128" s="944">
        <v>101</v>
      </c>
    </row>
    <row r="129" spans="9:12">
      <c r="I129" s="946">
        <v>101</v>
      </c>
      <c r="J129" s="1613"/>
      <c r="K129" s="1255"/>
      <c r="L129" s="947">
        <v>102</v>
      </c>
    </row>
    <row r="130" spans="9:12">
      <c r="I130" s="946">
        <v>102</v>
      </c>
      <c r="J130" s="1609"/>
      <c r="K130" s="932"/>
      <c r="L130" s="944">
        <v>103</v>
      </c>
    </row>
    <row r="131" spans="9:12">
      <c r="I131" s="946">
        <v>103</v>
      </c>
      <c r="J131" s="1606"/>
      <c r="K131" s="933"/>
      <c r="L131" s="947">
        <v>104</v>
      </c>
    </row>
    <row r="132" spans="9:12">
      <c r="I132" s="946">
        <v>104</v>
      </c>
      <c r="J132" s="1606"/>
      <c r="K132" s="933"/>
      <c r="L132" s="944">
        <v>105</v>
      </c>
    </row>
    <row r="133" spans="9:12">
      <c r="I133" s="946">
        <v>105</v>
      </c>
      <c r="J133" s="1606"/>
      <c r="K133" s="933"/>
      <c r="L133" s="947">
        <v>106</v>
      </c>
    </row>
    <row r="134" spans="9:12">
      <c r="I134" s="946">
        <v>106</v>
      </c>
      <c r="J134" s="1606"/>
      <c r="K134" s="933"/>
      <c r="L134" s="947">
        <v>107</v>
      </c>
    </row>
    <row r="135" spans="9:12">
      <c r="I135" s="946">
        <v>107</v>
      </c>
      <c r="J135" s="1606"/>
      <c r="K135" s="933"/>
      <c r="L135" s="944">
        <v>108</v>
      </c>
    </row>
    <row r="136" spans="9:12">
      <c r="I136" s="946">
        <v>108</v>
      </c>
      <c r="J136" s="1606"/>
      <c r="K136" s="933"/>
      <c r="L136" s="944">
        <v>109</v>
      </c>
    </row>
    <row r="137" spans="9:12">
      <c r="I137" s="946">
        <v>109</v>
      </c>
      <c r="J137" s="1606"/>
      <c r="K137" s="933"/>
      <c r="L137" s="947">
        <v>110</v>
      </c>
    </row>
    <row r="138" spans="9:12">
      <c r="J138" s="1620"/>
      <c r="K138" s="1360"/>
    </row>
    <row r="139" spans="9:12">
      <c r="J139" s="1606"/>
    </row>
    <row r="140" spans="9:12">
      <c r="J140" s="1606"/>
    </row>
  </sheetData>
  <sheetProtection password="F815" sheet="1" objects="1" scenarios="1"/>
  <mergeCells count="8">
    <mergeCell ref="B61:F61"/>
    <mergeCell ref="B62:F62"/>
    <mergeCell ref="B63:F63"/>
    <mergeCell ref="B1:C1"/>
    <mergeCell ref="J14:K14"/>
    <mergeCell ref="B60:F60"/>
    <mergeCell ref="E3:E4"/>
    <mergeCell ref="D1:D4"/>
  </mergeCells>
  <conditionalFormatting sqref="F1">
    <cfRule type="cellIs" dxfId="0" priority="3" stopIfTrue="1" operator="notEqual">
      <formula>" "</formula>
    </cfRule>
  </conditionalFormatting>
  <dataValidations count="1">
    <dataValidation type="list" allowBlank="1" showInputMessage="1" showErrorMessage="1" sqref="K4">
      <formula1>list_dates</formula1>
    </dataValidation>
  </dataValidations>
  <hyperlinks>
    <hyperlink ref="J1" location="contents" display="לתוכן עניינים"/>
    <hyperlink ref="B1:C1" location="pick_a_name" display="לבחור שם חברה"/>
    <hyperlink ref="E1" location="Information!A1" display="חזרה"/>
    <hyperlink ref="E6:F6" location="'11'!A1" display="'11'!A1"/>
    <hyperlink ref="E7:F7" location="'13'!A1" display="'13'!A1"/>
    <hyperlink ref="F6" location="ט106" display="ט' 106 מפורט ליום הדו&quot;ח  "/>
    <hyperlink ref="E6" location="ט106" display="ט106"/>
    <hyperlink ref="F7" location="ט106נ" display="ט' 106, נספח 2 - חישוב נכסים נזילים "/>
    <hyperlink ref="E7" location="ט106נ" display="ט106נ"/>
    <hyperlink ref="E10:F10" location="'19A'!A1" display="19A"/>
    <hyperlink ref="E9:F9" location="'19'!A1" display="'19'!A1"/>
    <hyperlink ref="F9" location="ט101נ" display="גיליון הקלדת נתונים"/>
    <hyperlink ref="E9" location="ט101נ" display="T101_N"/>
    <hyperlink ref="F10" location="ט101" display="ט' 101 - הון נדרש"/>
    <hyperlink ref="E10" location="ט101" display="T101"/>
    <hyperlink ref="B20:C20" location="'B8'!A1" display="B8A"/>
    <hyperlink ref="B21:C21" location="'B8'!A25" display="B8A"/>
    <hyperlink ref="C21" location="'B8'!A28" display="באור 8ב' - חברות מוחזקות המטופלות לפי שיטת השווי המאזני - תמצית נתונים"/>
    <hyperlink ref="B22:C22" location="'B8'!A35" display="B8A"/>
    <hyperlink ref="B23:C23" location="'B8'!A34" display="B8A"/>
    <hyperlink ref="C24" location="'B8'!A35" display="B8A"/>
    <hyperlink ref="B24:C24" location="'B8'!A42" display="B8A"/>
    <hyperlink ref="B25:C25" location="'B9'!A1" display="B9"/>
    <hyperlink ref="B26:C26" location="'B9'!A31" display="B9"/>
    <hyperlink ref="C30" location="'B9'!A1" display="B9"/>
    <hyperlink ref="C31" location="'B9'!A25" display="B9"/>
    <hyperlink ref="B30:C30" location="B11A!A1" display="B11A"/>
    <hyperlink ref="C32" location="'B9'!A25" display="B9"/>
    <hyperlink ref="B31" location="'B11'!A1" display="B11"/>
    <hyperlink ref="B32" location="'B11'!A1" display="B11"/>
    <hyperlink ref="B32:C32" location="B11B!A1" display="B11B"/>
    <hyperlink ref="B31:C31" location="B11A!A35" display="B11A"/>
    <hyperlink ref="B33:C33" location="B11B!A24" display="B11B"/>
    <hyperlink ref="B34" location="B11B!A24" display="B11B"/>
    <hyperlink ref="B34:C34" location="B11B!A36" display="B11B"/>
    <hyperlink ref="C35" location="B11B!A36" display="B11B"/>
    <hyperlink ref="B35" location="B11B!A24" display="B11B"/>
    <hyperlink ref="B35:C35" location="B11B!A61" display="B11B"/>
    <hyperlink ref="C36" location="B11B!A36" display="B11B"/>
    <hyperlink ref="B36" location="B11B!A24" display="B11B"/>
    <hyperlink ref="B36:C36" location="B11B!A78" display="B11B"/>
    <hyperlink ref="C37" location="B11B!A36" display="B11B"/>
    <hyperlink ref="B37" location="B11B!A24" display="B11B"/>
    <hyperlink ref="B37:C37" location="B11B!A89" display="B11B"/>
    <hyperlink ref="C38" location="B11B!A36" display="B11B"/>
    <hyperlink ref="B38" location="B11B!A24" display="B11B"/>
    <hyperlink ref="B38:C38" location="B11C!A5" display="B11C"/>
    <hyperlink ref="C39" location="B11B!A36" display="B11B"/>
    <hyperlink ref="B39" location="B11B!A24" display="B11B"/>
    <hyperlink ref="B39:C39" location="B11C!A25" display="B11C"/>
    <hyperlink ref="B43" location="'B12'!A1" display="B12"/>
    <hyperlink ref="B42" location="B11B!A24" display="B11B"/>
    <hyperlink ref="B42:C42" location="B11C!A52" display="B11C"/>
    <hyperlink ref="B44" location="'B12'!A1" display="B12"/>
    <hyperlink ref="B43:C43" location="'B13'!A1" display="B12"/>
    <hyperlink ref="B44:C44" location="'B13'!A24" display="B12"/>
    <hyperlink ref="B45:C45" location="'B14'!A1" display="B14"/>
    <hyperlink ref="B46:C46" location="'B14'!A25" display="B14"/>
    <hyperlink ref="B47" location="'B14'!A25" display="B14"/>
    <hyperlink ref="B48" location="'B14'!A25" display="B14"/>
    <hyperlink ref="B47:C47" location="'B14'!A51" display="B14"/>
    <hyperlink ref="B48:C48" location="'B14'!A61" display="B14"/>
    <hyperlink ref="E19:F19" location="'B16'!A1" display="B16"/>
    <hyperlink ref="E20:F20" location="'B17'!A1" display="B17"/>
    <hyperlink ref="E21:F21" location="'B17'!A31" display="B17"/>
    <hyperlink ref="E22" location="'B17'!A31" display="B17"/>
    <hyperlink ref="E23" location="'B17'!A31" display="B17"/>
    <hyperlink ref="E22:F22" location="'B17'!A39" display="B17"/>
    <hyperlink ref="E23:F23" location="'B17'!A59" display="B17"/>
    <hyperlink ref="E25" location="'B17'!A31" display="B17"/>
    <hyperlink ref="E25:F25" location="'B17'!A91" display="B17"/>
    <hyperlink ref="E24" location="'B17'!A31" display="B17"/>
    <hyperlink ref="E24:F24" location="'B17'!A80" display="B17"/>
    <hyperlink ref="E26:F26" location="'B17'!A100" display="B17"/>
    <hyperlink ref="E27:F27" location="'B17'!A112" display="B17"/>
    <hyperlink ref="E30:F30" location="'B18'!A1" display="B18"/>
    <hyperlink ref="E31:F31" location="'B18'!A31" display="B18"/>
    <hyperlink ref="E32" location="'B18'!A31" display="B18"/>
    <hyperlink ref="E32:F32" location="'B18'!A44" display="B18"/>
    <hyperlink ref="E33:F33" location="'B20'!A1" display="B20"/>
    <hyperlink ref="E34:F34" location="'B22'!A1" display="B22"/>
    <hyperlink ref="E35:F35" location="'B22'!A25" display="B22"/>
    <hyperlink ref="E36" location="'B22'!A25" display="B22"/>
    <hyperlink ref="E37" location="'B22'!A25" display="B22"/>
    <hyperlink ref="E36:F36" location="'B22'!A36" display="B22"/>
    <hyperlink ref="E37:F37" location="'B22'!A46" display="B22"/>
    <hyperlink ref="E38:F38" location="'B26'!A1" display="B26"/>
    <hyperlink ref="E39:F39" location="'B26'!A27" display="B26"/>
    <hyperlink ref="E40:F40" location="'B26'!A47" display="B26"/>
    <hyperlink ref="E41:F41" location="'B26'!A57" display="B26"/>
    <hyperlink ref="E42:F42" location="B27A!A1" display="B27A"/>
    <hyperlink ref="E43:F43" location="B27A!A17" display="B27A"/>
    <hyperlink ref="E44:F44" location="B27B!A1" display="B27B"/>
    <hyperlink ref="E45:F45" location="B27B!A46" display="B27B"/>
    <hyperlink ref="E46:F46" location="B27B!A54" display="B27B"/>
    <hyperlink ref="E47:F47" location="B27C1!A1" display="B27C1"/>
    <hyperlink ref="E48:F48" location="B27C2!A1" display="B27C2"/>
    <hyperlink ref="E49" location="B27C1!A1" display="B27C1"/>
    <hyperlink ref="E50" location="B27C2!A1" display="B27C2"/>
    <hyperlink ref="E49:F49" location="B27C3!A1" display="B27C3"/>
    <hyperlink ref="E50:F50" location="B27C4!A1" display="B27C4"/>
    <hyperlink ref="B9:C9" location="'S1'!A1" display="S1"/>
    <hyperlink ref="B10:C10" location="'S2'!A1" display="S2"/>
    <hyperlink ref="B11:C11" location="'S3'!A1" display="S3"/>
    <hyperlink ref="B6:C6" location="'1'!A1" display="'1'!A1"/>
    <hyperlink ref="B7:C7" location="'2'!A1" display="'2'!A1"/>
    <hyperlink ref="B8:C8" location="'3'!A1" display="'3'!A1"/>
    <hyperlink ref="B16:C16" location="'B5'!A1" display="B5"/>
    <hyperlink ref="B12:C12" location="B3.1A!A1" display="B3.1A"/>
    <hyperlink ref="B13:C13" location="B3.1B!A1" display="B3.1B"/>
    <hyperlink ref="B14:C14" location="B3.1C!A1" display="B3.1C"/>
    <hyperlink ref="B17:C17" location="'B6'!A1" display="B6"/>
    <hyperlink ref="B18:C18" location="'B6'!A13" display="B6"/>
    <hyperlink ref="B19:C19" location="'B7'!A1" display="B7"/>
    <hyperlink ref="B29:C29" location="'B10'!A1" display="B10"/>
    <hyperlink ref="I15" location="T101_N!S122" display="index"/>
    <hyperlink ref="I16" location="Information!K23" display="List of Fund Mangers"/>
    <hyperlink ref="I17" location="List_Kupot" display="Kupot"/>
    <hyperlink ref="K24" location="Information!A1" display="חזרה"/>
    <hyperlink ref="F2" location="'1'!D48" display="אישור רו&quot;ח"/>
    <hyperlink ref="F4" r:id="rId1" display="דוחות הכספיים של חברות מנהלות - חוזר 2012-9-11"/>
    <hyperlink ref="F3" r:id="rId2" display="דוחות הכספיים של חברות מנהלות - חוזר 2012-9-11"/>
    <hyperlink ref="F11" location="T101_N!E90" display="T101_N!E90"/>
    <hyperlink ref="E14:F14" location="Gen_Int!A1" display="Gen_Int"/>
    <hyperlink ref="E13:F13" location="SmBal!A1" display="SmBal"/>
    <hyperlink ref="C41" location="'B9'!A25" display="B9"/>
    <hyperlink ref="B41:C41" location="B11R!A25" display="B11R"/>
    <hyperlink ref="B15:C15" location="SB3.1A!A1" display="SB3.1A"/>
    <hyperlink ref="B40" location="B11B!A24" display="B11B"/>
    <hyperlink ref="C40" location="B11B!A36" display="B11B"/>
    <hyperlink ref="B40:C40" location="B11C!A36" display="B11C"/>
    <hyperlink ref="E28" location="'B17'!A112" display="B17"/>
    <hyperlink ref="E29" location="'B17'!A112" display="B17"/>
    <hyperlink ref="E28:F28" location="'B17'!A112" display="B17"/>
    <hyperlink ref="E29:F29" location="'B17'!A112" display="B17"/>
    <hyperlink ref="B27" location="'B9'!A31" display="B9"/>
    <hyperlink ref="B28" location="'B9'!A31" display="B9"/>
    <hyperlink ref="B28:C28" location="'B9'!A31" display="B9"/>
    <hyperlink ref="B27:C27" location="'B9'!A31" display="B9"/>
    <hyperlink ref="E12:F12" location="'107'!A1" display="T107"/>
    <hyperlink ref="E15:F15" location="'T16'!A1" display="T16"/>
    <hyperlink ref="C4" location="Information!A60" display="הערות - אם יש אישורים מיוחדים הסברים יש לרשום בהערות"/>
    <hyperlink ref="B53:C53" location="Dir1A!A1" display="Dir1"/>
    <hyperlink ref="B54:C54" location="'Dir2'!A1" display="Dir2"/>
    <hyperlink ref="C55" location="'Dir2'!A40" display="Dir4"/>
    <hyperlink ref="H13" r:id="rId3"/>
    <hyperlink ref="E16:F16" location="'T18'!A1" display="T18"/>
  </hyperlinks>
  <printOptions horizontalCentered="1"/>
  <pageMargins left="0" right="0" top="0.734251969" bottom="0.984251969" header="0.261811024" footer="0.261811024"/>
  <pageSetup paperSize="9" scale="74" orientation="portrait" horizontalDpi="300" verticalDpi="300" r:id="rId4"/>
  <headerFooter alignWithMargins="0">
    <oddFooter>&amp;L&amp;Z&amp;F&amp;C&amp;A&amp;R&amp;D</oddFooter>
  </headerFooter>
  <drawing r:id="rId5"/>
  <legacyDrawing r:id="rId6"/>
  <mc:AlternateContent xmlns:mc="http://schemas.openxmlformats.org/markup-compatibility/2006">
    <mc:Choice Requires="x14">
      <controls>
        <mc:AlternateContent xmlns:mc="http://schemas.openxmlformats.org/markup-compatibility/2006">
          <mc:Choice Requires="x14">
            <control shapeId="2049" r:id="rId7" name="List Box 1">
              <controlPr defaultSize="0" autoFill="0" autoLine="0" autoPict="0">
                <anchor moveWithCells="1">
                  <from>
                    <xdr:col>9</xdr:col>
                    <xdr:colOff>374650</xdr:colOff>
                    <xdr:row>2</xdr:row>
                    <xdr:rowOff>0</xdr:rowOff>
                  </from>
                  <to>
                    <xdr:col>10</xdr:col>
                    <xdr:colOff>222250</xdr:colOff>
                    <xdr:row>7</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j92457fac7d145f98e698f5712f6a6a4 xmlns="a46656d4-8850-49b3-aebd-68bd05f7f43d">
      <Terms xmlns="http://schemas.microsoft.com/office/infopath/2007/PartnerControls"/>
    </j92457fac7d145f98e698f5712f6a6a4>
    <TaxCatchAll xmlns="a46656d4-8850-49b3-aebd-68bd05f7f43d"/>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kb4cc1381c4248d7a2dfa3f1be0c86c0 xmlns="a46656d4-8850-49b3-aebd-68bd05f7f43d">
      <Terms xmlns="http://schemas.microsoft.com/office/infopath/2007/PartnerControls"/>
    </kb4cc1381c4248d7a2dfa3f1be0c86c0>
    <o80fb9e8b9d445b0bb174fdcd68ee89c xmlns="a46656d4-8850-49b3-aebd-68bd05f7f43d">
      <Terms xmlns="http://schemas.microsoft.com/office/infopath/2007/PartnerControls"/>
    </o80fb9e8b9d445b0bb174fdcd68ee89c>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l34dc5595392493c8311535275827f74 xmlns="a46656d4-8850-49b3-aebd-68bd05f7f43d">
      <Terms xmlns="http://schemas.microsoft.com/office/infopath/2007/PartnerControls"/>
    </l34dc5595392493c8311535275827f74>
    <ia53b9f18d984e01914f4b79710425b7 xmlns="a46656d4-8850-49b3-aebd-68bd05f7f43d">
      <Terms xmlns="http://schemas.microsoft.com/office/infopath/2007/PartnerControls"/>
    </ia53b9f18d984e01914f4b79710425b7>
    <MofYear xmlns="a46656d4-8850-49b3-aebd-68bd05f7f43d" xsi:nil="true"/>
    <b76e59bb9f5947a781773f53cc6e9460 xmlns="a46656d4-8850-49b3-aebd-68bd05f7f43d">
      <Terms xmlns="http://schemas.microsoft.com/office/infopath/2007/PartnerControls"/>
    </b76e59bb9f5947a781773f53cc6e9460>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1F5F5CFC0ED2164DBE963B4B1571B22B" ma:contentTypeVersion="0" ma:contentTypeDescription="צור מסמך חדש." ma:contentTypeScope="" ma:versionID="9941404c9c18401de7ae30ea29eb7fcf">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28bb417b1ff08cbbe2ba8b70ce2cc845"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element ref="ns2:Mof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tru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element name="MofYear" ma:index="34" nillable="true" ma:displayName="שנה" ma:list="{127dbbc6-1496-495a-b17d-5ad6ee394163}" ma:internalName="MofYear" ma:readOnly="false" ma:showField="Title" ma:web="a46656d4-8850-49b3-aebd-68bd05f7f43d">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37A8C1-006E-4C9C-A82E-5BEE3AEECCD2}">
  <ds:schemaRefs>
    <ds:schemaRef ds:uri="http://schemas.microsoft.com/sharepoint/v3/contenttype/forms"/>
  </ds:schemaRefs>
</ds:datastoreItem>
</file>

<file path=customXml/itemProps2.xml><?xml version="1.0" encoding="utf-8"?>
<ds:datastoreItem xmlns:ds="http://schemas.openxmlformats.org/officeDocument/2006/customXml" ds:itemID="{8A9867BA-D96C-482B-A9EB-DB135DE770A4}">
  <ds:schemaRefs>
    <ds:schemaRef ds:uri="http://schemas.microsoft.com/office/2006/metadata/properties"/>
    <ds:schemaRef ds:uri="http://schemas.microsoft.com/office/2006/documentManagement/types"/>
    <ds:schemaRef ds:uri="http://schemas.microsoft.com/sharepoint/v3"/>
    <ds:schemaRef ds:uri="http://purl.org/dc/elements/1.1/"/>
    <ds:schemaRef ds:uri="http://schemas.openxmlformats.org/package/2006/metadata/core-properties"/>
    <ds:schemaRef ds:uri="http://purl.org/dc/terms/"/>
    <ds:schemaRef ds:uri="http://schemas.microsoft.com/office/infopath/2007/PartnerControls"/>
    <ds:schemaRef ds:uri="a46656d4-8850-49b3-aebd-68bd05f7f43d"/>
    <ds:schemaRef ds:uri="http://www.w3.org/XML/1998/namespace"/>
    <ds:schemaRef ds:uri="http://purl.org/dc/dcmitype/"/>
  </ds:schemaRefs>
</ds:datastoreItem>
</file>

<file path=customXml/itemProps3.xml><?xml version="1.0" encoding="utf-8"?>
<ds:datastoreItem xmlns:ds="http://schemas.openxmlformats.org/officeDocument/2006/customXml" ds:itemID="{CBB963BA-5B74-48BE-9A81-F09F60F6E6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57</vt:i4>
      </vt:variant>
      <vt:variant>
        <vt:lpstr>טווחים בעלי שם</vt:lpstr>
      </vt:variant>
      <vt:variant>
        <vt:i4>172</vt:i4>
      </vt:variant>
    </vt:vector>
  </HeadingPairs>
  <TitlesOfParts>
    <vt:vector size="229" baseType="lpstr">
      <vt:lpstr>Kupot_Updated</vt:lpstr>
      <vt:lpstr>SmBal</vt:lpstr>
      <vt:lpstr>T101</vt:lpstr>
      <vt:lpstr>T101_N</vt:lpstr>
      <vt:lpstr>106N</vt:lpstr>
      <vt:lpstr>106</vt:lpstr>
      <vt:lpstr>107</vt:lpstr>
      <vt:lpstr>הנחיות למילוי הקובץ T18</vt:lpstr>
      <vt:lpstr>T18</vt:lpstr>
      <vt:lpstr>T16 הנחיות</vt:lpstr>
      <vt:lpstr>T16</vt:lpstr>
      <vt:lpstr>Gen_Int</vt:lpstr>
      <vt:lpstr>Dir2</vt:lpstr>
      <vt:lpstr>Dir1C</vt:lpstr>
      <vt:lpstr>Dir1B</vt:lpstr>
      <vt:lpstr>Dir1A</vt:lpstr>
      <vt:lpstr>SB3.1A</vt:lpstr>
      <vt:lpstr>S3</vt:lpstr>
      <vt:lpstr>S2</vt:lpstr>
      <vt:lpstr>S1</vt:lpstr>
      <vt:lpstr>B28</vt:lpstr>
      <vt:lpstr>B27D</vt:lpstr>
      <vt:lpstr>B27C4</vt:lpstr>
      <vt:lpstr>B27C3</vt:lpstr>
      <vt:lpstr>B27C2</vt:lpstr>
      <vt:lpstr>B27C1</vt:lpstr>
      <vt:lpstr>B27B</vt:lpstr>
      <vt:lpstr>B27A</vt:lpstr>
      <vt:lpstr>B26</vt:lpstr>
      <vt:lpstr>B22</vt:lpstr>
      <vt:lpstr>B20</vt:lpstr>
      <vt:lpstr>B18</vt:lpstr>
      <vt:lpstr>B17</vt:lpstr>
      <vt:lpstr>B16</vt:lpstr>
      <vt:lpstr>B15</vt:lpstr>
      <vt:lpstr>B14</vt:lpstr>
      <vt:lpstr>B13</vt:lpstr>
      <vt:lpstr>B11R</vt:lpstr>
      <vt:lpstr>B11C</vt:lpstr>
      <vt:lpstr>B11B</vt:lpstr>
      <vt:lpstr>B11A</vt:lpstr>
      <vt:lpstr>B10</vt:lpstr>
      <vt:lpstr>B9</vt:lpstr>
      <vt:lpstr>B8</vt:lpstr>
      <vt:lpstr>B7</vt:lpstr>
      <vt:lpstr>B6</vt:lpstr>
      <vt:lpstr>B5</vt:lpstr>
      <vt:lpstr>B3.1C</vt:lpstr>
      <vt:lpstr>B3.1B</vt:lpstr>
      <vt:lpstr>B3.1A</vt:lpstr>
      <vt:lpstr>3</vt:lpstr>
      <vt:lpstr>2</vt:lpstr>
      <vt:lpstr>1</vt:lpstr>
      <vt:lpstr>CHECKS</vt:lpstr>
      <vt:lpstr>Corrections</vt:lpstr>
      <vt:lpstr>Updates</vt:lpstr>
      <vt:lpstr>Information</vt:lpstr>
      <vt:lpstr>'B8'!_ftn1</vt:lpstr>
      <vt:lpstr>'B20'!_ftn3</vt:lpstr>
      <vt:lpstr>'B20'!_ftn4</vt:lpstr>
      <vt:lpstr>'B20'!_ftn5</vt:lpstr>
      <vt:lpstr>'B20'!_ftn6</vt:lpstr>
      <vt:lpstr>'B20'!_ftn7</vt:lpstr>
      <vt:lpstr>'B7'!_ftnref1</vt:lpstr>
      <vt:lpstr>Gen_Int!_ftnref1</vt:lpstr>
      <vt:lpstr>'B20'!_ftnref3</vt:lpstr>
      <vt:lpstr>'B22'!_ftnref3</vt:lpstr>
      <vt:lpstr>'B20'!_ftnref4</vt:lpstr>
      <vt:lpstr>'B22'!_ftnref4</vt:lpstr>
      <vt:lpstr>'B20'!_ftnref5</vt:lpstr>
      <vt:lpstr>'B20'!_ftnref6</vt:lpstr>
      <vt:lpstr>'B20'!_ftnref7</vt:lpstr>
      <vt:lpstr>Gen_Int!answer</vt:lpstr>
      <vt:lpstr>answer</vt:lpstr>
      <vt:lpstr>'T16'!B_List</vt:lpstr>
      <vt:lpstr>'T16'!Category</vt:lpstr>
      <vt:lpstr>'T16'!CH_List</vt:lpstr>
      <vt:lpstr>'T16'!Change</vt:lpstr>
      <vt:lpstr>B3.1A!company</vt:lpstr>
      <vt:lpstr>B3.1B!company</vt:lpstr>
      <vt:lpstr>B3.1C!company</vt:lpstr>
      <vt:lpstr>'B5'!company</vt:lpstr>
      <vt:lpstr>'B8'!company</vt:lpstr>
      <vt:lpstr>SB3.1A!company</vt:lpstr>
      <vt:lpstr>company</vt:lpstr>
      <vt:lpstr>'B5'!companyB</vt:lpstr>
      <vt:lpstr>companyB</vt:lpstr>
      <vt:lpstr>contents</vt:lpstr>
      <vt:lpstr>'B8'!date</vt:lpstr>
      <vt:lpstr>date</vt:lpstr>
      <vt:lpstr>Date1</vt:lpstr>
      <vt:lpstr>'B5'!date2</vt:lpstr>
      <vt:lpstr>Date2</vt:lpstr>
      <vt:lpstr>Date3</vt:lpstr>
      <vt:lpstr>Date4</vt:lpstr>
      <vt:lpstr>Discuss</vt:lpstr>
      <vt:lpstr>fund_type</vt:lpstr>
      <vt:lpstr>Groups</vt:lpstr>
      <vt:lpstr>B3.1A!line3</vt:lpstr>
      <vt:lpstr>B3.1B!line3</vt:lpstr>
      <vt:lpstr>B3.1C!line3</vt:lpstr>
      <vt:lpstr>'B5'!line3</vt:lpstr>
      <vt:lpstr>'B8'!line3</vt:lpstr>
      <vt:lpstr>SB3.1A!line3</vt:lpstr>
      <vt:lpstr>line3</vt:lpstr>
      <vt:lpstr>'T16'!Link</vt:lpstr>
      <vt:lpstr>List</vt:lpstr>
      <vt:lpstr>list_dates</vt:lpstr>
      <vt:lpstr>B3.1A!List_Liab</vt:lpstr>
      <vt:lpstr>B3.1C!List_Liab</vt:lpstr>
      <vt:lpstr>SB3.1A!List_Liab</vt:lpstr>
      <vt:lpstr>List_Liab</vt:lpstr>
      <vt:lpstr>list_managers</vt:lpstr>
      <vt:lpstr>List_Q</vt:lpstr>
      <vt:lpstr>List_Type</vt:lpstr>
      <vt:lpstr>Location</vt:lpstr>
      <vt:lpstr>mess_cap1</vt:lpstr>
      <vt:lpstr>Gen_Int!mess1</vt:lpstr>
      <vt:lpstr>Information!mess1</vt:lpstr>
      <vt:lpstr>SmBal!mess1</vt:lpstr>
      <vt:lpstr>mess1</vt:lpstr>
      <vt:lpstr>mESS18</vt:lpstr>
      <vt:lpstr>'1'!mess2</vt:lpstr>
      <vt:lpstr>Information!mess2</vt:lpstr>
      <vt:lpstr>SmBal!mess2</vt:lpstr>
      <vt:lpstr>mess2</vt:lpstr>
      <vt:lpstr>Gen_Int!mess3</vt:lpstr>
      <vt:lpstr>mess3</vt:lpstr>
      <vt:lpstr>mess4</vt:lpstr>
      <vt:lpstr>mess5</vt:lpstr>
      <vt:lpstr>mess6</vt:lpstr>
      <vt:lpstr>'T16'!Names</vt:lpstr>
      <vt:lpstr>Names</vt:lpstr>
      <vt:lpstr>orig_name</vt:lpstr>
      <vt:lpstr>'T16'!Participation</vt:lpstr>
      <vt:lpstr>percent</vt:lpstr>
      <vt:lpstr>Period1</vt:lpstr>
      <vt:lpstr>Period2</vt:lpstr>
      <vt:lpstr>Period3</vt:lpstr>
      <vt:lpstr>Period4</vt:lpstr>
      <vt:lpstr>Period5</vt:lpstr>
      <vt:lpstr>Period6</vt:lpstr>
      <vt:lpstr>pick_a_name</vt:lpstr>
      <vt:lpstr>quarter</vt:lpstr>
      <vt:lpstr>'T16'!Rate</vt:lpstr>
      <vt:lpstr>'T16'!Rating</vt:lpstr>
      <vt:lpstr>Gen_Int!reference</vt:lpstr>
      <vt:lpstr>'B5'!table_co</vt:lpstr>
      <vt:lpstr>'B8'!table_co</vt:lpstr>
      <vt:lpstr>table_co</vt:lpstr>
      <vt:lpstr>table_dates</vt:lpstr>
      <vt:lpstr>Type_Debt</vt:lpstr>
      <vt:lpstr>type_fund</vt:lpstr>
      <vt:lpstr>'T16'!Type_Industry</vt:lpstr>
      <vt:lpstr>'T16'!Type_Loan</vt:lpstr>
      <vt:lpstr>'T16'!Where</vt:lpstr>
      <vt:lpstr>'1'!WPrint_Area_W</vt:lpstr>
      <vt:lpstr>'106'!WPrint_Area_W</vt:lpstr>
      <vt:lpstr>'106N'!WPrint_Area_W</vt:lpstr>
      <vt:lpstr>'107'!WPrint_Area_W</vt:lpstr>
      <vt:lpstr>'2'!WPrint_Area_W</vt:lpstr>
      <vt:lpstr>'3'!WPrint_Area_W</vt:lpstr>
      <vt:lpstr>B11A!WPrint_Area_W</vt:lpstr>
      <vt:lpstr>B11B!WPrint_Area_W</vt:lpstr>
      <vt:lpstr>B11C!WPrint_Area_W</vt:lpstr>
      <vt:lpstr>B11R!WPrint_Area_W</vt:lpstr>
      <vt:lpstr>'B13'!WPrint_Area_W</vt:lpstr>
      <vt:lpstr>'B14'!WPrint_Area_W</vt:lpstr>
      <vt:lpstr>'B15'!WPrint_Area_W</vt:lpstr>
      <vt:lpstr>'B16'!WPrint_Area_W</vt:lpstr>
      <vt:lpstr>'B17'!WPrint_Area_W</vt:lpstr>
      <vt:lpstr>'B18'!WPrint_Area_W</vt:lpstr>
      <vt:lpstr>'B20'!WPrint_Area_W</vt:lpstr>
      <vt:lpstr>'B22'!WPrint_Area_W</vt:lpstr>
      <vt:lpstr>'B26'!WPrint_Area_W</vt:lpstr>
      <vt:lpstr>B27A!WPrint_Area_W</vt:lpstr>
      <vt:lpstr>B27B!WPrint_Area_W</vt:lpstr>
      <vt:lpstr>B27C1!WPrint_Area_W</vt:lpstr>
      <vt:lpstr>B27C2!WPrint_Area_W</vt:lpstr>
      <vt:lpstr>B27C3!WPrint_Area_W</vt:lpstr>
      <vt:lpstr>B27C4!WPrint_Area_W</vt:lpstr>
      <vt:lpstr>B27D!WPrint_Area_W</vt:lpstr>
      <vt:lpstr>B3.1A!WPrint_Area_W</vt:lpstr>
      <vt:lpstr>B3.1B!WPrint_Area_W</vt:lpstr>
      <vt:lpstr>B3.1C!WPrint_Area_W</vt:lpstr>
      <vt:lpstr>'B5'!WPrint_Area_W</vt:lpstr>
      <vt:lpstr>'B7'!WPrint_Area_W</vt:lpstr>
      <vt:lpstr>'B8'!WPrint_Area_W</vt:lpstr>
      <vt:lpstr>'B9'!WPrint_Area_W</vt:lpstr>
      <vt:lpstr>Dir1A!WPrint_Area_W</vt:lpstr>
      <vt:lpstr>Dir1B!WPrint_Area_W</vt:lpstr>
      <vt:lpstr>Dir1C!WPrint_Area_W</vt:lpstr>
      <vt:lpstr>'Dir2'!WPrint_Area_W</vt:lpstr>
      <vt:lpstr>Gen_Int!WPrint_Area_W</vt:lpstr>
      <vt:lpstr>Information!WPrint_Area_W</vt:lpstr>
      <vt:lpstr>'S1'!WPrint_Area_W</vt:lpstr>
      <vt:lpstr>'S2'!WPrint_Area_W</vt:lpstr>
      <vt:lpstr>'S3'!WPrint_Area_W</vt:lpstr>
      <vt:lpstr>SB3.1A!WPrint_Area_W</vt:lpstr>
      <vt:lpstr>SmBal!WPrint_Area_W</vt:lpstr>
      <vt:lpstr>'T101'!WPrint_Area_W</vt:lpstr>
      <vt:lpstr>'T16'!WPrint_Area_W</vt:lpstr>
      <vt:lpstr>'106'!WPrint_TitlesW</vt:lpstr>
      <vt:lpstr>'B17'!WPrint_TitlesW</vt:lpstr>
      <vt:lpstr>B3.1A!WPrint_TitlesW</vt:lpstr>
      <vt:lpstr>B3.1B!WPrint_TitlesW</vt:lpstr>
      <vt:lpstr>B3.1C!WPrint_TitlesW</vt:lpstr>
      <vt:lpstr>Gen_Int!WPrint_TitlesW</vt:lpstr>
      <vt:lpstr>SB3.1A!WPrint_TitlesW</vt:lpstr>
      <vt:lpstr>T101_N!WPrint_TitlesW</vt:lpstr>
      <vt:lpstr>'T16'!WPrint_TitlesW</vt:lpstr>
      <vt:lpstr>year</vt:lpstr>
      <vt:lpstr>'B5'!yearA</vt:lpstr>
      <vt:lpstr>'B8'!yearA</vt:lpstr>
      <vt:lpstr>yearA</vt:lpstr>
      <vt:lpstr>'B5'!yearB</vt:lpstr>
      <vt:lpstr>'B8'!yearB</vt:lpstr>
      <vt:lpstr>yearB</vt:lpstr>
      <vt:lpstr>'B5'!yearC</vt:lpstr>
      <vt:lpstr>yearC</vt:lpstr>
      <vt:lpstr>'T16'!בחר_בטוחה</vt:lpstr>
      <vt:lpstr>ט101</vt:lpstr>
      <vt:lpstr>ט101נ</vt:lpstr>
      <vt:lpstr>ט106</vt:lpstr>
      <vt:lpstr>ט106נ</vt:lpstr>
      <vt:lpstr>נספח2</vt:lpstr>
      <vt:lpstr>נספח3</vt:lpstr>
      <vt:lpstr>נספח5</vt:lpstr>
      <vt:lpstr>נספח6</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הדיווח (xlsx) - עודכן בתאריך 4/9/14</dc:title>
  <dc:creator>נעמה לוי</dc:creator>
  <cp:lastModifiedBy>נירית שימרון</cp:lastModifiedBy>
  <cp:lastPrinted>2018-05-28T06:16:00Z</cp:lastPrinted>
  <dcterms:created xsi:type="dcterms:W3CDTF">2012-03-11T09:52:43Z</dcterms:created>
  <dcterms:modified xsi:type="dcterms:W3CDTF">2022-01-13T09:04:24Z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0x0101001F5F5CFC0ED2164DBE963B4B1571B22B</vt:lpwstr>
  </property>
  <property fmtid="{D5CDD505-2E9C-101B-9397-08002B2CF9AE}" pid="3" name="MMDUnitsName">
    <vt:lpwstr/>
  </property>
  <property fmtid="{D5CDD505-2E9C-101B-9397-08002B2CF9AE}" pid="4" name="MMDResponsibleUnit">
    <vt:lpwstr/>
  </property>
  <property fmtid="{D5CDD505-2E9C-101B-9397-08002B2CF9AE}" pid="5" name="MMDServiceLang">
    <vt:lpwstr/>
  </property>
  <property fmtid="{D5CDD505-2E9C-101B-9397-08002B2CF9AE}" pid="6" name="MMDJobDescription">
    <vt:lpwstr/>
  </property>
  <property fmtid="{D5CDD505-2E9C-101B-9397-08002B2CF9AE}" pid="7" name="MMDKeywords">
    <vt:lpwstr/>
  </property>
  <property fmtid="{D5CDD505-2E9C-101B-9397-08002B2CF9AE}" pid="8" name="MMDStatus">
    <vt:lpwstr/>
  </property>
  <property fmtid="{D5CDD505-2E9C-101B-9397-08002B2CF9AE}" pid="9" name="MMDAudience">
    <vt:lpwstr/>
  </property>
  <property fmtid="{D5CDD505-2E9C-101B-9397-08002B2CF9AE}" pid="10" name="MMDLiveEvent">
    <vt:lpwstr/>
  </property>
  <property fmtid="{D5CDD505-2E9C-101B-9397-08002B2CF9AE}" pid="11" name="MMDSubjects">
    <vt:lpwstr/>
  </property>
  <property fmtid="{D5CDD505-2E9C-101B-9397-08002B2CF9AE}" pid="12" name="MMDTypes">
    <vt:lpwstr/>
  </property>
  <property fmtid="{D5CDD505-2E9C-101B-9397-08002B2CF9AE}" pid="13" name="MMDResponsibleOffice">
    <vt:lpwstr/>
  </property>
  <property fmtid="{D5CDD505-2E9C-101B-9397-08002B2CF9AE}" pid="14" name="Order">
    <vt:r8>240700</vt:r8>
  </property>
  <property fmtid="{D5CDD505-2E9C-101B-9397-08002B2CF9AE}" pid="15" name="xd_Signature">
    <vt:bool>false</vt:bool>
  </property>
  <property fmtid="{D5CDD505-2E9C-101B-9397-08002B2CF9AE}" pid="16" name="xd_ProgID">
    <vt:lpwstr/>
  </property>
  <property fmtid="{D5CDD505-2E9C-101B-9397-08002B2CF9AE}" pid="17" name="_SourceUrl">
    <vt:lpwstr/>
  </property>
  <property fmtid="{D5CDD505-2E9C-101B-9397-08002B2CF9AE}" pid="18" name="_SharedFileIndex">
    <vt:lpwstr/>
  </property>
  <property fmtid="{D5CDD505-2E9C-101B-9397-08002B2CF9AE}" pid="19" name="TemplateUrl">
    <vt:lpwstr/>
  </property>
</Properties>
</file>